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39267B-DADC-4D6A-BA74-54997C319D17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Input" sheetId="1" r:id="rId1"/>
    <sheet name="Top Pages" sheetId="2" r:id="rId2"/>
    <sheet name="Intra-EMWNSS1" sheetId="46" r:id="rId3"/>
    <sheet name="Intra-EMWNSS2" sheetId="21" r:id="rId4"/>
    <sheet name="Intra-EMWMEH" sheetId="44" r:id="rId5"/>
    <sheet name="TP-EMWNSS" sheetId="47" r:id="rId6"/>
    <sheet name="Total Financial" sheetId="18" r:id="rId7"/>
    <sheet name="Physical" sheetId="53" r:id="rId8"/>
    <sheet name="Other" sheetId="45" r:id="rId9"/>
    <sheet name="DPR" sheetId="57" r:id="rId10"/>
    <sheet name="Prior DPR" sheetId="58" r:id="rId11"/>
    <sheet name="P&amp;L Without Sharing" sheetId="56" r:id="rId12"/>
    <sheet name="Prior P&amp;L Without Sharing" sheetId="55" r:id="rId13"/>
    <sheet name="P&amp;L" sheetId="52" r:id="rId14"/>
    <sheet name="Prior P&amp;L" sheetId="54" r:id="rId15"/>
    <sheet name="ENRON MIDWEST P&amp;L" sheetId="16" r:id="rId16"/>
    <sheet name="NSS1" sheetId="49" r:id="rId17"/>
    <sheet name="NSS2" sheetId="48" r:id="rId18"/>
    <sheet name="MEH" sheetId="17" r:id="rId19"/>
    <sheet name="OA Flash" sheetId="50" r:id="rId20"/>
  </sheets>
  <externalReferences>
    <externalReference r:id="rId21"/>
    <externalReference r:id="rId22"/>
    <externalReference r:id="rId23"/>
  </externalReferences>
  <definedNames>
    <definedName name="DTITLE">#REF!</definedName>
    <definedName name="eff_dt">'Top Pages'!$B$5</definedName>
    <definedName name="PostIDs">'Top Pages'!$B$6:$B$17</definedName>
    <definedName name="_xlnm.Print_Area" localSheetId="15">'ENRON MIDWEST P&amp;L'!$A$1:$J$114</definedName>
    <definedName name="_xlnm.Print_Area" localSheetId="0">Input!$A$2:$D$28</definedName>
    <definedName name="_xlnm.Print_Area" localSheetId="18">MEH!$A$1:$M$30</definedName>
    <definedName name="_xlnm.Print_Area" localSheetId="19">'OA Flash'!$A$1:$F$87</definedName>
    <definedName name="_xlnm.Print_Area" localSheetId="8">Other!$A$29:$F$43</definedName>
    <definedName name="_xlnm.Print_Area" localSheetId="1">'Top Pages'!$A$1:$S$61</definedName>
    <definedName name="_xlnm.Print_Area" localSheetId="6">'Total Financial'!$A$1:$F$42</definedName>
    <definedName name="Print_Area_MI">#REF!</definedName>
    <definedName name="_xlnm.Print_Titles" localSheetId="1">'Top Pages'!$1:$1</definedName>
    <definedName name="Print_Titles_MI">#REF!</definedName>
    <definedName name="PW">'Top Pages'!$B$4</definedName>
    <definedName name="TITLE">#REF!</definedName>
    <definedName name="UID">'Top Pages'!$B$3</definedName>
    <definedName name="wrn.RollDetail." localSheetId="9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19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14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  <customWorkbookViews>
    <customWorkbookView name="BookBal (Roll-1)" guid="{F5C51F1C-69E4-11D2-8902-006008CD1282}" maximized="1" xWindow="2" yWindow="2" windowWidth="636" windowHeight="340" tabRatio="717" activeSheetId="4" showComments="commIndAndComment"/>
    <customWorkbookView name="BookBal (Roll-2)" guid="{F5C51F1D-69E4-11D2-8902-006008CD1282}" maximized="1" xWindow="2" yWindow="2" windowWidth="636" windowHeight="340" tabRatio="717" activeSheetId="5" showComments="commIndAndComment"/>
    <customWorkbookView name="BookBal (Roll-3)" guid="{F5C51F1E-69E4-11D2-8902-006008CD1282}" maximized="1" xWindow="2" yWindow="2" windowWidth="636" windowHeight="340" tabRatio="717" activeSheetId="6" showComments="commIndAndComment"/>
    <customWorkbookView name="DailyChange (Roll-1)" guid="{F5C51F1F-69E4-11D2-8902-006008CD1282}" maximized="1" xWindow="2" yWindow="2" windowWidth="636" windowHeight="340" tabRatio="717" activeSheetId="4" showComments="commIndAndComment"/>
    <customWorkbookView name="DailyChange (Roll-2)" guid="{F5C51F20-69E4-11D2-8902-006008CD1282}" maximized="1" xWindow="2" yWindow="2" windowWidth="636" windowHeight="340" tabRatio="717" activeSheetId="5" showComments="commIndAndComment"/>
    <customWorkbookView name="DailyChange (Roll-3)" guid="{F5C51F21-69E4-11D2-8902-006008CD1282}" maximized="1" xWindow="2" yWindow="2" windowWidth="636" windowHeight="340" tabRatio="717" activeSheetId="6" showComments="commIndAndComment"/>
    <customWorkbookView name="Schedules (Roll-1)" guid="{F5C51F22-69E4-11D2-8902-006008CD1282}" maximized="1" xWindow="2" yWindow="2" windowWidth="636" windowHeight="340" tabRatio="717" activeSheetId="4" showComments="commIndAndComment"/>
    <customWorkbookView name="Schedules (Roll-2)" guid="{F5C51F23-69E4-11D2-8902-006008CD1282}" maximized="1" xWindow="2" yWindow="2" windowWidth="636" windowHeight="340" tabRatio="717" activeSheetId="5" showComments="commIndAndComment"/>
    <customWorkbookView name="Schedules (Roll-3)" guid="{F5C51F24-69E4-11D2-8902-006008CD1282}" maximized="1" xWindow="2" yWindow="2" windowWidth="636" windowHeight="340" tabRatio="717" activeSheetId="6" showComments="commIndAndComment"/>
  </customWorkbookViews>
</workbook>
</file>

<file path=xl/calcChain.xml><?xml version="1.0" encoding="utf-8"?>
<calcChain xmlns="http://schemas.openxmlformats.org/spreadsheetml/2006/main">
  <c r="C4" i="57" l="1"/>
  <c r="E10" i="57"/>
  <c r="G10" i="57"/>
  <c r="I10" i="57"/>
  <c r="K10" i="57"/>
  <c r="M10" i="57"/>
  <c r="M11" i="57"/>
  <c r="E12" i="57"/>
  <c r="G12" i="57"/>
  <c r="I12" i="57"/>
  <c r="K12" i="57"/>
  <c r="M12" i="57"/>
  <c r="E13" i="57"/>
  <c r="G13" i="57"/>
  <c r="I13" i="57"/>
  <c r="K13" i="57"/>
  <c r="M13" i="57"/>
  <c r="E14" i="57"/>
  <c r="G14" i="57"/>
  <c r="I14" i="57"/>
  <c r="K14" i="57"/>
  <c r="M14" i="57"/>
  <c r="E17" i="57"/>
  <c r="G17" i="57"/>
  <c r="I17" i="57"/>
  <c r="K17" i="57"/>
  <c r="M17" i="57"/>
  <c r="E18" i="57"/>
  <c r="G18" i="57"/>
  <c r="I18" i="57"/>
  <c r="K18" i="57"/>
  <c r="M18" i="57"/>
  <c r="E19" i="57"/>
  <c r="G19" i="57"/>
  <c r="I19" i="57"/>
  <c r="K19" i="57"/>
  <c r="M19" i="57"/>
  <c r="E20" i="57"/>
  <c r="G20" i="57"/>
  <c r="I20" i="57"/>
  <c r="K20" i="57"/>
  <c r="M20" i="57"/>
  <c r="E21" i="57"/>
  <c r="G21" i="57"/>
  <c r="I21" i="57"/>
  <c r="K21" i="57"/>
  <c r="M21" i="57"/>
  <c r="E22" i="57"/>
  <c r="G22" i="57"/>
  <c r="I22" i="57"/>
  <c r="K22" i="57"/>
  <c r="M22" i="57"/>
  <c r="E23" i="57"/>
  <c r="G23" i="57"/>
  <c r="I23" i="57"/>
  <c r="K23" i="57"/>
  <c r="M23" i="57"/>
  <c r="E24" i="57"/>
  <c r="G24" i="57"/>
  <c r="I24" i="57"/>
  <c r="K24" i="57"/>
  <c r="M24" i="57"/>
  <c r="M27" i="57"/>
  <c r="M28" i="57"/>
  <c r="E29" i="57"/>
  <c r="G29" i="57"/>
  <c r="I29" i="57"/>
  <c r="K29" i="57"/>
  <c r="M29" i="57"/>
  <c r="E32" i="57"/>
  <c r="G32" i="57"/>
  <c r="I32" i="57"/>
  <c r="K32" i="57"/>
  <c r="M32" i="57"/>
  <c r="E33" i="57"/>
  <c r="G33" i="57"/>
  <c r="I33" i="57"/>
  <c r="K33" i="57"/>
  <c r="M33" i="57"/>
  <c r="E34" i="57"/>
  <c r="G34" i="57"/>
  <c r="I34" i="57"/>
  <c r="K34" i="57"/>
  <c r="M34" i="57"/>
  <c r="M35" i="57"/>
  <c r="M36" i="57"/>
  <c r="M37" i="57"/>
  <c r="M38" i="57"/>
  <c r="E39" i="57"/>
  <c r="G39" i="57"/>
  <c r="I39" i="57"/>
  <c r="K39" i="57"/>
  <c r="M39" i="57"/>
  <c r="E42" i="57"/>
  <c r="G42" i="57"/>
  <c r="I42" i="57"/>
  <c r="K42" i="57"/>
  <c r="M42" i="57"/>
  <c r="E43" i="57"/>
  <c r="G43" i="57"/>
  <c r="I43" i="57"/>
  <c r="K43" i="57"/>
  <c r="M43" i="57"/>
  <c r="E44" i="57"/>
  <c r="G44" i="57"/>
  <c r="I44" i="57"/>
  <c r="K44" i="57"/>
  <c r="M44" i="57"/>
  <c r="M45" i="57"/>
  <c r="M46" i="57"/>
  <c r="M47" i="57"/>
  <c r="M48" i="57"/>
  <c r="E49" i="57"/>
  <c r="G49" i="57"/>
  <c r="I49" i="57"/>
  <c r="K49" i="57"/>
  <c r="M49" i="57"/>
  <c r="E52" i="57"/>
  <c r="G52" i="57"/>
  <c r="K52" i="57"/>
  <c r="M52" i="57"/>
  <c r="M53" i="57"/>
  <c r="M54" i="57"/>
  <c r="G55" i="57"/>
  <c r="M55" i="57"/>
  <c r="E56" i="57"/>
  <c r="G56" i="57"/>
  <c r="I56" i="57"/>
  <c r="K56" i="57"/>
  <c r="M56" i="57"/>
  <c r="E59" i="57"/>
  <c r="G59" i="57"/>
  <c r="I59" i="57"/>
  <c r="K59" i="57"/>
  <c r="M59" i="57"/>
  <c r="E63" i="57"/>
  <c r="G63" i="57"/>
  <c r="I63" i="57"/>
  <c r="K63" i="57"/>
  <c r="M63" i="57"/>
  <c r="E64" i="57"/>
  <c r="G64" i="57"/>
  <c r="I64" i="57"/>
  <c r="K64" i="57"/>
  <c r="M64" i="57"/>
  <c r="E65" i="57"/>
  <c r="G65" i="57"/>
  <c r="I65" i="57"/>
  <c r="K65" i="57"/>
  <c r="M65" i="57"/>
  <c r="E66" i="57"/>
  <c r="G66" i="57"/>
  <c r="I66" i="57"/>
  <c r="K66" i="57"/>
  <c r="M66" i="57"/>
  <c r="E67" i="57"/>
  <c r="G67" i="57"/>
  <c r="I67" i="57"/>
  <c r="K67" i="57"/>
  <c r="M67" i="57"/>
  <c r="E70" i="57"/>
  <c r="G70" i="57"/>
  <c r="I70" i="57"/>
  <c r="K70" i="57"/>
  <c r="M70" i="57"/>
  <c r="E71" i="57"/>
  <c r="G71" i="57"/>
  <c r="I71" i="57"/>
  <c r="K71" i="57"/>
  <c r="M71" i="57"/>
  <c r="E72" i="57"/>
  <c r="G72" i="57"/>
  <c r="I72" i="57"/>
  <c r="K72" i="57"/>
  <c r="M72" i="57"/>
  <c r="E73" i="57"/>
  <c r="G73" i="57"/>
  <c r="I73" i="57"/>
  <c r="K73" i="57"/>
  <c r="M73" i="57"/>
  <c r="E74" i="57"/>
  <c r="G74" i="57"/>
  <c r="I74" i="57"/>
  <c r="K74" i="57"/>
  <c r="M74" i="57"/>
  <c r="E75" i="57"/>
  <c r="G75" i="57"/>
  <c r="I75" i="57"/>
  <c r="K75" i="57"/>
  <c r="M75" i="57"/>
  <c r="E76" i="57"/>
  <c r="G76" i="57"/>
  <c r="I76" i="57"/>
  <c r="K76" i="57"/>
  <c r="M76" i="57"/>
  <c r="E77" i="57"/>
  <c r="G77" i="57"/>
  <c r="I77" i="57"/>
  <c r="K77" i="57"/>
  <c r="M77" i="57"/>
  <c r="E80" i="57"/>
  <c r="G80" i="57"/>
  <c r="I80" i="57"/>
  <c r="K80" i="57"/>
  <c r="M80" i="57"/>
  <c r="E81" i="57"/>
  <c r="G81" i="57"/>
  <c r="I81" i="57"/>
  <c r="K81" i="57"/>
  <c r="M81" i="57"/>
  <c r="E82" i="57"/>
  <c r="G82" i="57"/>
  <c r="I82" i="57"/>
  <c r="K82" i="57"/>
  <c r="M82" i="57"/>
  <c r="E85" i="57"/>
  <c r="G85" i="57"/>
  <c r="I85" i="57"/>
  <c r="K85" i="57"/>
  <c r="M85" i="57"/>
  <c r="E86" i="57"/>
  <c r="G86" i="57"/>
  <c r="I86" i="57"/>
  <c r="K86" i="57"/>
  <c r="M86" i="57"/>
  <c r="E87" i="57"/>
  <c r="G87" i="57"/>
  <c r="I87" i="57"/>
  <c r="K87" i="57"/>
  <c r="M87" i="57"/>
  <c r="E88" i="57"/>
  <c r="G88" i="57"/>
  <c r="I88" i="57"/>
  <c r="K88" i="57"/>
  <c r="M88" i="57"/>
  <c r="E89" i="57"/>
  <c r="G89" i="57"/>
  <c r="I89" i="57"/>
  <c r="K89" i="57"/>
  <c r="M89" i="57"/>
  <c r="E90" i="57"/>
  <c r="G90" i="57"/>
  <c r="I90" i="57"/>
  <c r="K90" i="57"/>
  <c r="M90" i="57"/>
  <c r="E91" i="57"/>
  <c r="G91" i="57"/>
  <c r="I91" i="57"/>
  <c r="K91" i="57"/>
  <c r="M91" i="57"/>
  <c r="E92" i="57"/>
  <c r="G92" i="57"/>
  <c r="I92" i="57"/>
  <c r="K92" i="57"/>
  <c r="M92" i="57"/>
  <c r="E95" i="57"/>
  <c r="G95" i="57"/>
  <c r="I95" i="57"/>
  <c r="K95" i="57"/>
  <c r="M95" i="57"/>
  <c r="E96" i="57"/>
  <c r="G96" i="57"/>
  <c r="I96" i="57"/>
  <c r="K96" i="57"/>
  <c r="M96" i="57"/>
  <c r="E97" i="57"/>
  <c r="G97" i="57"/>
  <c r="I97" i="57"/>
  <c r="K97" i="57"/>
  <c r="M97" i="57"/>
  <c r="E98" i="57"/>
  <c r="G98" i="57"/>
  <c r="I98" i="57"/>
  <c r="K98" i="57"/>
  <c r="M98" i="57"/>
  <c r="E99" i="57"/>
  <c r="G99" i="57"/>
  <c r="I99" i="57"/>
  <c r="K99" i="57"/>
  <c r="M99" i="57"/>
  <c r="E100" i="57"/>
  <c r="G100" i="57"/>
  <c r="I100" i="57"/>
  <c r="K100" i="57"/>
  <c r="M100" i="57"/>
  <c r="E101" i="57"/>
  <c r="G101" i="57"/>
  <c r="I101" i="57"/>
  <c r="K101" i="57"/>
  <c r="M101" i="57"/>
  <c r="E102" i="57"/>
  <c r="G102" i="57"/>
  <c r="I102" i="57"/>
  <c r="K102" i="57"/>
  <c r="M102" i="57"/>
  <c r="E105" i="57"/>
  <c r="G105" i="57"/>
  <c r="I105" i="57"/>
  <c r="K105" i="57"/>
  <c r="M105" i="57"/>
  <c r="E106" i="57"/>
  <c r="G106" i="57"/>
  <c r="I106" i="57"/>
  <c r="K106" i="57"/>
  <c r="M106" i="57"/>
  <c r="E107" i="57"/>
  <c r="G107" i="57"/>
  <c r="I107" i="57"/>
  <c r="K107" i="57"/>
  <c r="M107" i="57"/>
  <c r="E108" i="57"/>
  <c r="G108" i="57"/>
  <c r="I108" i="57"/>
  <c r="K108" i="57"/>
  <c r="M108" i="57"/>
  <c r="E109" i="57"/>
  <c r="G109" i="57"/>
  <c r="I109" i="57"/>
  <c r="K109" i="57"/>
  <c r="M109" i="57"/>
  <c r="E112" i="57"/>
  <c r="G112" i="57"/>
  <c r="I112" i="57"/>
  <c r="K112" i="57"/>
  <c r="M112" i="57"/>
  <c r="E114" i="57"/>
  <c r="G114" i="57"/>
  <c r="I114" i="57"/>
  <c r="K114" i="57"/>
  <c r="M114" i="57"/>
  <c r="E116" i="57"/>
  <c r="G116" i="57"/>
  <c r="I116" i="57"/>
  <c r="K116" i="57"/>
  <c r="M116" i="57"/>
  <c r="E120" i="57"/>
  <c r="G120" i="57"/>
  <c r="I120" i="57"/>
  <c r="K120" i="57"/>
  <c r="M120" i="57"/>
  <c r="E121" i="57"/>
  <c r="G121" i="57"/>
  <c r="I121" i="57"/>
  <c r="K121" i="57"/>
  <c r="M121" i="57"/>
  <c r="E122" i="57"/>
  <c r="G122" i="57"/>
  <c r="I122" i="57"/>
  <c r="K122" i="57"/>
  <c r="M122" i="57"/>
  <c r="E123" i="57"/>
  <c r="G123" i="57"/>
  <c r="I123" i="57"/>
  <c r="K123" i="57"/>
  <c r="M123" i="57"/>
  <c r="E124" i="57"/>
  <c r="G124" i="57"/>
  <c r="I124" i="57"/>
  <c r="K124" i="57"/>
  <c r="M124" i="57"/>
  <c r="E125" i="57"/>
  <c r="G125" i="57"/>
  <c r="I125" i="57"/>
  <c r="K125" i="57"/>
  <c r="M125" i="57"/>
  <c r="E126" i="57"/>
  <c r="G126" i="57"/>
  <c r="I126" i="57"/>
  <c r="K126" i="57"/>
  <c r="M126" i="57"/>
  <c r="E127" i="57"/>
  <c r="G127" i="57"/>
  <c r="I127" i="57"/>
  <c r="K127" i="57"/>
  <c r="M127" i="57"/>
  <c r="E128" i="57"/>
  <c r="G128" i="57"/>
  <c r="I128" i="57"/>
  <c r="K128" i="57"/>
  <c r="M128" i="57"/>
  <c r="E129" i="57"/>
  <c r="G129" i="57"/>
  <c r="I129" i="57"/>
  <c r="K129" i="57"/>
  <c r="M129" i="57"/>
  <c r="C2" i="16"/>
  <c r="E6" i="16"/>
  <c r="E9" i="16"/>
  <c r="G9" i="16"/>
  <c r="E10" i="16"/>
  <c r="E11" i="16"/>
  <c r="E12" i="16"/>
  <c r="G12" i="16"/>
  <c r="E13" i="16"/>
  <c r="G13" i="16"/>
  <c r="E15" i="16"/>
  <c r="G15" i="16"/>
  <c r="E18" i="16"/>
  <c r="G18" i="16"/>
  <c r="E19" i="16"/>
  <c r="G19" i="16"/>
  <c r="E21" i="16"/>
  <c r="G21" i="16"/>
  <c r="E23" i="16"/>
  <c r="G23" i="16"/>
  <c r="C25" i="16"/>
  <c r="E25" i="16"/>
  <c r="C29" i="16"/>
  <c r="E29" i="16"/>
  <c r="C30" i="16"/>
  <c r="E30" i="16"/>
  <c r="C31" i="16"/>
  <c r="C33" i="16"/>
  <c r="E33" i="16"/>
  <c r="C38" i="16"/>
  <c r="E38" i="16"/>
  <c r="C39" i="16"/>
  <c r="E39" i="16"/>
  <c r="C40" i="16"/>
  <c r="E40" i="16"/>
  <c r="C41" i="16"/>
  <c r="C42" i="16"/>
  <c r="C43" i="16"/>
  <c r="C45" i="16"/>
  <c r="E45" i="16"/>
  <c r="C48" i="16"/>
  <c r="E48" i="16"/>
  <c r="C49" i="16"/>
  <c r="E49" i="16"/>
  <c r="C50" i="16"/>
  <c r="E50" i="16"/>
  <c r="C51" i="16"/>
  <c r="C52" i="16"/>
  <c r="C53" i="16"/>
  <c r="C55" i="16"/>
  <c r="E55" i="16"/>
  <c r="C60" i="16"/>
  <c r="C61" i="16"/>
  <c r="C62" i="16"/>
  <c r="E62" i="16"/>
  <c r="C64" i="16"/>
  <c r="E64" i="16"/>
  <c r="C68" i="16"/>
  <c r="C69" i="16"/>
  <c r="C70" i="16"/>
  <c r="E70" i="16"/>
  <c r="C71" i="16"/>
  <c r="E71" i="16"/>
  <c r="C74" i="16"/>
  <c r="C75" i="16"/>
  <c r="C76" i="16"/>
  <c r="C77" i="16"/>
  <c r="E77" i="16"/>
  <c r="C79" i="16"/>
  <c r="E79" i="16"/>
  <c r="C81" i="16"/>
  <c r="E81" i="16"/>
  <c r="C82" i="16"/>
  <c r="E82" i="16"/>
  <c r="C86" i="16"/>
  <c r="E86" i="16"/>
  <c r="C88" i="16"/>
  <c r="E88" i="16"/>
  <c r="C90" i="16"/>
  <c r="E90" i="16"/>
  <c r="C92" i="16"/>
  <c r="E92" i="16"/>
  <c r="C94" i="16"/>
  <c r="E94" i="16"/>
  <c r="C98" i="16"/>
  <c r="E98" i="16"/>
  <c r="C101" i="16"/>
  <c r="C102" i="16"/>
  <c r="C104" i="16"/>
  <c r="E104" i="16"/>
  <c r="C106" i="16"/>
  <c r="E106" i="16"/>
  <c r="C107" i="16"/>
  <c r="E107" i="16"/>
  <c r="C108" i="16"/>
  <c r="E108" i="16"/>
  <c r="C109" i="16"/>
  <c r="E109" i="16"/>
  <c r="C110" i="16"/>
  <c r="E110" i="16"/>
  <c r="C114" i="16"/>
  <c r="E114" i="16"/>
  <c r="B2" i="1"/>
  <c r="B3" i="1"/>
  <c r="B4" i="1"/>
  <c r="B5" i="1"/>
  <c r="B6" i="1"/>
  <c r="B7" i="1"/>
  <c r="B8" i="1"/>
  <c r="B9" i="1"/>
  <c r="B10" i="1"/>
  <c r="B11" i="1"/>
  <c r="B12" i="1"/>
  <c r="B13" i="1"/>
  <c r="D4" i="44"/>
  <c r="D5" i="44"/>
  <c r="D6" i="44"/>
  <c r="D7" i="44"/>
  <c r="D12" i="44"/>
  <c r="D22" i="44"/>
  <c r="B24" i="44"/>
  <c r="D32" i="44"/>
  <c r="B34" i="44"/>
  <c r="D35" i="44"/>
  <c r="D36" i="44"/>
  <c r="D37" i="44"/>
  <c r="D38" i="44"/>
  <c r="D39" i="44"/>
  <c r="D40" i="44"/>
  <c r="D41" i="44"/>
  <c r="D42" i="44"/>
  <c r="D4" i="46"/>
  <c r="D5" i="46"/>
  <c r="D6" i="46"/>
  <c r="D7" i="46"/>
  <c r="D12" i="46"/>
  <c r="D22" i="46"/>
  <c r="D32" i="46"/>
  <c r="D35" i="46"/>
  <c r="D36" i="46"/>
  <c r="D37" i="46"/>
  <c r="D38" i="46"/>
  <c r="D39" i="46"/>
  <c r="D40" i="46"/>
  <c r="D41" i="46"/>
  <c r="D42" i="46"/>
  <c r="D4" i="21"/>
  <c r="D5" i="21"/>
  <c r="D6" i="21"/>
  <c r="D7" i="21"/>
  <c r="D12" i="21"/>
  <c r="D22" i="21"/>
  <c r="B24" i="21"/>
  <c r="D32" i="21"/>
  <c r="B34" i="21"/>
  <c r="D35" i="21"/>
  <c r="D36" i="21"/>
  <c r="D37" i="21"/>
  <c r="D38" i="21"/>
  <c r="D39" i="21"/>
  <c r="D40" i="21"/>
  <c r="D41" i="21"/>
  <c r="D42" i="21"/>
  <c r="K2" i="17"/>
  <c r="L2" i="17"/>
  <c r="M2" i="17"/>
  <c r="F5" i="17"/>
  <c r="M5" i="17"/>
  <c r="F9" i="17"/>
  <c r="M9" i="17"/>
  <c r="F10" i="17"/>
  <c r="M10" i="17"/>
  <c r="F11" i="17"/>
  <c r="M11" i="17"/>
  <c r="F12" i="17"/>
  <c r="M12" i="17"/>
  <c r="F13" i="17"/>
  <c r="M13" i="17"/>
  <c r="F14" i="17"/>
  <c r="M14" i="17"/>
  <c r="F15" i="17"/>
  <c r="M15" i="17"/>
  <c r="F16" i="17"/>
  <c r="M16" i="17"/>
  <c r="F17" i="17"/>
  <c r="I17" i="17"/>
  <c r="M17" i="17"/>
  <c r="F18" i="17"/>
  <c r="M18" i="17"/>
  <c r="F19" i="17"/>
  <c r="M19" i="17"/>
  <c r="F20" i="17"/>
  <c r="M20" i="17"/>
  <c r="F21" i="17"/>
  <c r="M21" i="17"/>
  <c r="F22" i="17"/>
  <c r="M22" i="17"/>
  <c r="F23" i="17"/>
  <c r="M23" i="17"/>
  <c r="F24" i="17"/>
  <c r="M24" i="17"/>
  <c r="F25" i="17"/>
  <c r="K25" i="17"/>
  <c r="L25" i="17"/>
  <c r="M25" i="17"/>
  <c r="D26" i="17"/>
  <c r="E26" i="17"/>
  <c r="F26" i="17"/>
  <c r="K26" i="17"/>
  <c r="L26" i="17"/>
  <c r="M26" i="17"/>
  <c r="D27" i="17"/>
  <c r="E27" i="17"/>
  <c r="F27" i="17"/>
  <c r="K29" i="17"/>
  <c r="L29" i="17"/>
  <c r="M29" i="17"/>
  <c r="K2" i="49"/>
  <c r="L2" i="49"/>
  <c r="M2" i="49"/>
  <c r="F5" i="49"/>
  <c r="M5" i="49"/>
  <c r="F9" i="49"/>
  <c r="M9" i="49"/>
  <c r="F10" i="49"/>
  <c r="M10" i="49"/>
  <c r="F11" i="49"/>
  <c r="M11" i="49"/>
  <c r="F12" i="49"/>
  <c r="M12" i="49"/>
  <c r="F13" i="49"/>
  <c r="M13" i="49"/>
  <c r="F14" i="49"/>
  <c r="M14" i="49"/>
  <c r="F15" i="49"/>
  <c r="M15" i="49"/>
  <c r="F16" i="49"/>
  <c r="M16" i="49"/>
  <c r="F17" i="49"/>
  <c r="I17" i="49"/>
  <c r="M17" i="49"/>
  <c r="F18" i="49"/>
  <c r="M18" i="49"/>
  <c r="F19" i="49"/>
  <c r="M19" i="49"/>
  <c r="F20" i="49"/>
  <c r="M20" i="49"/>
  <c r="F21" i="49"/>
  <c r="M21" i="49"/>
  <c r="F22" i="49"/>
  <c r="M22" i="49"/>
  <c r="F23" i="49"/>
  <c r="M23" i="49"/>
  <c r="F24" i="49"/>
  <c r="M24" i="49"/>
  <c r="F25" i="49"/>
  <c r="K25" i="49"/>
  <c r="L25" i="49"/>
  <c r="M25" i="49"/>
  <c r="D26" i="49"/>
  <c r="E26" i="49"/>
  <c r="F26" i="49"/>
  <c r="K26" i="49"/>
  <c r="L26" i="49"/>
  <c r="M26" i="49"/>
  <c r="D27" i="49"/>
  <c r="E27" i="49"/>
  <c r="F27" i="49"/>
  <c r="K29" i="49"/>
  <c r="L29" i="49"/>
  <c r="M29" i="49"/>
  <c r="K2" i="48"/>
  <c r="L2" i="48"/>
  <c r="M2" i="48"/>
  <c r="F5" i="48"/>
  <c r="M5" i="48"/>
  <c r="F9" i="48"/>
  <c r="M9" i="48"/>
  <c r="F10" i="48"/>
  <c r="M10" i="48"/>
  <c r="F11" i="48"/>
  <c r="M11" i="48"/>
  <c r="F12" i="48"/>
  <c r="M12" i="48"/>
  <c r="F13" i="48"/>
  <c r="M13" i="48"/>
  <c r="F14" i="48"/>
  <c r="M14" i="48"/>
  <c r="F15" i="48"/>
  <c r="M15" i="48"/>
  <c r="F16" i="48"/>
  <c r="M16" i="48"/>
  <c r="F17" i="48"/>
  <c r="I17" i="48"/>
  <c r="M17" i="48"/>
  <c r="F18" i="48"/>
  <c r="M18" i="48"/>
  <c r="F19" i="48"/>
  <c r="M19" i="48"/>
  <c r="F20" i="48"/>
  <c r="M20" i="48"/>
  <c r="F21" i="48"/>
  <c r="M21" i="48"/>
  <c r="F22" i="48"/>
  <c r="M22" i="48"/>
  <c r="F23" i="48"/>
  <c r="M23" i="48"/>
  <c r="F24" i="48"/>
  <c r="M24" i="48"/>
  <c r="F25" i="48"/>
  <c r="K25" i="48"/>
  <c r="L25" i="48"/>
  <c r="M25" i="48"/>
  <c r="D26" i="48"/>
  <c r="E26" i="48"/>
  <c r="F26" i="48"/>
  <c r="K26" i="48"/>
  <c r="L26" i="48"/>
  <c r="M26" i="48"/>
  <c r="D27" i="48"/>
  <c r="E27" i="48"/>
  <c r="F27" i="48"/>
  <c r="K29" i="48"/>
  <c r="L29" i="48"/>
  <c r="M29" i="48"/>
  <c r="D11" i="50"/>
  <c r="E11" i="50"/>
  <c r="D13" i="50"/>
  <c r="E13" i="50"/>
  <c r="D14" i="50"/>
  <c r="E14" i="50"/>
  <c r="D15" i="50"/>
  <c r="E15" i="50"/>
  <c r="D16" i="50"/>
  <c r="E16" i="50"/>
  <c r="D19" i="50"/>
  <c r="E19" i="50"/>
  <c r="D21" i="50"/>
  <c r="E21" i="50"/>
  <c r="D23" i="50"/>
  <c r="E23" i="50"/>
  <c r="D24" i="50"/>
  <c r="E24" i="50"/>
  <c r="D29" i="50"/>
  <c r="E29" i="50"/>
  <c r="D32" i="50"/>
  <c r="E32" i="50"/>
  <c r="D33" i="50"/>
  <c r="E33" i="50"/>
  <c r="D34" i="50"/>
  <c r="E34" i="50"/>
  <c r="D35" i="50"/>
  <c r="E35" i="50"/>
  <c r="D36" i="50"/>
  <c r="E36" i="50"/>
  <c r="D39" i="50"/>
  <c r="E39" i="50"/>
  <c r="D40" i="50"/>
  <c r="E40" i="50"/>
  <c r="D41" i="50"/>
  <c r="E41" i="50"/>
  <c r="D42" i="50"/>
  <c r="E42" i="50"/>
  <c r="D43" i="50"/>
  <c r="E43" i="50"/>
  <c r="D45" i="50"/>
  <c r="E45" i="50"/>
  <c r="D47" i="50"/>
  <c r="E47" i="50"/>
  <c r="D49" i="50"/>
  <c r="E49" i="50"/>
  <c r="D51" i="50"/>
  <c r="E51" i="50"/>
  <c r="D54" i="50"/>
  <c r="E54" i="50"/>
  <c r="D55" i="50"/>
  <c r="E55" i="50"/>
  <c r="D56" i="50"/>
  <c r="E56" i="50"/>
  <c r="D59" i="50"/>
  <c r="E59" i="50"/>
  <c r="D60" i="50"/>
  <c r="E60" i="50"/>
  <c r="D61" i="50"/>
  <c r="E61" i="50"/>
  <c r="D64" i="50"/>
  <c r="E64" i="50"/>
  <c r="D65" i="50"/>
  <c r="E65" i="50"/>
  <c r="D66" i="50"/>
  <c r="E66" i="50"/>
  <c r="D70" i="50"/>
  <c r="E70" i="50"/>
  <c r="D71" i="50"/>
  <c r="E71" i="50"/>
  <c r="D72" i="50"/>
  <c r="E72" i="50"/>
  <c r="D73" i="50"/>
  <c r="E73" i="50"/>
  <c r="D74" i="50"/>
  <c r="E74" i="50"/>
  <c r="D75" i="50"/>
  <c r="E75" i="50"/>
  <c r="D76" i="50"/>
  <c r="E76" i="50"/>
  <c r="D77" i="50"/>
  <c r="E77" i="50"/>
  <c r="D78" i="50"/>
  <c r="E78" i="50"/>
  <c r="D79" i="50"/>
  <c r="E79" i="50"/>
  <c r="D80" i="50"/>
  <c r="E80" i="50"/>
  <c r="D81" i="50"/>
  <c r="E81" i="50"/>
  <c r="D82" i="50"/>
  <c r="E82" i="50"/>
  <c r="E84" i="50"/>
  <c r="E86" i="50"/>
  <c r="E10" i="45"/>
  <c r="G18" i="45"/>
  <c r="M18" i="45"/>
  <c r="E19" i="45"/>
  <c r="I19" i="45"/>
  <c r="K19" i="45"/>
  <c r="M19" i="45"/>
  <c r="E20" i="45"/>
  <c r="G20" i="45"/>
  <c r="E28" i="45"/>
  <c r="E30" i="45"/>
  <c r="E32" i="45"/>
  <c r="E33" i="45"/>
  <c r="E35" i="45"/>
  <c r="E38" i="45"/>
  <c r="C4" i="52"/>
  <c r="E10" i="52"/>
  <c r="G10" i="52"/>
  <c r="I10" i="52"/>
  <c r="K10" i="52"/>
  <c r="M10" i="52"/>
  <c r="M11" i="52"/>
  <c r="E12" i="52"/>
  <c r="G12" i="52"/>
  <c r="I12" i="52"/>
  <c r="K12" i="52"/>
  <c r="M12" i="52"/>
  <c r="E13" i="52"/>
  <c r="G13" i="52"/>
  <c r="I13" i="52"/>
  <c r="K13" i="52"/>
  <c r="M13" i="52"/>
  <c r="E14" i="52"/>
  <c r="G14" i="52"/>
  <c r="I14" i="52"/>
  <c r="K14" i="52"/>
  <c r="M14" i="52"/>
  <c r="E17" i="52"/>
  <c r="G17" i="52"/>
  <c r="I17" i="52"/>
  <c r="K17" i="52"/>
  <c r="M17" i="52"/>
  <c r="E18" i="52"/>
  <c r="G18" i="52"/>
  <c r="I18" i="52"/>
  <c r="K18" i="52"/>
  <c r="M18" i="52"/>
  <c r="E19" i="52"/>
  <c r="G19" i="52"/>
  <c r="I19" i="52"/>
  <c r="K19" i="52"/>
  <c r="M19" i="52"/>
  <c r="E20" i="52"/>
  <c r="G20" i="52"/>
  <c r="I20" i="52"/>
  <c r="K20" i="52"/>
  <c r="M20" i="52"/>
  <c r="E21" i="52"/>
  <c r="G21" i="52"/>
  <c r="I21" i="52"/>
  <c r="K21" i="52"/>
  <c r="M21" i="52"/>
  <c r="E22" i="52"/>
  <c r="G22" i="52"/>
  <c r="I22" i="52"/>
  <c r="K22" i="52"/>
  <c r="M22" i="52"/>
  <c r="E23" i="52"/>
  <c r="G23" i="52"/>
  <c r="I23" i="52"/>
  <c r="K23" i="52"/>
  <c r="M23" i="52"/>
  <c r="E24" i="52"/>
  <c r="G24" i="52"/>
  <c r="I24" i="52"/>
  <c r="K24" i="52"/>
  <c r="M24" i="52"/>
  <c r="M27" i="52"/>
  <c r="M28" i="52"/>
  <c r="E29" i="52"/>
  <c r="G29" i="52"/>
  <c r="I29" i="52"/>
  <c r="K29" i="52"/>
  <c r="M29" i="52"/>
  <c r="E32" i="52"/>
  <c r="G32" i="52"/>
  <c r="I32" i="52"/>
  <c r="K32" i="52"/>
  <c r="M32" i="52"/>
  <c r="E33" i="52"/>
  <c r="G33" i="52"/>
  <c r="I33" i="52"/>
  <c r="K33" i="52"/>
  <c r="M33" i="52"/>
  <c r="E34" i="52"/>
  <c r="G34" i="52"/>
  <c r="I34" i="52"/>
  <c r="K34" i="52"/>
  <c r="M34" i="52"/>
  <c r="M35" i="52"/>
  <c r="M36" i="52"/>
  <c r="M37" i="52"/>
  <c r="M38" i="52"/>
  <c r="E39" i="52"/>
  <c r="G39" i="52"/>
  <c r="I39" i="52"/>
  <c r="K39" i="52"/>
  <c r="M39" i="52"/>
  <c r="E42" i="52"/>
  <c r="G42" i="52"/>
  <c r="I42" i="52"/>
  <c r="K42" i="52"/>
  <c r="M42" i="52"/>
  <c r="E43" i="52"/>
  <c r="G43" i="52"/>
  <c r="I43" i="52"/>
  <c r="K43" i="52"/>
  <c r="M43" i="52"/>
  <c r="E44" i="52"/>
  <c r="G44" i="52"/>
  <c r="I44" i="52"/>
  <c r="K44" i="52"/>
  <c r="M44" i="52"/>
  <c r="M45" i="52"/>
  <c r="M46" i="52"/>
  <c r="M47" i="52"/>
  <c r="M48" i="52"/>
  <c r="E49" i="52"/>
  <c r="G49" i="52"/>
  <c r="I49" i="52"/>
  <c r="K49" i="52"/>
  <c r="M49" i="52"/>
  <c r="E52" i="52"/>
  <c r="G52" i="52"/>
  <c r="I52" i="52"/>
  <c r="K52" i="52"/>
  <c r="M52" i="52"/>
  <c r="E53" i="52"/>
  <c r="G53" i="52"/>
  <c r="I53" i="52"/>
  <c r="K53" i="52"/>
  <c r="M53" i="52"/>
  <c r="M54" i="52"/>
  <c r="E55" i="52"/>
  <c r="G55" i="52"/>
  <c r="I55" i="52"/>
  <c r="K55" i="52"/>
  <c r="M55" i="52"/>
  <c r="E56" i="52"/>
  <c r="G56" i="52"/>
  <c r="I56" i="52"/>
  <c r="K56" i="52"/>
  <c r="M56" i="52"/>
  <c r="E59" i="52"/>
  <c r="G59" i="52"/>
  <c r="I59" i="52"/>
  <c r="K59" i="52"/>
  <c r="M59" i="52"/>
  <c r="E63" i="52"/>
  <c r="G63" i="52"/>
  <c r="I63" i="52"/>
  <c r="K63" i="52"/>
  <c r="M63" i="52"/>
  <c r="E64" i="52"/>
  <c r="G64" i="52"/>
  <c r="I64" i="52"/>
  <c r="K64" i="52"/>
  <c r="M64" i="52"/>
  <c r="E65" i="52"/>
  <c r="G65" i="52"/>
  <c r="I65" i="52"/>
  <c r="K65" i="52"/>
  <c r="M65" i="52"/>
  <c r="E66" i="52"/>
  <c r="G66" i="52"/>
  <c r="I66" i="52"/>
  <c r="K66" i="52"/>
  <c r="M66" i="52"/>
  <c r="E67" i="52"/>
  <c r="G67" i="52"/>
  <c r="I67" i="52"/>
  <c r="K67" i="52"/>
  <c r="M67" i="52"/>
  <c r="E70" i="52"/>
  <c r="G70" i="52"/>
  <c r="I70" i="52"/>
  <c r="K70" i="52"/>
  <c r="M70" i="52"/>
  <c r="E71" i="52"/>
  <c r="G71" i="52"/>
  <c r="I71" i="52"/>
  <c r="K71" i="52"/>
  <c r="M71" i="52"/>
  <c r="E72" i="52"/>
  <c r="G72" i="52"/>
  <c r="I72" i="52"/>
  <c r="K72" i="52"/>
  <c r="M72" i="52"/>
  <c r="E73" i="52"/>
  <c r="G73" i="52"/>
  <c r="I73" i="52"/>
  <c r="K73" i="52"/>
  <c r="M73" i="52"/>
  <c r="E74" i="52"/>
  <c r="G74" i="52"/>
  <c r="I74" i="52"/>
  <c r="K74" i="52"/>
  <c r="M74" i="52"/>
  <c r="E75" i="52"/>
  <c r="G75" i="52"/>
  <c r="I75" i="52"/>
  <c r="K75" i="52"/>
  <c r="M75" i="52"/>
  <c r="E76" i="52"/>
  <c r="G76" i="52"/>
  <c r="I76" i="52"/>
  <c r="K76" i="52"/>
  <c r="M76" i="52"/>
  <c r="E77" i="52"/>
  <c r="G77" i="52"/>
  <c r="I77" i="52"/>
  <c r="K77" i="52"/>
  <c r="M77" i="52"/>
  <c r="E80" i="52"/>
  <c r="G80" i="52"/>
  <c r="I80" i="52"/>
  <c r="K80" i="52"/>
  <c r="M80" i="52"/>
  <c r="E81" i="52"/>
  <c r="G81" i="52"/>
  <c r="I81" i="52"/>
  <c r="K81" i="52"/>
  <c r="M81" i="52"/>
  <c r="E82" i="52"/>
  <c r="G82" i="52"/>
  <c r="I82" i="52"/>
  <c r="K82" i="52"/>
  <c r="M82" i="52"/>
  <c r="E85" i="52"/>
  <c r="G85" i="52"/>
  <c r="I85" i="52"/>
  <c r="K85" i="52"/>
  <c r="M85" i="52"/>
  <c r="E86" i="52"/>
  <c r="G86" i="52"/>
  <c r="I86" i="52"/>
  <c r="K86" i="52"/>
  <c r="M86" i="52"/>
  <c r="E87" i="52"/>
  <c r="G87" i="52"/>
  <c r="I87" i="52"/>
  <c r="K87" i="52"/>
  <c r="M87" i="52"/>
  <c r="E88" i="52"/>
  <c r="G88" i="52"/>
  <c r="I88" i="52"/>
  <c r="K88" i="52"/>
  <c r="M88" i="52"/>
  <c r="E89" i="52"/>
  <c r="G89" i="52"/>
  <c r="I89" i="52"/>
  <c r="K89" i="52"/>
  <c r="M89" i="52"/>
  <c r="E90" i="52"/>
  <c r="G90" i="52"/>
  <c r="I90" i="52"/>
  <c r="K90" i="52"/>
  <c r="M90" i="52"/>
  <c r="E91" i="52"/>
  <c r="G91" i="52"/>
  <c r="I91" i="52"/>
  <c r="K91" i="52"/>
  <c r="M91" i="52"/>
  <c r="E92" i="52"/>
  <c r="G92" i="52"/>
  <c r="I92" i="52"/>
  <c r="K92" i="52"/>
  <c r="M92" i="52"/>
  <c r="E95" i="52"/>
  <c r="G95" i="52"/>
  <c r="I95" i="52"/>
  <c r="K95" i="52"/>
  <c r="M95" i="52"/>
  <c r="E96" i="52"/>
  <c r="G96" i="52"/>
  <c r="I96" i="52"/>
  <c r="K96" i="52"/>
  <c r="M96" i="52"/>
  <c r="E97" i="52"/>
  <c r="G97" i="52"/>
  <c r="I97" i="52"/>
  <c r="K97" i="52"/>
  <c r="M97" i="52"/>
  <c r="E98" i="52"/>
  <c r="G98" i="52"/>
  <c r="I98" i="52"/>
  <c r="K98" i="52"/>
  <c r="M98" i="52"/>
  <c r="E99" i="52"/>
  <c r="G99" i="52"/>
  <c r="I99" i="52"/>
  <c r="K99" i="52"/>
  <c r="M99" i="52"/>
  <c r="E100" i="52"/>
  <c r="G100" i="52"/>
  <c r="I100" i="52"/>
  <c r="K100" i="52"/>
  <c r="M100" i="52"/>
  <c r="E101" i="52"/>
  <c r="G101" i="52"/>
  <c r="I101" i="52"/>
  <c r="K101" i="52"/>
  <c r="M101" i="52"/>
  <c r="E102" i="52"/>
  <c r="G102" i="52"/>
  <c r="I102" i="52"/>
  <c r="K102" i="52"/>
  <c r="M102" i="52"/>
  <c r="E105" i="52"/>
  <c r="G105" i="52"/>
  <c r="I105" i="52"/>
  <c r="K105" i="52"/>
  <c r="M105" i="52"/>
  <c r="E106" i="52"/>
  <c r="G106" i="52"/>
  <c r="I106" i="52"/>
  <c r="K106" i="52"/>
  <c r="M106" i="52"/>
  <c r="E107" i="52"/>
  <c r="G107" i="52"/>
  <c r="I107" i="52"/>
  <c r="K107" i="52"/>
  <c r="M107" i="52"/>
  <c r="E108" i="52"/>
  <c r="G108" i="52"/>
  <c r="I108" i="52"/>
  <c r="K108" i="52"/>
  <c r="M108" i="52"/>
  <c r="E109" i="52"/>
  <c r="G109" i="52"/>
  <c r="I109" i="52"/>
  <c r="K109" i="52"/>
  <c r="M109" i="52"/>
  <c r="E112" i="52"/>
  <c r="G112" i="52"/>
  <c r="I112" i="52"/>
  <c r="K112" i="52"/>
  <c r="M112" i="52"/>
  <c r="E114" i="52"/>
  <c r="G114" i="52"/>
  <c r="I114" i="52"/>
  <c r="K114" i="52"/>
  <c r="M114" i="52"/>
  <c r="E116" i="52"/>
  <c r="G116" i="52"/>
  <c r="I116" i="52"/>
  <c r="K116" i="52"/>
  <c r="M116" i="52"/>
  <c r="E120" i="52"/>
  <c r="G120" i="52"/>
  <c r="I120" i="52"/>
  <c r="K120" i="52"/>
  <c r="M120" i="52"/>
  <c r="E121" i="52"/>
  <c r="G121" i="52"/>
  <c r="I121" i="52"/>
  <c r="K121" i="52"/>
  <c r="M121" i="52"/>
  <c r="E122" i="52"/>
  <c r="G122" i="52"/>
  <c r="I122" i="52"/>
  <c r="K122" i="52"/>
  <c r="M122" i="52"/>
  <c r="E123" i="52"/>
  <c r="G123" i="52"/>
  <c r="I123" i="52"/>
  <c r="K123" i="52"/>
  <c r="M123" i="52"/>
  <c r="E124" i="52"/>
  <c r="G124" i="52"/>
  <c r="I124" i="52"/>
  <c r="K124" i="52"/>
  <c r="M124" i="52"/>
  <c r="E125" i="52"/>
  <c r="G125" i="52"/>
  <c r="I125" i="52"/>
  <c r="K125" i="52"/>
  <c r="M125" i="52"/>
  <c r="E126" i="52"/>
  <c r="G126" i="52"/>
  <c r="I126" i="52"/>
  <c r="K126" i="52"/>
  <c r="M126" i="52"/>
  <c r="E127" i="52"/>
  <c r="G127" i="52"/>
  <c r="I127" i="52"/>
  <c r="K127" i="52"/>
  <c r="M127" i="52"/>
  <c r="E128" i="52"/>
  <c r="G128" i="52"/>
  <c r="I128" i="52"/>
  <c r="K128" i="52"/>
  <c r="M128" i="52"/>
  <c r="E129" i="52"/>
  <c r="G129" i="52"/>
  <c r="I129" i="52"/>
  <c r="K129" i="52"/>
  <c r="M129" i="52"/>
  <c r="C4" i="56"/>
  <c r="E10" i="56"/>
  <c r="G10" i="56"/>
  <c r="I10" i="56"/>
  <c r="K10" i="56"/>
  <c r="M10" i="56"/>
  <c r="M11" i="56"/>
  <c r="E12" i="56"/>
  <c r="G12" i="56"/>
  <c r="I12" i="56"/>
  <c r="K12" i="56"/>
  <c r="M12" i="56"/>
  <c r="E13" i="56"/>
  <c r="G13" i="56"/>
  <c r="I13" i="56"/>
  <c r="K13" i="56"/>
  <c r="M13" i="56"/>
  <c r="E14" i="56"/>
  <c r="G14" i="56"/>
  <c r="I14" i="56"/>
  <c r="K14" i="56"/>
  <c r="M14" i="56"/>
  <c r="E17" i="56"/>
  <c r="G17" i="56"/>
  <c r="I17" i="56"/>
  <c r="K17" i="56"/>
  <c r="M17" i="56"/>
  <c r="E18" i="56"/>
  <c r="G18" i="56"/>
  <c r="I18" i="56"/>
  <c r="K18" i="56"/>
  <c r="M18" i="56"/>
  <c r="E19" i="56"/>
  <c r="G19" i="56"/>
  <c r="I19" i="56"/>
  <c r="K19" i="56"/>
  <c r="M19" i="56"/>
  <c r="E20" i="56"/>
  <c r="G20" i="56"/>
  <c r="I20" i="56"/>
  <c r="K20" i="56"/>
  <c r="M20" i="56"/>
  <c r="E21" i="56"/>
  <c r="G21" i="56"/>
  <c r="I21" i="56"/>
  <c r="K21" i="56"/>
  <c r="M21" i="56"/>
  <c r="E22" i="56"/>
  <c r="G22" i="56"/>
  <c r="I22" i="56"/>
  <c r="K22" i="56"/>
  <c r="M22" i="56"/>
  <c r="E23" i="56"/>
  <c r="G23" i="56"/>
  <c r="I23" i="56"/>
  <c r="K23" i="56"/>
  <c r="M23" i="56"/>
  <c r="E24" i="56"/>
  <c r="G24" i="56"/>
  <c r="I24" i="56"/>
  <c r="K24" i="56"/>
  <c r="M24" i="56"/>
  <c r="M27" i="56"/>
  <c r="M28" i="56"/>
  <c r="E29" i="56"/>
  <c r="G29" i="56"/>
  <c r="I29" i="56"/>
  <c r="K29" i="56"/>
  <c r="M29" i="56"/>
  <c r="E32" i="56"/>
  <c r="G32" i="56"/>
  <c r="I32" i="56"/>
  <c r="K32" i="56"/>
  <c r="M32" i="56"/>
  <c r="E33" i="56"/>
  <c r="G33" i="56"/>
  <c r="I33" i="56"/>
  <c r="K33" i="56"/>
  <c r="M33" i="56"/>
  <c r="E34" i="56"/>
  <c r="G34" i="56"/>
  <c r="I34" i="56"/>
  <c r="K34" i="56"/>
  <c r="M34" i="56"/>
  <c r="M35" i="56"/>
  <c r="M36" i="56"/>
  <c r="M37" i="56"/>
  <c r="M38" i="56"/>
  <c r="E39" i="56"/>
  <c r="G39" i="56"/>
  <c r="I39" i="56"/>
  <c r="K39" i="56"/>
  <c r="M39" i="56"/>
  <c r="E42" i="56"/>
  <c r="G42" i="56"/>
  <c r="I42" i="56"/>
  <c r="K42" i="56"/>
  <c r="M42" i="56"/>
  <c r="E43" i="56"/>
  <c r="G43" i="56"/>
  <c r="I43" i="56"/>
  <c r="K43" i="56"/>
  <c r="M43" i="56"/>
  <c r="E44" i="56"/>
  <c r="G44" i="56"/>
  <c r="I44" i="56"/>
  <c r="K44" i="56"/>
  <c r="M44" i="56"/>
  <c r="M45" i="56"/>
  <c r="M46" i="56"/>
  <c r="M47" i="56"/>
  <c r="M48" i="56"/>
  <c r="E49" i="56"/>
  <c r="G49" i="56"/>
  <c r="I49" i="56"/>
  <c r="K49" i="56"/>
  <c r="M49" i="56"/>
  <c r="M52" i="56"/>
  <c r="E53" i="56"/>
  <c r="G53" i="56"/>
  <c r="I53" i="56"/>
  <c r="K53" i="56"/>
  <c r="M53" i="56"/>
  <c r="M54" i="56"/>
  <c r="M55" i="56"/>
  <c r="E56" i="56"/>
  <c r="G56" i="56"/>
  <c r="I56" i="56"/>
  <c r="K56" i="56"/>
  <c r="M56" i="56"/>
  <c r="E59" i="56"/>
  <c r="G59" i="56"/>
  <c r="I59" i="56"/>
  <c r="K59" i="56"/>
  <c r="M59" i="56"/>
  <c r="E63" i="56"/>
  <c r="G63" i="56"/>
  <c r="I63" i="56"/>
  <c r="K63" i="56"/>
  <c r="M63" i="56"/>
  <c r="E64" i="56"/>
  <c r="G64" i="56"/>
  <c r="I64" i="56"/>
  <c r="K64" i="56"/>
  <c r="M64" i="56"/>
  <c r="E65" i="56"/>
  <c r="G65" i="56"/>
  <c r="I65" i="56"/>
  <c r="K65" i="56"/>
  <c r="M65" i="56"/>
  <c r="E66" i="56"/>
  <c r="G66" i="56"/>
  <c r="I66" i="56"/>
  <c r="K66" i="56"/>
  <c r="M66" i="56"/>
  <c r="E67" i="56"/>
  <c r="G67" i="56"/>
  <c r="I67" i="56"/>
  <c r="K67" i="56"/>
  <c r="M67" i="56"/>
  <c r="E70" i="56"/>
  <c r="G70" i="56"/>
  <c r="I70" i="56"/>
  <c r="K70" i="56"/>
  <c r="M70" i="56"/>
  <c r="E71" i="56"/>
  <c r="G71" i="56"/>
  <c r="I71" i="56"/>
  <c r="K71" i="56"/>
  <c r="M71" i="56"/>
  <c r="E72" i="56"/>
  <c r="G72" i="56"/>
  <c r="I72" i="56"/>
  <c r="K72" i="56"/>
  <c r="M72" i="56"/>
  <c r="E73" i="56"/>
  <c r="G73" i="56"/>
  <c r="I73" i="56"/>
  <c r="K73" i="56"/>
  <c r="M73" i="56"/>
  <c r="E74" i="56"/>
  <c r="G74" i="56"/>
  <c r="I74" i="56"/>
  <c r="K74" i="56"/>
  <c r="M74" i="56"/>
  <c r="E75" i="56"/>
  <c r="G75" i="56"/>
  <c r="I75" i="56"/>
  <c r="K75" i="56"/>
  <c r="M75" i="56"/>
  <c r="E76" i="56"/>
  <c r="G76" i="56"/>
  <c r="I76" i="56"/>
  <c r="K76" i="56"/>
  <c r="M76" i="56"/>
  <c r="E77" i="56"/>
  <c r="G77" i="56"/>
  <c r="I77" i="56"/>
  <c r="K77" i="56"/>
  <c r="M77" i="56"/>
  <c r="E80" i="56"/>
  <c r="G80" i="56"/>
  <c r="I80" i="56"/>
  <c r="K80" i="56"/>
  <c r="M80" i="56"/>
  <c r="E81" i="56"/>
  <c r="G81" i="56"/>
  <c r="I81" i="56"/>
  <c r="K81" i="56"/>
  <c r="M81" i="56"/>
  <c r="E82" i="56"/>
  <c r="G82" i="56"/>
  <c r="I82" i="56"/>
  <c r="K82" i="56"/>
  <c r="M82" i="56"/>
  <c r="E85" i="56"/>
  <c r="G85" i="56"/>
  <c r="I85" i="56"/>
  <c r="K85" i="56"/>
  <c r="M85" i="56"/>
  <c r="E86" i="56"/>
  <c r="G86" i="56"/>
  <c r="I86" i="56"/>
  <c r="K86" i="56"/>
  <c r="M86" i="56"/>
  <c r="E87" i="56"/>
  <c r="G87" i="56"/>
  <c r="I87" i="56"/>
  <c r="K87" i="56"/>
  <c r="M87" i="56"/>
  <c r="E88" i="56"/>
  <c r="G88" i="56"/>
  <c r="I88" i="56"/>
  <c r="K88" i="56"/>
  <c r="M88" i="56"/>
  <c r="E89" i="56"/>
  <c r="G89" i="56"/>
  <c r="I89" i="56"/>
  <c r="K89" i="56"/>
  <c r="M89" i="56"/>
  <c r="E90" i="56"/>
  <c r="G90" i="56"/>
  <c r="I90" i="56"/>
  <c r="K90" i="56"/>
  <c r="M90" i="56"/>
  <c r="E91" i="56"/>
  <c r="G91" i="56"/>
  <c r="I91" i="56"/>
  <c r="K91" i="56"/>
  <c r="M91" i="56"/>
  <c r="E92" i="56"/>
  <c r="G92" i="56"/>
  <c r="I92" i="56"/>
  <c r="K92" i="56"/>
  <c r="M92" i="56"/>
  <c r="E95" i="56"/>
  <c r="G95" i="56"/>
  <c r="I95" i="56"/>
  <c r="K95" i="56"/>
  <c r="M95" i="56"/>
  <c r="E96" i="56"/>
  <c r="G96" i="56"/>
  <c r="I96" i="56"/>
  <c r="K96" i="56"/>
  <c r="M96" i="56"/>
  <c r="E97" i="56"/>
  <c r="G97" i="56"/>
  <c r="I97" i="56"/>
  <c r="K97" i="56"/>
  <c r="M97" i="56"/>
  <c r="E98" i="56"/>
  <c r="G98" i="56"/>
  <c r="I98" i="56"/>
  <c r="K98" i="56"/>
  <c r="M98" i="56"/>
  <c r="E99" i="56"/>
  <c r="G99" i="56"/>
  <c r="I99" i="56"/>
  <c r="K99" i="56"/>
  <c r="M99" i="56"/>
  <c r="E100" i="56"/>
  <c r="G100" i="56"/>
  <c r="I100" i="56"/>
  <c r="K100" i="56"/>
  <c r="M100" i="56"/>
  <c r="E101" i="56"/>
  <c r="G101" i="56"/>
  <c r="I101" i="56"/>
  <c r="K101" i="56"/>
  <c r="M101" i="56"/>
  <c r="E102" i="56"/>
  <c r="G102" i="56"/>
  <c r="I102" i="56"/>
  <c r="K102" i="56"/>
  <c r="M102" i="56"/>
  <c r="E105" i="56"/>
  <c r="G105" i="56"/>
  <c r="I105" i="56"/>
  <c r="K105" i="56"/>
  <c r="M105" i="56"/>
  <c r="E106" i="56"/>
  <c r="G106" i="56"/>
  <c r="I106" i="56"/>
  <c r="K106" i="56"/>
  <c r="M106" i="56"/>
  <c r="E107" i="56"/>
  <c r="G107" i="56"/>
  <c r="I107" i="56"/>
  <c r="K107" i="56"/>
  <c r="M107" i="56"/>
  <c r="E108" i="56"/>
  <c r="G108" i="56"/>
  <c r="I108" i="56"/>
  <c r="K108" i="56"/>
  <c r="M108" i="56"/>
  <c r="E109" i="56"/>
  <c r="G109" i="56"/>
  <c r="I109" i="56"/>
  <c r="K109" i="56"/>
  <c r="M109" i="56"/>
  <c r="E112" i="56"/>
  <c r="G112" i="56"/>
  <c r="I112" i="56"/>
  <c r="K112" i="56"/>
  <c r="M112" i="56"/>
  <c r="E114" i="56"/>
  <c r="G114" i="56"/>
  <c r="I114" i="56"/>
  <c r="K114" i="56"/>
  <c r="M114" i="56"/>
  <c r="E116" i="56"/>
  <c r="G116" i="56"/>
  <c r="I116" i="56"/>
  <c r="K116" i="56"/>
  <c r="M116" i="56"/>
  <c r="E120" i="56"/>
  <c r="G120" i="56"/>
  <c r="I120" i="56"/>
  <c r="K120" i="56"/>
  <c r="M120" i="56"/>
  <c r="M121" i="56"/>
  <c r="M122" i="56"/>
  <c r="M123" i="56"/>
  <c r="G124" i="56"/>
  <c r="I124" i="56"/>
  <c r="K124" i="56"/>
  <c r="M124" i="56"/>
  <c r="E125" i="56"/>
  <c r="G125" i="56"/>
  <c r="I125" i="56"/>
  <c r="K125" i="56"/>
  <c r="M125" i="56"/>
  <c r="E126" i="56"/>
  <c r="G126" i="56"/>
  <c r="I126" i="56"/>
  <c r="K126" i="56"/>
  <c r="M126" i="56"/>
  <c r="E127" i="56"/>
  <c r="G127" i="56"/>
  <c r="I127" i="56"/>
  <c r="K127" i="56"/>
  <c r="M127" i="56"/>
  <c r="E128" i="56"/>
  <c r="G128" i="56"/>
  <c r="I128" i="56"/>
  <c r="K128" i="56"/>
  <c r="M128" i="56"/>
  <c r="E129" i="56"/>
  <c r="G129" i="56"/>
  <c r="I129" i="56"/>
  <c r="K129" i="56"/>
  <c r="M129" i="56"/>
  <c r="D7" i="53"/>
  <c r="F7" i="53"/>
  <c r="K7" i="53"/>
  <c r="M7" i="53"/>
  <c r="S8" i="53"/>
  <c r="U8" i="53"/>
  <c r="D11" i="53"/>
  <c r="K11" i="53"/>
  <c r="S11" i="53"/>
  <c r="U11" i="53"/>
  <c r="S12" i="53"/>
  <c r="U12" i="53"/>
  <c r="S13" i="53"/>
  <c r="U13" i="53"/>
  <c r="D15" i="53"/>
  <c r="K15" i="53"/>
  <c r="D17" i="53"/>
  <c r="K17" i="53"/>
  <c r="M17" i="53"/>
  <c r="S20" i="53"/>
  <c r="U20" i="53"/>
  <c r="D21" i="53"/>
  <c r="K21" i="53"/>
  <c r="D23" i="53"/>
  <c r="K23" i="53"/>
  <c r="S23" i="53"/>
  <c r="U23" i="53"/>
  <c r="S24" i="53"/>
  <c r="U24" i="53"/>
  <c r="D25" i="53"/>
  <c r="K25" i="53"/>
  <c r="S25" i="53"/>
  <c r="U25" i="53"/>
  <c r="D31" i="53"/>
  <c r="K31" i="53"/>
  <c r="S32" i="53"/>
  <c r="U32" i="53"/>
  <c r="S35" i="53"/>
  <c r="U35" i="53"/>
  <c r="S36" i="53"/>
  <c r="U36" i="53"/>
  <c r="S37" i="53"/>
  <c r="U37" i="53"/>
  <c r="D41" i="53"/>
  <c r="F41" i="53"/>
  <c r="K41" i="53"/>
  <c r="M41" i="53"/>
  <c r="S44" i="53"/>
  <c r="U44" i="53"/>
  <c r="D45" i="53"/>
  <c r="K45" i="53"/>
  <c r="S47" i="53"/>
  <c r="U47" i="53"/>
  <c r="S48" i="53"/>
  <c r="U48" i="53"/>
  <c r="D49" i="53"/>
  <c r="K49" i="53"/>
  <c r="S49" i="53"/>
  <c r="U49" i="53"/>
  <c r="D51" i="53"/>
  <c r="F51" i="53"/>
  <c r="K51" i="53"/>
  <c r="M51" i="53"/>
  <c r="S53" i="53"/>
  <c r="U53" i="53"/>
  <c r="S54" i="53"/>
  <c r="U54" i="53"/>
  <c r="D55" i="53"/>
  <c r="K55" i="53"/>
  <c r="S55" i="53"/>
  <c r="U55" i="53"/>
  <c r="S56" i="53"/>
  <c r="U56" i="53"/>
  <c r="D57" i="53"/>
  <c r="K57" i="53"/>
  <c r="S57" i="53"/>
  <c r="U57" i="53"/>
  <c r="D59" i="53"/>
  <c r="K59" i="53"/>
  <c r="S60" i="53"/>
  <c r="U60" i="53"/>
  <c r="S61" i="53"/>
  <c r="U61" i="53"/>
  <c r="S62" i="53"/>
  <c r="U62" i="53"/>
  <c r="D65" i="53"/>
  <c r="K65" i="53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D4" i="18"/>
  <c r="D5" i="18"/>
  <c r="D6" i="18"/>
  <c r="D7" i="18"/>
  <c r="D8" i="18"/>
  <c r="D9" i="18"/>
  <c r="D10" i="18"/>
  <c r="D11" i="18"/>
  <c r="D12" i="18"/>
  <c r="D15" i="18"/>
  <c r="D16" i="18"/>
  <c r="D17" i="18"/>
  <c r="D18" i="18"/>
  <c r="D19" i="18"/>
  <c r="D20" i="18"/>
  <c r="D21" i="18"/>
  <c r="D22" i="18"/>
  <c r="D25" i="18"/>
  <c r="D26" i="18"/>
  <c r="D27" i="18"/>
  <c r="D28" i="18"/>
  <c r="D29" i="18"/>
  <c r="D30" i="18"/>
  <c r="D31" i="18"/>
  <c r="D32" i="18"/>
  <c r="D35" i="18"/>
  <c r="D36" i="18"/>
  <c r="D37" i="18"/>
  <c r="D38" i="18"/>
  <c r="D39" i="18"/>
  <c r="D40" i="18"/>
  <c r="D41" i="18"/>
  <c r="D42" i="18"/>
  <c r="D4" i="47"/>
  <c r="D5" i="47"/>
  <c r="D6" i="47"/>
  <c r="D7" i="47"/>
  <c r="D12" i="47"/>
  <c r="D22" i="47"/>
  <c r="B24" i="47"/>
  <c r="D32" i="47"/>
  <c r="B34" i="47"/>
  <c r="D35" i="47"/>
  <c r="D36" i="47"/>
  <c r="D37" i="47"/>
  <c r="D38" i="47"/>
  <c r="D39" i="47"/>
  <c r="D40" i="47"/>
  <c r="D41" i="47"/>
  <c r="D42" i="47"/>
</calcChain>
</file>

<file path=xl/comments1.xml><?xml version="1.0" encoding="utf-8"?>
<comments xmlns="http://schemas.openxmlformats.org/spreadsheetml/2006/main">
  <authors>
    <author>kradous</author>
  </authors>
  <commentList>
    <comment ref="I116" authorId="0" shapeId="0">
      <text>
        <r>
          <rPr>
            <b/>
            <sz val="12"/>
            <color indexed="81"/>
            <rFont val="Tahoma"/>
            <family val="2"/>
          </rPr>
          <t xml:space="preserve">kradous: 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sz val="10"/>
            <color indexed="81"/>
            <rFont val="Tahoma"/>
            <family val="2"/>
          </rPr>
          <t xml:space="preserve">IN JUNE, 30,000 OF MANAGEMENT FEES WERE BOOKED TO GO TO ENA; THE OBLIGATION THAT PGLC OWES TO ITS PARENT COMPANY (30,000) WAS  NOT RECORDED.  THE 30,000 OWED PEC, THEREFORE, IS NOT REFLECTED IN 
THE "SHARED" ENOVATE YTD NUMBER.
</t>
        </r>
      </text>
    </comment>
  </commentList>
</comments>
</file>

<file path=xl/sharedStrings.xml><?xml version="1.0" encoding="utf-8"?>
<sst xmlns="http://schemas.openxmlformats.org/spreadsheetml/2006/main" count="1417" uniqueCount="349">
  <si>
    <t>Curve Shift</t>
  </si>
  <si>
    <t>New Deals</t>
  </si>
  <si>
    <t>Gamma</t>
  </si>
  <si>
    <t>Vega</t>
  </si>
  <si>
    <t>Theta</t>
  </si>
  <si>
    <t>Rho</t>
  </si>
  <si>
    <t>Drift</t>
  </si>
  <si>
    <t>Origination</t>
  </si>
  <si>
    <t>2nd Order</t>
  </si>
  <si>
    <t>POST ID</t>
  </si>
  <si>
    <t>DATE</t>
  </si>
  <si>
    <t>TEST</t>
  </si>
  <si>
    <t>Today</t>
  </si>
  <si>
    <t>Prior Day</t>
  </si>
  <si>
    <t>Net NPV</t>
  </si>
  <si>
    <t>Liquidation</t>
  </si>
  <si>
    <t>Adjustment</t>
  </si>
  <si>
    <t>SWAPS</t>
  </si>
  <si>
    <t>User ID:</t>
  </si>
  <si>
    <t>OTCOPTIONS</t>
  </si>
  <si>
    <t>Password:</t>
  </si>
  <si>
    <t>EXGOPTIONS</t>
  </si>
  <si>
    <t>Date</t>
  </si>
  <si>
    <t>FUTURES</t>
  </si>
  <si>
    <t>ACCRUED</t>
  </si>
  <si>
    <t>Transport Expense</t>
  </si>
  <si>
    <t>Variance</t>
  </si>
  <si>
    <t xml:space="preserve"> </t>
  </si>
  <si>
    <t>WACOG</t>
  </si>
  <si>
    <t>Transport Revenue</t>
  </si>
  <si>
    <t>Broker Fees</t>
  </si>
  <si>
    <t>Transport</t>
  </si>
  <si>
    <t>Transport P&amp;L</t>
  </si>
  <si>
    <t>Price Positions</t>
  </si>
  <si>
    <t>Basis Positions</t>
  </si>
  <si>
    <t>Gas Daily Swaps</t>
  </si>
  <si>
    <t>Price Option</t>
  </si>
  <si>
    <t>Basis Option</t>
  </si>
  <si>
    <t>Gas Daily Option</t>
  </si>
  <si>
    <t>TOTAL</t>
  </si>
  <si>
    <t>Other</t>
  </si>
  <si>
    <t>Originations</t>
  </si>
  <si>
    <t># of days</t>
  </si>
  <si>
    <t>MTM</t>
  </si>
  <si>
    <t>Accrued</t>
  </si>
  <si>
    <t>DAILY</t>
  </si>
  <si>
    <t>P/L</t>
  </si>
  <si>
    <t xml:space="preserve">ACCRUED P/L </t>
  </si>
  <si>
    <t>DOLLARS</t>
  </si>
  <si>
    <t>VOLUMES</t>
  </si>
  <si>
    <t>THIRD PARTY SALES</t>
  </si>
  <si>
    <t>NET SALES</t>
  </si>
  <si>
    <t>THIRD PARTY PURCHASES</t>
  </si>
  <si>
    <t>NET PURCHASES</t>
  </si>
  <si>
    <t>**CPR ACCRUAL</t>
  </si>
  <si>
    <t xml:space="preserve">     ACCRUED VALUE THRU </t>
  </si>
  <si>
    <t xml:space="preserve">MTM </t>
  </si>
  <si>
    <t>TRANSPORT P/L</t>
  </si>
  <si>
    <t>ACCRUED:</t>
  </si>
  <si>
    <t>MTM:</t>
  </si>
  <si>
    <t>CAPACITY HEDGES:</t>
  </si>
  <si>
    <t xml:space="preserve">     NET CAPACITY HEDGES P/L</t>
  </si>
  <si>
    <t>PHYSICAL:</t>
  </si>
  <si>
    <t>FINANCIAL:</t>
  </si>
  <si>
    <t>FINANCIAL   TRADING   P/L:</t>
  </si>
  <si>
    <t>OTHER</t>
  </si>
  <si>
    <t xml:space="preserve">ENRON CAPITAL &amp; TRADE RESOURCES </t>
  </si>
  <si>
    <t>OPERATIONAL ANALYSIS - REPORTED</t>
  </si>
  <si>
    <t>COMPANY:  ECTR (EGM)</t>
  </si>
  <si>
    <t>Original Flash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</si>
  <si>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</si>
  <si>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</si>
  <si>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</si>
  <si>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</si>
  <si>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</si>
  <si>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</si>
  <si>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</si>
  <si>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</si>
  <si>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</si>
  <si>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</si>
  <si>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</si>
  <si>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</si>
  <si>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</si>
  <si>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</si>
  <si>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</si>
  <si>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</si>
  <si>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</si>
  <si>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 xml:space="preserve">In Kind </t>
  </si>
  <si>
    <t>Cash In</t>
  </si>
  <si>
    <t>Cash Out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</si>
  <si>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</si>
  <si>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</si>
  <si>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</si>
  <si>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</si>
  <si>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</si>
  <si>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</si>
  <si>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</si>
  <si>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</si>
  <si>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</si>
  <si>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</si>
  <si>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</si>
  <si>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</si>
  <si>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</si>
  <si>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</si>
  <si>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</si>
  <si>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</si>
  <si>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</si>
  <si>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</si>
  <si>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</si>
  <si>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</si>
  <si>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</si>
  <si>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</si>
  <si>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</si>
  <si>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</si>
  <si>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</si>
  <si>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</si>
  <si>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</si>
  <si>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</si>
  <si>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Asset Group Demand Charges</t>
  </si>
  <si>
    <t>Citrus Mgmt Fees</t>
  </si>
  <si>
    <t>Demand Reimbursements</t>
  </si>
  <si>
    <t>Canada</t>
  </si>
  <si>
    <t>Miscellaneous</t>
  </si>
  <si>
    <t>TOTAL $'s</t>
  </si>
  <si>
    <t>MMBTU</t>
  </si>
  <si>
    <t>AVG PRICE</t>
  </si>
  <si>
    <t>AFFILIATE &amp;</t>
  </si>
  <si>
    <t>INTERDESK SALES</t>
  </si>
  <si>
    <t>INTERDESK PURCHASES</t>
  </si>
  <si>
    <t xml:space="preserve">  BUG Desk</t>
  </si>
  <si>
    <t xml:space="preserve">  Central</t>
  </si>
  <si>
    <t xml:space="preserve">  HPLR-Texas Desk</t>
  </si>
  <si>
    <t xml:space="preserve">  Northeast</t>
  </si>
  <si>
    <t xml:space="preserve">  Storage Desk</t>
  </si>
  <si>
    <t xml:space="preserve">  Texas-ECT</t>
  </si>
  <si>
    <t xml:space="preserve">  CPR Cash Out</t>
  </si>
  <si>
    <t xml:space="preserve">  CPR Fuels</t>
  </si>
  <si>
    <t xml:space="preserve">  CPR Imbalance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</si>
  <si>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</si>
  <si>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</si>
  <si>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</si>
  <si>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</si>
  <si>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</si>
  <si>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</si>
  <si>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</si>
  <si>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VARIANCE</t>
  </si>
  <si>
    <t>$</t>
  </si>
  <si>
    <t>Variance Impact</t>
  </si>
  <si>
    <t>West to West:</t>
  </si>
  <si>
    <t>WASP</t>
  </si>
  <si>
    <t xml:space="preserve">  ECT</t>
  </si>
  <si>
    <t xml:space="preserve">  SITHE</t>
  </si>
  <si>
    <t xml:space="preserve">  LGM-LRC</t>
  </si>
  <si>
    <t xml:space="preserve">  CPR Pipeline Exchange</t>
  </si>
  <si>
    <t xml:space="preserve">  Transport Book</t>
  </si>
  <si>
    <t>PHYSICAL MTM VALUE</t>
  </si>
  <si>
    <t>PROMPT MONTH VALUE</t>
  </si>
  <si>
    <t>PHYSICAL REVERSAL</t>
  </si>
  <si>
    <t xml:space="preserve">Transport Revenue </t>
  </si>
  <si>
    <t xml:space="preserve">Commodity Expense </t>
  </si>
  <si>
    <t>Demand Charges</t>
  </si>
  <si>
    <t>Demand Reimbursement</t>
  </si>
  <si>
    <t xml:space="preserve">Index Positions </t>
  </si>
  <si>
    <t>Reversal Values - Recognized in the previous month</t>
  </si>
  <si>
    <t>MTM Values</t>
  </si>
  <si>
    <t>Index Positions</t>
  </si>
  <si>
    <t>STORAGE</t>
  </si>
  <si>
    <r>
      <t xml:space="preserve">          </t>
    </r>
    <r>
      <rPr>
        <b/>
        <u/>
        <sz val="12"/>
        <rFont val="Times New Roman"/>
        <family val="1"/>
      </rPr>
      <t>NET   INTRA-MONTH PHYSICAL   P/L   ---&gt;</t>
    </r>
  </si>
  <si>
    <r>
      <t xml:space="preserve">          </t>
    </r>
    <r>
      <rPr>
        <b/>
        <u/>
        <sz val="12"/>
        <rFont val="Times New Roman"/>
        <family val="1"/>
      </rPr>
      <t>NET   ACCRUED   P/L   ---&gt;</t>
    </r>
  </si>
  <si>
    <r>
      <t xml:space="preserve">          </t>
    </r>
    <r>
      <rPr>
        <b/>
        <u/>
        <sz val="12"/>
        <rFont val="Times New Roman"/>
        <family val="1"/>
      </rPr>
      <t>NET   MTM   P/L   ---&gt;</t>
    </r>
  </si>
  <si>
    <r>
      <t xml:space="preserve">          </t>
    </r>
    <r>
      <rPr>
        <b/>
        <u/>
        <sz val="12"/>
        <rFont val="Times New Roman"/>
        <family val="1"/>
      </rPr>
      <t>NET   TRANSPORT   P/L   ---&gt;</t>
    </r>
  </si>
  <si>
    <r>
      <t xml:space="preserve">          </t>
    </r>
    <r>
      <rPr>
        <b/>
        <u/>
        <sz val="12"/>
        <rFont val="Times New Roman"/>
        <family val="1"/>
      </rPr>
      <t>NET   P/L   ---&gt;</t>
    </r>
  </si>
  <si>
    <r>
      <t xml:space="preserve">          </t>
    </r>
    <r>
      <rPr>
        <b/>
        <u/>
        <sz val="12"/>
        <rFont val="Times New Roman"/>
        <family val="1"/>
      </rPr>
      <t>NET   OMICRON   P/L   ---&gt;</t>
    </r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</si>
  <si>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</si>
  <si>
    <r>
      <t xml:space="preserve">          </t>
    </r>
    <r>
      <rPr>
        <b/>
        <u/>
        <sz val="12"/>
        <rFont val="Times New Roman"/>
        <family val="1"/>
      </rPr>
      <t>NET   STORAGE   P/L   ---&gt;</t>
    </r>
  </si>
  <si>
    <r>
      <t xml:space="preserve">          </t>
    </r>
    <r>
      <rPr>
        <b/>
        <u/>
        <sz val="12"/>
        <rFont val="Times New Roman"/>
        <family val="1"/>
      </rPr>
      <t>NET   INTRA-MONTH   P/L   ---&gt;</t>
    </r>
  </si>
  <si>
    <t xml:space="preserve">  Ontario</t>
  </si>
  <si>
    <t>Fuel-Accrued</t>
  </si>
  <si>
    <t>Fuel-MTM</t>
  </si>
  <si>
    <t xml:space="preserve">   </t>
  </si>
  <si>
    <t xml:space="preserve">  Market East</t>
  </si>
  <si>
    <t>ENRON MIDWEST DESK - FINANCIAL</t>
  </si>
  <si>
    <t>ENRON MIDWEST DESK - PHYSICAL</t>
  </si>
  <si>
    <t>ENRON MIDWEST</t>
  </si>
  <si>
    <t>Financial Values</t>
  </si>
  <si>
    <t>Financial Liquidations - (Enter liquidations at end of month)</t>
  </si>
  <si>
    <t>Intra-EMWMEH - FINANCIAL</t>
  </si>
  <si>
    <t>Intra-EMWNSS2 - FINANCIAL</t>
  </si>
  <si>
    <t>Intra-EMWNSS1 - FINANCIAL</t>
  </si>
  <si>
    <t>Financial Values (May-out)</t>
  </si>
  <si>
    <t>New Price Positions</t>
  </si>
  <si>
    <t>ignore this</t>
  </si>
  <si>
    <t>Physical MTM Value</t>
  </si>
  <si>
    <t>Gas Daily Options</t>
  </si>
  <si>
    <t>Price-NSS1</t>
  </si>
  <si>
    <t>Basis-NSS1</t>
  </si>
  <si>
    <t>Index-NSS1</t>
  </si>
  <si>
    <t>Price-NSS2</t>
  </si>
  <si>
    <t>Basis-NSS2</t>
  </si>
  <si>
    <t>Index-NSS2</t>
  </si>
  <si>
    <t>Price-MEH</t>
  </si>
  <si>
    <t>Basis-MEH</t>
  </si>
  <si>
    <t>Index-MEH</t>
  </si>
  <si>
    <t>OMICRON P/L (not used)</t>
  </si>
  <si>
    <t>Price Swaps &amp; Options</t>
  </si>
  <si>
    <t>Basis Swaps &amp; Options</t>
  </si>
  <si>
    <t>Physical Storage</t>
  </si>
  <si>
    <t xml:space="preserve">     Total Other Charges</t>
  </si>
  <si>
    <t>Prior Month Physical Reversals</t>
  </si>
  <si>
    <t xml:space="preserve">   Option Premium</t>
  </si>
  <si>
    <t xml:space="preserve">   Option Accrued Value</t>
  </si>
  <si>
    <t xml:space="preserve">   Option MTM Value</t>
  </si>
  <si>
    <t xml:space="preserve">    Capacity Hedges-Price</t>
  </si>
  <si>
    <t xml:space="preserve">    Capacity Hedges-Basis</t>
  </si>
  <si>
    <t xml:space="preserve">    Transport Revenue</t>
  </si>
  <si>
    <t xml:space="preserve">    Commodity Expense</t>
  </si>
  <si>
    <t xml:space="preserve">    Fuel</t>
  </si>
  <si>
    <t xml:space="preserve">    Demand Charges</t>
  </si>
  <si>
    <t xml:space="preserve">    Demand Reimbursements</t>
  </si>
  <si>
    <t xml:space="preserve">    Affiliate Demand Charges</t>
  </si>
  <si>
    <t>Third Party Sales</t>
  </si>
  <si>
    <t>Transport Revenue Back-Out</t>
  </si>
  <si>
    <t>Affiliate &amp; Intra-Desk Sales</t>
  </si>
  <si>
    <t>Third Party Purchases</t>
  </si>
  <si>
    <t>Physical Omicron Back-Out</t>
  </si>
  <si>
    <t>Affiliate &amp; Intra-Desk Purchases</t>
  </si>
  <si>
    <t>Unaccounted for Sales/Purchases</t>
  </si>
  <si>
    <t>Physical Prompt Month Value</t>
  </si>
  <si>
    <t>Imbalance Book</t>
  </si>
  <si>
    <t>TP-EMWNSS</t>
  </si>
  <si>
    <t>TP-EMWNSS - FINANCIAL</t>
  </si>
  <si>
    <t>Peoples Share of Storage</t>
  </si>
  <si>
    <t>PEC Share of MEH Book</t>
  </si>
  <si>
    <t>EMW Share of Management Fee</t>
  </si>
  <si>
    <t>REGION: MIDWEST</t>
  </si>
  <si>
    <t>Midwest</t>
  </si>
  <si>
    <t>PRODUCTION MONTH:  0600</t>
  </si>
  <si>
    <t>Prior Month's P/L not Recognized</t>
  </si>
  <si>
    <t>Prior Months Unrecognized P/L</t>
  </si>
  <si>
    <t xml:space="preserve">April </t>
  </si>
  <si>
    <t>May</t>
  </si>
  <si>
    <t>CURRENT BOOK VALUE</t>
  </si>
  <si>
    <t>Physical</t>
  </si>
  <si>
    <t>Prompt</t>
  </si>
  <si>
    <t>Reversal</t>
  </si>
  <si>
    <t>Financial</t>
  </si>
  <si>
    <t>Price Swaps</t>
  </si>
  <si>
    <t>Options</t>
  </si>
  <si>
    <t>Basis</t>
  </si>
  <si>
    <t>Index</t>
  </si>
  <si>
    <t>Gas Daily</t>
  </si>
  <si>
    <t>Omicron</t>
  </si>
  <si>
    <t>Transport - Accrued</t>
  </si>
  <si>
    <t>Revenue (Gas Daily Spreads)</t>
  </si>
  <si>
    <t>Commodity Expense</t>
  </si>
  <si>
    <t>Fuel Expense</t>
  </si>
  <si>
    <t>3rd Party Demand Charges</t>
  </si>
  <si>
    <t>3rd Party Demand Reimbursements</t>
  </si>
  <si>
    <t>Transport Book Demand Charges</t>
  </si>
  <si>
    <t>Transport Book Demand Reimbursements</t>
  </si>
  <si>
    <t>Transport - MTM</t>
  </si>
  <si>
    <t>Flash to Actual</t>
  </si>
  <si>
    <t>Weather</t>
  </si>
  <si>
    <t>NET CURRENT MONTH P&amp;L</t>
  </si>
  <si>
    <t>DAILY CHANGE</t>
  </si>
  <si>
    <t>NET DAILY CHANGE P&amp;L</t>
  </si>
  <si>
    <t>MONTH TO DATE</t>
  </si>
  <si>
    <t>YEAR TO DATE</t>
  </si>
  <si>
    <t>CENTRAL DESK - PHYSICAL</t>
  </si>
  <si>
    <t>Desk Level Summary</t>
  </si>
  <si>
    <t>Amount</t>
  </si>
  <si>
    <t>Volumes</t>
  </si>
  <si>
    <t>ACCRUED PHYSICAL</t>
  </si>
  <si>
    <t>Sales Amount</t>
  </si>
  <si>
    <t>Sales Quantity</t>
  </si>
  <si>
    <t>Purchase Amount</t>
  </si>
  <si>
    <t>Purchase Quantity</t>
  </si>
  <si>
    <t>Transport Commodity</t>
  </si>
  <si>
    <t>MTM Transport Commodity</t>
  </si>
  <si>
    <t>Accrued Transport Commodity</t>
  </si>
  <si>
    <t>Transport Fuel</t>
  </si>
  <si>
    <t>MTM Transport Fuel</t>
  </si>
  <si>
    <t>Accrued Transport Fuel</t>
  </si>
  <si>
    <t>Unaccounted For Value</t>
  </si>
  <si>
    <t>MTM Transport Revenue</t>
  </si>
  <si>
    <t>Accrued Transport Revenue</t>
  </si>
  <si>
    <t>Omicron Value</t>
  </si>
  <si>
    <t>Physical Accrued Value</t>
  </si>
  <si>
    <t>TL</t>
  </si>
  <si>
    <t>Prompt Month MTM</t>
  </si>
  <si>
    <t>Prompt Month Fuel Exp</t>
  </si>
  <si>
    <t>Oracle Reports</t>
  </si>
  <si>
    <t>Prompt Month Transport Rev</t>
  </si>
  <si>
    <t>Prompt Month Value</t>
  </si>
  <si>
    <t>Physical Reversals</t>
  </si>
  <si>
    <t>NSS1</t>
  </si>
  <si>
    <t>NSS2</t>
  </si>
  <si>
    <t>MEH</t>
  </si>
  <si>
    <t>TP-NSS</t>
  </si>
  <si>
    <t xml:space="preserve">NSS1 Third Party Sales </t>
  </si>
  <si>
    <t>NSS1 Third Party Purchases</t>
  </si>
  <si>
    <t>NSS1 Affiliated Sales</t>
  </si>
  <si>
    <t>NSS1 Affiliated Purchases</t>
  </si>
  <si>
    <t xml:space="preserve">NSS2 Third Party Sales </t>
  </si>
  <si>
    <t>NSS2 Third Party Purchases</t>
  </si>
  <si>
    <t>NSS2 Affiliated Sales</t>
  </si>
  <si>
    <t>NSS2 Affiliated Purchases</t>
  </si>
  <si>
    <t xml:space="preserve">MEH Third Party Sales </t>
  </si>
  <si>
    <t>MEH Third Party Purchases</t>
  </si>
  <si>
    <t>MEH Affiliated Sales</t>
  </si>
  <si>
    <t>MEH Affiliated Purchases</t>
  </si>
  <si>
    <t xml:space="preserve">TP-NSS Third Party Sales </t>
  </si>
  <si>
    <t>TP-NSS Third Party Purchases</t>
  </si>
  <si>
    <t>TP-NSS Affiliated Sales</t>
  </si>
  <si>
    <t>TP-NSS Affiliated Purchases</t>
  </si>
  <si>
    <t xml:space="preserve">Total Third Party Sales </t>
  </si>
  <si>
    <t>Total Third Party Purchases</t>
  </si>
  <si>
    <t>Total Affiliated Sales</t>
  </si>
  <si>
    <t>Total Affiliated Purchases</t>
  </si>
  <si>
    <t>People's Share of P&amp;L</t>
  </si>
  <si>
    <t>EMW Total</t>
  </si>
  <si>
    <t>People's Share of P&amp;L-NSS1</t>
  </si>
  <si>
    <t>People's Share of P&amp;L-NSS2</t>
  </si>
  <si>
    <t>People's Share of P&amp;L-MEH</t>
  </si>
  <si>
    <t>People's Share of P&amp;L-TP-NSS</t>
  </si>
  <si>
    <t>Peoples Share of P&amp;L</t>
  </si>
  <si>
    <t>Physical:</t>
  </si>
  <si>
    <t xml:space="preserve">     Curve Shift</t>
  </si>
  <si>
    <t xml:space="preserve">     New Deals</t>
  </si>
  <si>
    <t xml:space="preserve">     Changed Deals</t>
  </si>
  <si>
    <t xml:space="preserve">     Trans. Reversal</t>
  </si>
  <si>
    <t xml:space="preserve">     Liquidated Day</t>
  </si>
  <si>
    <t>New Financial Deals:</t>
  </si>
  <si>
    <t xml:space="preserve">     Price</t>
  </si>
  <si>
    <t xml:space="preserve">     Basis</t>
  </si>
  <si>
    <t xml:space="preserve">     Index</t>
  </si>
  <si>
    <t xml:space="preserve">     Gas Daily</t>
  </si>
  <si>
    <t>Origination's Share of P&amp;L</t>
  </si>
  <si>
    <t>Origination's Share of P&amp;L-NSS1</t>
  </si>
  <si>
    <t>Origination's Share of P&amp;L-NSS2</t>
  </si>
  <si>
    <t>Origination's Share of P&amp;L-MEH</t>
  </si>
  <si>
    <t>Origination's Share of P&amp;L-TP-NSS</t>
  </si>
  <si>
    <t>Enron Midwest P&amp;L Without Sharing</t>
  </si>
  <si>
    <t>Enron Midwest P&amp;L With Sharing</t>
  </si>
  <si>
    <t>Backouts for DPR</t>
  </si>
  <si>
    <t>TP</t>
  </si>
  <si>
    <t>enovate P/L</t>
  </si>
  <si>
    <t>Financial Liquidations - September only (Enter liquidations at end of month)</t>
  </si>
  <si>
    <t>MTM Values (Oct-out)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</si>
</sst>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99" formatCode="&quot;$&quot;#,##0.000_);[Red]\(&quot;$&quot;#,##0.000\)"/>
    <numFmt numFmtId="220" formatCode="&quot;$&quot;#,##0"/>
    <numFmt numFmtId="221" formatCode="mmmm\ dd\,\ yyyy"/>
    <numFmt numFmtId="228" formatCode="d\-mmm\-yyyy"/>
    <numFmt numFmtId="230" formatCode="_(&quot;$&quot;* #,##0_);_(&quot;$&quot;* \(#,##0\);_(&quot;$&quot;* &quot;-&quot;??_);_(@_)"/>
    <numFmt numFmtId="244" formatCode="_(* #,##0_);_(* \(#,##0\);_(* &quot;-&quot;??_);_(@_)"/>
    <numFmt numFmtId="248" formatCode="&quot;$&quot;#,##0;[Red]&quot;$&quot;#,##0"/>
    <numFmt numFmtId="249" formatCode="#,##0;[Red]#,##0"/>
    <numFmt numFmtId="251" formatCode="mmmm\ d\,\ yyyy"/>
    <numFmt numFmtId="252" formatCode="dd\-mmm\-yy"/>
  </numFmts>
  <fonts count="4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Courier"/>
    </font>
    <font>
      <b/>
      <sz val="12"/>
      <color indexed="12"/>
      <name val="Times New Roman"/>
      <family val="1"/>
    </font>
    <font>
      <sz val="10"/>
      <color indexed="8"/>
      <name val="MS Sans Serif"/>
    </font>
    <font>
      <sz val="10"/>
      <name val="MS Sans Serif"/>
    </font>
    <font>
      <b/>
      <sz val="14"/>
      <name val="Times New Roman"/>
      <family val="1"/>
    </font>
    <font>
      <b/>
      <sz val="11"/>
      <name val="Times New Roman"/>
      <family val="1"/>
    </font>
    <font>
      <sz val="10"/>
      <color indexed="12"/>
      <name val="Times New Roman"/>
      <family val="1"/>
    </font>
    <font>
      <b/>
      <u/>
      <sz val="11"/>
      <name val="Times New Roman"/>
      <family val="1"/>
    </font>
    <font>
      <sz val="8"/>
      <name val="Times New Roman"/>
      <family val="1"/>
    </font>
    <font>
      <b/>
      <u/>
      <sz val="10"/>
      <name val="Arial"/>
    </font>
    <font>
      <sz val="12"/>
      <name val="Arial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7"/>
      <name val="Times New Roman"/>
      <family val="1"/>
    </font>
    <font>
      <sz val="10"/>
      <color indexed="56"/>
      <name val="Times New Roman"/>
      <family val="1"/>
    </font>
    <font>
      <i/>
      <sz val="10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18"/>
      <name val="Times New Roman"/>
      <family val="1"/>
    </font>
    <font>
      <sz val="12"/>
      <color indexed="8"/>
      <name val="Times New Roman"/>
      <family val="1"/>
    </font>
    <font>
      <b/>
      <sz val="10"/>
      <color indexed="56"/>
      <name val="Times New Roman"/>
      <family val="1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8"/>
      <color indexed="8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9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Arial"/>
      <family val="2"/>
    </font>
    <font>
      <sz val="24"/>
      <name val="Comic Sans MS"/>
      <family val="4"/>
    </font>
    <font>
      <b/>
      <sz val="8"/>
      <color indexed="81"/>
      <name val="Tahoma"/>
    </font>
    <font>
      <b/>
      <sz val="12"/>
      <color indexed="81"/>
      <name val="Tahoma"/>
      <family val="2"/>
    </font>
    <font>
      <b/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0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12">
    <xf numFmtId="0" fontId="0" fillId="0" borderId="0" xfId="0"/>
    <xf numFmtId="0" fontId="5" fillId="0" borderId="0" xfId="0" applyFont="1"/>
    <xf numFmtId="0" fontId="6" fillId="0" borderId="0" xfId="0" applyFont="1"/>
    <xf numFmtId="37" fontId="5" fillId="0" borderId="0" xfId="0" applyNumberFormat="1" applyFont="1"/>
    <xf numFmtId="0" fontId="5" fillId="0" borderId="0" xfId="0" applyFont="1" applyFill="1"/>
    <xf numFmtId="0" fontId="0" fillId="0" borderId="0" xfId="0" applyAlignment="1"/>
    <xf numFmtId="0" fontId="5" fillId="0" borderId="0" xfId="0" applyFont="1" applyAlignment="1">
      <alignment horizontal="center"/>
    </xf>
    <xf numFmtId="0" fontId="14" fillId="0" borderId="0" xfId="0" applyFont="1"/>
    <xf numFmtId="244" fontId="5" fillId="0" borderId="0" xfId="1" applyNumberFormat="1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15" fillId="0" borderId="0" xfId="0" applyFont="1" applyBorder="1"/>
    <xf numFmtId="0" fontId="5" fillId="0" borderId="0" xfId="0" applyFont="1" applyBorder="1"/>
    <xf numFmtId="0" fontId="5" fillId="0" borderId="3" xfId="0" applyFont="1" applyBorder="1"/>
    <xf numFmtId="0" fontId="15" fillId="0" borderId="3" xfId="0" applyFont="1" applyBorder="1"/>
    <xf numFmtId="6" fontId="5" fillId="0" borderId="0" xfId="0" applyNumberFormat="1" applyFont="1"/>
    <xf numFmtId="0" fontId="17" fillId="0" borderId="0" xfId="0" applyFont="1"/>
    <xf numFmtId="244" fontId="5" fillId="0" borderId="0" xfId="0" applyNumberFormat="1" applyFont="1"/>
    <xf numFmtId="244" fontId="5" fillId="0" borderId="0" xfId="1" applyNumberFormat="1" applyFont="1"/>
    <xf numFmtId="0" fontId="18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244" fontId="1" fillId="0" borderId="0" xfId="1" applyNumberFormat="1" applyFont="1" applyAlignment="1">
      <alignment horizontal="centerContinuous"/>
    </xf>
    <xf numFmtId="0" fontId="1" fillId="0" borderId="0" xfId="0" applyFont="1" applyAlignment="1"/>
    <xf numFmtId="0" fontId="1" fillId="0" borderId="0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Border="1" applyAlignment="1"/>
    <xf numFmtId="0" fontId="1" fillId="0" borderId="4" xfId="0" applyFont="1" applyBorder="1" applyAlignment="1"/>
    <xf numFmtId="244" fontId="3" fillId="0" borderId="0" xfId="1" applyNumberFormat="1" applyAlignment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244" fontId="1" fillId="0" borderId="11" xfId="1" applyNumberFormat="1" applyFont="1" applyBorder="1" applyAlignment="1">
      <alignment horizontal="center"/>
    </xf>
    <xf numFmtId="244" fontId="1" fillId="0" borderId="12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244" fontId="3" fillId="0" borderId="6" xfId="1" applyNumberFormat="1" applyBorder="1"/>
    <xf numFmtId="244" fontId="3" fillId="0" borderId="7" xfId="1" applyNumberFormat="1" applyBorder="1"/>
    <xf numFmtId="0" fontId="2" fillId="0" borderId="10" xfId="0" applyFont="1" applyBorder="1"/>
    <xf numFmtId="244" fontId="3" fillId="0" borderId="9" xfId="1" applyNumberFormat="1" applyBorder="1"/>
    <xf numFmtId="244" fontId="3" fillId="0" borderId="10" xfId="1" applyNumberFormat="1" applyBorder="1"/>
    <xf numFmtId="244" fontId="3" fillId="0" borderId="13" xfId="1" applyNumberFormat="1" applyBorder="1"/>
    <xf numFmtId="244" fontId="3" fillId="0" borderId="14" xfId="1" applyNumberFormat="1" applyBorder="1"/>
    <xf numFmtId="0" fontId="1" fillId="0" borderId="10" xfId="0" applyFont="1" applyBorder="1"/>
    <xf numFmtId="244" fontId="3" fillId="0" borderId="0" xfId="1" applyNumberFormat="1"/>
    <xf numFmtId="0" fontId="2" fillId="0" borderId="10" xfId="0" applyFont="1" applyBorder="1" applyAlignment="1">
      <alignment horizontal="right"/>
    </xf>
    <xf numFmtId="244" fontId="3" fillId="0" borderId="0" xfId="1" applyNumberFormat="1" applyBorder="1"/>
    <xf numFmtId="0" fontId="3" fillId="0" borderId="9" xfId="0" applyFont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0" fillId="0" borderId="15" xfId="0" applyFont="1" applyBorder="1" applyAlignment="1">
      <alignment horizontal="center"/>
    </xf>
    <xf numFmtId="0" fontId="20" fillId="0" borderId="11" xfId="0" applyFont="1" applyBorder="1"/>
    <xf numFmtId="0" fontId="20" fillId="0" borderId="12" xfId="0" applyFont="1" applyBorder="1" applyAlignment="1">
      <alignment horizontal="right"/>
    </xf>
    <xf numFmtId="244" fontId="20" fillId="0" borderId="16" xfId="1" applyNumberFormat="1" applyFont="1" applyBorder="1"/>
    <xf numFmtId="244" fontId="20" fillId="0" borderId="17" xfId="1" applyNumberFormat="1" applyFont="1" applyBorder="1"/>
    <xf numFmtId="0" fontId="3" fillId="0" borderId="0" xfId="0" applyFont="1"/>
    <xf numFmtId="0" fontId="20" fillId="0" borderId="0" xfId="0" applyFont="1"/>
    <xf numFmtId="0" fontId="1" fillId="0" borderId="0" xfId="0" applyFont="1" applyBorder="1"/>
    <xf numFmtId="0" fontId="1" fillId="0" borderId="0" xfId="0" applyFont="1"/>
    <xf numFmtId="0" fontId="21" fillId="0" borderId="0" xfId="0" applyFont="1" applyAlignment="1">
      <alignment horizontal="center"/>
    </xf>
    <xf numFmtId="199" fontId="5" fillId="0" borderId="0" xfId="0" applyNumberFormat="1" applyFont="1"/>
    <xf numFmtId="0" fontId="15" fillId="0" borderId="0" xfId="0" applyFont="1"/>
    <xf numFmtId="199" fontId="5" fillId="0" borderId="18" xfId="0" applyNumberFormat="1" applyFont="1" applyBorder="1"/>
    <xf numFmtId="199" fontId="5" fillId="0" borderId="19" xfId="0" applyNumberFormat="1" applyFont="1" applyBorder="1"/>
    <xf numFmtId="0" fontId="5" fillId="0" borderId="20" xfId="0" applyFont="1" applyBorder="1"/>
    <xf numFmtId="199" fontId="6" fillId="0" borderId="21" xfId="0" applyNumberFormat="1" applyFont="1" applyBorder="1"/>
    <xf numFmtId="0" fontId="16" fillId="0" borderId="0" xfId="0" applyFont="1"/>
    <xf numFmtId="0" fontId="6" fillId="0" borderId="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230" fontId="5" fillId="0" borderId="24" xfId="2" applyNumberFormat="1" applyFont="1" applyBorder="1" applyAlignment="1">
      <alignment horizontal="center"/>
    </xf>
    <xf numFmtId="244" fontId="16" fillId="0" borderId="0" xfId="1" applyNumberFormat="1" applyFont="1"/>
    <xf numFmtId="0" fontId="16" fillId="0" borderId="0" xfId="0" applyFont="1" applyAlignment="1">
      <alignment horizontal="left"/>
    </xf>
    <xf numFmtId="230" fontId="5" fillId="0" borderId="0" xfId="3" applyNumberFormat="1" applyFont="1" applyAlignment="1">
      <alignment vertical="top"/>
    </xf>
    <xf numFmtId="0" fontId="16" fillId="0" borderId="23" xfId="0" applyFont="1" applyBorder="1"/>
    <xf numFmtId="7" fontId="5" fillId="0" borderId="0" xfId="0" applyNumberFormat="1" applyFont="1"/>
    <xf numFmtId="37" fontId="18" fillId="0" borderId="0" xfId="0" applyNumberFormat="1" applyFont="1"/>
    <xf numFmtId="0" fontId="25" fillId="0" borderId="0" xfId="0" applyFont="1"/>
    <xf numFmtId="244" fontId="5" fillId="0" borderId="0" xfId="1" applyNumberFormat="1" applyFont="1" applyBorder="1"/>
    <xf numFmtId="220" fontId="23" fillId="0" borderId="0" xfId="0" applyNumberFormat="1" applyFont="1"/>
    <xf numFmtId="244" fontId="25" fillId="0" borderId="0" xfId="0" applyNumberFormat="1" applyFont="1"/>
    <xf numFmtId="3" fontId="25" fillId="0" borderId="0" xfId="0" applyNumberFormat="1" applyFont="1"/>
    <xf numFmtId="220" fontId="23" fillId="0" borderId="0" xfId="0" applyNumberFormat="1" applyFont="1" applyAlignment="1">
      <alignment horizontal="left"/>
    </xf>
    <xf numFmtId="244" fontId="5" fillId="0" borderId="0" xfId="0" applyNumberFormat="1" applyFont="1" applyFill="1"/>
    <xf numFmtId="14" fontId="11" fillId="0" borderId="0" xfId="0" applyNumberFormat="1" applyFont="1" applyAlignment="1">
      <alignment horizontal="left"/>
    </xf>
    <xf numFmtId="244" fontId="3" fillId="0" borderId="0" xfId="1" applyNumberFormat="1" applyBorder="1" applyAlignment="1"/>
    <xf numFmtId="0" fontId="0" fillId="0" borderId="0" xfId="0" applyBorder="1" applyAlignment="1"/>
    <xf numFmtId="0" fontId="19" fillId="0" borderId="0" xfId="0" applyFont="1" applyBorder="1" applyAlignment="1">
      <alignment horizontal="centerContinuous"/>
    </xf>
    <xf numFmtId="244" fontId="1" fillId="0" borderId="0" xfId="1" applyNumberFormat="1" applyFont="1" applyBorder="1" applyAlignment="1">
      <alignment horizontal="centerContinuous"/>
    </xf>
    <xf numFmtId="244" fontId="1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44" fontId="3" fillId="0" borderId="0" xfId="1" applyNumberFormat="1" applyFont="1" applyBorder="1"/>
    <xf numFmtId="244" fontId="3" fillId="0" borderId="0" xfId="1" quotePrefix="1" applyNumberFormat="1" applyFont="1" applyBorder="1" applyAlignment="1">
      <alignment horizontal="left"/>
    </xf>
    <xf numFmtId="244" fontId="20" fillId="0" borderId="0" xfId="1" applyNumberFormat="1" applyFont="1" applyBorder="1"/>
    <xf numFmtId="0" fontId="3" fillId="0" borderId="0" xfId="0" applyFont="1" applyBorder="1"/>
    <xf numFmtId="244" fontId="3" fillId="0" borderId="0" xfId="1" applyNumberFormat="1" applyFont="1"/>
    <xf numFmtId="244" fontId="0" fillId="0" borderId="0" xfId="0" applyNumberFormat="1"/>
    <xf numFmtId="0" fontId="9" fillId="0" borderId="0" xfId="0" applyFont="1"/>
    <xf numFmtId="0" fontId="9" fillId="0" borderId="0" xfId="0" applyFont="1" applyBorder="1"/>
    <xf numFmtId="0" fontId="8" fillId="0" borderId="0" xfId="0" applyFont="1"/>
    <xf numFmtId="0" fontId="8" fillId="0" borderId="0" xfId="0" applyFont="1" applyBorder="1"/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Continuous"/>
    </xf>
    <xf numFmtId="0" fontId="8" fillId="0" borderId="3" xfId="0" applyFont="1" applyBorder="1"/>
    <xf numFmtId="0" fontId="9" fillId="0" borderId="25" xfId="0" applyFont="1" applyBorder="1" applyAlignment="1">
      <alignment horizontal="center"/>
    </xf>
    <xf numFmtId="0" fontId="27" fillId="0" borderId="0" xfId="0" applyFont="1"/>
    <xf numFmtId="0" fontId="9" fillId="0" borderId="25" xfId="0" applyFont="1" applyBorder="1"/>
    <xf numFmtId="6" fontId="9" fillId="0" borderId="0" xfId="0" applyNumberFormat="1" applyFont="1" applyBorder="1"/>
    <xf numFmtId="38" fontId="9" fillId="0" borderId="0" xfId="0" applyNumberFormat="1" applyFont="1"/>
    <xf numFmtId="38" fontId="9" fillId="0" borderId="0" xfId="0" applyNumberFormat="1" applyFont="1" applyBorder="1"/>
    <xf numFmtId="0" fontId="9" fillId="0" borderId="0" xfId="0" quotePrefix="1" applyFont="1"/>
    <xf numFmtId="14" fontId="29" fillId="0" borderId="0" xfId="0" applyNumberFormat="1" applyFont="1" applyAlignment="1">
      <alignment horizontal="left"/>
    </xf>
    <xf numFmtId="0" fontId="8" fillId="0" borderId="25" xfId="0" applyFont="1" applyBorder="1"/>
    <xf numFmtId="0" fontId="8" fillId="0" borderId="3" xfId="0" applyFont="1" applyBorder="1" applyAlignment="1">
      <alignment horizontal="center"/>
    </xf>
    <xf numFmtId="6" fontId="9" fillId="0" borderId="0" xfId="0" applyNumberFormat="1" applyFont="1"/>
    <xf numFmtId="0" fontId="27" fillId="0" borderId="0" xfId="0" applyFont="1" applyBorder="1" applyAlignment="1">
      <alignment horizontal="right"/>
    </xf>
    <xf numFmtId="6" fontId="8" fillId="0" borderId="0" xfId="0" applyNumberFormat="1" applyFont="1"/>
    <xf numFmtId="0" fontId="26" fillId="0" borderId="0" xfId="0" applyFont="1"/>
    <xf numFmtId="0" fontId="26" fillId="0" borderId="0" xfId="0" applyFont="1" applyBorder="1" applyAlignment="1">
      <alignment horizontal="left"/>
    </xf>
    <xf numFmtId="0" fontId="26" fillId="0" borderId="0" xfId="0" applyFont="1" applyBorder="1" applyAlignment="1">
      <alignment horizontal="right"/>
    </xf>
    <xf numFmtId="6" fontId="9" fillId="0" borderId="0" xfId="0" applyNumberFormat="1" applyFont="1" applyAlignment="1">
      <alignment horizontal="center"/>
    </xf>
    <xf numFmtId="0" fontId="8" fillId="0" borderId="0" xfId="0" applyFont="1" applyFill="1"/>
    <xf numFmtId="6" fontId="9" fillId="0" borderId="0" xfId="0" applyNumberFormat="1" applyFont="1" applyFill="1"/>
    <xf numFmtId="0" fontId="9" fillId="0" borderId="0" xfId="0" applyFont="1" applyFill="1" applyBorder="1"/>
    <xf numFmtId="0" fontId="9" fillId="0" borderId="0" xfId="0" applyFont="1" applyFill="1"/>
    <xf numFmtId="0" fontId="9" fillId="0" borderId="25" xfId="0" applyFont="1" applyFill="1" applyBorder="1"/>
    <xf numFmtId="230" fontId="9" fillId="0" borderId="0" xfId="2" applyNumberFormat="1" applyFont="1" applyBorder="1"/>
    <xf numFmtId="17" fontId="9" fillId="0" borderId="0" xfId="0" applyNumberFormat="1" applyFont="1" applyBorder="1"/>
    <xf numFmtId="42" fontId="31" fillId="0" borderId="0" xfId="0" applyNumberFormat="1" applyFont="1" applyBorder="1"/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horizontal="center" vertical="top"/>
    </xf>
    <xf numFmtId="228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 wrapText="1"/>
    </xf>
    <xf numFmtId="49" fontId="5" fillId="0" borderId="0" xfId="0" applyNumberFormat="1" applyFont="1" applyAlignment="1">
      <alignment vertical="top"/>
    </xf>
    <xf numFmtId="228" fontId="5" fillId="0" borderId="0" xfId="0" applyNumberFormat="1" applyFont="1" applyAlignment="1">
      <alignment vertical="top"/>
    </xf>
    <xf numFmtId="220" fontId="5" fillId="0" borderId="0" xfId="3" applyNumberFormat="1" applyFont="1" applyAlignment="1">
      <alignment vertical="top"/>
    </xf>
    <xf numFmtId="228" fontId="5" fillId="2" borderId="0" xfId="0" applyNumberFormat="1" applyFont="1" applyFill="1" applyAlignment="1">
      <alignment vertical="top"/>
    </xf>
    <xf numFmtId="0" fontId="5" fillId="0" borderId="0" xfId="0" applyFont="1" applyAlignment="1"/>
    <xf numFmtId="0" fontId="32" fillId="0" borderId="0" xfId="0" applyFont="1" applyFill="1" applyAlignment="1">
      <alignment horizontal="center" vertical="top"/>
    </xf>
    <xf numFmtId="0" fontId="32" fillId="0" borderId="0" xfId="0" applyFont="1" applyFill="1" applyAlignment="1">
      <alignment horizontal="center"/>
    </xf>
    <xf numFmtId="14" fontId="5" fillId="0" borderId="0" xfId="0" applyNumberFormat="1" applyFont="1" applyAlignment="1"/>
    <xf numFmtId="0" fontId="6" fillId="3" borderId="6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32" fillId="4" borderId="26" xfId="0" applyFont="1" applyFill="1" applyBorder="1" applyAlignment="1">
      <alignment horizontal="center" vertical="top"/>
    </xf>
    <xf numFmtId="14" fontId="6" fillId="3" borderId="6" xfId="0" applyNumberFormat="1" applyFont="1" applyFill="1" applyBorder="1" applyAlignment="1">
      <alignment horizontal="center" vertical="top"/>
    </xf>
    <xf numFmtId="6" fontId="5" fillId="0" borderId="0" xfId="3" applyNumberFormat="1" applyFont="1" applyAlignment="1">
      <alignment horizontal="center" vertical="top"/>
    </xf>
    <xf numFmtId="0" fontId="33" fillId="0" borderId="0" xfId="0" applyFont="1"/>
    <xf numFmtId="0" fontId="33" fillId="0" borderId="0" xfId="0" applyFont="1" applyAlignment="1">
      <alignment horizontal="center"/>
    </xf>
    <xf numFmtId="0" fontId="33" fillId="0" borderId="0" xfId="0" applyFont="1" applyFill="1"/>
    <xf numFmtId="1" fontId="33" fillId="0" borderId="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1" fontId="33" fillId="2" borderId="0" xfId="0" applyNumberFormat="1" applyFont="1" applyFill="1" applyBorder="1" applyAlignment="1">
      <alignment horizontal="right"/>
    </xf>
    <xf numFmtId="1" fontId="34" fillId="0" borderId="0" xfId="0" applyNumberFormat="1" applyFont="1" applyFill="1" applyBorder="1" applyAlignment="1">
      <alignment horizontal="left"/>
    </xf>
    <xf numFmtId="0" fontId="34" fillId="0" borderId="0" xfId="0" applyFont="1"/>
    <xf numFmtId="37" fontId="33" fillId="0" borderId="0" xfId="0" applyNumberFormat="1" applyFont="1"/>
    <xf numFmtId="37" fontId="33" fillId="2" borderId="0" xfId="0" applyNumberFormat="1" applyFont="1" applyFill="1" applyBorder="1"/>
    <xf numFmtId="0" fontId="33" fillId="2" borderId="0" xfId="0" applyFont="1" applyFill="1" applyBorder="1"/>
    <xf numFmtId="0" fontId="18" fillId="2" borderId="0" xfId="0" applyFont="1" applyFill="1" applyBorder="1"/>
    <xf numFmtId="37" fontId="35" fillId="2" borderId="0" xfId="0" applyNumberFormat="1" applyFont="1" applyFill="1" applyBorder="1"/>
    <xf numFmtId="0" fontId="35" fillId="2" borderId="0" xfId="0" applyFont="1" applyFill="1" applyBorder="1"/>
    <xf numFmtId="37" fontId="33" fillId="0" borderId="0" xfId="0" applyNumberFormat="1" applyFont="1" applyFill="1" applyBorder="1"/>
    <xf numFmtId="0" fontId="33" fillId="2" borderId="0" xfId="0" applyFont="1" applyFill="1"/>
    <xf numFmtId="37" fontId="35" fillId="2" borderId="0" xfId="0" applyNumberFormat="1" applyFont="1" applyFill="1" applyBorder="1" applyAlignment="1">
      <alignment horizontal="centerContinuous"/>
    </xf>
    <xf numFmtId="0" fontId="35" fillId="2" borderId="0" xfId="0" applyFont="1" applyFill="1" applyBorder="1" applyAlignment="1">
      <alignment horizontal="centerContinuous"/>
    </xf>
    <xf numFmtId="38" fontId="18" fillId="2" borderId="0" xfId="1" applyNumberFormat="1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40" fontId="33" fillId="2" borderId="0" xfId="0" applyNumberFormat="1" applyFont="1" applyFill="1" applyAlignment="1">
      <alignment horizontal="center"/>
    </xf>
    <xf numFmtId="38" fontId="18" fillId="2" borderId="0" xfId="0" applyNumberFormat="1" applyFont="1" applyFill="1" applyBorder="1"/>
    <xf numFmtId="17" fontId="18" fillId="2" borderId="0" xfId="0" applyNumberFormat="1" applyFont="1" applyFill="1" applyBorder="1" applyAlignment="1">
      <alignment horizontal="left"/>
    </xf>
    <xf numFmtId="2" fontId="18" fillId="2" borderId="0" xfId="0" applyNumberFormat="1" applyFont="1" applyFill="1" applyBorder="1"/>
    <xf numFmtId="37" fontId="18" fillId="2" borderId="0" xfId="0" applyNumberFormat="1" applyFont="1" applyFill="1" applyAlignment="1">
      <alignment horizontal="center"/>
    </xf>
    <xf numFmtId="37" fontId="18" fillId="2" borderId="0" xfId="0" applyNumberFormat="1" applyFont="1" applyFill="1"/>
    <xf numFmtId="37" fontId="33" fillId="2" borderId="0" xfId="0" applyNumberFormat="1" applyFont="1" applyFill="1"/>
    <xf numFmtId="40" fontId="33" fillId="2" borderId="0" xfId="0" applyNumberFormat="1" applyFont="1" applyFill="1" applyBorder="1"/>
    <xf numFmtId="38" fontId="33" fillId="2" borderId="0" xfId="0" applyNumberFormat="1" applyFont="1" applyFill="1" applyAlignment="1">
      <alignment horizontal="center"/>
    </xf>
    <xf numFmtId="38" fontId="33" fillId="2" borderId="0" xfId="0" applyNumberFormat="1" applyFont="1" applyFill="1"/>
    <xf numFmtId="40" fontId="18" fillId="2" borderId="0" xfId="1" applyFont="1" applyFill="1" applyAlignment="1">
      <alignment horizontal="center"/>
    </xf>
    <xf numFmtId="0" fontId="18" fillId="0" borderId="0" xfId="0" applyFont="1" applyFill="1" applyBorder="1"/>
    <xf numFmtId="0" fontId="18" fillId="2" borderId="0" xfId="0" applyFont="1" applyFill="1" applyBorder="1" applyAlignment="1">
      <alignment horizontal="centerContinuous"/>
    </xf>
    <xf numFmtId="37" fontId="33" fillId="0" borderId="0" xfId="0" applyNumberFormat="1" applyFont="1" applyBorder="1"/>
    <xf numFmtId="40" fontId="18" fillId="2" borderId="0" xfId="1" applyFont="1" applyFill="1"/>
    <xf numFmtId="0" fontId="18" fillId="0" borderId="0" xfId="0" applyFont="1" applyFill="1"/>
    <xf numFmtId="37" fontId="18" fillId="0" borderId="0" xfId="0" applyNumberFormat="1" applyFont="1" applyFill="1" applyAlignment="1">
      <alignment horizontal="center"/>
    </xf>
    <xf numFmtId="37" fontId="18" fillId="0" borderId="0" xfId="0" applyNumberFormat="1" applyFont="1" applyFill="1"/>
    <xf numFmtId="38" fontId="33" fillId="0" borderId="0" xfId="0" applyNumberFormat="1" applyFont="1" applyFill="1" applyAlignment="1">
      <alignment horizontal="center"/>
    </xf>
    <xf numFmtId="38" fontId="33" fillId="0" borderId="0" xfId="0" applyNumberFormat="1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Continuous"/>
    </xf>
    <xf numFmtId="0" fontId="33" fillId="0" borderId="0" xfId="0" applyFont="1" applyAlignment="1">
      <alignment horizontal="centerContinuous"/>
    </xf>
    <xf numFmtId="0" fontId="33" fillId="0" borderId="0" xfId="0" applyFont="1" applyAlignment="1">
      <alignment horizontal="right"/>
    </xf>
    <xf numFmtId="0" fontId="36" fillId="0" borderId="0" xfId="0" applyFont="1"/>
    <xf numFmtId="0" fontId="36" fillId="0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221" fontId="37" fillId="4" borderId="13" xfId="0" applyNumberFormat="1" applyFont="1" applyFill="1" applyBorder="1" applyAlignment="1">
      <alignment horizontal="left"/>
    </xf>
    <xf numFmtId="1" fontId="36" fillId="5" borderId="27" xfId="0" applyNumberFormat="1" applyFont="1" applyFill="1" applyBorder="1" applyAlignment="1">
      <alignment horizontal="center"/>
    </xf>
    <xf numFmtId="0" fontId="38" fillId="4" borderId="13" xfId="0" applyFont="1" applyFill="1" applyBorder="1" applyAlignment="1">
      <alignment horizontal="left"/>
    </xf>
    <xf numFmtId="0" fontId="36" fillId="4" borderId="14" xfId="0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" fontId="38" fillId="4" borderId="13" xfId="0" applyNumberFormat="1" applyFont="1" applyFill="1" applyBorder="1" applyAlignment="1">
      <alignment horizontal="left"/>
    </xf>
    <xf numFmtId="1" fontId="38" fillId="4" borderId="14" xfId="0" applyNumberFormat="1" applyFont="1" applyFill="1" applyBorder="1" applyAlignment="1">
      <alignment horizontal="center"/>
    </xf>
    <xf numFmtId="1" fontId="38" fillId="4" borderId="18" xfId="0" applyNumberFormat="1" applyFont="1" applyFill="1" applyBorder="1" applyAlignment="1">
      <alignment horizontal="left"/>
    </xf>
    <xf numFmtId="37" fontId="36" fillId="4" borderId="14" xfId="0" applyNumberFormat="1" applyFont="1" applyFill="1" applyBorder="1"/>
    <xf numFmtId="0" fontId="6" fillId="3" borderId="5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left"/>
    </xf>
    <xf numFmtId="0" fontId="32" fillId="3" borderId="22" xfId="0" applyFont="1" applyFill="1" applyBorder="1" applyAlignment="1">
      <alignment horizontal="center" vertical="top"/>
    </xf>
    <xf numFmtId="6" fontId="6" fillId="0" borderId="0" xfId="3" applyNumberFormat="1" applyFont="1" applyAlignment="1">
      <alignment horizontal="center" vertical="top"/>
    </xf>
    <xf numFmtId="6" fontId="5" fillId="0" borderId="0" xfId="0" applyNumberFormat="1" applyFont="1" applyAlignment="1">
      <alignment horizontal="center" vertical="top"/>
    </xf>
    <xf numFmtId="6" fontId="5" fillId="0" borderId="0" xfId="0" applyNumberFormat="1" applyFont="1" applyAlignment="1">
      <alignment horizontal="center"/>
    </xf>
    <xf numFmtId="6" fontId="21" fillId="0" borderId="0" xfId="0" applyNumberFormat="1" applyFont="1" applyAlignment="1">
      <alignment horizontal="center"/>
    </xf>
    <xf numFmtId="6" fontId="22" fillId="4" borderId="0" xfId="0" applyNumberFormat="1" applyFont="1" applyFill="1" applyAlignment="1">
      <alignment horizontal="center"/>
    </xf>
    <xf numFmtId="6" fontId="22" fillId="4" borderId="0" xfId="2" applyNumberFormat="1" applyFont="1" applyFill="1" applyAlignment="1">
      <alignment horizontal="center"/>
    </xf>
    <xf numFmtId="6" fontId="16" fillId="4" borderId="0" xfId="1" applyNumberFormat="1" applyFont="1" applyFill="1" applyAlignment="1">
      <alignment horizontal="center"/>
    </xf>
    <xf numFmtId="6" fontId="16" fillId="4" borderId="0" xfId="0" applyNumberFormat="1" applyFont="1" applyFill="1" applyAlignment="1">
      <alignment horizontal="center"/>
    </xf>
    <xf numFmtId="6" fontId="5" fillId="4" borderId="0" xfId="0" applyNumberFormat="1" applyFont="1" applyFill="1" applyAlignment="1">
      <alignment horizontal="center"/>
    </xf>
    <xf numFmtId="6" fontId="5" fillId="0" borderId="18" xfId="0" applyNumberFormat="1" applyFont="1" applyBorder="1" applyAlignment="1">
      <alignment horizontal="center"/>
    </xf>
    <xf numFmtId="6" fontId="6" fillId="0" borderId="19" xfId="0" applyNumberFormat="1" applyFont="1" applyBorder="1" applyAlignment="1">
      <alignment horizontal="center"/>
    </xf>
    <xf numFmtId="6" fontId="16" fillId="4" borderId="0" xfId="1" applyNumberFormat="1" applyFont="1" applyFill="1" applyBorder="1" applyAlignment="1">
      <alignment horizontal="center"/>
    </xf>
    <xf numFmtId="6" fontId="23" fillId="0" borderId="0" xfId="0" applyNumberFormat="1" applyFont="1" applyAlignment="1">
      <alignment horizontal="center"/>
    </xf>
    <xf numFmtId="6" fontId="5" fillId="0" borderId="28" xfId="0" applyNumberFormat="1" applyFont="1" applyBorder="1" applyAlignment="1">
      <alignment horizontal="center"/>
    </xf>
    <xf numFmtId="6" fontId="5" fillId="0" borderId="29" xfId="0" applyNumberFormat="1" applyFont="1" applyBorder="1" applyAlignment="1">
      <alignment horizontal="center"/>
    </xf>
    <xf numFmtId="6" fontId="5" fillId="0" borderId="3" xfId="0" applyNumberFormat="1" applyFont="1" applyBorder="1" applyAlignment="1">
      <alignment horizontal="center"/>
    </xf>
    <xf numFmtId="6" fontId="5" fillId="0" borderId="0" xfId="2" applyNumberFormat="1" applyFont="1" applyAlignment="1">
      <alignment horizontal="center"/>
    </xf>
    <xf numFmtId="6" fontId="5" fillId="0" borderId="2" xfId="0" applyNumberFormat="1" applyFont="1" applyBorder="1" applyAlignment="1">
      <alignment horizontal="center"/>
    </xf>
    <xf numFmtId="6" fontId="16" fillId="0" borderId="3" xfId="1" applyNumberFormat="1" applyFont="1" applyFill="1" applyBorder="1" applyAlignment="1">
      <alignment horizontal="center"/>
    </xf>
    <xf numFmtId="6" fontId="5" fillId="0" borderId="0" xfId="0" applyNumberFormat="1" applyFont="1" applyFill="1" applyAlignment="1">
      <alignment horizontal="center"/>
    </xf>
    <xf numFmtId="6" fontId="5" fillId="0" borderId="0" xfId="2" applyNumberFormat="1" applyFont="1" applyFill="1" applyAlignment="1">
      <alignment horizontal="center"/>
    </xf>
    <xf numFmtId="6" fontId="5" fillId="4" borderId="0" xfId="2" applyNumberFormat="1" applyFont="1" applyFill="1" applyAlignment="1">
      <alignment horizontal="center"/>
    </xf>
    <xf numFmtId="6" fontId="5" fillId="0" borderId="19" xfId="2" applyNumberFormat="1" applyFont="1" applyFill="1" applyBorder="1" applyAlignment="1">
      <alignment horizontal="center"/>
    </xf>
    <xf numFmtId="6" fontId="5" fillId="0" borderId="0" xfId="2" applyNumberFormat="1" applyFont="1" applyFill="1" applyBorder="1" applyAlignment="1">
      <alignment horizontal="center"/>
    </xf>
    <xf numFmtId="6" fontId="5" fillId="0" borderId="0" xfId="1" applyNumberFormat="1" applyFont="1" applyFill="1" applyAlignment="1">
      <alignment horizontal="center"/>
    </xf>
    <xf numFmtId="6" fontId="5" fillId="4" borderId="5" xfId="1" applyNumberFormat="1" applyFont="1" applyFill="1" applyBorder="1" applyAlignment="1">
      <alignment horizontal="center"/>
    </xf>
    <xf numFmtId="6" fontId="5" fillId="4" borderId="8" xfId="1" applyNumberFormat="1" applyFont="1" applyFill="1" applyBorder="1" applyAlignment="1">
      <alignment horizontal="center"/>
    </xf>
    <xf numFmtId="6" fontId="5" fillId="4" borderId="15" xfId="1" applyNumberFormat="1" applyFont="1" applyFill="1" applyBorder="1" applyAlignment="1">
      <alignment horizontal="center"/>
    </xf>
    <xf numFmtId="6" fontId="5" fillId="0" borderId="0" xfId="1" applyNumberFormat="1" applyFont="1" applyFill="1" applyBorder="1" applyAlignment="1">
      <alignment horizontal="center"/>
    </xf>
    <xf numFmtId="6" fontId="5" fillId="0" borderId="4" xfId="1" applyNumberFormat="1" applyFont="1" applyFill="1" applyBorder="1" applyAlignment="1">
      <alignment horizontal="center"/>
    </xf>
    <xf numFmtId="6" fontId="5" fillId="0" borderId="4" xfId="0" applyNumberFormat="1" applyFont="1" applyFill="1" applyBorder="1" applyAlignment="1">
      <alignment horizontal="center"/>
    </xf>
    <xf numFmtId="6" fontId="8" fillId="0" borderId="0" xfId="0" applyNumberFormat="1" applyFont="1" applyAlignment="1">
      <alignment horizontal="center"/>
    </xf>
    <xf numFmtId="6" fontId="8" fillId="0" borderId="0" xfId="0" applyNumberFormat="1" applyFont="1" applyBorder="1" applyAlignment="1">
      <alignment horizontal="center"/>
    </xf>
    <xf numFmtId="6" fontId="8" fillId="0" borderId="4" xfId="0" applyNumberFormat="1" applyFont="1" applyBorder="1" applyAlignment="1">
      <alignment horizontal="center"/>
    </xf>
    <xf numFmtId="6" fontId="26" fillId="0" borderId="0" xfId="0" applyNumberFormat="1" applyFont="1" applyAlignment="1">
      <alignment horizontal="center"/>
    </xf>
    <xf numFmtId="6" fontId="9" fillId="0" borderId="0" xfId="0" applyNumberFormat="1" applyFont="1" applyBorder="1" applyAlignment="1">
      <alignment horizontal="center"/>
    </xf>
    <xf numFmtId="6" fontId="28" fillId="0" borderId="0" xfId="0" applyNumberFormat="1" applyFont="1" applyAlignment="1">
      <alignment horizontal="center"/>
    </xf>
    <xf numFmtId="6" fontId="9" fillId="0" borderId="4" xfId="0" applyNumberFormat="1" applyFont="1" applyBorder="1" applyAlignment="1">
      <alignment horizontal="center"/>
    </xf>
    <xf numFmtId="6" fontId="9" fillId="0" borderId="4" xfId="0" applyNumberFormat="1" applyFont="1" applyFill="1" applyBorder="1" applyAlignment="1">
      <alignment horizontal="center"/>
    </xf>
    <xf numFmtId="6" fontId="8" fillId="0" borderId="30" xfId="0" applyNumberFormat="1" applyFont="1" applyBorder="1" applyAlignment="1">
      <alignment horizontal="center"/>
    </xf>
    <xf numFmtId="6" fontId="8" fillId="0" borderId="18" xfId="0" applyNumberFormat="1" applyFont="1" applyBorder="1" applyAlignment="1">
      <alignment horizontal="center"/>
    </xf>
    <xf numFmtId="6" fontId="11" fillId="0" borderId="0" xfId="0" applyNumberFormat="1" applyFont="1" applyBorder="1" applyAlignment="1">
      <alignment horizontal="center"/>
    </xf>
    <xf numFmtId="6" fontId="11" fillId="0" borderId="18" xfId="0" applyNumberFormat="1" applyFont="1" applyBorder="1" applyAlignment="1">
      <alignment horizontal="center"/>
    </xf>
    <xf numFmtId="6" fontId="30" fillId="0" borderId="0" xfId="0" applyNumberFormat="1" applyFont="1" applyBorder="1" applyAlignment="1">
      <alignment horizontal="center"/>
    </xf>
    <xf numFmtId="6" fontId="28" fillId="0" borderId="0" xfId="0" applyNumberFormat="1" applyFont="1" applyBorder="1" applyAlignment="1">
      <alignment horizontal="center"/>
    </xf>
    <xf numFmtId="6" fontId="28" fillId="0" borderId="4" xfId="0" applyNumberFormat="1" applyFont="1" applyBorder="1" applyAlignment="1">
      <alignment horizontal="center"/>
    </xf>
    <xf numFmtId="6" fontId="8" fillId="0" borderId="0" xfId="2" applyNumberFormat="1" applyFont="1" applyBorder="1" applyAlignment="1">
      <alignment horizontal="center"/>
    </xf>
    <xf numFmtId="6" fontId="9" fillId="0" borderId="0" xfId="0" applyNumberFormat="1" applyFont="1" applyFill="1" applyBorder="1" applyAlignment="1">
      <alignment horizontal="center"/>
    </xf>
    <xf numFmtId="6" fontId="8" fillId="0" borderId="0" xfId="0" applyNumberFormat="1" applyFont="1" applyFill="1" applyAlignment="1">
      <alignment horizontal="center"/>
    </xf>
    <xf numFmtId="6" fontId="29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center"/>
    </xf>
    <xf numFmtId="6" fontId="9" fillId="0" borderId="0" xfId="2" applyNumberFormat="1" applyFont="1" applyBorder="1" applyAlignment="1">
      <alignment horizontal="center"/>
    </xf>
    <xf numFmtId="6" fontId="9" fillId="0" borderId="30" xfId="0" applyNumberFormat="1" applyFont="1" applyBorder="1" applyAlignment="1">
      <alignment horizontal="center"/>
    </xf>
    <xf numFmtId="6" fontId="29" fillId="0" borderId="18" xfId="0" applyNumberFormat="1" applyFont="1" applyBorder="1" applyAlignment="1">
      <alignment horizontal="center"/>
    </xf>
    <xf numFmtId="6" fontId="31" fillId="0" borderId="0" xfId="0" applyNumberFormat="1" applyFont="1" applyAlignment="1">
      <alignment horizontal="center"/>
    </xf>
    <xf numFmtId="6" fontId="8" fillId="0" borderId="31" xfId="2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8" fillId="0" borderId="4" xfId="0" applyNumberFormat="1" applyFont="1" applyBorder="1" applyAlignment="1">
      <alignment horizontal="center"/>
    </xf>
    <xf numFmtId="38" fontId="26" fillId="0" borderId="0" xfId="0" applyNumberFormat="1" applyFont="1" applyAlignment="1">
      <alignment horizontal="center"/>
    </xf>
    <xf numFmtId="38" fontId="9" fillId="0" borderId="0" xfId="0" applyNumberFormat="1" applyFont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0" xfId="0" applyNumberFormat="1" applyFont="1" applyFill="1" applyAlignment="1">
      <alignment horizontal="center"/>
    </xf>
    <xf numFmtId="0" fontId="9" fillId="0" borderId="0" xfId="0" applyFont="1" applyBorder="1" applyAlignment="1">
      <alignment horizontal="left"/>
    </xf>
    <xf numFmtId="252" fontId="9" fillId="0" borderId="0" xfId="0" applyNumberFormat="1" applyFont="1" applyAlignment="1">
      <alignment horizontal="center"/>
    </xf>
    <xf numFmtId="252" fontId="9" fillId="0" borderId="0" xfId="0" applyNumberFormat="1" applyFont="1"/>
    <xf numFmtId="252" fontId="9" fillId="0" borderId="0" xfId="0" applyNumberFormat="1" applyFont="1" applyBorder="1" applyAlignment="1">
      <alignment horizontal="center"/>
    </xf>
    <xf numFmtId="252" fontId="8" fillId="0" borderId="4" xfId="0" applyNumberFormat="1" applyFont="1" applyBorder="1" applyAlignment="1">
      <alignment horizontal="center"/>
    </xf>
    <xf numFmtId="252" fontId="8" fillId="0" borderId="4" xfId="0" applyNumberFormat="1" applyFont="1" applyBorder="1" applyAlignment="1"/>
    <xf numFmtId="252" fontId="8" fillId="0" borderId="0" xfId="0" applyNumberFormat="1" applyFont="1" applyBorder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center"/>
    </xf>
    <xf numFmtId="1" fontId="6" fillId="6" borderId="18" xfId="0" applyNumberFormat="1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6" fillId="7" borderId="15" xfId="0" applyFont="1" applyFill="1" applyBorder="1" applyAlignment="1">
      <alignment horizontal="left" vertical="top"/>
    </xf>
    <xf numFmtId="8" fontId="5" fillId="0" borderId="0" xfId="2" applyNumberFormat="1" applyFont="1" applyFill="1" applyAlignment="1">
      <alignment horizontal="center"/>
    </xf>
    <xf numFmtId="6" fontId="18" fillId="0" borderId="0" xfId="0" applyNumberFormat="1" applyFont="1"/>
    <xf numFmtId="6" fontId="5" fillId="0" borderId="0" xfId="2" applyNumberFormat="1" applyFont="1"/>
    <xf numFmtId="6" fontId="24" fillId="0" borderId="0" xfId="0" applyNumberFormat="1" applyFont="1"/>
    <xf numFmtId="220" fontId="23" fillId="0" borderId="0" xfId="0" applyNumberFormat="1" applyFont="1" applyAlignment="1">
      <alignment horizontal="center"/>
    </xf>
    <xf numFmtId="244" fontId="3" fillId="0" borderId="11" xfId="1" applyNumberFormat="1" applyBorder="1"/>
    <xf numFmtId="244" fontId="3" fillId="0" borderId="12" xfId="1" applyNumberFormat="1" applyBorder="1"/>
    <xf numFmtId="0" fontId="24" fillId="4" borderId="26" xfId="0" applyFont="1" applyFill="1" applyBorder="1" applyAlignment="1">
      <alignment horizontal="center" vertical="top"/>
    </xf>
    <xf numFmtId="0" fontId="24" fillId="4" borderId="22" xfId="0" applyFont="1" applyFill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38" fontId="5" fillId="0" borderId="0" xfId="0" applyNumberFormat="1" applyFont="1"/>
    <xf numFmtId="0" fontId="6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6" fillId="0" borderId="33" xfId="0" applyFont="1" applyBorder="1"/>
    <xf numFmtId="38" fontId="5" fillId="0" borderId="3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3" xfId="0" applyNumberFormat="1" applyFont="1" applyFill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33" xfId="0" applyNumberFormat="1" applyFont="1" applyFill="1" applyBorder="1" applyAlignment="1">
      <alignment horizontal="center"/>
    </xf>
    <xf numFmtId="0" fontId="6" fillId="0" borderId="3" xfId="0" applyFont="1" applyBorder="1"/>
    <xf numFmtId="0" fontId="6" fillId="0" borderId="0" xfId="0" applyFont="1" applyBorder="1"/>
    <xf numFmtId="0" fontId="8" fillId="3" borderId="3" xfId="0" applyFont="1" applyFill="1" applyBorder="1"/>
    <xf numFmtId="38" fontId="8" fillId="3" borderId="3" xfId="0" applyNumberFormat="1" applyFont="1" applyFill="1" applyBorder="1" applyAlignment="1">
      <alignment horizontal="center"/>
    </xf>
    <xf numFmtId="0" fontId="6" fillId="0" borderId="34" xfId="0" applyFont="1" applyBorder="1"/>
    <xf numFmtId="38" fontId="5" fillId="0" borderId="0" xfId="0" applyNumberFormat="1" applyFont="1" applyFill="1" applyBorder="1" applyAlignment="1">
      <alignment horizontal="center"/>
    </xf>
    <xf numFmtId="0" fontId="6" fillId="0" borderId="32" xfId="0" applyFont="1" applyFill="1" applyBorder="1"/>
    <xf numFmtId="0" fontId="5" fillId="0" borderId="33" xfId="0" applyFont="1" applyFill="1" applyBorder="1"/>
    <xf numFmtId="0" fontId="5" fillId="0" borderId="0" xfId="0" applyFont="1" applyFill="1" applyBorder="1"/>
    <xf numFmtId="6" fontId="5" fillId="0" borderId="0" xfId="0" applyNumberFormat="1" applyFont="1" applyBorder="1" applyAlignment="1">
      <alignment horizontal="center"/>
    </xf>
    <xf numFmtId="248" fontId="5" fillId="0" borderId="0" xfId="0" applyNumberFormat="1" applyFont="1" applyAlignment="1">
      <alignment horizontal="center"/>
    </xf>
    <xf numFmtId="249" fontId="5" fillId="0" borderId="0" xfId="0" applyNumberFormat="1" applyFont="1"/>
    <xf numFmtId="0" fontId="5" fillId="0" borderId="0" xfId="0" applyFont="1" applyBorder="1" applyAlignment="1">
      <alignment horizontal="center"/>
    </xf>
    <xf numFmtId="244" fontId="6" fillId="0" borderId="0" xfId="1" applyNumberFormat="1" applyFont="1" applyBorder="1" applyAlignment="1">
      <alignment horizontal="center"/>
    </xf>
    <xf numFmtId="244" fontId="5" fillId="0" borderId="0" xfId="1" applyNumberFormat="1" applyFont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249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248" fontId="5" fillId="0" borderId="2" xfId="0" applyNumberFormat="1" applyFont="1" applyBorder="1" applyAlignment="1">
      <alignment horizontal="center"/>
    </xf>
    <xf numFmtId="249" fontId="5" fillId="0" borderId="2" xfId="0" applyNumberFormat="1" applyFont="1" applyBorder="1"/>
    <xf numFmtId="6" fontId="5" fillId="0" borderId="20" xfId="0" applyNumberFormat="1" applyFont="1" applyBorder="1" applyAlignment="1">
      <alignment horizontal="center"/>
    </xf>
    <xf numFmtId="244" fontId="6" fillId="0" borderId="0" xfId="1" applyNumberFormat="1" applyFont="1" applyBorder="1" applyAlignment="1">
      <alignment horizontal="left"/>
    </xf>
    <xf numFmtId="244" fontId="6" fillId="0" borderId="4" xfId="1" applyNumberFormat="1" applyFont="1" applyBorder="1" applyAlignment="1">
      <alignment horizontal="center"/>
    </xf>
    <xf numFmtId="38" fontId="6" fillId="0" borderId="4" xfId="1" applyNumberFormat="1" applyFont="1" applyBorder="1" applyAlignment="1">
      <alignment horizontal="center"/>
    </xf>
    <xf numFmtId="0" fontId="5" fillId="0" borderId="35" xfId="0" applyFont="1" applyBorder="1"/>
    <xf numFmtId="249" fontId="5" fillId="0" borderId="0" xfId="0" applyNumberFormat="1" applyFont="1" applyFill="1" applyBorder="1"/>
    <xf numFmtId="6" fontId="5" fillId="0" borderId="25" xfId="0" applyNumberFormat="1" applyFont="1" applyFill="1" applyBorder="1" applyAlignment="1">
      <alignment horizontal="center"/>
    </xf>
    <xf numFmtId="38" fontId="5" fillId="0" borderId="25" xfId="0" applyNumberFormat="1" applyFont="1" applyFill="1" applyBorder="1" applyAlignment="1">
      <alignment horizontal="center"/>
    </xf>
    <xf numFmtId="6" fontId="5" fillId="4" borderId="0" xfId="1" applyNumberFormat="1" applyFont="1" applyFill="1" applyAlignment="1">
      <alignment horizontal="center"/>
    </xf>
    <xf numFmtId="38" fontId="5" fillId="4" borderId="0" xfId="1" applyNumberFormat="1" applyFont="1" applyFill="1" applyAlignment="1">
      <alignment horizontal="center"/>
    </xf>
    <xf numFmtId="244" fontId="5" fillId="0" borderId="0" xfId="1" applyNumberFormat="1" applyFont="1" applyBorder="1" applyAlignment="1">
      <alignment horizontal="right"/>
    </xf>
    <xf numFmtId="6" fontId="5" fillId="4" borderId="0" xfId="0" applyNumberFormat="1" applyFont="1" applyFill="1" applyBorder="1" applyAlignment="1">
      <alignment horizontal="center"/>
    </xf>
    <xf numFmtId="249" fontId="5" fillId="0" borderId="0" xfId="0" applyNumberFormat="1" applyFont="1" applyFill="1" applyBorder="1" applyAlignment="1">
      <alignment horizontal="right"/>
    </xf>
    <xf numFmtId="38" fontId="5" fillId="4" borderId="25" xfId="0" applyNumberFormat="1" applyFont="1" applyFill="1" applyBorder="1" applyAlignment="1">
      <alignment horizontal="center"/>
    </xf>
    <xf numFmtId="6" fontId="5" fillId="4" borderId="4" xfId="0" applyNumberFormat="1" applyFont="1" applyFill="1" applyBorder="1" applyAlignment="1">
      <alignment horizontal="center"/>
    </xf>
    <xf numFmtId="38" fontId="5" fillId="4" borderId="36" xfId="0" applyNumberFormat="1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6" fontId="5" fillId="0" borderId="0" xfId="0" applyNumberFormat="1" applyFont="1" applyFill="1" applyBorder="1" applyAlignment="1">
      <alignment horizontal="center"/>
    </xf>
    <xf numFmtId="244" fontId="16" fillId="0" borderId="0" xfId="1" applyNumberFormat="1" applyFont="1" applyFill="1" applyBorder="1" applyAlignment="1">
      <alignment horizontal="center"/>
    </xf>
    <xf numFmtId="249" fontId="6" fillId="0" borderId="0" xfId="0" applyNumberFormat="1" applyFont="1" applyFill="1" applyBorder="1" applyAlignment="1">
      <alignment horizontal="right"/>
    </xf>
    <xf numFmtId="199" fontId="5" fillId="4" borderId="25" xfId="0" applyNumberFormat="1" applyFont="1" applyFill="1" applyBorder="1" applyAlignment="1">
      <alignment horizontal="center"/>
    </xf>
    <xf numFmtId="199" fontId="5" fillId="0" borderId="25" xfId="0" applyNumberFormat="1" applyFont="1" applyFill="1" applyBorder="1" applyAlignment="1">
      <alignment horizontal="center"/>
    </xf>
    <xf numFmtId="6" fontId="5" fillId="4" borderId="4" xfId="1" applyNumberFormat="1" applyFont="1" applyFill="1" applyBorder="1" applyAlignment="1">
      <alignment horizontal="center"/>
    </xf>
    <xf numFmtId="38" fontId="5" fillId="4" borderId="4" xfId="1" applyNumberFormat="1" applyFont="1" applyFill="1" applyBorder="1" applyAlignment="1">
      <alignment horizontal="center"/>
    </xf>
    <xf numFmtId="244" fontId="6" fillId="3" borderId="13" xfId="1" applyNumberFormat="1" applyFont="1" applyFill="1" applyBorder="1" applyAlignment="1">
      <alignment horizontal="center"/>
    </xf>
    <xf numFmtId="244" fontId="5" fillId="3" borderId="18" xfId="1" applyNumberFormat="1" applyFont="1" applyFill="1" applyBorder="1" applyAlignment="1">
      <alignment horizontal="center"/>
    </xf>
    <xf numFmtId="38" fontId="5" fillId="3" borderId="18" xfId="1" applyNumberFormat="1" applyFont="1" applyFill="1" applyBorder="1" applyAlignment="1">
      <alignment horizontal="center"/>
    </xf>
    <xf numFmtId="38" fontId="6" fillId="3" borderId="14" xfId="1" applyNumberFormat="1" applyFont="1" applyFill="1" applyBorder="1" applyAlignment="1">
      <alignment horizontal="center"/>
    </xf>
    <xf numFmtId="244" fontId="5" fillId="3" borderId="6" xfId="1" applyNumberFormat="1" applyFont="1" applyFill="1" applyBorder="1" applyAlignment="1">
      <alignment horizontal="center"/>
    </xf>
    <xf numFmtId="244" fontId="5" fillId="3" borderId="37" xfId="1" applyNumberFormat="1" applyFont="1" applyFill="1" applyBorder="1" applyAlignment="1">
      <alignment horizontal="center"/>
    </xf>
    <xf numFmtId="6" fontId="5" fillId="3" borderId="37" xfId="1" applyNumberFormat="1" applyFont="1" applyFill="1" applyBorder="1" applyAlignment="1">
      <alignment horizontal="center"/>
    </xf>
    <xf numFmtId="38" fontId="5" fillId="3" borderId="7" xfId="1" applyNumberFormat="1" applyFont="1" applyFill="1" applyBorder="1" applyAlignment="1">
      <alignment horizontal="center"/>
    </xf>
    <xf numFmtId="244" fontId="5" fillId="3" borderId="11" xfId="1" applyNumberFormat="1" applyFont="1" applyFill="1" applyBorder="1" applyAlignment="1">
      <alignment horizontal="center"/>
    </xf>
    <xf numFmtId="244" fontId="5" fillId="3" borderId="4" xfId="1" applyNumberFormat="1" applyFont="1" applyFill="1" applyBorder="1" applyAlignment="1">
      <alignment horizontal="center"/>
    </xf>
    <xf numFmtId="6" fontId="5" fillId="3" borderId="4" xfId="1" applyNumberFormat="1" applyFont="1" applyFill="1" applyBorder="1" applyAlignment="1">
      <alignment horizontal="center"/>
    </xf>
    <xf numFmtId="38" fontId="5" fillId="3" borderId="12" xfId="1" applyNumberFormat="1" applyFont="1" applyFill="1" applyBorder="1" applyAlignment="1">
      <alignment horizontal="center"/>
    </xf>
    <xf numFmtId="6" fontId="5" fillId="3" borderId="27" xfId="1" applyNumberFormat="1" applyFont="1" applyFill="1" applyBorder="1" applyAlignment="1">
      <alignment horizontal="center"/>
    </xf>
    <xf numFmtId="38" fontId="5" fillId="3" borderId="27" xfId="1" applyNumberFormat="1" applyFont="1" applyFill="1" applyBorder="1" applyAlignment="1">
      <alignment horizontal="center"/>
    </xf>
    <xf numFmtId="0" fontId="5" fillId="0" borderId="3" xfId="0" applyFont="1" applyFill="1" applyBorder="1"/>
    <xf numFmtId="6" fontId="5" fillId="0" borderId="21" xfId="0" applyNumberFormat="1" applyFont="1" applyFill="1" applyBorder="1" applyAlignment="1">
      <alignment horizontal="center"/>
    </xf>
    <xf numFmtId="6" fontId="5" fillId="0" borderId="3" xfId="0" applyNumberFormat="1" applyFont="1" applyFill="1" applyBorder="1" applyAlignment="1">
      <alignment horizontal="center"/>
    </xf>
    <xf numFmtId="6" fontId="5" fillId="0" borderId="33" xfId="0" applyNumberFormat="1" applyFont="1" applyBorder="1" applyAlignment="1">
      <alignment horizontal="center"/>
    </xf>
    <xf numFmtId="0" fontId="5" fillId="0" borderId="23" xfId="0" applyFont="1" applyBorder="1"/>
    <xf numFmtId="0" fontId="40" fillId="0" borderId="3" xfId="0" applyFont="1" applyFill="1" applyBorder="1" applyAlignment="1">
      <alignment horizontal="center"/>
    </xf>
    <xf numFmtId="0" fontId="5" fillId="3" borderId="13" xfId="0" applyFont="1" applyFill="1" applyBorder="1"/>
    <xf numFmtId="0" fontId="5" fillId="0" borderId="6" xfId="0" applyFont="1" applyBorder="1"/>
    <xf numFmtId="0" fontId="5" fillId="0" borderId="9" xfId="0" applyFont="1" applyBorder="1"/>
    <xf numFmtId="0" fontId="5" fillId="0" borderId="11" xfId="0" applyFont="1" applyBorder="1"/>
    <xf numFmtId="0" fontId="40" fillId="0" borderId="0" xfId="0" applyFont="1" applyAlignment="1">
      <alignment horizontal="center"/>
    </xf>
    <xf numFmtId="38" fontId="0" fillId="0" borderId="0" xfId="0" applyNumberFormat="1" applyBorder="1" applyAlignment="1">
      <alignment horizontal="center"/>
    </xf>
    <xf numFmtId="38" fontId="5" fillId="3" borderId="18" xfId="0" applyNumberFormat="1" applyFont="1" applyFill="1" applyBorder="1" applyAlignment="1">
      <alignment horizontal="center"/>
    </xf>
    <xf numFmtId="38" fontId="5" fillId="3" borderId="14" xfId="0" applyNumberFormat="1" applyFont="1" applyFill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0" fillId="0" borderId="11" xfId="0" applyBorder="1"/>
    <xf numFmtId="38" fontId="0" fillId="0" borderId="4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37" xfId="0" applyNumberFormat="1" applyBorder="1" applyAlignment="1">
      <alignment horizontal="center"/>
    </xf>
    <xf numFmtId="251" fontId="40" fillId="0" borderId="0" xfId="0" applyNumberFormat="1" applyFont="1" applyAlignment="1">
      <alignment horizontal="center"/>
    </xf>
    <xf numFmtId="38" fontId="0" fillId="4" borderId="37" xfId="0" applyNumberFormat="1" applyFill="1" applyBorder="1" applyAlignment="1">
      <alignment horizontal="center"/>
    </xf>
    <xf numFmtId="38" fontId="0" fillId="4" borderId="0" xfId="0" applyNumberFormat="1" applyFill="1" applyBorder="1" applyAlignment="1">
      <alignment horizontal="center"/>
    </xf>
    <xf numFmtId="6" fontId="5" fillId="4" borderId="25" xfId="0" applyNumberFormat="1" applyFont="1" applyFill="1" applyBorder="1" applyAlignment="1">
      <alignment horizontal="center"/>
    </xf>
    <xf numFmtId="6" fontId="5" fillId="4" borderId="21" xfId="0" applyNumberFormat="1" applyFont="1" applyFill="1" applyBorder="1" applyAlignment="1">
      <alignment horizontal="center"/>
    </xf>
    <xf numFmtId="0" fontId="6" fillId="8" borderId="35" xfId="0" applyFont="1" applyFill="1" applyBorder="1"/>
    <xf numFmtId="0" fontId="6" fillId="8" borderId="23" xfId="0" applyFont="1" applyFill="1" applyBorder="1"/>
    <xf numFmtId="249" fontId="5" fillId="0" borderId="0" xfId="0" applyNumberFormat="1" applyFont="1" applyFill="1" applyBorder="1" applyAlignment="1">
      <alignment horizontal="left"/>
    </xf>
    <xf numFmtId="220" fontId="5" fillId="0" borderId="0" xfId="0" applyNumberFormat="1" applyFont="1"/>
    <xf numFmtId="38" fontId="0" fillId="0" borderId="0" xfId="0" applyNumberFormat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Currency_TopPage multi Post ID" xf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733425</xdr:colOff>
          <xdr:row>5</xdr:row>
          <xdr:rowOff>66675</xdr:rowOff>
        </xdr:from>
        <xdr:to>
          <xdr:col>0</xdr:col>
          <xdr:colOff>1809750</xdr:colOff>
          <xdr:row>8</xdr:row>
          <xdr:rowOff>28575</xdr:rowOff>
        </xdr:to>
        <xdr:sp macro="" textlink="">
          <xdr:nvSpPr>
            <xdr:cNvPr id="1039" name="CommandButton1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DD3192D-BCD6-014F-99E6-041E2E23D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190500</xdr:rowOff>
        </xdr:from>
        <xdr:to>
          <xdr:col>16</xdr:col>
          <xdr:colOff>66675</xdr:colOff>
          <xdr:row>4</xdr:row>
          <xdr:rowOff>114300</xdr:rowOff>
        </xdr:to>
        <xdr:sp macro="" textlink="">
          <xdr:nvSpPr>
            <xdr:cNvPr id="1040" name="CommandButton2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BB04467-8A1F-7209-E389-60370BDDAA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1</xdr:row>
          <xdr:rowOff>0</xdr:rowOff>
        </xdr:from>
        <xdr:to>
          <xdr:col>12</xdr:col>
          <xdr:colOff>9525</xdr:colOff>
          <xdr:row>4</xdr:row>
          <xdr:rowOff>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3767EED9-E9BD-9B04-E499-E5C11701A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Prior 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A%20Flash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2000%20P&amp;L's/0700/CE07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POSTID/2000/EMWPostI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 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Top Pages"/>
      <sheetName val="WeaponX"/>
      <sheetName val="Physical"/>
      <sheetName val="Demand"/>
      <sheetName val="Fin_Midcon"/>
      <sheetName val="Fin_Midcon2"/>
      <sheetName val="Fin_Mkt1"/>
      <sheetName val="Fin_Mkt2"/>
      <sheetName val="Fin_Trans"/>
      <sheetName val="GD-Transport"/>
      <sheetName val="Fin_Gulf"/>
      <sheetName val="Fin_Mgmt"/>
      <sheetName val="Fin_Orig"/>
      <sheetName val="Fin_Totals"/>
      <sheetName val="Origination"/>
      <sheetName val="Other"/>
      <sheetName val="P&amp;L"/>
      <sheetName val="Central P&amp;L"/>
      <sheetName val="P&amp;L Prior"/>
      <sheetName val="OA Flash"/>
      <sheetName val="DeskLevel"/>
      <sheetName val="Daily Macro"/>
      <sheetName val="Monthly Macro"/>
      <sheetName val="TopPag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E6">
            <v>0</v>
          </cell>
        </row>
        <row r="20">
          <cell r="E20">
            <v>0</v>
          </cell>
        </row>
        <row r="27">
          <cell r="E27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W-May00"/>
      <sheetName val="EMW-Jun00"/>
      <sheetName val="EMW-Jul00"/>
      <sheetName val="EMW-Aug00"/>
      <sheetName val="EMW-Sep00"/>
    </sheetNames>
    <sheetDataSet>
      <sheetData sheetId="0"/>
      <sheetData sheetId="1"/>
      <sheetData sheetId="2"/>
      <sheetData sheetId="3"/>
      <sheetData sheetId="4">
        <row r="5">
          <cell r="A5">
            <v>36770</v>
          </cell>
          <cell r="B5">
            <v>1</v>
          </cell>
          <cell r="C5">
            <v>5</v>
          </cell>
          <cell r="D5">
            <v>6</v>
          </cell>
          <cell r="E5" t="str">
            <v>-1</v>
          </cell>
          <cell r="F5">
            <v>879969</v>
          </cell>
          <cell r="G5">
            <v>879972</v>
          </cell>
          <cell r="H5">
            <v>879974</v>
          </cell>
          <cell r="I5">
            <v>0</v>
          </cell>
          <cell r="J5">
            <v>879975</v>
          </cell>
          <cell r="K5">
            <v>879978</v>
          </cell>
          <cell r="L5">
            <v>879979</v>
          </cell>
          <cell r="M5">
            <v>0</v>
          </cell>
          <cell r="N5">
            <v>0</v>
          </cell>
          <cell r="O5">
            <v>64485</v>
          </cell>
          <cell r="P5">
            <v>879956</v>
          </cell>
          <cell r="Q5">
            <v>879957</v>
          </cell>
          <cell r="R5">
            <v>879958</v>
          </cell>
          <cell r="S5">
            <v>879959</v>
          </cell>
          <cell r="T5">
            <v>879960</v>
          </cell>
          <cell r="U5">
            <v>879961</v>
          </cell>
          <cell r="V5">
            <v>879962</v>
          </cell>
          <cell r="W5">
            <v>879963</v>
          </cell>
          <cell r="X5">
            <v>879964</v>
          </cell>
          <cell r="Y5">
            <v>879965</v>
          </cell>
          <cell r="Z5">
            <v>879966</v>
          </cell>
          <cell r="AA5">
            <v>879967</v>
          </cell>
          <cell r="AB5">
            <v>59506</v>
          </cell>
          <cell r="AD5">
            <v>60253</v>
          </cell>
        </row>
        <row r="6">
          <cell r="A6">
            <v>36774</v>
          </cell>
          <cell r="B6">
            <v>5</v>
          </cell>
          <cell r="C6">
            <v>6</v>
          </cell>
          <cell r="D6">
            <v>7</v>
          </cell>
          <cell r="E6" t="str">
            <v>-1</v>
          </cell>
          <cell r="F6">
            <v>881258</v>
          </cell>
          <cell r="G6">
            <v>882159</v>
          </cell>
          <cell r="H6">
            <v>881305</v>
          </cell>
          <cell r="I6">
            <v>0</v>
          </cell>
          <cell r="J6">
            <v>881262</v>
          </cell>
          <cell r="K6">
            <v>881263</v>
          </cell>
          <cell r="L6">
            <v>881264</v>
          </cell>
          <cell r="M6">
            <v>0</v>
          </cell>
          <cell r="N6">
            <v>0</v>
          </cell>
          <cell r="O6">
            <v>64597</v>
          </cell>
          <cell r="P6">
            <v>881265</v>
          </cell>
          <cell r="Q6">
            <v>881266</v>
          </cell>
          <cell r="R6">
            <v>881267</v>
          </cell>
          <cell r="S6">
            <v>881268</v>
          </cell>
          <cell r="T6">
            <v>881269</v>
          </cell>
          <cell r="U6">
            <v>881270</v>
          </cell>
          <cell r="V6">
            <v>881271</v>
          </cell>
          <cell r="W6">
            <v>881272</v>
          </cell>
          <cell r="X6">
            <v>881273</v>
          </cell>
          <cell r="Y6">
            <v>881274</v>
          </cell>
          <cell r="Z6">
            <v>881275</v>
          </cell>
          <cell r="AA6">
            <v>881276</v>
          </cell>
          <cell r="AB6" t="str">
            <v>NSS1</v>
          </cell>
          <cell r="AD6" t="str">
            <v>(P-833337)</v>
          </cell>
        </row>
        <row r="7">
          <cell r="A7">
            <v>36775</v>
          </cell>
          <cell r="B7">
            <v>6</v>
          </cell>
          <cell r="C7">
            <v>7</v>
          </cell>
          <cell r="D7">
            <v>8</v>
          </cell>
          <cell r="E7" t="str">
            <v>-1</v>
          </cell>
          <cell r="F7">
            <v>882302</v>
          </cell>
          <cell r="G7">
            <v>0</v>
          </cell>
          <cell r="H7">
            <v>882324</v>
          </cell>
          <cell r="I7">
            <v>4</v>
          </cell>
          <cell r="J7">
            <v>882326</v>
          </cell>
          <cell r="K7">
            <v>882327</v>
          </cell>
          <cell r="L7">
            <v>882328</v>
          </cell>
          <cell r="M7">
            <v>4</v>
          </cell>
          <cell r="N7">
            <v>0</v>
          </cell>
          <cell r="O7">
            <v>64719</v>
          </cell>
          <cell r="P7">
            <v>882330</v>
          </cell>
          <cell r="Q7">
            <v>882331</v>
          </cell>
          <cell r="R7">
            <v>882332</v>
          </cell>
          <cell r="S7">
            <v>882333</v>
          </cell>
          <cell r="T7">
            <v>882334</v>
          </cell>
          <cell r="U7">
            <v>882335</v>
          </cell>
          <cell r="V7">
            <v>882336</v>
          </cell>
          <cell r="W7">
            <v>882337</v>
          </cell>
          <cell r="X7">
            <v>882338</v>
          </cell>
          <cell r="Y7">
            <v>882339</v>
          </cell>
          <cell r="Z7">
            <v>882340</v>
          </cell>
          <cell r="AA7">
            <v>882341</v>
          </cell>
          <cell r="AB7" t="str">
            <v>(P-824419)</v>
          </cell>
          <cell r="AD7" t="str">
            <v>(B-833338)</v>
          </cell>
        </row>
        <row r="8">
          <cell r="A8">
            <v>36776</v>
          </cell>
          <cell r="B8">
            <v>7</v>
          </cell>
          <cell r="C8">
            <v>8</v>
          </cell>
          <cell r="D8">
            <v>9</v>
          </cell>
          <cell r="E8" t="str">
            <v>-1</v>
          </cell>
          <cell r="F8">
            <v>883208</v>
          </cell>
          <cell r="G8">
            <v>883216</v>
          </cell>
          <cell r="H8">
            <v>883219</v>
          </cell>
          <cell r="I8">
            <v>5</v>
          </cell>
          <cell r="J8">
            <v>883221</v>
          </cell>
          <cell r="K8">
            <v>883225</v>
          </cell>
          <cell r="L8">
            <v>883227</v>
          </cell>
          <cell r="M8">
            <v>5</v>
          </cell>
          <cell r="N8">
            <v>4</v>
          </cell>
          <cell r="O8">
            <v>64789</v>
          </cell>
          <cell r="P8">
            <v>883228</v>
          </cell>
          <cell r="Q8">
            <v>883229</v>
          </cell>
          <cell r="R8">
            <v>883230</v>
          </cell>
          <cell r="S8">
            <v>883231</v>
          </cell>
          <cell r="T8">
            <v>883232</v>
          </cell>
          <cell r="U8">
            <v>883233</v>
          </cell>
          <cell r="V8">
            <v>883234</v>
          </cell>
          <cell r="W8">
            <v>883235</v>
          </cell>
          <cell r="X8">
            <v>883236</v>
          </cell>
          <cell r="Y8">
            <v>883237</v>
          </cell>
          <cell r="Z8">
            <v>883238</v>
          </cell>
          <cell r="AA8">
            <v>883239</v>
          </cell>
          <cell r="AB8" t="str">
            <v>(B-824420)</v>
          </cell>
          <cell r="AD8" t="str">
            <v>(I-833339)</v>
          </cell>
        </row>
        <row r="9">
          <cell r="A9">
            <v>36777</v>
          </cell>
          <cell r="B9">
            <v>8</v>
          </cell>
          <cell r="C9">
            <v>11</v>
          </cell>
          <cell r="D9">
            <v>12</v>
          </cell>
          <cell r="E9" t="str">
            <v>-1</v>
          </cell>
          <cell r="F9">
            <v>883843</v>
          </cell>
          <cell r="G9">
            <v>883844</v>
          </cell>
          <cell r="H9">
            <v>883861</v>
          </cell>
          <cell r="I9">
            <v>6</v>
          </cell>
          <cell r="J9">
            <v>884580</v>
          </cell>
          <cell r="K9">
            <v>884581</v>
          </cell>
          <cell r="L9">
            <v>884582</v>
          </cell>
          <cell r="M9">
            <v>6</v>
          </cell>
          <cell r="N9">
            <v>5</v>
          </cell>
          <cell r="O9">
            <v>64938</v>
          </cell>
          <cell r="P9">
            <v>884614</v>
          </cell>
          <cell r="Q9">
            <v>884615</v>
          </cell>
          <cell r="R9">
            <v>884616</v>
          </cell>
          <cell r="S9">
            <v>884617</v>
          </cell>
          <cell r="T9">
            <v>884618</v>
          </cell>
          <cell r="U9">
            <v>884619</v>
          </cell>
          <cell r="V9">
            <v>884620</v>
          </cell>
          <cell r="W9">
            <v>884621</v>
          </cell>
          <cell r="X9">
            <v>884622</v>
          </cell>
          <cell r="Y9">
            <v>884623</v>
          </cell>
          <cell r="Z9">
            <v>884624</v>
          </cell>
          <cell r="AA9">
            <v>884625</v>
          </cell>
          <cell r="AB9" t="str">
            <v>(I-824421)</v>
          </cell>
        </row>
        <row r="10">
          <cell r="A10">
            <v>36780</v>
          </cell>
          <cell r="B10">
            <v>11</v>
          </cell>
          <cell r="C10">
            <v>12</v>
          </cell>
          <cell r="D10">
            <v>13</v>
          </cell>
          <cell r="E10" t="str">
            <v>-1</v>
          </cell>
          <cell r="F10">
            <v>885192</v>
          </cell>
          <cell r="G10">
            <v>885193</v>
          </cell>
          <cell r="H10">
            <v>885194</v>
          </cell>
          <cell r="I10">
            <v>7</v>
          </cell>
          <cell r="J10">
            <v>885235</v>
          </cell>
          <cell r="K10">
            <v>885237</v>
          </cell>
          <cell r="L10">
            <v>885238</v>
          </cell>
          <cell r="M10">
            <v>7</v>
          </cell>
          <cell r="N10">
            <v>6</v>
          </cell>
          <cell r="O10">
            <v>65010</v>
          </cell>
          <cell r="P10">
            <v>885342</v>
          </cell>
          <cell r="Q10">
            <v>885343</v>
          </cell>
          <cell r="R10">
            <v>885344</v>
          </cell>
          <cell r="S10">
            <v>885345</v>
          </cell>
          <cell r="T10">
            <v>885346</v>
          </cell>
          <cell r="U10">
            <v>885347</v>
          </cell>
          <cell r="V10">
            <v>885348</v>
          </cell>
          <cell r="W10">
            <v>885349</v>
          </cell>
          <cell r="X10">
            <v>885350</v>
          </cell>
          <cell r="Y10">
            <v>885351</v>
          </cell>
          <cell r="Z10">
            <v>885352</v>
          </cell>
          <cell r="AA10">
            <v>885353</v>
          </cell>
          <cell r="AB10" t="str">
            <v>NSS2</v>
          </cell>
          <cell r="AD10" t="str">
            <v>NSS FT Calc</v>
          </cell>
        </row>
        <row r="11">
          <cell r="A11">
            <v>36781</v>
          </cell>
          <cell r="B11">
            <v>12</v>
          </cell>
          <cell r="C11">
            <v>13</v>
          </cell>
          <cell r="D11">
            <v>14</v>
          </cell>
          <cell r="E11" t="str">
            <v>-1</v>
          </cell>
          <cell r="F11">
            <v>885940</v>
          </cell>
          <cell r="G11">
            <v>885941</v>
          </cell>
          <cell r="H11">
            <v>885942</v>
          </cell>
          <cell r="I11">
            <v>10</v>
          </cell>
          <cell r="J11">
            <v>885943</v>
          </cell>
          <cell r="K11">
            <v>885944</v>
          </cell>
          <cell r="L11">
            <v>885945</v>
          </cell>
          <cell r="M11">
            <v>10</v>
          </cell>
          <cell r="N11">
            <v>7</v>
          </cell>
          <cell r="O11">
            <v>65062</v>
          </cell>
          <cell r="P11">
            <v>885949</v>
          </cell>
          <cell r="Q11">
            <v>885950</v>
          </cell>
          <cell r="R11">
            <v>885951</v>
          </cell>
          <cell r="S11">
            <v>885952</v>
          </cell>
          <cell r="T11">
            <v>885953</v>
          </cell>
          <cell r="U11">
            <v>885954</v>
          </cell>
          <cell r="V11">
            <v>885955</v>
          </cell>
          <cell r="W11">
            <v>885956</v>
          </cell>
          <cell r="X11">
            <v>885957</v>
          </cell>
          <cell r="Y11">
            <v>885958</v>
          </cell>
          <cell r="Z11">
            <v>885959</v>
          </cell>
          <cell r="AA11">
            <v>885960</v>
          </cell>
          <cell r="AB11" t="str">
            <v>(P-824422)</v>
          </cell>
          <cell r="AD11" t="str">
            <v>(Positions s/b 0)</v>
          </cell>
        </row>
        <row r="12">
          <cell r="A12">
            <v>36782</v>
          </cell>
          <cell r="B12">
            <v>13</v>
          </cell>
          <cell r="C12">
            <v>14</v>
          </cell>
          <cell r="D12">
            <v>15</v>
          </cell>
          <cell r="E12" t="str">
            <v>-1</v>
          </cell>
          <cell r="F12">
            <v>887674</v>
          </cell>
          <cell r="G12">
            <v>887675</v>
          </cell>
          <cell r="H12">
            <v>887676</v>
          </cell>
          <cell r="I12">
            <v>11</v>
          </cell>
          <cell r="J12">
            <v>887677</v>
          </cell>
          <cell r="K12">
            <v>887678</v>
          </cell>
          <cell r="L12">
            <v>887900</v>
          </cell>
          <cell r="M12">
            <v>11</v>
          </cell>
          <cell r="N12">
            <v>10</v>
          </cell>
          <cell r="O12">
            <v>65205</v>
          </cell>
          <cell r="P12">
            <v>887681</v>
          </cell>
          <cell r="Q12">
            <v>887682</v>
          </cell>
          <cell r="R12">
            <v>887683</v>
          </cell>
          <cell r="S12">
            <v>887684</v>
          </cell>
          <cell r="T12">
            <v>887685</v>
          </cell>
          <cell r="U12">
            <v>887686</v>
          </cell>
          <cell r="V12">
            <v>887687</v>
          </cell>
          <cell r="W12">
            <v>887688</v>
          </cell>
          <cell r="X12">
            <v>887689</v>
          </cell>
          <cell r="Y12">
            <v>887690</v>
          </cell>
          <cell r="Z12">
            <v>887691</v>
          </cell>
          <cell r="AA12">
            <v>887692</v>
          </cell>
          <cell r="AB12" t="str">
            <v>(B-824423)</v>
          </cell>
          <cell r="AD12">
            <v>60762</v>
          </cell>
        </row>
        <row r="13">
          <cell r="A13">
            <v>36783</v>
          </cell>
          <cell r="B13">
            <v>14</v>
          </cell>
          <cell r="C13">
            <v>15</v>
          </cell>
          <cell r="D13">
            <v>16</v>
          </cell>
          <cell r="E13" t="str">
            <v>-1</v>
          </cell>
          <cell r="F13">
            <v>888072</v>
          </cell>
          <cell r="G13">
            <v>888073</v>
          </cell>
          <cell r="H13">
            <v>888074</v>
          </cell>
          <cell r="I13">
            <v>12</v>
          </cell>
          <cell r="J13">
            <v>888075</v>
          </cell>
          <cell r="K13">
            <v>888076</v>
          </cell>
          <cell r="L13">
            <v>888077</v>
          </cell>
          <cell r="M13">
            <v>12</v>
          </cell>
          <cell r="N13">
            <v>11</v>
          </cell>
          <cell r="O13">
            <v>65244</v>
          </cell>
          <cell r="P13">
            <v>888086</v>
          </cell>
          <cell r="Q13">
            <v>888087</v>
          </cell>
          <cell r="R13">
            <v>888088</v>
          </cell>
          <cell r="S13">
            <v>888089</v>
          </cell>
          <cell r="T13">
            <v>888090</v>
          </cell>
          <cell r="U13">
            <v>888091</v>
          </cell>
          <cell r="V13">
            <v>888092</v>
          </cell>
          <cell r="W13">
            <v>888093</v>
          </cell>
          <cell r="X13">
            <v>888094</v>
          </cell>
          <cell r="Y13">
            <v>888095</v>
          </cell>
          <cell r="Z13">
            <v>888096</v>
          </cell>
          <cell r="AA13">
            <v>888097</v>
          </cell>
          <cell r="AB13" t="str">
            <v>(I-824424)</v>
          </cell>
          <cell r="AD13" t="str">
            <v>(P-838596)</v>
          </cell>
        </row>
        <row r="14">
          <cell r="A14">
            <v>36784</v>
          </cell>
          <cell r="B14">
            <v>15</v>
          </cell>
          <cell r="C14">
            <v>18</v>
          </cell>
          <cell r="D14">
            <v>19</v>
          </cell>
          <cell r="E14" t="str">
            <v>-1</v>
          </cell>
          <cell r="F14">
            <v>889552</v>
          </cell>
          <cell r="G14">
            <v>889553</v>
          </cell>
          <cell r="H14">
            <v>889555</v>
          </cell>
          <cell r="I14">
            <v>13</v>
          </cell>
          <cell r="J14">
            <v>889564</v>
          </cell>
          <cell r="K14">
            <v>889565</v>
          </cell>
          <cell r="L14">
            <v>889567</v>
          </cell>
          <cell r="M14">
            <v>13</v>
          </cell>
          <cell r="N14">
            <v>12</v>
          </cell>
          <cell r="O14">
            <v>65377</v>
          </cell>
          <cell r="P14">
            <v>889571</v>
          </cell>
          <cell r="Q14">
            <v>889572</v>
          </cell>
          <cell r="R14">
            <v>889573</v>
          </cell>
          <cell r="S14">
            <v>889574</v>
          </cell>
          <cell r="T14">
            <v>889575</v>
          </cell>
          <cell r="U14">
            <v>889576</v>
          </cell>
          <cell r="V14">
            <v>889577</v>
          </cell>
          <cell r="W14">
            <v>889578</v>
          </cell>
          <cell r="X14">
            <v>889579</v>
          </cell>
          <cell r="Y14">
            <v>889580</v>
          </cell>
          <cell r="Z14">
            <v>889581</v>
          </cell>
          <cell r="AA14">
            <v>889582</v>
          </cell>
          <cell r="AB14" t="str">
            <v>MEH</v>
          </cell>
          <cell r="AD14" t="str">
            <v>(B-838597)</v>
          </cell>
        </row>
        <row r="15">
          <cell r="A15">
            <v>36787</v>
          </cell>
          <cell r="B15">
            <v>18</v>
          </cell>
          <cell r="C15">
            <v>19</v>
          </cell>
          <cell r="D15">
            <v>20</v>
          </cell>
          <cell r="E15" t="str">
            <v>-1</v>
          </cell>
          <cell r="F15">
            <v>890375</v>
          </cell>
          <cell r="G15">
            <v>890380</v>
          </cell>
          <cell r="H15">
            <v>890381</v>
          </cell>
          <cell r="I15">
            <v>14</v>
          </cell>
          <cell r="J15">
            <v>890382</v>
          </cell>
          <cell r="K15">
            <v>890395</v>
          </cell>
          <cell r="L15">
            <v>890403</v>
          </cell>
          <cell r="M15">
            <v>14</v>
          </cell>
          <cell r="N15">
            <v>13</v>
          </cell>
          <cell r="O15">
            <v>65468</v>
          </cell>
          <cell r="P15">
            <v>890415</v>
          </cell>
          <cell r="Q15">
            <v>890416</v>
          </cell>
          <cell r="R15">
            <v>890417</v>
          </cell>
          <cell r="S15">
            <v>890418</v>
          </cell>
          <cell r="T15">
            <v>890419</v>
          </cell>
          <cell r="U15">
            <v>890420</v>
          </cell>
          <cell r="V15">
            <v>890421</v>
          </cell>
          <cell r="W15">
            <v>890422</v>
          </cell>
          <cell r="X15">
            <v>890423</v>
          </cell>
          <cell r="Y15">
            <v>890424</v>
          </cell>
          <cell r="Z15">
            <v>890425</v>
          </cell>
          <cell r="AA15">
            <v>890426</v>
          </cell>
          <cell r="AB15" t="str">
            <v>(P-824425)</v>
          </cell>
          <cell r="AD15" t="str">
            <v>(I-838598)</v>
          </cell>
        </row>
        <row r="16">
          <cell r="A16">
            <v>36788</v>
          </cell>
          <cell r="B16">
            <v>19</v>
          </cell>
          <cell r="C16">
            <v>20</v>
          </cell>
          <cell r="D16">
            <v>21</v>
          </cell>
          <cell r="E16" t="str">
            <v>-1</v>
          </cell>
          <cell r="F16">
            <v>891572</v>
          </cell>
          <cell r="G16">
            <v>891573</v>
          </cell>
          <cell r="H16">
            <v>891574</v>
          </cell>
          <cell r="I16">
            <v>17</v>
          </cell>
          <cell r="J16">
            <v>891576</v>
          </cell>
          <cell r="K16">
            <v>891577</v>
          </cell>
          <cell r="L16">
            <v>891578</v>
          </cell>
          <cell r="M16">
            <v>17</v>
          </cell>
          <cell r="N16">
            <v>14</v>
          </cell>
          <cell r="O16">
            <v>65571</v>
          </cell>
          <cell r="P16">
            <v>891579</v>
          </cell>
          <cell r="Q16">
            <v>891580</v>
          </cell>
          <cell r="R16">
            <v>891581</v>
          </cell>
          <cell r="S16">
            <v>891582</v>
          </cell>
          <cell r="T16">
            <v>891583</v>
          </cell>
          <cell r="U16">
            <v>891584</v>
          </cell>
          <cell r="V16">
            <v>891585</v>
          </cell>
          <cell r="W16">
            <v>891586</v>
          </cell>
          <cell r="X16">
            <v>891587</v>
          </cell>
          <cell r="Y16">
            <v>891588</v>
          </cell>
          <cell r="Z16">
            <v>891589</v>
          </cell>
          <cell r="AA16">
            <v>891590</v>
          </cell>
          <cell r="AB16" t="str">
            <v>(B-824426)</v>
          </cell>
          <cell r="AD16" t="str">
            <v>MEH FT Calc</v>
          </cell>
        </row>
        <row r="17">
          <cell r="A17">
            <v>36789</v>
          </cell>
          <cell r="B17">
            <v>20</v>
          </cell>
          <cell r="C17">
            <v>21</v>
          </cell>
          <cell r="D17">
            <v>22</v>
          </cell>
          <cell r="E17" t="str">
            <v>-1</v>
          </cell>
          <cell r="F17">
            <v>893212</v>
          </cell>
          <cell r="G17">
            <v>893213</v>
          </cell>
          <cell r="H17">
            <v>893214</v>
          </cell>
          <cell r="I17">
            <v>18</v>
          </cell>
          <cell r="J17">
            <v>893215</v>
          </cell>
          <cell r="K17">
            <v>893216</v>
          </cell>
          <cell r="L17">
            <v>893217</v>
          </cell>
          <cell r="M17">
            <v>18</v>
          </cell>
          <cell r="N17">
            <v>17</v>
          </cell>
          <cell r="O17">
            <v>65743</v>
          </cell>
          <cell r="P17">
            <v>893218</v>
          </cell>
          <cell r="Q17">
            <v>893219</v>
          </cell>
          <cell r="R17">
            <v>893220</v>
          </cell>
          <cell r="S17">
            <v>893221</v>
          </cell>
          <cell r="T17">
            <v>893222</v>
          </cell>
          <cell r="U17">
            <v>893223</v>
          </cell>
          <cell r="V17">
            <v>893224</v>
          </cell>
          <cell r="W17">
            <v>893225</v>
          </cell>
          <cell r="X17">
            <v>893226</v>
          </cell>
          <cell r="Y17">
            <v>893227</v>
          </cell>
          <cell r="Z17">
            <v>893228</v>
          </cell>
          <cell r="AA17">
            <v>893229</v>
          </cell>
          <cell r="AB17" t="str">
            <v>(I-824427)</v>
          </cell>
          <cell r="AD17" t="str">
            <v>(Positions s/b 0)</v>
          </cell>
        </row>
        <row r="18">
          <cell r="A18">
            <v>36790</v>
          </cell>
          <cell r="B18">
            <v>21</v>
          </cell>
          <cell r="C18">
            <v>22</v>
          </cell>
          <cell r="D18">
            <v>23</v>
          </cell>
          <cell r="E18" t="str">
            <v>-1</v>
          </cell>
          <cell r="F18">
            <v>893608</v>
          </cell>
          <cell r="G18">
            <v>893609</v>
          </cell>
          <cell r="H18">
            <v>893610</v>
          </cell>
          <cell r="I18">
            <v>19</v>
          </cell>
          <cell r="J18">
            <v>893611</v>
          </cell>
          <cell r="K18">
            <v>893612</v>
          </cell>
          <cell r="L18">
            <v>893613</v>
          </cell>
          <cell r="M18">
            <v>19</v>
          </cell>
          <cell r="N18">
            <v>18</v>
          </cell>
          <cell r="O18">
            <v>65765</v>
          </cell>
          <cell r="P18">
            <v>893621</v>
          </cell>
          <cell r="Q18">
            <v>893622</v>
          </cell>
          <cell r="R18">
            <v>893623</v>
          </cell>
          <cell r="S18">
            <v>893624</v>
          </cell>
          <cell r="T18">
            <v>893625</v>
          </cell>
          <cell r="U18">
            <v>893626</v>
          </cell>
          <cell r="V18">
            <v>893627</v>
          </cell>
          <cell r="W18">
            <v>893628</v>
          </cell>
          <cell r="X18">
            <v>893629</v>
          </cell>
          <cell r="Y18">
            <v>893630</v>
          </cell>
          <cell r="Z18">
            <v>893631</v>
          </cell>
          <cell r="AA18">
            <v>893632</v>
          </cell>
          <cell r="AB18" t="str">
            <v>TP</v>
          </cell>
          <cell r="AD18">
            <v>64053</v>
          </cell>
        </row>
        <row r="19">
          <cell r="A19">
            <v>36791</v>
          </cell>
          <cell r="B19">
            <v>22</v>
          </cell>
          <cell r="C19">
            <v>25</v>
          </cell>
          <cell r="D19">
            <v>26</v>
          </cell>
          <cell r="E19" t="str">
            <v>-1</v>
          </cell>
          <cell r="F19">
            <v>0</v>
          </cell>
          <cell r="G19">
            <v>0</v>
          </cell>
          <cell r="H19">
            <v>0</v>
          </cell>
          <cell r="I19">
            <v>20</v>
          </cell>
          <cell r="J19">
            <v>0</v>
          </cell>
          <cell r="K19">
            <v>0</v>
          </cell>
          <cell r="L19">
            <v>0</v>
          </cell>
          <cell r="M19">
            <v>20</v>
          </cell>
          <cell r="N19">
            <v>19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4</v>
          </cell>
          <cell r="U19">
            <v>5</v>
          </cell>
          <cell r="V19">
            <v>6</v>
          </cell>
          <cell r="W19">
            <v>7</v>
          </cell>
          <cell r="X19">
            <v>8</v>
          </cell>
          <cell r="Y19">
            <v>9</v>
          </cell>
          <cell r="Z19">
            <v>10</v>
          </cell>
          <cell r="AA19">
            <v>11</v>
          </cell>
          <cell r="AB19" t="str">
            <v>(P-824428)</v>
          </cell>
          <cell r="AD19">
            <v>874095</v>
          </cell>
        </row>
        <row r="20">
          <cell r="A20">
            <v>36794</v>
          </cell>
          <cell r="B20">
            <v>25</v>
          </cell>
          <cell r="C20">
            <v>26</v>
          </cell>
          <cell r="D20">
            <v>27</v>
          </cell>
          <cell r="E20" t="str">
            <v>-1</v>
          </cell>
          <cell r="F20">
            <v>0</v>
          </cell>
          <cell r="G20">
            <v>0</v>
          </cell>
          <cell r="H20">
            <v>0</v>
          </cell>
          <cell r="I20">
            <v>21</v>
          </cell>
          <cell r="J20">
            <v>0</v>
          </cell>
          <cell r="K20">
            <v>0</v>
          </cell>
          <cell r="L20">
            <v>0</v>
          </cell>
          <cell r="M20">
            <v>21</v>
          </cell>
          <cell r="N20">
            <v>20</v>
          </cell>
          <cell r="O20">
            <v>0</v>
          </cell>
          <cell r="P20">
            <v>0</v>
          </cell>
          <cell r="Q20">
            <v>1</v>
          </cell>
          <cell r="R20">
            <v>2</v>
          </cell>
          <cell r="S20">
            <v>3</v>
          </cell>
          <cell r="T20">
            <v>4</v>
          </cell>
          <cell r="U20">
            <v>5</v>
          </cell>
          <cell r="V20">
            <v>6</v>
          </cell>
          <cell r="W20">
            <v>7</v>
          </cell>
          <cell r="X20">
            <v>8</v>
          </cell>
          <cell r="Y20">
            <v>9</v>
          </cell>
          <cell r="Z20">
            <v>10</v>
          </cell>
          <cell r="AA20">
            <v>11</v>
          </cell>
          <cell r="AB20" t="str">
            <v>(B-824429)</v>
          </cell>
          <cell r="AD20">
            <v>874096</v>
          </cell>
        </row>
        <row r="21">
          <cell r="A21">
            <v>36795</v>
          </cell>
          <cell r="B21">
            <v>26</v>
          </cell>
          <cell r="C21">
            <v>27</v>
          </cell>
          <cell r="D21">
            <v>28</v>
          </cell>
          <cell r="E21" t="str">
            <v>Nov-1</v>
          </cell>
          <cell r="F21">
            <v>0</v>
          </cell>
          <cell r="G21">
            <v>0</v>
          </cell>
          <cell r="H21">
            <v>0</v>
          </cell>
          <cell r="I21">
            <v>24</v>
          </cell>
          <cell r="J21">
            <v>0</v>
          </cell>
          <cell r="K21">
            <v>0</v>
          </cell>
          <cell r="L21">
            <v>0</v>
          </cell>
          <cell r="M21">
            <v>24</v>
          </cell>
          <cell r="N21">
            <v>21</v>
          </cell>
          <cell r="O21">
            <v>0</v>
          </cell>
          <cell r="P21">
            <v>0</v>
          </cell>
          <cell r="Q21">
            <v>1</v>
          </cell>
          <cell r="R21">
            <v>2</v>
          </cell>
          <cell r="S21">
            <v>3</v>
          </cell>
          <cell r="T21">
            <v>4</v>
          </cell>
          <cell r="U21">
            <v>5</v>
          </cell>
          <cell r="V21">
            <v>6</v>
          </cell>
          <cell r="W21">
            <v>7</v>
          </cell>
          <cell r="X21">
            <v>8</v>
          </cell>
          <cell r="Y21">
            <v>9</v>
          </cell>
          <cell r="Z21">
            <v>10</v>
          </cell>
          <cell r="AA21">
            <v>11</v>
          </cell>
          <cell r="AB21" t="str">
            <v>(I-824430)</v>
          </cell>
          <cell r="AD21">
            <v>874097</v>
          </cell>
          <cell r="AF21" t="str">
            <v xml:space="preserve"> </v>
          </cell>
        </row>
        <row r="22">
          <cell r="A22">
            <v>36796</v>
          </cell>
          <cell r="B22">
            <v>27</v>
          </cell>
          <cell r="C22">
            <v>28</v>
          </cell>
          <cell r="D22">
            <v>29</v>
          </cell>
          <cell r="E22" t="str">
            <v>Nov-1</v>
          </cell>
          <cell r="F22">
            <v>0</v>
          </cell>
          <cell r="G22">
            <v>0</v>
          </cell>
          <cell r="H22">
            <v>0</v>
          </cell>
          <cell r="I22">
            <v>25</v>
          </cell>
          <cell r="J22">
            <v>0</v>
          </cell>
          <cell r="K22">
            <v>0</v>
          </cell>
          <cell r="L22">
            <v>0</v>
          </cell>
          <cell r="M22">
            <v>25</v>
          </cell>
          <cell r="N22">
            <v>24</v>
          </cell>
          <cell r="O22">
            <v>0</v>
          </cell>
          <cell r="P22">
            <v>0</v>
          </cell>
          <cell r="Q22">
            <v>1</v>
          </cell>
          <cell r="R22">
            <v>2</v>
          </cell>
          <cell r="S22">
            <v>3</v>
          </cell>
          <cell r="T22">
            <v>4</v>
          </cell>
          <cell r="U22">
            <v>5</v>
          </cell>
          <cell r="V22">
            <v>6</v>
          </cell>
          <cell r="W22">
            <v>7</v>
          </cell>
          <cell r="X22">
            <v>8</v>
          </cell>
          <cell r="Y22">
            <v>9</v>
          </cell>
          <cell r="Z22">
            <v>10</v>
          </cell>
          <cell r="AA22">
            <v>11</v>
          </cell>
        </row>
        <row r="23">
          <cell r="A23">
            <v>36797</v>
          </cell>
          <cell r="B23">
            <v>28</v>
          </cell>
          <cell r="C23">
            <v>29</v>
          </cell>
          <cell r="D23">
            <v>36800</v>
          </cell>
          <cell r="E23" t="str">
            <v>Nov-1</v>
          </cell>
          <cell r="F23">
            <v>0</v>
          </cell>
          <cell r="G23">
            <v>0</v>
          </cell>
          <cell r="H23">
            <v>0</v>
          </cell>
          <cell r="I23">
            <v>26</v>
          </cell>
          <cell r="J23">
            <v>0</v>
          </cell>
          <cell r="K23">
            <v>0</v>
          </cell>
          <cell r="L23">
            <v>0</v>
          </cell>
          <cell r="M23">
            <v>26</v>
          </cell>
          <cell r="N23">
            <v>25</v>
          </cell>
          <cell r="O23">
            <v>0</v>
          </cell>
          <cell r="P23">
            <v>0</v>
          </cell>
          <cell r="Q23">
            <v>1</v>
          </cell>
          <cell r="R23">
            <v>2</v>
          </cell>
          <cell r="S23">
            <v>3</v>
          </cell>
          <cell r="T23">
            <v>4</v>
          </cell>
          <cell r="U23">
            <v>5</v>
          </cell>
          <cell r="V23">
            <v>6</v>
          </cell>
          <cell r="W23">
            <v>7</v>
          </cell>
          <cell r="X23">
            <v>8</v>
          </cell>
          <cell r="Y23">
            <v>9</v>
          </cell>
          <cell r="Z23">
            <v>10</v>
          </cell>
          <cell r="AA23">
            <v>11</v>
          </cell>
        </row>
        <row r="24">
          <cell r="A24">
            <v>36798</v>
          </cell>
          <cell r="B24">
            <v>29</v>
          </cell>
          <cell r="C24">
            <v>36800</v>
          </cell>
          <cell r="D24">
            <v>36801</v>
          </cell>
          <cell r="E24" t="str">
            <v>Nov-1</v>
          </cell>
          <cell r="F24">
            <v>0</v>
          </cell>
          <cell r="G24">
            <v>0</v>
          </cell>
          <cell r="H24">
            <v>0</v>
          </cell>
          <cell r="I24">
            <v>30</v>
          </cell>
          <cell r="J24">
            <v>0</v>
          </cell>
          <cell r="K24">
            <v>0</v>
          </cell>
          <cell r="L24">
            <v>0</v>
          </cell>
          <cell r="M24">
            <v>30</v>
          </cell>
          <cell r="N24">
            <v>26</v>
          </cell>
          <cell r="O24">
            <v>0</v>
          </cell>
          <cell r="P24">
            <v>0</v>
          </cell>
          <cell r="Q24">
            <v>1</v>
          </cell>
          <cell r="R24">
            <v>2</v>
          </cell>
          <cell r="S24">
            <v>3</v>
          </cell>
          <cell r="T24">
            <v>4</v>
          </cell>
          <cell r="U24">
            <v>5</v>
          </cell>
          <cell r="V24">
            <v>6</v>
          </cell>
          <cell r="W24">
            <v>7</v>
          </cell>
          <cell r="X24">
            <v>8</v>
          </cell>
          <cell r="Y24">
            <v>9</v>
          </cell>
          <cell r="Z24">
            <v>10</v>
          </cell>
          <cell r="AA24">
            <v>11</v>
          </cell>
        </row>
        <row r="26">
          <cell r="D26" t="str">
            <v>Top Page (Back) For all Three of these Physical Calcs</v>
          </cell>
          <cell r="J26" t="str">
            <v>Weapon-X Reports</v>
          </cell>
          <cell r="P26" t="str">
            <v>Top Page (Back)</v>
          </cell>
          <cell r="Q26" t="str">
            <v>Top Page (Back)</v>
          </cell>
          <cell r="R26" t="str">
            <v>Top Page (Back)</v>
          </cell>
          <cell r="S26" t="str">
            <v>Top Page (Back)</v>
          </cell>
          <cell r="T26" t="str">
            <v>Top Page (Back)</v>
          </cell>
          <cell r="U26" t="str">
            <v>Top Page (Back)</v>
          </cell>
          <cell r="V26" t="str">
            <v>Top Page (Back)</v>
          </cell>
          <cell r="W26" t="str">
            <v>Top Page (Back)</v>
          </cell>
          <cell r="X26" t="str">
            <v>Top Page (Back)</v>
          </cell>
          <cell r="Y26" t="str">
            <v>Top Page (Back)</v>
          </cell>
          <cell r="Z26" t="str">
            <v>Top Page (Back)</v>
          </cell>
          <cell r="AA26" t="str">
            <v>Top Page (Back)</v>
          </cell>
          <cell r="AB26" t="str">
            <v xml:space="preserve">Forwards Detail by Risk Type            </v>
          </cell>
        </row>
        <row r="27">
          <cell r="P27" t="str">
            <v>Power Basis</v>
          </cell>
          <cell r="Q27">
            <v>27</v>
          </cell>
          <cell r="S27" t="str">
            <v>Power Basis</v>
          </cell>
          <cell r="T27" t="str">
            <v>Power Basis</v>
          </cell>
          <cell r="V27" t="str">
            <v>Power Basis</v>
          </cell>
          <cell r="W27" t="str">
            <v>Power Basis</v>
          </cell>
          <cell r="Y27" t="str">
            <v>Power Basis</v>
          </cell>
          <cell r="Z27" t="str">
            <v>Power Basis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454"/>
  <sheetViews>
    <sheetView showGridLines="0" workbookViewId="0">
      <selection activeCell="F24" sqref="F24"/>
    </sheetView>
  </sheetViews>
  <sheetFormatPr defaultRowHeight="11.25" x14ac:dyDescent="0.2"/>
  <cols>
    <col min="1" max="1" width="28.5703125" style="151" customWidth="1"/>
    <col min="2" max="2" width="16.42578125" style="192" bestFit="1" customWidth="1"/>
    <col min="3" max="3" width="9" style="19" customWidth="1"/>
    <col min="4" max="4" width="2.42578125" style="19" customWidth="1"/>
    <col min="5" max="5" width="7.140625" style="19" customWidth="1"/>
    <col min="6" max="13" width="12.28515625" style="19" customWidth="1"/>
    <col min="14" max="14" width="3.140625" style="19" customWidth="1"/>
    <col min="15" max="15" width="11.7109375" style="19" customWidth="1"/>
    <col min="16" max="16" width="8" style="19" customWidth="1"/>
    <col min="17" max="19" width="9.140625" style="19"/>
    <col min="20" max="20" width="13.85546875" style="19" customWidth="1"/>
    <col min="21" max="16384" width="9.140625" style="19"/>
  </cols>
  <sheetData>
    <row r="1" spans="1:21" s="151" customFormat="1" ht="12" x14ac:dyDescent="0.2">
      <c r="A1" s="196"/>
      <c r="B1" s="197"/>
      <c r="C1" s="197"/>
      <c r="D1" s="198"/>
      <c r="E1" s="198"/>
      <c r="F1" s="152"/>
      <c r="G1" s="152"/>
      <c r="H1" s="152"/>
      <c r="I1" s="152"/>
      <c r="J1" s="152"/>
      <c r="K1" s="152"/>
      <c r="L1" s="152"/>
      <c r="M1" s="152"/>
      <c r="N1" s="152"/>
      <c r="O1" s="153"/>
      <c r="P1" s="19"/>
    </row>
    <row r="2" spans="1:21" ht="12" x14ac:dyDescent="0.2">
      <c r="A2" s="199">
        <v>36790</v>
      </c>
      <c r="B2" s="200">
        <f>VLOOKUP($A$2,'[3]EMW-Sep00'!$A$5:$BZ$27,16,FALSE)</f>
        <v>893621</v>
      </c>
      <c r="C2" s="201" t="s">
        <v>194</v>
      </c>
      <c r="D2" s="202"/>
      <c r="E2" s="203"/>
      <c r="F2" s="155"/>
      <c r="G2" s="155"/>
      <c r="H2" s="155"/>
      <c r="I2" s="155"/>
      <c r="J2" s="155"/>
      <c r="K2" s="155"/>
      <c r="L2" s="155"/>
      <c r="M2" s="155"/>
      <c r="N2" s="155"/>
      <c r="O2" s="156" t="s">
        <v>191</v>
      </c>
      <c r="P2" s="156"/>
      <c r="Q2" s="156"/>
      <c r="R2" s="156"/>
      <c r="S2" s="156"/>
      <c r="T2" s="156"/>
      <c r="U2" s="156"/>
    </row>
    <row r="3" spans="1:21" ht="12" x14ac:dyDescent="0.2">
      <c r="A3" s="196"/>
      <c r="B3" s="200">
        <f>VLOOKUP($A$2,'[3]EMW-Sep00'!$A$5:$BZ$27,17,FALSE)</f>
        <v>893622</v>
      </c>
      <c r="C3" s="204" t="s">
        <v>195</v>
      </c>
      <c r="D3" s="205"/>
      <c r="E3" s="203"/>
      <c r="F3" s="155"/>
      <c r="G3" s="157"/>
      <c r="H3" s="155"/>
      <c r="I3" s="155"/>
      <c r="J3" s="155"/>
      <c r="K3" s="155"/>
      <c r="L3" s="155"/>
      <c r="M3" s="155"/>
      <c r="N3" s="155"/>
    </row>
    <row r="4" spans="1:21" ht="12" x14ac:dyDescent="0.2">
      <c r="A4" s="196"/>
      <c r="B4" s="200">
        <f>VLOOKUP($A$2,'[3]EMW-Sep00'!$A$5:$BZ$27,18,FALSE)</f>
        <v>893623</v>
      </c>
      <c r="C4" s="206" t="s">
        <v>196</v>
      </c>
      <c r="D4" s="207"/>
      <c r="E4" s="203"/>
      <c r="F4" s="155"/>
      <c r="G4" s="157"/>
      <c r="H4" s="155"/>
      <c r="I4" s="155"/>
      <c r="J4" s="155"/>
      <c r="K4" s="155"/>
      <c r="L4" s="155"/>
      <c r="M4" s="155"/>
      <c r="N4" s="155"/>
      <c r="O4" s="81"/>
    </row>
    <row r="5" spans="1:21" ht="12" x14ac:dyDescent="0.2">
      <c r="A5" s="196"/>
      <c r="B5" s="200">
        <f>VLOOKUP($A$2,'[3]EMW-Sep00'!$A$5:$BZ$27,19,FALSE)</f>
        <v>893624</v>
      </c>
      <c r="C5" s="201" t="s">
        <v>197</v>
      </c>
      <c r="D5" s="207"/>
      <c r="E5" s="203"/>
      <c r="F5" s="155"/>
      <c r="G5" s="158"/>
      <c r="H5" s="155"/>
      <c r="I5" s="155"/>
      <c r="J5" s="155"/>
      <c r="K5" s="155"/>
      <c r="L5" s="155"/>
      <c r="M5" s="155"/>
      <c r="N5" s="155"/>
      <c r="O5" s="81"/>
    </row>
    <row r="6" spans="1:21" ht="12" x14ac:dyDescent="0.2">
      <c r="A6" s="196"/>
      <c r="B6" s="200">
        <f>VLOOKUP($A$2,'[3]EMW-Sep00'!$A$5:$BZ$27,20,FALSE)</f>
        <v>893625</v>
      </c>
      <c r="C6" s="204" t="s">
        <v>198</v>
      </c>
      <c r="D6" s="207"/>
      <c r="E6" s="203"/>
      <c r="F6" s="155"/>
      <c r="G6" s="157"/>
      <c r="H6" s="155"/>
      <c r="I6" s="155"/>
      <c r="J6" s="155"/>
      <c r="K6" s="155"/>
      <c r="L6" s="155"/>
      <c r="M6" s="155"/>
      <c r="N6" s="155"/>
      <c r="O6" s="81"/>
    </row>
    <row r="7" spans="1:21" s="151" customFormat="1" ht="12" x14ac:dyDescent="0.2">
      <c r="A7" s="196"/>
      <c r="B7" s="200">
        <f>VLOOKUP($A$2,'[3]EMW-Sep00'!$A$5:$BZ$27,21,FALSE)</f>
        <v>893626</v>
      </c>
      <c r="C7" s="206" t="s">
        <v>199</v>
      </c>
      <c r="D7" s="207"/>
      <c r="E7" s="203"/>
      <c r="F7" s="155"/>
      <c r="H7" s="155"/>
      <c r="I7" s="155"/>
      <c r="J7" s="155"/>
      <c r="K7" s="155"/>
      <c r="L7" s="155"/>
      <c r="M7" s="155"/>
      <c r="N7" s="155"/>
      <c r="O7" s="159"/>
    </row>
    <row r="8" spans="1:21" s="151" customFormat="1" ht="12" x14ac:dyDescent="0.2">
      <c r="A8" s="196"/>
      <c r="B8" s="200">
        <f>VLOOKUP($A$2,'[3]EMW-Sep00'!$A$5:$BZ$27,22,FALSE)</f>
        <v>893627</v>
      </c>
      <c r="C8" s="201" t="s">
        <v>200</v>
      </c>
      <c r="D8" s="207"/>
      <c r="E8" s="203"/>
      <c r="F8" s="155"/>
      <c r="G8" s="157"/>
      <c r="H8" s="155"/>
      <c r="I8" s="155"/>
      <c r="J8" s="155"/>
      <c r="K8" s="155"/>
      <c r="L8" s="155"/>
      <c r="M8" s="155"/>
      <c r="N8" s="155"/>
      <c r="O8" s="160"/>
      <c r="P8" s="161"/>
      <c r="Q8" s="161"/>
    </row>
    <row r="9" spans="1:21" ht="12" x14ac:dyDescent="0.2">
      <c r="A9" s="196"/>
      <c r="B9" s="200">
        <f>VLOOKUP($A$2,'[3]EMW-Sep00'!$A$5:$BZ$27,23,FALSE)</f>
        <v>893628</v>
      </c>
      <c r="C9" s="204" t="s">
        <v>201</v>
      </c>
      <c r="D9" s="207"/>
      <c r="E9" s="203"/>
      <c r="F9" s="155"/>
      <c r="G9" s="157"/>
      <c r="H9" s="155"/>
      <c r="I9" s="155"/>
      <c r="J9" s="155"/>
      <c r="K9" s="155"/>
      <c r="L9" s="155"/>
      <c r="M9" s="155"/>
      <c r="N9" s="155"/>
      <c r="O9" s="162"/>
      <c r="P9" s="162"/>
      <c r="Q9" s="162"/>
    </row>
    <row r="10" spans="1:21" ht="12" x14ac:dyDescent="0.2">
      <c r="A10" s="196"/>
      <c r="B10" s="200">
        <f>VLOOKUP($A$2,'[3]EMW-Sep00'!$A$5:$BZ$27,24,FALSE)</f>
        <v>893629</v>
      </c>
      <c r="C10" s="204" t="s">
        <v>202</v>
      </c>
      <c r="D10" s="207"/>
      <c r="E10" s="203"/>
      <c r="F10" s="155"/>
      <c r="G10" s="157"/>
      <c r="H10" s="155"/>
      <c r="I10" s="155"/>
      <c r="J10" s="155"/>
      <c r="K10" s="155"/>
      <c r="L10" s="155"/>
      <c r="M10" s="155"/>
      <c r="N10" s="155"/>
      <c r="O10" s="163"/>
      <c r="P10" s="164"/>
      <c r="Q10" s="162"/>
    </row>
    <row r="11" spans="1:21" ht="12" x14ac:dyDescent="0.2">
      <c r="B11" s="200">
        <f>VLOOKUP($A$2,'[3]EMW-Sep00'!$A$5:$BZ$27,25,FALSE)</f>
        <v>893630</v>
      </c>
      <c r="C11" s="204" t="s">
        <v>229</v>
      </c>
      <c r="D11" s="207"/>
      <c r="E11" s="155"/>
      <c r="F11" s="155"/>
      <c r="G11" s="157"/>
      <c r="H11" s="155"/>
      <c r="I11" s="155"/>
      <c r="J11" s="155"/>
      <c r="K11" s="155"/>
      <c r="L11" s="155"/>
      <c r="M11" s="155"/>
      <c r="N11" s="155"/>
      <c r="O11" s="163"/>
      <c r="P11" s="164"/>
      <c r="Q11" s="162"/>
    </row>
    <row r="12" spans="1:21" ht="12" x14ac:dyDescent="0.2">
      <c r="B12" s="200">
        <f>VLOOKUP($A$2,'[3]EMW-Sep00'!$A$5:$BZ$27,26,FALSE)</f>
        <v>893631</v>
      </c>
      <c r="C12" s="204" t="s">
        <v>229</v>
      </c>
      <c r="D12" s="207"/>
      <c r="E12" s="155"/>
      <c r="F12" s="155"/>
      <c r="G12" s="157"/>
      <c r="H12" s="155"/>
      <c r="I12" s="155"/>
      <c r="J12" s="155"/>
      <c r="K12" s="155"/>
      <c r="L12" s="155"/>
      <c r="M12" s="155"/>
      <c r="N12" s="155"/>
      <c r="O12" s="163"/>
      <c r="P12" s="164"/>
      <c r="Q12" s="162"/>
    </row>
    <row r="13" spans="1:21" ht="12" x14ac:dyDescent="0.2">
      <c r="A13" s="166"/>
      <c r="B13" s="200">
        <f>VLOOKUP($A$2,'[3]EMW-Sep00'!$A$5:$BZ$27,27,FALSE)</f>
        <v>893632</v>
      </c>
      <c r="C13" s="204" t="s">
        <v>229</v>
      </c>
      <c r="D13" s="207"/>
      <c r="E13" s="155"/>
      <c r="F13" s="155"/>
      <c r="G13" s="157"/>
      <c r="H13" s="155"/>
      <c r="I13" s="155"/>
      <c r="J13" s="155"/>
      <c r="K13" s="155"/>
      <c r="L13" s="155"/>
      <c r="M13" s="155"/>
      <c r="N13" s="155"/>
      <c r="O13" s="163"/>
      <c r="P13" s="164"/>
      <c r="Q13" s="162"/>
    </row>
    <row r="14" spans="1:21" x14ac:dyDescent="0.2">
      <c r="A14" s="166"/>
      <c r="B14" s="154"/>
      <c r="C14" s="157"/>
      <c r="D14" s="165"/>
      <c r="E14" s="155"/>
      <c r="F14" s="155"/>
      <c r="G14" s="157"/>
      <c r="H14" s="155"/>
      <c r="I14" s="155"/>
      <c r="J14" s="155"/>
      <c r="K14" s="155"/>
      <c r="L14" s="155"/>
      <c r="M14" s="155"/>
      <c r="N14" s="155"/>
      <c r="O14" s="163"/>
      <c r="P14" s="164"/>
      <c r="Q14" s="162"/>
    </row>
    <row r="15" spans="1:21" x14ac:dyDescent="0.2">
      <c r="A15" s="166"/>
      <c r="B15" s="154"/>
      <c r="C15" s="157"/>
      <c r="D15" s="165"/>
      <c r="E15" s="155"/>
      <c r="F15" s="155"/>
      <c r="G15" s="157"/>
      <c r="H15" s="155"/>
      <c r="I15" s="155"/>
      <c r="J15" s="155"/>
      <c r="K15" s="155"/>
      <c r="L15" s="155"/>
      <c r="M15" s="155"/>
      <c r="N15" s="155"/>
      <c r="O15" s="163"/>
      <c r="P15" s="164"/>
      <c r="Q15" s="162"/>
    </row>
    <row r="16" spans="1:21" x14ac:dyDescent="0.2">
      <c r="A16" s="166"/>
      <c r="B16" s="154"/>
      <c r="C16" s="157"/>
      <c r="D16" s="165"/>
      <c r="E16" s="155"/>
      <c r="F16" s="155"/>
      <c r="G16" s="157"/>
      <c r="H16" s="155"/>
      <c r="I16" s="155"/>
      <c r="J16" s="155"/>
      <c r="K16" s="155"/>
      <c r="L16" s="155"/>
      <c r="M16" s="155"/>
      <c r="N16" s="155"/>
      <c r="O16" s="167"/>
      <c r="P16" s="168"/>
      <c r="Q16" s="162"/>
    </row>
    <row r="17" spans="1:23" x14ac:dyDescent="0.2">
      <c r="A17" s="166"/>
      <c r="B17" s="154"/>
      <c r="C17" s="157"/>
      <c r="D17" s="165"/>
      <c r="E17" s="155"/>
      <c r="F17" s="155"/>
      <c r="G17" s="157"/>
      <c r="H17" s="155"/>
      <c r="I17" s="155"/>
      <c r="J17" s="155"/>
      <c r="K17" s="155"/>
      <c r="L17" s="155"/>
      <c r="M17" s="155"/>
      <c r="N17" s="155"/>
      <c r="O17" s="167"/>
      <c r="P17" s="168"/>
      <c r="Q17" s="162"/>
    </row>
    <row r="18" spans="1:23" x14ac:dyDescent="0.2">
      <c r="A18" s="166"/>
      <c r="B18" s="154"/>
      <c r="C18" s="157"/>
      <c r="D18" s="165"/>
      <c r="E18" s="155"/>
      <c r="F18" s="155"/>
      <c r="G18" s="157"/>
      <c r="H18" s="155"/>
      <c r="I18" s="155"/>
      <c r="J18" s="155"/>
      <c r="K18" s="155"/>
      <c r="L18" s="155"/>
      <c r="M18" s="155"/>
      <c r="N18" s="155"/>
      <c r="O18" s="167"/>
      <c r="P18" s="168"/>
      <c r="Q18" s="162"/>
    </row>
    <row r="19" spans="1:23" x14ac:dyDescent="0.2">
      <c r="A19" s="166"/>
      <c r="B19" s="169"/>
      <c r="C19" s="170"/>
      <c r="D19" s="170"/>
      <c r="E19" s="155"/>
      <c r="F19" s="155"/>
      <c r="G19" s="157"/>
      <c r="H19" s="155"/>
      <c r="I19" s="155"/>
      <c r="J19" s="155"/>
      <c r="K19" s="155"/>
      <c r="L19" s="155"/>
      <c r="M19" s="155"/>
      <c r="N19" s="155"/>
      <c r="O19" s="167"/>
      <c r="P19" s="168"/>
      <c r="Q19" s="162"/>
    </row>
    <row r="20" spans="1:23" x14ac:dyDescent="0.2">
      <c r="A20" s="166"/>
      <c r="B20" s="169"/>
      <c r="C20" s="170"/>
      <c r="D20" s="170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3"/>
      <c r="P20" s="164"/>
      <c r="Q20" s="162"/>
    </row>
    <row r="21" spans="1:23" x14ac:dyDescent="0.2">
      <c r="A21" s="166"/>
      <c r="B21" s="171"/>
      <c r="C21" s="170"/>
      <c r="D21" s="170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3"/>
      <c r="P21" s="164"/>
      <c r="Q21" s="162"/>
    </row>
    <row r="22" spans="1:23" x14ac:dyDescent="0.2">
      <c r="A22" s="166"/>
      <c r="B22" s="169"/>
      <c r="C22" s="170"/>
      <c r="D22" s="170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3"/>
      <c r="P22" s="164"/>
      <c r="Q22" s="162"/>
    </row>
    <row r="23" spans="1:23" x14ac:dyDescent="0.2">
      <c r="A23" s="166"/>
      <c r="B23" s="169"/>
      <c r="C23" s="170"/>
      <c r="D23" s="170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3"/>
      <c r="P23" s="164"/>
      <c r="Q23" s="162"/>
    </row>
    <row r="24" spans="1:23" x14ac:dyDescent="0.2">
      <c r="A24" s="166"/>
      <c r="B24" s="169"/>
      <c r="C24" s="170"/>
      <c r="D24" s="170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3"/>
      <c r="P24" s="164"/>
      <c r="Q24" s="162"/>
    </row>
    <row r="25" spans="1:23" ht="14.25" customHeight="1" x14ac:dyDescent="0.2">
      <c r="A25" s="166"/>
      <c r="B25" s="172"/>
      <c r="C25" s="170"/>
      <c r="D25" s="170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73"/>
      <c r="P25" s="162"/>
      <c r="Q25" s="162"/>
    </row>
    <row r="26" spans="1:23" x14ac:dyDescent="0.2">
      <c r="B26" s="171"/>
      <c r="C26" s="170"/>
      <c r="D26" s="170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2"/>
      <c r="P26" s="174"/>
      <c r="Q26" s="174"/>
      <c r="R26" s="162"/>
      <c r="S26" s="162"/>
      <c r="T26" s="162"/>
      <c r="U26" s="175"/>
      <c r="V26" s="162"/>
      <c r="W26" s="162"/>
    </row>
    <row r="27" spans="1:23" x14ac:dyDescent="0.2">
      <c r="A27" s="161"/>
      <c r="B27" s="176"/>
      <c r="C27" s="177"/>
      <c r="D27" s="178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2"/>
      <c r="P27" s="174"/>
      <c r="Q27" s="174"/>
      <c r="R27" s="162"/>
      <c r="S27" s="162"/>
      <c r="T27" s="162"/>
      <c r="U27" s="175"/>
      <c r="V27" s="162"/>
      <c r="W27" s="162"/>
    </row>
    <row r="28" spans="1:23" x14ac:dyDescent="0.2">
      <c r="A28" s="179"/>
      <c r="B28" s="176"/>
      <c r="C28" s="177"/>
      <c r="D28" s="178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2"/>
      <c r="P28" s="162"/>
      <c r="Q28" s="162"/>
      <c r="R28" s="162"/>
      <c r="S28" s="162"/>
      <c r="T28" s="162"/>
      <c r="U28" s="162"/>
      <c r="V28" s="162"/>
      <c r="W28" s="162"/>
    </row>
    <row r="29" spans="1:23" x14ac:dyDescent="0.2">
      <c r="A29" s="161"/>
      <c r="B29" s="176"/>
      <c r="C29" s="177"/>
      <c r="D29" s="178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2"/>
      <c r="P29" s="162"/>
      <c r="Q29" s="162"/>
      <c r="R29" s="162"/>
      <c r="S29" s="162"/>
      <c r="T29" s="162"/>
      <c r="U29" s="162"/>
      <c r="V29" s="162"/>
      <c r="W29" s="162"/>
    </row>
    <row r="30" spans="1:23" x14ac:dyDescent="0.2">
      <c r="A30" s="161"/>
      <c r="B30" s="180"/>
      <c r="C30" s="181"/>
      <c r="D30" s="181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2"/>
      <c r="P30" s="162"/>
      <c r="Q30" s="162"/>
      <c r="R30" s="162"/>
      <c r="S30" s="162"/>
      <c r="T30" s="162"/>
      <c r="U30" s="162"/>
      <c r="V30" s="162"/>
      <c r="W30" s="162"/>
    </row>
    <row r="31" spans="1:23" x14ac:dyDescent="0.2">
      <c r="B31" s="182"/>
      <c r="C31" s="181"/>
      <c r="D31" s="170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4"/>
      <c r="P31" s="184"/>
      <c r="Q31" s="184"/>
      <c r="R31" s="184"/>
      <c r="S31" s="184"/>
      <c r="T31" s="184"/>
      <c r="U31" s="184"/>
      <c r="V31" s="162"/>
      <c r="W31" s="162"/>
    </row>
    <row r="32" spans="1:23" x14ac:dyDescent="0.2">
      <c r="A32" s="185"/>
      <c r="B32" s="182"/>
      <c r="C32" s="186"/>
      <c r="D32" s="170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62"/>
      <c r="P32" s="174"/>
      <c r="Q32" s="174"/>
      <c r="R32" s="162"/>
      <c r="S32" s="162"/>
      <c r="T32" s="162"/>
      <c r="U32" s="175"/>
      <c r="V32" s="162"/>
      <c r="W32" s="162"/>
    </row>
    <row r="33" spans="1:23" x14ac:dyDescent="0.2">
      <c r="B33" s="182"/>
      <c r="C33" s="186"/>
      <c r="D33" s="170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62"/>
      <c r="P33" s="174"/>
      <c r="Q33" s="174"/>
      <c r="R33" s="162"/>
      <c r="S33" s="162"/>
      <c r="T33" s="162"/>
      <c r="U33" s="175"/>
      <c r="V33" s="162"/>
      <c r="W33" s="162"/>
    </row>
    <row r="34" spans="1:23" x14ac:dyDescent="0.2">
      <c r="B34" s="188"/>
      <c r="C34" s="189"/>
      <c r="D34" s="159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62"/>
      <c r="P34" s="174"/>
      <c r="Q34" s="174"/>
      <c r="R34" s="162"/>
      <c r="S34" s="162"/>
      <c r="T34" s="162"/>
      <c r="U34" s="175"/>
      <c r="V34" s="162"/>
      <c r="W34" s="162"/>
    </row>
    <row r="35" spans="1:23" x14ac:dyDescent="0.2">
      <c r="B35" s="188"/>
      <c r="C35" s="189"/>
      <c r="D35" s="159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62"/>
      <c r="P35" s="174"/>
      <c r="Q35" s="174"/>
      <c r="R35" s="162"/>
      <c r="S35" s="162"/>
      <c r="T35" s="162"/>
      <c r="U35" s="175"/>
      <c r="V35" s="162"/>
      <c r="W35" s="162"/>
    </row>
    <row r="36" spans="1:23" x14ac:dyDescent="0.2">
      <c r="B36" s="188"/>
      <c r="C36" s="189"/>
      <c r="D36" s="159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62"/>
      <c r="P36" s="174"/>
      <c r="Q36" s="174"/>
      <c r="R36" s="162"/>
      <c r="S36" s="162"/>
      <c r="T36" s="162"/>
      <c r="U36" s="175"/>
      <c r="V36" s="162"/>
      <c r="W36" s="162"/>
    </row>
    <row r="37" spans="1:23" x14ac:dyDescent="0.2">
      <c r="B37" s="190"/>
      <c r="C37" s="191"/>
      <c r="D37" s="191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62"/>
      <c r="P37" s="162"/>
      <c r="Q37" s="162"/>
      <c r="R37" s="162"/>
      <c r="S37" s="162"/>
      <c r="T37" s="162"/>
      <c r="U37" s="162"/>
      <c r="V37" s="162"/>
      <c r="W37" s="162"/>
    </row>
    <row r="38" spans="1:23" x14ac:dyDescent="0.2"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62"/>
      <c r="P38" s="162"/>
      <c r="Q38" s="162"/>
      <c r="R38" s="162"/>
      <c r="S38" s="162"/>
      <c r="T38" s="162"/>
      <c r="U38" s="162"/>
      <c r="V38" s="162"/>
      <c r="W38" s="162"/>
    </row>
    <row r="39" spans="1:23" x14ac:dyDescent="0.2">
      <c r="A39" s="19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62"/>
      <c r="P39" s="162"/>
      <c r="Q39" s="162"/>
      <c r="R39" s="162"/>
      <c r="S39" s="162"/>
      <c r="T39" s="162"/>
      <c r="U39" s="162"/>
      <c r="V39" s="162"/>
      <c r="W39" s="162"/>
    </row>
    <row r="40" spans="1:23" x14ac:dyDescent="0.2">
      <c r="A40" s="1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62"/>
      <c r="P40" s="162"/>
      <c r="Q40" s="162"/>
      <c r="R40" s="162"/>
      <c r="S40" s="162"/>
      <c r="T40" s="162"/>
      <c r="U40" s="162"/>
      <c r="V40" s="162"/>
      <c r="W40" s="162"/>
    </row>
    <row r="41" spans="1:23" x14ac:dyDescent="0.2"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62"/>
      <c r="P41" s="162"/>
      <c r="Q41" s="162"/>
      <c r="R41" s="162"/>
      <c r="S41" s="162"/>
      <c r="T41" s="162"/>
      <c r="U41" s="162"/>
      <c r="V41" s="162"/>
      <c r="W41" s="162"/>
    </row>
    <row r="42" spans="1:23" x14ac:dyDescent="0.2"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62"/>
      <c r="P42" s="162"/>
      <c r="Q42" s="162"/>
      <c r="R42" s="162"/>
      <c r="S42" s="162"/>
      <c r="T42" s="162"/>
      <c r="U42" s="162"/>
      <c r="V42" s="162"/>
      <c r="W42" s="162"/>
    </row>
    <row r="43" spans="1:23" x14ac:dyDescent="0.2"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62"/>
      <c r="P43" s="162"/>
      <c r="Q43" s="162"/>
      <c r="R43" s="162"/>
      <c r="S43" s="162"/>
      <c r="T43" s="162"/>
      <c r="U43" s="162"/>
      <c r="V43" s="162"/>
      <c r="W43" s="162"/>
    </row>
    <row r="44" spans="1:23" x14ac:dyDescent="0.2"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62"/>
      <c r="P44" s="162"/>
      <c r="Q44" s="162"/>
      <c r="R44" s="162"/>
      <c r="S44" s="162"/>
      <c r="T44" s="162"/>
      <c r="U44" s="162"/>
      <c r="V44" s="162"/>
      <c r="W44" s="162"/>
    </row>
    <row r="45" spans="1:23" x14ac:dyDescent="0.2"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62"/>
      <c r="P45" s="162"/>
      <c r="Q45" s="162"/>
      <c r="R45" s="162"/>
      <c r="S45" s="162"/>
      <c r="T45" s="162"/>
      <c r="U45" s="162"/>
      <c r="V45" s="162"/>
      <c r="W45" s="162"/>
    </row>
    <row r="46" spans="1:23" x14ac:dyDescent="0.2">
      <c r="C46" s="193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62"/>
      <c r="P46" s="162"/>
      <c r="Q46" s="162"/>
      <c r="R46" s="162"/>
      <c r="S46" s="162"/>
      <c r="T46" s="162"/>
      <c r="U46" s="162"/>
      <c r="V46" s="162"/>
      <c r="W46" s="162"/>
    </row>
    <row r="47" spans="1:23" x14ac:dyDescent="0.2"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62"/>
      <c r="P47" s="162"/>
      <c r="Q47" s="162"/>
      <c r="R47" s="162"/>
      <c r="S47" s="162"/>
      <c r="T47" s="162"/>
      <c r="U47" s="162"/>
      <c r="V47" s="162"/>
      <c r="W47" s="162"/>
    </row>
    <row r="48" spans="1:23" x14ac:dyDescent="0.2"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62"/>
      <c r="P48" s="162"/>
      <c r="Q48" s="162"/>
      <c r="R48" s="162"/>
      <c r="S48" s="162"/>
      <c r="T48" s="162"/>
      <c r="U48" s="162"/>
      <c r="V48" s="162"/>
      <c r="W48" s="162"/>
    </row>
    <row r="49" spans="5:23" x14ac:dyDescent="0.2"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62"/>
      <c r="P49" s="162"/>
      <c r="Q49" s="162"/>
      <c r="R49" s="162"/>
      <c r="S49" s="162"/>
      <c r="T49" s="162"/>
      <c r="U49" s="162"/>
      <c r="V49" s="162"/>
      <c r="W49" s="162"/>
    </row>
    <row r="50" spans="5:23" x14ac:dyDescent="0.2"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62"/>
      <c r="P50" s="162"/>
      <c r="Q50" s="162"/>
      <c r="R50" s="162"/>
      <c r="S50" s="162"/>
      <c r="T50" s="162"/>
      <c r="U50" s="162"/>
      <c r="V50" s="162"/>
      <c r="W50" s="162"/>
    </row>
    <row r="51" spans="5:23" x14ac:dyDescent="0.2"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62"/>
      <c r="P51" s="162"/>
      <c r="Q51" s="162"/>
      <c r="R51" s="162"/>
      <c r="S51" s="162"/>
      <c r="T51" s="162"/>
      <c r="U51" s="162"/>
      <c r="V51" s="162"/>
      <c r="W51" s="162"/>
    </row>
    <row r="52" spans="5:23" x14ac:dyDescent="0.2"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62"/>
      <c r="P52" s="162"/>
      <c r="Q52" s="162"/>
      <c r="R52" s="162"/>
      <c r="S52" s="162"/>
      <c r="T52" s="162"/>
      <c r="U52" s="162"/>
      <c r="V52" s="162"/>
      <c r="W52" s="162"/>
    </row>
    <row r="53" spans="5:23" x14ac:dyDescent="0.2"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62"/>
      <c r="P53" s="162"/>
      <c r="Q53" s="162"/>
      <c r="R53" s="162"/>
      <c r="S53" s="162"/>
      <c r="T53" s="162"/>
      <c r="U53" s="162"/>
      <c r="V53" s="162"/>
      <c r="W53" s="162"/>
    </row>
    <row r="54" spans="5:23" x14ac:dyDescent="0.2"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62"/>
      <c r="P54" s="162"/>
      <c r="Q54" s="162"/>
      <c r="R54" s="162"/>
      <c r="S54" s="162"/>
      <c r="T54" s="162"/>
      <c r="U54" s="162"/>
      <c r="V54" s="162"/>
      <c r="W54" s="162"/>
    </row>
    <row r="55" spans="5:23" x14ac:dyDescent="0.2"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62"/>
      <c r="P55" s="162"/>
      <c r="Q55" s="162"/>
      <c r="R55" s="162"/>
      <c r="S55" s="162"/>
      <c r="T55" s="162"/>
      <c r="U55" s="162"/>
      <c r="V55" s="162"/>
      <c r="W55" s="162"/>
    </row>
    <row r="56" spans="5:23" x14ac:dyDescent="0.2"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62"/>
      <c r="P56" s="162"/>
      <c r="Q56" s="162"/>
      <c r="R56" s="162"/>
      <c r="S56" s="162"/>
      <c r="T56" s="162"/>
      <c r="U56" s="162"/>
      <c r="V56" s="162"/>
      <c r="W56" s="162"/>
    </row>
    <row r="57" spans="5:23" x14ac:dyDescent="0.2"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62"/>
      <c r="P57" s="162"/>
      <c r="Q57" s="162"/>
      <c r="R57" s="162"/>
      <c r="S57" s="162"/>
      <c r="T57" s="162"/>
      <c r="U57" s="162"/>
      <c r="V57" s="162"/>
      <c r="W57" s="162"/>
    </row>
    <row r="58" spans="5:23" x14ac:dyDescent="0.2">
      <c r="O58" s="162"/>
      <c r="P58" s="162"/>
      <c r="Q58" s="162"/>
      <c r="R58" s="162"/>
      <c r="S58" s="162"/>
      <c r="T58" s="162"/>
      <c r="U58" s="162"/>
      <c r="V58" s="162"/>
      <c r="W58" s="162"/>
    </row>
    <row r="59" spans="5:23" x14ac:dyDescent="0.2">
      <c r="O59" s="162"/>
      <c r="P59" s="162"/>
      <c r="Q59" s="162"/>
      <c r="R59" s="162"/>
      <c r="S59" s="162"/>
      <c r="T59" s="162"/>
      <c r="U59" s="162"/>
      <c r="V59" s="162"/>
      <c r="W59" s="162"/>
    </row>
    <row r="60" spans="5:23" x14ac:dyDescent="0.2">
      <c r="O60" s="162"/>
      <c r="P60" s="162"/>
      <c r="Q60" s="162"/>
      <c r="R60" s="162"/>
      <c r="S60" s="162"/>
      <c r="T60" s="162"/>
      <c r="U60" s="162"/>
      <c r="V60" s="162"/>
      <c r="W60" s="162"/>
    </row>
    <row r="61" spans="5:23" x14ac:dyDescent="0.2">
      <c r="O61" s="162"/>
      <c r="P61" s="162"/>
      <c r="Q61" s="162"/>
      <c r="R61" s="162"/>
      <c r="S61" s="162"/>
      <c r="T61" s="162"/>
      <c r="U61" s="162"/>
      <c r="V61" s="162"/>
      <c r="W61" s="162"/>
    </row>
    <row r="62" spans="5:23" x14ac:dyDescent="0.2">
      <c r="O62" s="162"/>
      <c r="P62" s="162"/>
      <c r="Q62" s="162"/>
      <c r="R62" s="162"/>
      <c r="S62" s="162"/>
      <c r="T62" s="162"/>
      <c r="U62" s="162"/>
      <c r="V62" s="162"/>
      <c r="W62" s="162"/>
    </row>
    <row r="63" spans="5:23" x14ac:dyDescent="0.2">
      <c r="O63" s="162"/>
      <c r="P63" s="162"/>
      <c r="Q63" s="162"/>
      <c r="R63" s="162"/>
      <c r="S63" s="162"/>
      <c r="T63" s="162"/>
      <c r="U63" s="162"/>
      <c r="V63" s="162"/>
      <c r="W63" s="162"/>
    </row>
    <row r="64" spans="5:23" x14ac:dyDescent="0.2">
      <c r="O64" s="162"/>
      <c r="P64" s="162"/>
      <c r="Q64" s="162"/>
      <c r="R64" s="162"/>
      <c r="S64" s="162"/>
      <c r="T64" s="162"/>
      <c r="U64" s="162"/>
      <c r="V64" s="162"/>
      <c r="W64" s="162"/>
    </row>
    <row r="65" spans="1:23" x14ac:dyDescent="0.2">
      <c r="O65" s="162"/>
      <c r="P65" s="162"/>
      <c r="Q65" s="162"/>
      <c r="R65" s="162"/>
      <c r="S65" s="162"/>
      <c r="T65" s="162"/>
      <c r="U65" s="162"/>
      <c r="V65" s="162"/>
      <c r="W65" s="162"/>
    </row>
    <row r="66" spans="1:23" x14ac:dyDescent="0.2">
      <c r="A66" s="194"/>
      <c r="O66" s="162"/>
      <c r="P66" s="162"/>
      <c r="Q66" s="162"/>
      <c r="R66" s="162"/>
      <c r="S66" s="162"/>
      <c r="T66" s="162"/>
      <c r="U66" s="162"/>
      <c r="V66" s="162"/>
      <c r="W66" s="162"/>
    </row>
    <row r="67" spans="1:23" x14ac:dyDescent="0.2">
      <c r="A67" s="195"/>
      <c r="O67" s="162"/>
      <c r="P67" s="162"/>
      <c r="Q67" s="162"/>
      <c r="R67" s="162"/>
      <c r="S67" s="162"/>
      <c r="T67" s="162"/>
      <c r="U67" s="162"/>
      <c r="V67" s="162"/>
      <c r="W67" s="162"/>
    </row>
    <row r="68" spans="1:23" x14ac:dyDescent="0.2">
      <c r="A68" s="195"/>
      <c r="O68" s="162"/>
      <c r="P68" s="162"/>
      <c r="Q68" s="162"/>
      <c r="R68" s="162"/>
      <c r="S68" s="162"/>
      <c r="T68" s="162"/>
      <c r="U68" s="162"/>
      <c r="V68" s="162"/>
      <c r="W68" s="162"/>
    </row>
    <row r="69" spans="1:23" x14ac:dyDescent="0.2">
      <c r="A69" s="195"/>
      <c r="O69" s="162"/>
      <c r="P69" s="162"/>
      <c r="Q69" s="162"/>
      <c r="R69" s="162"/>
      <c r="S69" s="162"/>
      <c r="T69" s="162"/>
      <c r="U69" s="162"/>
      <c r="V69" s="162"/>
      <c r="W69" s="162"/>
    </row>
    <row r="70" spans="1:23" x14ac:dyDescent="0.2">
      <c r="A70" s="195"/>
      <c r="O70" s="162"/>
      <c r="P70" s="162"/>
      <c r="Q70" s="162"/>
      <c r="R70" s="162"/>
      <c r="S70" s="162"/>
      <c r="T70" s="162"/>
      <c r="U70" s="162"/>
      <c r="V70" s="162"/>
      <c r="W70" s="162"/>
    </row>
    <row r="71" spans="1:23" x14ac:dyDescent="0.2">
      <c r="A71" s="195"/>
      <c r="O71" s="162"/>
      <c r="P71" s="162"/>
      <c r="Q71" s="162"/>
      <c r="R71" s="162"/>
      <c r="S71" s="162"/>
      <c r="T71" s="162"/>
      <c r="U71" s="162"/>
      <c r="V71" s="162"/>
      <c r="W71" s="162"/>
    </row>
    <row r="72" spans="1:23" x14ac:dyDescent="0.2">
      <c r="O72" s="162"/>
      <c r="P72" s="162"/>
      <c r="Q72" s="162"/>
      <c r="R72" s="162"/>
      <c r="S72" s="162"/>
      <c r="T72" s="162"/>
      <c r="U72" s="162"/>
      <c r="V72" s="162"/>
      <c r="W72" s="162"/>
    </row>
    <row r="73" spans="1:23" x14ac:dyDescent="0.2">
      <c r="O73" s="162"/>
      <c r="P73" s="162"/>
      <c r="Q73" s="162"/>
      <c r="R73" s="162"/>
      <c r="S73" s="162"/>
      <c r="T73" s="162"/>
      <c r="U73" s="162"/>
      <c r="V73" s="162"/>
      <c r="W73" s="162"/>
    </row>
    <row r="74" spans="1:23" x14ac:dyDescent="0.2">
      <c r="O74" s="162"/>
      <c r="P74" s="162"/>
      <c r="Q74" s="162"/>
      <c r="R74" s="162"/>
      <c r="S74" s="162"/>
      <c r="T74" s="162"/>
      <c r="U74" s="162"/>
      <c r="V74" s="162"/>
      <c r="W74" s="162"/>
    </row>
    <row r="75" spans="1:23" x14ac:dyDescent="0.2">
      <c r="O75" s="162"/>
      <c r="P75" s="162"/>
      <c r="Q75" s="162"/>
      <c r="R75" s="162"/>
      <c r="S75" s="162"/>
      <c r="T75" s="162"/>
      <c r="U75" s="162"/>
      <c r="V75" s="162"/>
      <c r="W75" s="162"/>
    </row>
    <row r="76" spans="1:23" x14ac:dyDescent="0.2">
      <c r="O76" s="162"/>
      <c r="P76" s="162"/>
      <c r="Q76" s="162"/>
      <c r="R76" s="162"/>
      <c r="S76" s="162"/>
      <c r="T76" s="162"/>
      <c r="U76" s="162"/>
      <c r="V76" s="162"/>
      <c r="W76" s="162"/>
    </row>
    <row r="77" spans="1:23" x14ac:dyDescent="0.2">
      <c r="O77" s="162"/>
      <c r="P77" s="162"/>
      <c r="Q77" s="162"/>
      <c r="R77" s="162"/>
      <c r="S77" s="162"/>
      <c r="T77" s="162"/>
      <c r="U77" s="162"/>
      <c r="V77" s="162"/>
      <c r="W77" s="162"/>
    </row>
    <row r="78" spans="1:23" x14ac:dyDescent="0.2">
      <c r="O78" s="162"/>
      <c r="P78" s="162"/>
      <c r="Q78" s="162"/>
      <c r="R78" s="162"/>
      <c r="S78" s="162"/>
      <c r="T78" s="162"/>
      <c r="U78" s="162"/>
      <c r="V78" s="162"/>
      <c r="W78" s="162"/>
    </row>
    <row r="79" spans="1:23" x14ac:dyDescent="0.2">
      <c r="O79" s="162"/>
      <c r="P79" s="162"/>
      <c r="Q79" s="162"/>
      <c r="R79" s="162"/>
      <c r="S79" s="162"/>
      <c r="T79" s="162"/>
      <c r="U79" s="162"/>
      <c r="V79" s="162"/>
      <c r="W79" s="162"/>
    </row>
    <row r="80" spans="1:23" x14ac:dyDescent="0.2">
      <c r="O80" s="162"/>
      <c r="P80" s="162"/>
      <c r="Q80" s="162"/>
      <c r="R80" s="162"/>
      <c r="S80" s="162"/>
      <c r="T80" s="162"/>
      <c r="U80" s="162"/>
      <c r="V80" s="162"/>
      <c r="W80" s="162"/>
    </row>
    <row r="81" spans="15:23" x14ac:dyDescent="0.2">
      <c r="O81" s="162"/>
      <c r="P81" s="162"/>
      <c r="Q81" s="162"/>
      <c r="R81" s="162"/>
      <c r="S81" s="162"/>
      <c r="T81" s="162"/>
      <c r="U81" s="162"/>
      <c r="V81" s="162"/>
      <c r="W81" s="162"/>
    </row>
    <row r="82" spans="15:23" x14ac:dyDescent="0.2">
      <c r="O82" s="162"/>
      <c r="P82" s="162"/>
      <c r="Q82" s="162"/>
      <c r="R82" s="162"/>
      <c r="S82" s="162"/>
      <c r="T82" s="162"/>
      <c r="U82" s="162"/>
      <c r="V82" s="162"/>
      <c r="W82" s="162"/>
    </row>
    <row r="83" spans="15:23" x14ac:dyDescent="0.2">
      <c r="O83" s="162"/>
      <c r="P83" s="162"/>
      <c r="Q83" s="162"/>
      <c r="R83" s="162"/>
      <c r="S83" s="162"/>
      <c r="T83" s="162"/>
      <c r="U83" s="162"/>
      <c r="V83" s="162"/>
      <c r="W83" s="162"/>
    </row>
    <row r="84" spans="15:23" x14ac:dyDescent="0.2">
      <c r="O84" s="162"/>
      <c r="P84" s="162"/>
      <c r="Q84" s="162"/>
      <c r="R84" s="162"/>
      <c r="S84" s="162"/>
      <c r="T84" s="162"/>
      <c r="U84" s="162"/>
      <c r="V84" s="162"/>
      <c r="W84" s="162"/>
    </row>
    <row r="85" spans="15:23" x14ac:dyDescent="0.2">
      <c r="O85" s="162"/>
      <c r="P85" s="162"/>
      <c r="Q85" s="162"/>
      <c r="R85" s="162"/>
      <c r="S85" s="162"/>
      <c r="T85" s="162"/>
      <c r="U85" s="162"/>
      <c r="V85" s="162"/>
      <c r="W85" s="162"/>
    </row>
    <row r="86" spans="15:23" x14ac:dyDescent="0.2">
      <c r="O86" s="162"/>
      <c r="P86" s="162"/>
      <c r="Q86" s="162"/>
      <c r="R86" s="162"/>
      <c r="S86" s="162"/>
      <c r="T86" s="162"/>
      <c r="U86" s="162"/>
      <c r="V86" s="162"/>
      <c r="W86" s="162"/>
    </row>
    <row r="87" spans="15:23" x14ac:dyDescent="0.2">
      <c r="O87" s="162"/>
      <c r="P87" s="162"/>
      <c r="Q87" s="162"/>
      <c r="R87" s="162"/>
      <c r="S87" s="162"/>
      <c r="T87" s="162"/>
      <c r="U87" s="162"/>
      <c r="V87" s="162"/>
      <c r="W87" s="162"/>
    </row>
    <row r="88" spans="15:23" x14ac:dyDescent="0.2">
      <c r="O88" s="162"/>
      <c r="P88" s="162"/>
      <c r="Q88" s="162"/>
      <c r="R88" s="162"/>
      <c r="S88" s="162"/>
      <c r="T88" s="162"/>
      <c r="U88" s="162"/>
      <c r="V88" s="162"/>
      <c r="W88" s="162"/>
    </row>
    <row r="89" spans="15:23" x14ac:dyDescent="0.2">
      <c r="O89" s="162"/>
      <c r="P89" s="162"/>
      <c r="Q89" s="162"/>
      <c r="R89" s="162"/>
      <c r="S89" s="162"/>
      <c r="T89" s="162"/>
      <c r="U89" s="162"/>
      <c r="V89" s="162"/>
      <c r="W89" s="162"/>
    </row>
    <row r="90" spans="15:23" x14ac:dyDescent="0.2">
      <c r="O90" s="162"/>
      <c r="P90" s="162"/>
      <c r="Q90" s="162"/>
      <c r="R90" s="162"/>
      <c r="S90" s="162"/>
      <c r="T90" s="162"/>
      <c r="U90" s="162"/>
      <c r="V90" s="162"/>
      <c r="W90" s="162"/>
    </row>
    <row r="91" spans="15:23" x14ac:dyDescent="0.2">
      <c r="O91" s="162"/>
      <c r="P91" s="162"/>
      <c r="Q91" s="162"/>
      <c r="R91" s="162"/>
      <c r="S91" s="162"/>
      <c r="T91" s="162"/>
      <c r="U91" s="162"/>
      <c r="V91" s="162"/>
      <c r="W91" s="162"/>
    </row>
    <row r="92" spans="15:23" x14ac:dyDescent="0.2">
      <c r="O92" s="162"/>
      <c r="P92" s="162"/>
      <c r="Q92" s="162"/>
      <c r="R92" s="162"/>
      <c r="S92" s="162"/>
      <c r="T92" s="162"/>
      <c r="U92" s="162"/>
      <c r="V92" s="162"/>
      <c r="W92" s="162"/>
    </row>
    <row r="93" spans="15:23" x14ac:dyDescent="0.2">
      <c r="O93" s="162"/>
      <c r="P93" s="162"/>
      <c r="Q93" s="162"/>
      <c r="R93" s="162"/>
      <c r="S93" s="162"/>
      <c r="T93" s="162"/>
      <c r="U93" s="162"/>
      <c r="V93" s="162"/>
      <c r="W93" s="162"/>
    </row>
    <row r="94" spans="15:23" x14ac:dyDescent="0.2">
      <c r="O94" s="162"/>
      <c r="P94" s="162"/>
      <c r="Q94" s="162"/>
      <c r="R94" s="162"/>
      <c r="S94" s="162"/>
      <c r="T94" s="162"/>
      <c r="U94" s="162"/>
      <c r="V94" s="162"/>
      <c r="W94" s="162"/>
    </row>
    <row r="95" spans="15:23" x14ac:dyDescent="0.2">
      <c r="O95" s="162"/>
      <c r="P95" s="162"/>
      <c r="Q95" s="162"/>
      <c r="R95" s="162"/>
      <c r="S95" s="162"/>
      <c r="T95" s="162"/>
      <c r="U95" s="162"/>
      <c r="V95" s="162"/>
      <c r="W95" s="162"/>
    </row>
    <row r="96" spans="15:23" x14ac:dyDescent="0.2">
      <c r="O96" s="162"/>
      <c r="P96" s="162"/>
      <c r="Q96" s="162"/>
      <c r="R96" s="162"/>
      <c r="S96" s="162"/>
      <c r="T96" s="162"/>
      <c r="U96" s="162"/>
      <c r="V96" s="162"/>
      <c r="W96" s="162"/>
    </row>
    <row r="97" spans="15:23" x14ac:dyDescent="0.2">
      <c r="O97" s="162"/>
      <c r="P97" s="162"/>
      <c r="Q97" s="162"/>
      <c r="R97" s="162"/>
      <c r="S97" s="162"/>
      <c r="T97" s="162"/>
      <c r="U97" s="162"/>
      <c r="V97" s="162"/>
      <c r="W97" s="162"/>
    </row>
    <row r="98" spans="15:23" x14ac:dyDescent="0.2">
      <c r="O98" s="162"/>
      <c r="P98" s="162"/>
      <c r="Q98" s="162"/>
      <c r="R98" s="162"/>
      <c r="S98" s="162"/>
      <c r="T98" s="162"/>
      <c r="U98" s="162"/>
      <c r="V98" s="162"/>
      <c r="W98" s="162"/>
    </row>
    <row r="99" spans="15:23" x14ac:dyDescent="0.2">
      <c r="O99" s="162"/>
      <c r="P99" s="162"/>
      <c r="Q99" s="162"/>
      <c r="R99" s="162"/>
      <c r="S99" s="162"/>
      <c r="T99" s="162"/>
      <c r="U99" s="162"/>
      <c r="V99" s="162"/>
      <c r="W99" s="162"/>
    </row>
    <row r="100" spans="15:23" x14ac:dyDescent="0.2">
      <c r="O100" s="162"/>
      <c r="P100" s="162"/>
      <c r="Q100" s="162"/>
      <c r="R100" s="162"/>
      <c r="S100" s="162"/>
      <c r="T100" s="162"/>
      <c r="U100" s="162"/>
      <c r="V100" s="162"/>
      <c r="W100" s="162"/>
    </row>
    <row r="101" spans="15:23" x14ac:dyDescent="0.2">
      <c r="O101" s="162"/>
      <c r="P101" s="162"/>
      <c r="Q101" s="162"/>
      <c r="R101" s="162"/>
      <c r="S101" s="162"/>
      <c r="T101" s="162"/>
      <c r="U101" s="162"/>
      <c r="V101" s="162"/>
      <c r="W101" s="162"/>
    </row>
    <row r="102" spans="15:23" x14ac:dyDescent="0.2">
      <c r="O102" s="162"/>
      <c r="P102" s="162"/>
      <c r="Q102" s="162"/>
      <c r="R102" s="162"/>
      <c r="S102" s="162"/>
      <c r="T102" s="162"/>
      <c r="U102" s="162"/>
      <c r="V102" s="162"/>
      <c r="W102" s="162"/>
    </row>
    <row r="103" spans="15:23" x14ac:dyDescent="0.2">
      <c r="O103" s="162"/>
      <c r="P103" s="162"/>
      <c r="Q103" s="162"/>
      <c r="R103" s="162"/>
      <c r="S103" s="162"/>
      <c r="T103" s="162"/>
      <c r="U103" s="162"/>
      <c r="V103" s="162"/>
      <c r="W103" s="162"/>
    </row>
    <row r="104" spans="15:23" x14ac:dyDescent="0.2">
      <c r="O104" s="162"/>
      <c r="P104" s="162"/>
      <c r="Q104" s="162"/>
      <c r="R104" s="162"/>
      <c r="S104" s="162"/>
      <c r="T104" s="162"/>
      <c r="U104" s="162"/>
      <c r="V104" s="162"/>
      <c r="W104" s="162"/>
    </row>
    <row r="105" spans="15:23" x14ac:dyDescent="0.2">
      <c r="O105" s="162"/>
      <c r="P105" s="162"/>
      <c r="Q105" s="162"/>
      <c r="R105" s="162"/>
      <c r="S105" s="162"/>
      <c r="T105" s="162"/>
      <c r="U105" s="162"/>
      <c r="V105" s="162"/>
      <c r="W105" s="162"/>
    </row>
    <row r="106" spans="15:23" x14ac:dyDescent="0.2">
      <c r="O106" s="162"/>
      <c r="P106" s="162"/>
      <c r="Q106" s="162"/>
      <c r="R106" s="162"/>
      <c r="S106" s="162"/>
      <c r="T106" s="162"/>
      <c r="U106" s="162"/>
      <c r="V106" s="162"/>
      <c r="W106" s="162"/>
    </row>
    <row r="107" spans="15:23" x14ac:dyDescent="0.2">
      <c r="O107" s="162"/>
      <c r="P107" s="162"/>
      <c r="Q107" s="162"/>
      <c r="R107" s="162"/>
      <c r="S107" s="162"/>
      <c r="T107" s="162"/>
      <c r="U107" s="162"/>
      <c r="V107" s="162"/>
      <c r="W107" s="162"/>
    </row>
    <row r="108" spans="15:23" x14ac:dyDescent="0.2">
      <c r="O108" s="162"/>
      <c r="P108" s="162"/>
      <c r="Q108" s="162"/>
      <c r="R108" s="162"/>
      <c r="S108" s="162"/>
      <c r="T108" s="162"/>
      <c r="U108" s="162"/>
      <c r="V108" s="162"/>
      <c r="W108" s="162"/>
    </row>
    <row r="109" spans="15:23" x14ac:dyDescent="0.2">
      <c r="O109" s="162"/>
      <c r="P109" s="162"/>
      <c r="Q109" s="162"/>
      <c r="R109" s="162"/>
      <c r="S109" s="162"/>
      <c r="T109" s="162"/>
      <c r="U109" s="162"/>
      <c r="V109" s="162"/>
      <c r="W109" s="162"/>
    </row>
    <row r="110" spans="15:23" x14ac:dyDescent="0.2">
      <c r="O110" s="162"/>
      <c r="P110" s="162"/>
      <c r="Q110" s="162"/>
      <c r="R110" s="162"/>
      <c r="S110" s="162"/>
      <c r="T110" s="162"/>
      <c r="U110" s="162"/>
      <c r="V110" s="162"/>
      <c r="W110" s="162"/>
    </row>
    <row r="111" spans="15:23" x14ac:dyDescent="0.2">
      <c r="O111" s="162"/>
      <c r="P111" s="162"/>
      <c r="Q111" s="162"/>
      <c r="R111" s="162"/>
      <c r="S111" s="162"/>
      <c r="T111" s="162"/>
      <c r="U111" s="162"/>
      <c r="V111" s="162"/>
      <c r="W111" s="162"/>
    </row>
    <row r="112" spans="15:23" x14ac:dyDescent="0.2">
      <c r="O112" s="162"/>
      <c r="P112" s="162"/>
      <c r="Q112" s="162"/>
      <c r="R112" s="162"/>
      <c r="S112" s="162"/>
      <c r="T112" s="162"/>
      <c r="U112" s="162"/>
      <c r="V112" s="162"/>
      <c r="W112" s="162"/>
    </row>
    <row r="113" spans="15:23" x14ac:dyDescent="0.2">
      <c r="O113" s="162"/>
      <c r="P113" s="162"/>
      <c r="Q113" s="162"/>
      <c r="R113" s="162"/>
      <c r="S113" s="162"/>
      <c r="T113" s="162"/>
      <c r="U113" s="162"/>
      <c r="V113" s="162"/>
      <c r="W113" s="162"/>
    </row>
    <row r="114" spans="15:23" x14ac:dyDescent="0.2">
      <c r="O114" s="162"/>
      <c r="P114" s="162"/>
      <c r="Q114" s="162"/>
      <c r="R114" s="162"/>
      <c r="S114" s="162"/>
      <c r="T114" s="162"/>
      <c r="U114" s="162"/>
      <c r="V114" s="162"/>
      <c r="W114" s="162"/>
    </row>
    <row r="115" spans="15:23" x14ac:dyDescent="0.2">
      <c r="O115" s="162"/>
      <c r="P115" s="162"/>
      <c r="Q115" s="162"/>
      <c r="R115" s="162"/>
      <c r="S115" s="162"/>
      <c r="T115" s="162"/>
      <c r="U115" s="162"/>
      <c r="V115" s="162"/>
      <c r="W115" s="162"/>
    </row>
    <row r="116" spans="15:23" x14ac:dyDescent="0.2">
      <c r="O116" s="162"/>
      <c r="P116" s="162"/>
      <c r="Q116" s="162"/>
      <c r="R116" s="162"/>
      <c r="S116" s="162"/>
      <c r="T116" s="162"/>
      <c r="U116" s="162"/>
      <c r="V116" s="162"/>
      <c r="W116" s="162"/>
    </row>
    <row r="117" spans="15:23" x14ac:dyDescent="0.2">
      <c r="O117" s="162"/>
      <c r="P117" s="162"/>
      <c r="Q117" s="162"/>
      <c r="R117" s="162"/>
      <c r="S117" s="162"/>
      <c r="T117" s="162"/>
      <c r="U117" s="162"/>
      <c r="V117" s="162"/>
      <c r="W117" s="162"/>
    </row>
    <row r="118" spans="15:23" x14ac:dyDescent="0.2">
      <c r="O118" s="162"/>
      <c r="P118" s="162"/>
      <c r="Q118" s="162"/>
      <c r="R118" s="162"/>
      <c r="S118" s="162"/>
      <c r="T118" s="162"/>
      <c r="U118" s="162"/>
      <c r="V118" s="162"/>
      <c r="W118" s="162"/>
    </row>
    <row r="119" spans="15:23" x14ac:dyDescent="0.2">
      <c r="O119" s="162"/>
      <c r="P119" s="162"/>
      <c r="Q119" s="162"/>
      <c r="R119" s="162"/>
      <c r="S119" s="162"/>
      <c r="T119" s="162"/>
      <c r="U119" s="162"/>
      <c r="V119" s="162"/>
      <c r="W119" s="162"/>
    </row>
    <row r="120" spans="15:23" x14ac:dyDescent="0.2">
      <c r="O120" s="162"/>
      <c r="P120" s="162"/>
      <c r="Q120" s="162"/>
      <c r="R120" s="162"/>
      <c r="S120" s="162"/>
      <c r="T120" s="162"/>
      <c r="U120" s="162"/>
      <c r="V120" s="162"/>
      <c r="W120" s="162"/>
    </row>
    <row r="121" spans="15:23" x14ac:dyDescent="0.2">
      <c r="O121" s="162"/>
      <c r="P121" s="162"/>
      <c r="Q121" s="162"/>
      <c r="R121" s="162"/>
      <c r="S121" s="162"/>
      <c r="T121" s="162"/>
      <c r="U121" s="162"/>
      <c r="V121" s="162"/>
      <c r="W121" s="162"/>
    </row>
    <row r="122" spans="15:23" x14ac:dyDescent="0.2">
      <c r="O122" s="162"/>
      <c r="P122" s="162"/>
      <c r="Q122" s="162"/>
      <c r="R122" s="162"/>
      <c r="S122" s="162"/>
      <c r="T122" s="162"/>
      <c r="U122" s="162"/>
      <c r="V122" s="162"/>
      <c r="W122" s="162"/>
    </row>
    <row r="123" spans="15:23" x14ac:dyDescent="0.2">
      <c r="O123" s="162"/>
      <c r="P123" s="162"/>
      <c r="Q123" s="162"/>
      <c r="R123" s="162"/>
      <c r="S123" s="162"/>
      <c r="T123" s="162"/>
      <c r="U123" s="162"/>
      <c r="V123" s="162"/>
      <c r="W123" s="162"/>
    </row>
    <row r="124" spans="15:23" x14ac:dyDescent="0.2">
      <c r="O124" s="162"/>
      <c r="P124" s="162"/>
      <c r="Q124" s="162"/>
      <c r="R124" s="162"/>
      <c r="S124" s="162"/>
      <c r="T124" s="162"/>
      <c r="U124" s="162"/>
      <c r="V124" s="162"/>
      <c r="W124" s="162"/>
    </row>
    <row r="125" spans="15:23" x14ac:dyDescent="0.2">
      <c r="O125" s="162"/>
      <c r="P125" s="162"/>
      <c r="Q125" s="162"/>
      <c r="R125" s="162"/>
      <c r="S125" s="162"/>
      <c r="T125" s="162"/>
      <c r="U125" s="162"/>
      <c r="V125" s="162"/>
      <c r="W125" s="162"/>
    </row>
    <row r="126" spans="15:23" x14ac:dyDescent="0.2">
      <c r="O126" s="162"/>
      <c r="P126" s="162"/>
      <c r="Q126" s="162"/>
      <c r="R126" s="162"/>
      <c r="S126" s="162"/>
      <c r="T126" s="162"/>
      <c r="U126" s="162"/>
      <c r="V126" s="162"/>
      <c r="W126" s="162"/>
    </row>
    <row r="127" spans="15:23" x14ac:dyDescent="0.2">
      <c r="O127" s="162"/>
      <c r="P127" s="162"/>
      <c r="Q127" s="162"/>
      <c r="R127" s="162"/>
      <c r="S127" s="162"/>
      <c r="T127" s="162"/>
      <c r="U127" s="162"/>
      <c r="V127" s="162"/>
      <c r="W127" s="162"/>
    </row>
    <row r="128" spans="15:23" x14ac:dyDescent="0.2">
      <c r="O128" s="162"/>
      <c r="P128" s="162"/>
      <c r="Q128" s="162"/>
      <c r="R128" s="162"/>
      <c r="S128" s="162"/>
      <c r="T128" s="162"/>
      <c r="U128" s="162"/>
      <c r="V128" s="162"/>
      <c r="W128" s="162"/>
    </row>
    <row r="129" spans="15:23" x14ac:dyDescent="0.2">
      <c r="O129" s="162"/>
      <c r="P129" s="162"/>
      <c r="Q129" s="162"/>
      <c r="R129" s="162"/>
      <c r="S129" s="162"/>
      <c r="T129" s="162"/>
      <c r="U129" s="162"/>
      <c r="V129" s="162"/>
      <c r="W129" s="162"/>
    </row>
    <row r="130" spans="15:23" x14ac:dyDescent="0.2">
      <c r="O130" s="162"/>
      <c r="P130" s="162"/>
      <c r="Q130" s="162"/>
      <c r="R130" s="162"/>
      <c r="S130" s="162"/>
      <c r="T130" s="162"/>
      <c r="U130" s="162"/>
      <c r="V130" s="162"/>
      <c r="W130" s="162"/>
    </row>
    <row r="131" spans="15:23" x14ac:dyDescent="0.2">
      <c r="O131" s="162"/>
      <c r="P131" s="162"/>
      <c r="Q131" s="162"/>
      <c r="R131" s="162"/>
      <c r="S131" s="162"/>
      <c r="T131" s="162"/>
      <c r="U131" s="162"/>
      <c r="V131" s="162"/>
      <c r="W131" s="162"/>
    </row>
    <row r="132" spans="15:23" x14ac:dyDescent="0.2">
      <c r="O132" s="162"/>
      <c r="P132" s="162"/>
      <c r="Q132" s="162"/>
      <c r="R132" s="162"/>
      <c r="S132" s="162"/>
      <c r="T132" s="162"/>
      <c r="U132" s="162"/>
      <c r="V132" s="162"/>
      <c r="W132" s="162"/>
    </row>
    <row r="133" spans="15:23" x14ac:dyDescent="0.2">
      <c r="O133" s="162"/>
      <c r="P133" s="162"/>
      <c r="Q133" s="162"/>
      <c r="R133" s="162"/>
      <c r="S133" s="162"/>
      <c r="T133" s="162"/>
      <c r="U133" s="162"/>
      <c r="V133" s="162"/>
      <c r="W133" s="162"/>
    </row>
    <row r="134" spans="15:23" x14ac:dyDescent="0.2">
      <c r="O134" s="162"/>
      <c r="P134" s="162"/>
      <c r="Q134" s="162"/>
      <c r="R134" s="162"/>
      <c r="S134" s="162"/>
      <c r="T134" s="162"/>
      <c r="U134" s="162"/>
      <c r="V134" s="162"/>
      <c r="W134" s="162"/>
    </row>
    <row r="135" spans="15:23" x14ac:dyDescent="0.2">
      <c r="O135" s="162"/>
      <c r="P135" s="162"/>
      <c r="Q135" s="162"/>
      <c r="R135" s="162"/>
      <c r="S135" s="162"/>
      <c r="T135" s="162"/>
      <c r="U135" s="162"/>
      <c r="V135" s="162"/>
      <c r="W135" s="162"/>
    </row>
    <row r="136" spans="15:23" x14ac:dyDescent="0.2">
      <c r="O136" s="162"/>
      <c r="P136" s="162"/>
      <c r="Q136" s="162"/>
      <c r="R136" s="162"/>
      <c r="S136" s="162"/>
      <c r="T136" s="162"/>
      <c r="U136" s="162"/>
      <c r="V136" s="162"/>
      <c r="W136" s="162"/>
    </row>
    <row r="137" spans="15:23" x14ac:dyDescent="0.2">
      <c r="O137" s="162"/>
      <c r="P137" s="162"/>
      <c r="Q137" s="162"/>
      <c r="R137" s="162"/>
      <c r="S137" s="162"/>
      <c r="T137" s="162"/>
      <c r="U137" s="162"/>
      <c r="V137" s="162"/>
      <c r="W137" s="162"/>
    </row>
    <row r="138" spans="15:23" x14ac:dyDescent="0.2">
      <c r="O138" s="162"/>
      <c r="P138" s="162"/>
      <c r="Q138" s="162"/>
      <c r="R138" s="162"/>
      <c r="S138" s="162"/>
      <c r="T138" s="162"/>
      <c r="U138" s="162"/>
      <c r="V138" s="162"/>
      <c r="W138" s="162"/>
    </row>
    <row r="139" spans="15:23" x14ac:dyDescent="0.2">
      <c r="O139" s="162"/>
      <c r="P139" s="162"/>
      <c r="Q139" s="162"/>
      <c r="R139" s="162"/>
      <c r="S139" s="162"/>
      <c r="T139" s="162"/>
      <c r="U139" s="162"/>
      <c r="V139" s="162"/>
      <c r="W139" s="162"/>
    </row>
    <row r="140" spans="15:23" x14ac:dyDescent="0.2">
      <c r="O140" s="162"/>
      <c r="P140" s="162"/>
      <c r="Q140" s="162"/>
      <c r="R140" s="162"/>
      <c r="S140" s="162"/>
      <c r="T140" s="162"/>
      <c r="U140" s="162"/>
      <c r="V140" s="162"/>
      <c r="W140" s="162"/>
    </row>
    <row r="141" spans="15:23" x14ac:dyDescent="0.2">
      <c r="O141" s="162"/>
      <c r="P141" s="162"/>
      <c r="Q141" s="162"/>
      <c r="R141" s="162"/>
      <c r="S141" s="162"/>
      <c r="T141" s="162"/>
      <c r="U141" s="162"/>
      <c r="V141" s="162"/>
      <c r="W141" s="162"/>
    </row>
    <row r="142" spans="15:23" x14ac:dyDescent="0.2">
      <c r="O142" s="162"/>
      <c r="P142" s="162"/>
      <c r="Q142" s="162"/>
      <c r="R142" s="162"/>
      <c r="S142" s="162"/>
      <c r="T142" s="162"/>
      <c r="U142" s="162"/>
      <c r="V142" s="162"/>
      <c r="W142" s="162"/>
    </row>
    <row r="143" spans="15:23" x14ac:dyDescent="0.2">
      <c r="O143" s="162"/>
      <c r="P143" s="162"/>
      <c r="Q143" s="162"/>
      <c r="R143" s="162"/>
      <c r="S143" s="162"/>
      <c r="T143" s="162"/>
      <c r="U143" s="162"/>
      <c r="V143" s="162"/>
      <c r="W143" s="162"/>
    </row>
    <row r="144" spans="15:23" x14ac:dyDescent="0.2">
      <c r="O144" s="162"/>
      <c r="P144" s="162"/>
      <c r="Q144" s="162"/>
      <c r="R144" s="162"/>
      <c r="S144" s="162"/>
      <c r="T144" s="162"/>
      <c r="U144" s="162"/>
      <c r="V144" s="162"/>
      <c r="W144" s="162"/>
    </row>
    <row r="145" spans="15:23" x14ac:dyDescent="0.2">
      <c r="O145" s="162"/>
      <c r="P145" s="162"/>
      <c r="Q145" s="162"/>
      <c r="R145" s="162"/>
      <c r="S145" s="162"/>
      <c r="T145" s="162"/>
      <c r="U145" s="162"/>
      <c r="V145" s="162"/>
      <c r="W145" s="162"/>
    </row>
    <row r="146" spans="15:23" x14ac:dyDescent="0.2">
      <c r="O146" s="162"/>
      <c r="P146" s="162"/>
      <c r="Q146" s="162"/>
      <c r="R146" s="162"/>
      <c r="S146" s="162"/>
      <c r="T146" s="162"/>
      <c r="U146" s="162"/>
      <c r="V146" s="162"/>
      <c r="W146" s="162"/>
    </row>
    <row r="147" spans="15:23" x14ac:dyDescent="0.2">
      <c r="O147" s="162"/>
      <c r="P147" s="162"/>
      <c r="Q147" s="162"/>
      <c r="R147" s="162"/>
      <c r="S147" s="162"/>
      <c r="T147" s="162"/>
      <c r="U147" s="162"/>
      <c r="V147" s="162"/>
      <c r="W147" s="162"/>
    </row>
    <row r="148" spans="15:23" x14ac:dyDescent="0.2">
      <c r="O148" s="162"/>
      <c r="P148" s="162"/>
      <c r="Q148" s="162"/>
      <c r="R148" s="162"/>
      <c r="S148" s="162"/>
      <c r="T148" s="162"/>
      <c r="U148" s="162"/>
      <c r="V148" s="162"/>
      <c r="W148" s="162"/>
    </row>
    <row r="149" spans="15:23" x14ac:dyDescent="0.2">
      <c r="O149" s="162"/>
      <c r="P149" s="162"/>
      <c r="Q149" s="162"/>
      <c r="R149" s="162"/>
      <c r="S149" s="162"/>
      <c r="T149" s="162"/>
      <c r="U149" s="162"/>
      <c r="V149" s="162"/>
      <c r="W149" s="162"/>
    </row>
    <row r="150" spans="15:23" x14ac:dyDescent="0.2">
      <c r="O150" s="162"/>
      <c r="P150" s="162"/>
      <c r="Q150" s="162"/>
      <c r="R150" s="162"/>
      <c r="S150" s="162"/>
      <c r="T150" s="162"/>
      <c r="U150" s="162"/>
      <c r="V150" s="162"/>
      <c r="W150" s="162"/>
    </row>
    <row r="151" spans="15:23" x14ac:dyDescent="0.2">
      <c r="O151" s="162"/>
      <c r="P151" s="162"/>
      <c r="Q151" s="162"/>
      <c r="R151" s="162"/>
      <c r="S151" s="162"/>
      <c r="T151" s="162"/>
      <c r="U151" s="162"/>
      <c r="V151" s="162"/>
      <c r="W151" s="162"/>
    </row>
    <row r="152" spans="15:23" x14ac:dyDescent="0.2">
      <c r="O152" s="162"/>
      <c r="P152" s="162"/>
      <c r="Q152" s="162"/>
      <c r="R152" s="162"/>
      <c r="S152" s="162"/>
      <c r="T152" s="162"/>
      <c r="U152" s="162"/>
      <c r="V152" s="162"/>
      <c r="W152" s="162"/>
    </row>
    <row r="153" spans="15:23" x14ac:dyDescent="0.2">
      <c r="O153" s="162"/>
      <c r="P153" s="162"/>
      <c r="Q153" s="162"/>
      <c r="R153" s="162"/>
      <c r="S153" s="162"/>
      <c r="T153" s="162"/>
      <c r="U153" s="162"/>
      <c r="V153" s="162"/>
      <c r="W153" s="162"/>
    </row>
    <row r="154" spans="15:23" x14ac:dyDescent="0.2">
      <c r="O154" s="162"/>
      <c r="P154" s="162"/>
      <c r="Q154" s="162"/>
      <c r="R154" s="162"/>
      <c r="S154" s="162"/>
      <c r="T154" s="162"/>
      <c r="U154" s="162"/>
      <c r="V154" s="162"/>
      <c r="W154" s="162"/>
    </row>
    <row r="155" spans="15:23" x14ac:dyDescent="0.2">
      <c r="O155" s="162"/>
      <c r="P155" s="162"/>
      <c r="Q155" s="162"/>
      <c r="R155" s="162"/>
      <c r="S155" s="162"/>
      <c r="T155" s="162"/>
      <c r="U155" s="162"/>
      <c r="V155" s="162"/>
      <c r="W155" s="162"/>
    </row>
    <row r="156" spans="15:23" x14ac:dyDescent="0.2">
      <c r="O156" s="162"/>
      <c r="P156" s="162"/>
      <c r="Q156" s="162"/>
      <c r="R156" s="162"/>
      <c r="S156" s="162"/>
      <c r="T156" s="162"/>
      <c r="U156" s="162"/>
      <c r="V156" s="162"/>
      <c r="W156" s="162"/>
    </row>
    <row r="157" spans="15:23" x14ac:dyDescent="0.2">
      <c r="O157" s="162"/>
      <c r="P157" s="162"/>
      <c r="Q157" s="162"/>
      <c r="R157" s="162"/>
      <c r="S157" s="162"/>
      <c r="T157" s="162"/>
      <c r="U157" s="162"/>
      <c r="V157" s="162"/>
      <c r="W157" s="162"/>
    </row>
    <row r="158" spans="15:23" x14ac:dyDescent="0.2">
      <c r="O158" s="162"/>
      <c r="P158" s="162"/>
      <c r="Q158" s="162"/>
      <c r="R158" s="162"/>
      <c r="S158" s="162"/>
      <c r="T158" s="162"/>
      <c r="U158" s="162"/>
      <c r="V158" s="162"/>
      <c r="W158" s="162"/>
    </row>
    <row r="159" spans="15:23" x14ac:dyDescent="0.2">
      <c r="O159" s="162"/>
      <c r="P159" s="162"/>
      <c r="Q159" s="162"/>
      <c r="R159" s="162"/>
      <c r="S159" s="162"/>
      <c r="T159" s="162"/>
      <c r="U159" s="162"/>
      <c r="V159" s="162"/>
      <c r="W159" s="162"/>
    </row>
    <row r="160" spans="15:23" x14ac:dyDescent="0.2">
      <c r="O160" s="162"/>
      <c r="P160" s="162"/>
      <c r="Q160" s="162"/>
      <c r="R160" s="162"/>
      <c r="S160" s="162"/>
      <c r="T160" s="162"/>
      <c r="U160" s="162"/>
      <c r="V160" s="162"/>
      <c r="W160" s="162"/>
    </row>
    <row r="161" spans="15:23" x14ac:dyDescent="0.2">
      <c r="O161" s="162"/>
      <c r="P161" s="162"/>
      <c r="Q161" s="162"/>
      <c r="R161" s="162"/>
      <c r="S161" s="162"/>
      <c r="T161" s="162"/>
      <c r="U161" s="162"/>
      <c r="V161" s="162"/>
      <c r="W161" s="162"/>
    </row>
    <row r="162" spans="15:23" x14ac:dyDescent="0.2">
      <c r="O162" s="162"/>
      <c r="P162" s="162"/>
      <c r="Q162" s="162"/>
      <c r="R162" s="162"/>
      <c r="S162" s="162"/>
      <c r="T162" s="162"/>
      <c r="U162" s="162"/>
      <c r="V162" s="162"/>
      <c r="W162" s="162"/>
    </row>
    <row r="163" spans="15:23" x14ac:dyDescent="0.2">
      <c r="O163" s="162"/>
      <c r="P163" s="162"/>
      <c r="Q163" s="162"/>
      <c r="R163" s="162"/>
      <c r="S163" s="162"/>
      <c r="T163" s="162"/>
      <c r="U163" s="162"/>
      <c r="V163" s="162"/>
      <c r="W163" s="162"/>
    </row>
    <row r="164" spans="15:23" x14ac:dyDescent="0.2">
      <c r="O164" s="162"/>
      <c r="P164" s="162"/>
      <c r="Q164" s="162"/>
      <c r="R164" s="162"/>
      <c r="S164" s="162"/>
      <c r="T164" s="162"/>
      <c r="U164" s="162"/>
      <c r="V164" s="162"/>
      <c r="W164" s="162"/>
    </row>
    <row r="165" spans="15:23" x14ac:dyDescent="0.2">
      <c r="O165" s="162"/>
      <c r="P165" s="162"/>
      <c r="Q165" s="162"/>
      <c r="R165" s="162"/>
      <c r="S165" s="162"/>
      <c r="T165" s="162"/>
      <c r="U165" s="162"/>
      <c r="V165" s="162"/>
      <c r="W165" s="162"/>
    </row>
    <row r="166" spans="15:23" x14ac:dyDescent="0.2">
      <c r="O166" s="162"/>
      <c r="P166" s="162"/>
      <c r="Q166" s="162"/>
      <c r="R166" s="162"/>
      <c r="S166" s="162"/>
      <c r="T166" s="162"/>
      <c r="U166" s="162"/>
      <c r="V166" s="162"/>
      <c r="W166" s="162"/>
    </row>
    <row r="167" spans="15:23" x14ac:dyDescent="0.2">
      <c r="O167" s="162"/>
      <c r="P167" s="162"/>
      <c r="Q167" s="162"/>
      <c r="R167" s="162"/>
      <c r="S167" s="162"/>
      <c r="T167" s="162"/>
      <c r="U167" s="162"/>
      <c r="V167" s="162"/>
      <c r="W167" s="162"/>
    </row>
    <row r="168" spans="15:23" x14ac:dyDescent="0.2">
      <c r="O168" s="162"/>
      <c r="P168" s="162"/>
      <c r="Q168" s="162"/>
      <c r="R168" s="162"/>
      <c r="S168" s="162"/>
      <c r="T168" s="162"/>
      <c r="U168" s="162"/>
      <c r="V168" s="162"/>
      <c r="W168" s="162"/>
    </row>
    <row r="169" spans="15:23" x14ac:dyDescent="0.2">
      <c r="O169" s="162"/>
      <c r="P169" s="162"/>
      <c r="Q169" s="162"/>
      <c r="R169" s="162"/>
      <c r="S169" s="162"/>
      <c r="T169" s="162"/>
      <c r="U169" s="162"/>
      <c r="V169" s="162"/>
      <c r="W169" s="162"/>
    </row>
    <row r="170" spans="15:23" x14ac:dyDescent="0.2">
      <c r="O170" s="162"/>
      <c r="P170" s="162"/>
      <c r="Q170" s="162"/>
      <c r="R170" s="162"/>
      <c r="S170" s="162"/>
      <c r="T170" s="162"/>
      <c r="U170" s="162"/>
      <c r="V170" s="162"/>
      <c r="W170" s="162"/>
    </row>
    <row r="171" spans="15:23" x14ac:dyDescent="0.2">
      <c r="O171" s="162"/>
      <c r="P171" s="162"/>
      <c r="Q171" s="162"/>
      <c r="R171" s="162"/>
      <c r="S171" s="162"/>
      <c r="T171" s="162"/>
      <c r="U171" s="162"/>
      <c r="V171" s="162"/>
      <c r="W171" s="162"/>
    </row>
    <row r="172" spans="15:23" x14ac:dyDescent="0.2">
      <c r="O172" s="162"/>
      <c r="P172" s="162"/>
      <c r="Q172" s="162"/>
      <c r="R172" s="162"/>
      <c r="S172" s="162"/>
      <c r="T172" s="162"/>
      <c r="U172" s="162"/>
      <c r="V172" s="162"/>
      <c r="W172" s="162"/>
    </row>
    <row r="173" spans="15:23" x14ac:dyDescent="0.2">
      <c r="O173" s="162"/>
      <c r="P173" s="162"/>
      <c r="Q173" s="162"/>
      <c r="R173" s="162"/>
      <c r="S173" s="162"/>
      <c r="T173" s="162"/>
      <c r="U173" s="162"/>
      <c r="V173" s="162"/>
      <c r="W173" s="162"/>
    </row>
    <row r="174" spans="15:23" x14ac:dyDescent="0.2">
      <c r="O174" s="162"/>
      <c r="P174" s="162"/>
      <c r="Q174" s="162"/>
      <c r="R174" s="162"/>
      <c r="S174" s="162"/>
      <c r="T174" s="162"/>
      <c r="U174" s="162"/>
      <c r="V174" s="162"/>
      <c r="W174" s="162"/>
    </row>
    <row r="175" spans="15:23" x14ac:dyDescent="0.2">
      <c r="O175" s="162"/>
      <c r="P175" s="162"/>
      <c r="Q175" s="162"/>
      <c r="R175" s="162"/>
      <c r="S175" s="162"/>
      <c r="T175" s="162"/>
      <c r="U175" s="162"/>
      <c r="V175" s="162"/>
      <c r="W175" s="162"/>
    </row>
    <row r="176" spans="15:23" x14ac:dyDescent="0.2">
      <c r="O176" s="162"/>
      <c r="P176" s="162"/>
      <c r="Q176" s="162"/>
      <c r="R176" s="162"/>
      <c r="S176" s="162"/>
      <c r="T176" s="162"/>
      <c r="U176" s="162"/>
      <c r="V176" s="162"/>
      <c r="W176" s="162"/>
    </row>
    <row r="177" spans="15:23" x14ac:dyDescent="0.2">
      <c r="O177" s="162"/>
      <c r="P177" s="162"/>
      <c r="Q177" s="162"/>
      <c r="R177" s="162"/>
      <c r="S177" s="162"/>
      <c r="T177" s="162"/>
      <c r="U177" s="162"/>
      <c r="V177" s="162"/>
      <c r="W177" s="162"/>
    </row>
    <row r="178" spans="15:23" x14ac:dyDescent="0.2">
      <c r="O178" s="162"/>
      <c r="P178" s="162"/>
      <c r="Q178" s="162"/>
      <c r="R178" s="162"/>
      <c r="S178" s="162"/>
      <c r="T178" s="162"/>
      <c r="U178" s="162"/>
      <c r="V178" s="162"/>
      <c r="W178" s="162"/>
    </row>
    <row r="179" spans="15:23" x14ac:dyDescent="0.2">
      <c r="O179" s="162"/>
      <c r="P179" s="162"/>
      <c r="Q179" s="162"/>
      <c r="R179" s="162"/>
      <c r="S179" s="162"/>
      <c r="T179" s="162"/>
      <c r="U179" s="162"/>
      <c r="V179" s="162"/>
      <c r="W179" s="162"/>
    </row>
    <row r="180" spans="15:23" x14ac:dyDescent="0.2">
      <c r="O180" s="162"/>
      <c r="P180" s="162"/>
      <c r="Q180" s="162"/>
      <c r="R180" s="162"/>
      <c r="S180" s="162"/>
      <c r="T180" s="162"/>
      <c r="U180" s="162"/>
      <c r="V180" s="162"/>
      <c r="W180" s="162"/>
    </row>
    <row r="181" spans="15:23" x14ac:dyDescent="0.2">
      <c r="O181" s="162"/>
      <c r="P181" s="162"/>
      <c r="Q181" s="162"/>
      <c r="R181" s="162"/>
      <c r="S181" s="162"/>
      <c r="T181" s="162"/>
      <c r="U181" s="162"/>
      <c r="V181" s="162"/>
      <c r="W181" s="162"/>
    </row>
    <row r="182" spans="15:23" x14ac:dyDescent="0.2">
      <c r="O182" s="162"/>
      <c r="P182" s="162"/>
      <c r="Q182" s="162"/>
      <c r="R182" s="162"/>
      <c r="S182" s="162"/>
      <c r="T182" s="162"/>
      <c r="U182" s="162"/>
      <c r="V182" s="162"/>
      <c r="W182" s="162"/>
    </row>
    <row r="183" spans="15:23" x14ac:dyDescent="0.2">
      <c r="O183" s="162"/>
      <c r="P183" s="162"/>
      <c r="Q183" s="162"/>
      <c r="R183" s="162"/>
      <c r="S183" s="162"/>
      <c r="T183" s="162"/>
      <c r="U183" s="162"/>
      <c r="V183" s="162"/>
      <c r="W183" s="162"/>
    </row>
    <row r="184" spans="15:23" x14ac:dyDescent="0.2">
      <c r="O184" s="162"/>
      <c r="P184" s="162"/>
      <c r="Q184" s="162"/>
      <c r="R184" s="162"/>
      <c r="S184" s="162"/>
      <c r="T184" s="162"/>
      <c r="U184" s="162"/>
      <c r="V184" s="162"/>
      <c r="W184" s="162"/>
    </row>
    <row r="185" spans="15:23" x14ac:dyDescent="0.2">
      <c r="O185" s="162"/>
      <c r="P185" s="162"/>
      <c r="Q185" s="162"/>
      <c r="R185" s="162"/>
      <c r="S185" s="162"/>
      <c r="T185" s="162"/>
      <c r="U185" s="162"/>
      <c r="V185" s="162"/>
      <c r="W185" s="162"/>
    </row>
    <row r="186" spans="15:23" x14ac:dyDescent="0.2">
      <c r="O186" s="162"/>
      <c r="P186" s="162"/>
      <c r="Q186" s="162"/>
      <c r="R186" s="162"/>
      <c r="S186" s="162"/>
      <c r="T186" s="162"/>
      <c r="U186" s="162"/>
      <c r="V186" s="162"/>
      <c r="W186" s="162"/>
    </row>
    <row r="187" spans="15:23" x14ac:dyDescent="0.2">
      <c r="O187" s="162"/>
      <c r="P187" s="162"/>
      <c r="Q187" s="162"/>
      <c r="R187" s="162"/>
      <c r="S187" s="162"/>
      <c r="T187" s="162"/>
      <c r="U187" s="162"/>
      <c r="V187" s="162"/>
      <c r="W187" s="162"/>
    </row>
    <row r="188" spans="15:23" x14ac:dyDescent="0.2">
      <c r="O188" s="162"/>
      <c r="P188" s="162"/>
      <c r="Q188" s="162"/>
      <c r="R188" s="162"/>
      <c r="S188" s="162"/>
      <c r="T188" s="162"/>
      <c r="U188" s="162"/>
      <c r="V188" s="162"/>
      <c r="W188" s="162"/>
    </row>
    <row r="189" spans="15:23" x14ac:dyDescent="0.2">
      <c r="O189" s="162"/>
      <c r="P189" s="162"/>
      <c r="Q189" s="162"/>
      <c r="R189" s="162"/>
      <c r="S189" s="162"/>
      <c r="T189" s="162"/>
      <c r="U189" s="162"/>
      <c r="V189" s="162"/>
      <c r="W189" s="162"/>
    </row>
    <row r="190" spans="15:23" x14ac:dyDescent="0.2">
      <c r="O190" s="162"/>
      <c r="P190" s="162"/>
      <c r="Q190" s="162"/>
      <c r="R190" s="162"/>
      <c r="S190" s="162"/>
      <c r="T190" s="162"/>
      <c r="U190" s="162"/>
      <c r="V190" s="162"/>
      <c r="W190" s="162"/>
    </row>
    <row r="191" spans="15:23" x14ac:dyDescent="0.2">
      <c r="O191" s="162"/>
      <c r="P191" s="162"/>
      <c r="Q191" s="162"/>
      <c r="R191" s="162"/>
      <c r="S191" s="162"/>
      <c r="T191" s="162"/>
      <c r="U191" s="162"/>
      <c r="V191" s="162"/>
      <c r="W191" s="162"/>
    </row>
    <row r="192" spans="15:23" x14ac:dyDescent="0.2">
      <c r="O192" s="162"/>
      <c r="P192" s="162"/>
      <c r="Q192" s="162"/>
      <c r="R192" s="162"/>
      <c r="S192" s="162"/>
      <c r="T192" s="162"/>
      <c r="U192" s="162"/>
      <c r="V192" s="162"/>
      <c r="W192" s="162"/>
    </row>
    <row r="193" spans="15:23" x14ac:dyDescent="0.2">
      <c r="O193" s="162"/>
      <c r="P193" s="162"/>
      <c r="Q193" s="162"/>
      <c r="R193" s="162"/>
      <c r="S193" s="162"/>
      <c r="T193" s="162"/>
      <c r="U193" s="162"/>
      <c r="V193" s="162"/>
      <c r="W193" s="162"/>
    </row>
    <row r="194" spans="15:23" x14ac:dyDescent="0.2">
      <c r="O194" s="162"/>
      <c r="P194" s="162"/>
      <c r="Q194" s="162"/>
      <c r="R194" s="162"/>
      <c r="S194" s="162"/>
      <c r="T194" s="162"/>
      <c r="U194" s="162"/>
      <c r="V194" s="162"/>
      <c r="W194" s="162"/>
    </row>
    <row r="195" spans="15:23" x14ac:dyDescent="0.2">
      <c r="O195" s="162"/>
      <c r="P195" s="162"/>
      <c r="Q195" s="162"/>
      <c r="R195" s="162"/>
      <c r="S195" s="162"/>
      <c r="T195" s="162"/>
      <c r="U195" s="162"/>
      <c r="V195" s="162"/>
      <c r="W195" s="162"/>
    </row>
    <row r="196" spans="15:23" x14ac:dyDescent="0.2">
      <c r="O196" s="162"/>
      <c r="P196" s="162"/>
      <c r="Q196" s="162"/>
      <c r="R196" s="162"/>
      <c r="S196" s="162"/>
      <c r="T196" s="162"/>
      <c r="U196" s="162"/>
      <c r="V196" s="162"/>
      <c r="W196" s="162"/>
    </row>
    <row r="197" spans="15:23" x14ac:dyDescent="0.2">
      <c r="O197" s="162"/>
      <c r="P197" s="162"/>
      <c r="Q197" s="162"/>
      <c r="R197" s="162"/>
      <c r="S197" s="162"/>
      <c r="T197" s="162"/>
      <c r="U197" s="162"/>
      <c r="V197" s="162"/>
      <c r="W197" s="162"/>
    </row>
    <row r="198" spans="15:23" x14ac:dyDescent="0.2">
      <c r="O198" s="162"/>
      <c r="P198" s="162"/>
      <c r="Q198" s="162"/>
      <c r="R198" s="162"/>
      <c r="S198" s="162"/>
      <c r="T198" s="162"/>
      <c r="U198" s="162"/>
      <c r="V198" s="162"/>
      <c r="W198" s="162"/>
    </row>
    <row r="199" spans="15:23" x14ac:dyDescent="0.2">
      <c r="O199" s="162"/>
      <c r="P199" s="162"/>
      <c r="Q199" s="162"/>
      <c r="R199" s="162"/>
      <c r="S199" s="162"/>
      <c r="T199" s="162"/>
      <c r="U199" s="162"/>
      <c r="V199" s="162"/>
      <c r="W199" s="162"/>
    </row>
    <row r="200" spans="15:23" x14ac:dyDescent="0.2">
      <c r="O200" s="162"/>
      <c r="P200" s="162"/>
      <c r="Q200" s="162"/>
      <c r="R200" s="162"/>
      <c r="S200" s="162"/>
      <c r="T200" s="162"/>
      <c r="U200" s="162"/>
      <c r="V200" s="162"/>
      <c r="W200" s="162"/>
    </row>
    <row r="201" spans="15:23" x14ac:dyDescent="0.2">
      <c r="O201" s="162"/>
      <c r="P201" s="162"/>
      <c r="Q201" s="162"/>
      <c r="R201" s="162"/>
      <c r="S201" s="162"/>
      <c r="T201" s="162"/>
      <c r="U201" s="162"/>
      <c r="V201" s="162"/>
      <c r="W201" s="162"/>
    </row>
    <row r="202" spans="15:23" x14ac:dyDescent="0.2">
      <c r="O202" s="162"/>
      <c r="P202" s="162"/>
      <c r="Q202" s="162"/>
      <c r="R202" s="162"/>
      <c r="S202" s="162"/>
      <c r="T202" s="162"/>
      <c r="U202" s="162"/>
      <c r="V202" s="162"/>
      <c r="W202" s="162"/>
    </row>
    <row r="203" spans="15:23" x14ac:dyDescent="0.2">
      <c r="O203" s="162"/>
      <c r="P203" s="162"/>
      <c r="Q203" s="162"/>
      <c r="R203" s="162"/>
      <c r="S203" s="162"/>
      <c r="T203" s="162"/>
      <c r="U203" s="162"/>
      <c r="V203" s="162"/>
      <c r="W203" s="162"/>
    </row>
    <row r="204" spans="15:23" x14ac:dyDescent="0.2">
      <c r="O204" s="162"/>
      <c r="P204" s="162"/>
      <c r="Q204" s="162"/>
      <c r="R204" s="162"/>
      <c r="S204" s="162"/>
      <c r="T204" s="162"/>
      <c r="U204" s="162"/>
      <c r="V204" s="162"/>
      <c r="W204" s="162"/>
    </row>
    <row r="205" spans="15:23" x14ac:dyDescent="0.2">
      <c r="O205" s="162"/>
      <c r="P205" s="162"/>
      <c r="Q205" s="162"/>
      <c r="R205" s="162"/>
      <c r="S205" s="162"/>
      <c r="T205" s="162"/>
      <c r="U205" s="162"/>
      <c r="V205" s="162"/>
      <c r="W205" s="162"/>
    </row>
    <row r="206" spans="15:23" x14ac:dyDescent="0.2">
      <c r="O206" s="162"/>
      <c r="P206" s="162"/>
      <c r="Q206" s="162"/>
      <c r="R206" s="162"/>
      <c r="S206" s="162"/>
      <c r="T206" s="162"/>
      <c r="U206" s="162"/>
      <c r="V206" s="162"/>
      <c r="W206" s="162"/>
    </row>
    <row r="207" spans="15:23" x14ac:dyDescent="0.2">
      <c r="O207" s="162"/>
      <c r="P207" s="162"/>
      <c r="Q207" s="162"/>
      <c r="R207" s="162"/>
      <c r="S207" s="162"/>
      <c r="T207" s="162"/>
      <c r="U207" s="162"/>
      <c r="V207" s="162"/>
      <c r="W207" s="162"/>
    </row>
    <row r="208" spans="15:23" x14ac:dyDescent="0.2">
      <c r="O208" s="162"/>
      <c r="P208" s="162"/>
      <c r="Q208" s="162"/>
      <c r="R208" s="162"/>
      <c r="S208" s="162"/>
      <c r="T208" s="162"/>
      <c r="U208" s="162"/>
      <c r="V208" s="162"/>
      <c r="W208" s="162"/>
    </row>
    <row r="209" spans="15:23" x14ac:dyDescent="0.2">
      <c r="O209" s="162"/>
      <c r="P209" s="162"/>
      <c r="Q209" s="162"/>
      <c r="R209" s="162"/>
      <c r="S209" s="162"/>
      <c r="T209" s="162"/>
      <c r="U209" s="162"/>
      <c r="V209" s="162"/>
      <c r="W209" s="162"/>
    </row>
    <row r="210" spans="15:23" x14ac:dyDescent="0.2">
      <c r="O210" s="162"/>
      <c r="P210" s="162"/>
      <c r="Q210" s="162"/>
      <c r="R210" s="162"/>
      <c r="S210" s="162"/>
      <c r="T210" s="162"/>
      <c r="U210" s="162"/>
      <c r="V210" s="162"/>
      <c r="W210" s="162"/>
    </row>
    <row r="211" spans="15:23" x14ac:dyDescent="0.2">
      <c r="O211" s="162"/>
      <c r="P211" s="162"/>
      <c r="Q211" s="162"/>
      <c r="R211" s="162"/>
      <c r="S211" s="162"/>
      <c r="T211" s="162"/>
      <c r="U211" s="162"/>
      <c r="V211" s="162"/>
      <c r="W211" s="162"/>
    </row>
    <row r="212" spans="15:23" x14ac:dyDescent="0.2">
      <c r="O212" s="162"/>
      <c r="P212" s="162"/>
      <c r="Q212" s="162"/>
      <c r="R212" s="162"/>
      <c r="S212" s="162"/>
      <c r="T212" s="162"/>
      <c r="U212" s="162"/>
      <c r="V212" s="162"/>
      <c r="W212" s="162"/>
    </row>
    <row r="213" spans="15:23" x14ac:dyDescent="0.2">
      <c r="O213" s="162"/>
      <c r="P213" s="162"/>
      <c r="Q213" s="162"/>
      <c r="R213" s="162"/>
      <c r="S213" s="162"/>
      <c r="T213" s="162"/>
      <c r="U213" s="162"/>
      <c r="V213" s="162"/>
      <c r="W213" s="162"/>
    </row>
    <row r="214" spans="15:23" x14ac:dyDescent="0.2">
      <c r="O214" s="162"/>
      <c r="P214" s="162"/>
      <c r="Q214" s="162"/>
      <c r="R214" s="162"/>
      <c r="S214" s="162"/>
      <c r="T214" s="162"/>
      <c r="U214" s="162"/>
      <c r="V214" s="162"/>
      <c r="W214" s="162"/>
    </row>
    <row r="215" spans="15:23" x14ac:dyDescent="0.2">
      <c r="O215" s="162"/>
      <c r="P215" s="162"/>
      <c r="Q215" s="162"/>
      <c r="R215" s="162"/>
      <c r="S215" s="162"/>
      <c r="T215" s="162"/>
      <c r="U215" s="162"/>
      <c r="V215" s="162"/>
      <c r="W215" s="162"/>
    </row>
    <row r="216" spans="15:23" x14ac:dyDescent="0.2">
      <c r="O216" s="162"/>
      <c r="P216" s="162"/>
      <c r="Q216" s="162"/>
      <c r="R216" s="162"/>
      <c r="S216" s="162"/>
      <c r="T216" s="162"/>
      <c r="U216" s="162"/>
      <c r="V216" s="162"/>
      <c r="W216" s="162"/>
    </row>
    <row r="217" spans="15:23" x14ac:dyDescent="0.2">
      <c r="O217" s="162"/>
      <c r="P217" s="162"/>
      <c r="Q217" s="162"/>
      <c r="R217" s="162"/>
      <c r="S217" s="162"/>
      <c r="T217" s="162"/>
      <c r="U217" s="162"/>
      <c r="V217" s="162"/>
      <c r="W217" s="162"/>
    </row>
    <row r="218" spans="15:23" x14ac:dyDescent="0.2">
      <c r="O218" s="162"/>
      <c r="P218" s="162"/>
      <c r="Q218" s="162"/>
      <c r="R218" s="162"/>
      <c r="S218" s="162"/>
      <c r="T218" s="162"/>
      <c r="U218" s="162"/>
      <c r="V218" s="162"/>
      <c r="W218" s="162"/>
    </row>
    <row r="219" spans="15:23" x14ac:dyDescent="0.2">
      <c r="O219" s="162"/>
      <c r="P219" s="162"/>
      <c r="Q219" s="162"/>
      <c r="R219" s="162"/>
      <c r="S219" s="162"/>
      <c r="T219" s="162"/>
      <c r="U219" s="162"/>
      <c r="V219" s="162"/>
      <c r="W219" s="162"/>
    </row>
    <row r="220" spans="15:23" x14ac:dyDescent="0.2">
      <c r="O220" s="162"/>
      <c r="P220" s="162"/>
      <c r="Q220" s="162"/>
      <c r="R220" s="162"/>
      <c r="S220" s="162"/>
      <c r="T220" s="162"/>
      <c r="U220" s="162"/>
      <c r="V220" s="162"/>
      <c r="W220" s="162"/>
    </row>
    <row r="221" spans="15:23" x14ac:dyDescent="0.2">
      <c r="O221" s="162"/>
      <c r="P221" s="162"/>
      <c r="Q221" s="162"/>
      <c r="R221" s="162"/>
      <c r="S221" s="162"/>
      <c r="T221" s="162"/>
      <c r="U221" s="162"/>
      <c r="V221" s="162"/>
      <c r="W221" s="162"/>
    </row>
    <row r="222" spans="15:23" x14ac:dyDescent="0.2">
      <c r="O222" s="162"/>
      <c r="P222" s="162"/>
      <c r="Q222" s="162"/>
      <c r="R222" s="162"/>
      <c r="S222" s="162"/>
      <c r="T222" s="162"/>
      <c r="U222" s="162"/>
      <c r="V222" s="162"/>
      <c r="W222" s="162"/>
    </row>
    <row r="223" spans="15:23" x14ac:dyDescent="0.2">
      <c r="O223" s="162"/>
      <c r="P223" s="162"/>
      <c r="Q223" s="162"/>
      <c r="R223" s="162"/>
      <c r="S223" s="162"/>
      <c r="T223" s="162"/>
      <c r="U223" s="162"/>
      <c r="V223" s="162"/>
      <c r="W223" s="162"/>
    </row>
    <row r="224" spans="15:23" x14ac:dyDescent="0.2">
      <c r="O224" s="162"/>
      <c r="P224" s="162"/>
      <c r="Q224" s="162"/>
      <c r="R224" s="162"/>
      <c r="S224" s="162"/>
      <c r="T224" s="162"/>
      <c r="U224" s="162"/>
      <c r="V224" s="162"/>
      <c r="W224" s="162"/>
    </row>
    <row r="225" spans="15:23" x14ac:dyDescent="0.2">
      <c r="O225" s="162"/>
      <c r="P225" s="162"/>
      <c r="Q225" s="162"/>
      <c r="R225" s="162"/>
      <c r="S225" s="162"/>
      <c r="T225" s="162"/>
      <c r="U225" s="162"/>
      <c r="V225" s="162"/>
      <c r="W225" s="162"/>
    </row>
    <row r="226" spans="15:23" x14ac:dyDescent="0.2">
      <c r="O226" s="162"/>
      <c r="P226" s="162"/>
      <c r="Q226" s="162"/>
      <c r="R226" s="162"/>
      <c r="S226" s="162"/>
      <c r="T226" s="162"/>
      <c r="U226" s="162"/>
      <c r="V226" s="162"/>
      <c r="W226" s="162"/>
    </row>
    <row r="227" spans="15:23" x14ac:dyDescent="0.2">
      <c r="O227" s="162"/>
      <c r="P227" s="162"/>
      <c r="Q227" s="162"/>
      <c r="R227" s="162"/>
      <c r="S227" s="162"/>
      <c r="T227" s="162"/>
      <c r="U227" s="162"/>
      <c r="V227" s="162"/>
      <c r="W227" s="162"/>
    </row>
    <row r="228" spans="15:23" x14ac:dyDescent="0.2">
      <c r="O228" s="162"/>
      <c r="P228" s="162"/>
      <c r="Q228" s="162"/>
      <c r="R228" s="162"/>
      <c r="S228" s="162"/>
      <c r="T228" s="162"/>
      <c r="U228" s="162"/>
      <c r="V228" s="162"/>
      <c r="W228" s="162"/>
    </row>
    <row r="229" spans="15:23" x14ac:dyDescent="0.2">
      <c r="O229" s="162"/>
      <c r="P229" s="162"/>
      <c r="Q229" s="162"/>
      <c r="R229" s="162"/>
      <c r="S229" s="162"/>
      <c r="T229" s="162"/>
      <c r="U229" s="162"/>
      <c r="V229" s="162"/>
      <c r="W229" s="162"/>
    </row>
    <row r="230" spans="15:23" x14ac:dyDescent="0.2">
      <c r="O230" s="162"/>
      <c r="P230" s="162"/>
      <c r="Q230" s="162"/>
      <c r="R230" s="162"/>
      <c r="S230" s="162"/>
      <c r="T230" s="162"/>
      <c r="U230" s="162"/>
      <c r="V230" s="162"/>
      <c r="W230" s="162"/>
    </row>
    <row r="231" spans="15:23" x14ac:dyDescent="0.2">
      <c r="O231" s="162"/>
      <c r="P231" s="162"/>
      <c r="Q231" s="162"/>
      <c r="R231" s="162"/>
      <c r="S231" s="162"/>
      <c r="T231" s="162"/>
      <c r="U231" s="162"/>
      <c r="V231" s="162"/>
      <c r="W231" s="162"/>
    </row>
    <row r="232" spans="15:23" x14ac:dyDescent="0.2">
      <c r="O232" s="162"/>
      <c r="P232" s="162"/>
      <c r="Q232" s="162"/>
      <c r="R232" s="162"/>
      <c r="S232" s="162"/>
      <c r="T232" s="162"/>
      <c r="U232" s="162"/>
      <c r="V232" s="162"/>
      <c r="W232" s="162"/>
    </row>
    <row r="233" spans="15:23" x14ac:dyDescent="0.2">
      <c r="O233" s="162"/>
      <c r="P233" s="162"/>
      <c r="Q233" s="162"/>
      <c r="R233" s="162"/>
      <c r="S233" s="162"/>
      <c r="T233" s="162"/>
      <c r="U233" s="162"/>
      <c r="V233" s="162"/>
      <c r="W233" s="162"/>
    </row>
    <row r="234" spans="15:23" x14ac:dyDescent="0.2">
      <c r="O234" s="162"/>
      <c r="P234" s="162"/>
      <c r="Q234" s="162"/>
      <c r="R234" s="162"/>
      <c r="S234" s="162"/>
      <c r="T234" s="162"/>
      <c r="U234" s="162"/>
      <c r="V234" s="162"/>
      <c r="W234" s="162"/>
    </row>
    <row r="235" spans="15:23" x14ac:dyDescent="0.2">
      <c r="O235" s="162"/>
      <c r="P235" s="162"/>
      <c r="Q235" s="162"/>
      <c r="R235" s="162"/>
      <c r="S235" s="162"/>
      <c r="T235" s="162"/>
      <c r="U235" s="162"/>
      <c r="V235" s="162"/>
      <c r="W235" s="162"/>
    </row>
    <row r="236" spans="15:23" x14ac:dyDescent="0.2">
      <c r="O236" s="162"/>
      <c r="P236" s="162"/>
      <c r="Q236" s="162"/>
      <c r="R236" s="162"/>
      <c r="S236" s="162"/>
      <c r="T236" s="162"/>
      <c r="U236" s="162"/>
      <c r="V236" s="162"/>
      <c r="W236" s="162"/>
    </row>
    <row r="237" spans="15:23" x14ac:dyDescent="0.2">
      <c r="O237" s="162"/>
      <c r="P237" s="162"/>
      <c r="Q237" s="162"/>
      <c r="R237" s="162"/>
      <c r="S237" s="162"/>
      <c r="T237" s="162"/>
      <c r="U237" s="162"/>
      <c r="V237" s="162"/>
      <c r="W237" s="162"/>
    </row>
    <row r="238" spans="15:23" x14ac:dyDescent="0.2">
      <c r="O238" s="162"/>
      <c r="P238" s="162"/>
      <c r="Q238" s="162"/>
      <c r="R238" s="162"/>
      <c r="S238" s="162"/>
      <c r="T238" s="162"/>
      <c r="U238" s="162"/>
      <c r="V238" s="162"/>
      <c r="W238" s="162"/>
    </row>
    <row r="239" spans="15:23" x14ac:dyDescent="0.2">
      <c r="O239" s="162"/>
      <c r="P239" s="162"/>
      <c r="Q239" s="162"/>
      <c r="R239" s="162"/>
      <c r="S239" s="162"/>
      <c r="T239" s="162"/>
      <c r="U239" s="162"/>
      <c r="V239" s="162"/>
      <c r="W239" s="162"/>
    </row>
    <row r="240" spans="15:23" x14ac:dyDescent="0.2">
      <c r="O240" s="162"/>
      <c r="P240" s="162"/>
      <c r="Q240" s="162"/>
      <c r="R240" s="162"/>
      <c r="S240" s="162"/>
      <c r="T240" s="162"/>
      <c r="U240" s="162"/>
      <c r="V240" s="162"/>
      <c r="W240" s="162"/>
    </row>
    <row r="241" spans="15:23" x14ac:dyDescent="0.2">
      <c r="O241" s="162"/>
      <c r="P241" s="162"/>
      <c r="Q241" s="162"/>
      <c r="R241" s="162"/>
      <c r="S241" s="162"/>
      <c r="T241" s="162"/>
      <c r="U241" s="162"/>
      <c r="V241" s="162"/>
      <c r="W241" s="162"/>
    </row>
    <row r="242" spans="15:23" x14ac:dyDescent="0.2">
      <c r="O242" s="162"/>
      <c r="P242" s="162"/>
      <c r="Q242" s="162"/>
      <c r="R242" s="162"/>
      <c r="S242" s="162"/>
      <c r="T242" s="162"/>
      <c r="U242" s="162"/>
      <c r="V242" s="162"/>
      <c r="W242" s="162"/>
    </row>
    <row r="243" spans="15:23" x14ac:dyDescent="0.2">
      <c r="O243" s="162"/>
      <c r="P243" s="162"/>
      <c r="Q243" s="162"/>
      <c r="R243" s="162"/>
      <c r="S243" s="162"/>
      <c r="T243" s="162"/>
      <c r="U243" s="162"/>
      <c r="V243" s="162"/>
      <c r="W243" s="162"/>
    </row>
    <row r="244" spans="15:23" x14ac:dyDescent="0.2">
      <c r="O244" s="162"/>
      <c r="P244" s="162"/>
      <c r="Q244" s="162"/>
      <c r="R244" s="162"/>
      <c r="S244" s="162"/>
      <c r="T244" s="162"/>
      <c r="U244" s="162"/>
      <c r="V244" s="162"/>
      <c r="W244" s="162"/>
    </row>
    <row r="245" spans="15:23" x14ac:dyDescent="0.2">
      <c r="O245" s="162"/>
      <c r="P245" s="162"/>
      <c r="Q245" s="162"/>
      <c r="R245" s="162"/>
      <c r="S245" s="162"/>
      <c r="T245" s="162"/>
      <c r="U245" s="162"/>
      <c r="V245" s="162"/>
      <c r="W245" s="162"/>
    </row>
    <row r="246" spans="15:23" x14ac:dyDescent="0.2">
      <c r="O246" s="162"/>
      <c r="P246" s="162"/>
      <c r="Q246" s="162"/>
      <c r="R246" s="162"/>
      <c r="S246" s="162"/>
      <c r="T246" s="162"/>
      <c r="U246" s="162"/>
      <c r="V246" s="162"/>
      <c r="W246" s="162"/>
    </row>
    <row r="247" spans="15:23" x14ac:dyDescent="0.2">
      <c r="O247" s="162"/>
      <c r="P247" s="162"/>
      <c r="Q247" s="162"/>
      <c r="R247" s="162"/>
      <c r="S247" s="162"/>
      <c r="T247" s="162"/>
      <c r="U247" s="162"/>
      <c r="V247" s="162"/>
      <c r="W247" s="162"/>
    </row>
    <row r="248" spans="15:23" x14ac:dyDescent="0.2">
      <c r="O248" s="162"/>
      <c r="P248" s="162"/>
      <c r="Q248" s="162"/>
      <c r="R248" s="162"/>
      <c r="S248" s="162"/>
      <c r="T248" s="162"/>
      <c r="U248" s="162"/>
      <c r="V248" s="162"/>
      <c r="W248" s="162"/>
    </row>
    <row r="249" spans="15:23" x14ac:dyDescent="0.2">
      <c r="O249" s="162"/>
      <c r="P249" s="162"/>
      <c r="Q249" s="162"/>
      <c r="R249" s="162"/>
      <c r="S249" s="162"/>
      <c r="T249" s="162"/>
      <c r="U249" s="162"/>
      <c r="V249" s="162"/>
      <c r="W249" s="162"/>
    </row>
    <row r="250" spans="15:23" x14ac:dyDescent="0.2">
      <c r="O250" s="162"/>
      <c r="P250" s="162"/>
      <c r="Q250" s="162"/>
      <c r="R250" s="162"/>
      <c r="S250" s="162"/>
      <c r="T250" s="162"/>
      <c r="U250" s="162"/>
      <c r="V250" s="162"/>
      <c r="W250" s="162"/>
    </row>
    <row r="251" spans="15:23" x14ac:dyDescent="0.2">
      <c r="O251" s="162"/>
      <c r="P251" s="162"/>
      <c r="Q251" s="162"/>
      <c r="R251" s="162"/>
      <c r="S251" s="162"/>
      <c r="T251" s="162"/>
      <c r="U251" s="162"/>
      <c r="V251" s="162"/>
      <c r="W251" s="162"/>
    </row>
    <row r="252" spans="15:23" x14ac:dyDescent="0.2">
      <c r="O252" s="162"/>
      <c r="P252" s="162"/>
      <c r="Q252" s="162"/>
      <c r="R252" s="162"/>
      <c r="S252" s="162"/>
      <c r="T252" s="162"/>
      <c r="U252" s="162"/>
      <c r="V252" s="162"/>
      <c r="W252" s="162"/>
    </row>
    <row r="253" spans="15:23" x14ac:dyDescent="0.2">
      <c r="O253" s="162"/>
      <c r="P253" s="162"/>
      <c r="Q253" s="162"/>
      <c r="R253" s="162"/>
      <c r="S253" s="162"/>
      <c r="T253" s="162"/>
      <c r="U253" s="162"/>
      <c r="V253" s="162"/>
      <c r="W253" s="162"/>
    </row>
    <row r="254" spans="15:23" x14ac:dyDescent="0.2">
      <c r="O254" s="162"/>
      <c r="P254" s="162"/>
      <c r="Q254" s="162"/>
      <c r="R254" s="162"/>
      <c r="S254" s="162"/>
      <c r="T254" s="162"/>
      <c r="U254" s="162"/>
      <c r="V254" s="162"/>
      <c r="W254" s="162"/>
    </row>
    <row r="255" spans="15:23" x14ac:dyDescent="0.2">
      <c r="O255" s="162"/>
      <c r="P255" s="162"/>
      <c r="Q255" s="162"/>
      <c r="R255" s="162"/>
      <c r="S255" s="162"/>
      <c r="T255" s="162"/>
      <c r="U255" s="162"/>
      <c r="V255" s="162"/>
      <c r="W255" s="162"/>
    </row>
    <row r="256" spans="15:23" x14ac:dyDescent="0.2">
      <c r="O256" s="162"/>
      <c r="P256" s="162"/>
      <c r="Q256" s="162"/>
      <c r="R256" s="162"/>
      <c r="S256" s="162"/>
      <c r="T256" s="162"/>
      <c r="U256" s="162"/>
      <c r="V256" s="162"/>
      <c r="W256" s="162"/>
    </row>
    <row r="257" spans="15:23" x14ac:dyDescent="0.2">
      <c r="O257" s="162"/>
      <c r="P257" s="162"/>
      <c r="Q257" s="162"/>
      <c r="R257" s="162"/>
      <c r="S257" s="162"/>
      <c r="T257" s="162"/>
      <c r="U257" s="162"/>
      <c r="V257" s="162"/>
      <c r="W257" s="162"/>
    </row>
    <row r="258" spans="15:23" x14ac:dyDescent="0.2">
      <c r="O258" s="162"/>
      <c r="P258" s="162"/>
      <c r="Q258" s="162"/>
      <c r="R258" s="162"/>
      <c r="S258" s="162"/>
      <c r="T258" s="162"/>
      <c r="U258" s="162"/>
      <c r="V258" s="162"/>
      <c r="W258" s="162"/>
    </row>
    <row r="259" spans="15:23" x14ac:dyDescent="0.2">
      <c r="O259" s="162"/>
      <c r="P259" s="162"/>
      <c r="Q259" s="162"/>
      <c r="R259" s="162"/>
      <c r="S259" s="162"/>
      <c r="T259" s="162"/>
      <c r="U259" s="162"/>
      <c r="V259" s="162"/>
      <c r="W259" s="162"/>
    </row>
    <row r="260" spans="15:23" x14ac:dyDescent="0.2">
      <c r="O260" s="162"/>
      <c r="P260" s="162"/>
      <c r="Q260" s="162"/>
      <c r="R260" s="162"/>
      <c r="S260" s="162"/>
      <c r="T260" s="162"/>
      <c r="U260" s="162"/>
      <c r="V260" s="162"/>
      <c r="W260" s="162"/>
    </row>
    <row r="261" spans="15:23" x14ac:dyDescent="0.2">
      <c r="O261" s="162"/>
      <c r="P261" s="162"/>
      <c r="Q261" s="162"/>
      <c r="R261" s="162"/>
      <c r="S261" s="162"/>
      <c r="T261" s="162"/>
      <c r="U261" s="162"/>
      <c r="V261" s="162"/>
      <c r="W261" s="162"/>
    </row>
    <row r="262" spans="15:23" x14ac:dyDescent="0.2">
      <c r="O262" s="162"/>
      <c r="P262" s="162"/>
      <c r="Q262" s="162"/>
      <c r="R262" s="162"/>
      <c r="S262" s="162"/>
      <c r="T262" s="162"/>
      <c r="U262" s="162"/>
      <c r="V262" s="162"/>
      <c r="W262" s="162"/>
    </row>
    <row r="263" spans="15:23" x14ac:dyDescent="0.2">
      <c r="O263" s="162"/>
      <c r="P263" s="162"/>
      <c r="Q263" s="162"/>
      <c r="R263" s="162"/>
      <c r="S263" s="162"/>
      <c r="T263" s="162"/>
      <c r="U263" s="162"/>
      <c r="V263" s="162"/>
      <c r="W263" s="162"/>
    </row>
    <row r="264" spans="15:23" x14ac:dyDescent="0.2">
      <c r="O264" s="162"/>
      <c r="P264" s="162"/>
      <c r="Q264" s="162"/>
      <c r="R264" s="162"/>
      <c r="S264" s="162"/>
      <c r="T264" s="162"/>
      <c r="U264" s="162"/>
      <c r="V264" s="162"/>
      <c r="W264" s="162"/>
    </row>
    <row r="265" spans="15:23" x14ac:dyDescent="0.2">
      <c r="O265" s="162"/>
      <c r="P265" s="162"/>
      <c r="Q265" s="162"/>
      <c r="R265" s="162"/>
      <c r="S265" s="162"/>
      <c r="T265" s="162"/>
      <c r="U265" s="162"/>
      <c r="V265" s="162"/>
      <c r="W265" s="162"/>
    </row>
    <row r="266" spans="15:23" x14ac:dyDescent="0.2">
      <c r="O266" s="162"/>
      <c r="P266" s="162"/>
      <c r="Q266" s="162"/>
      <c r="R266" s="162"/>
      <c r="S266" s="162"/>
      <c r="T266" s="162"/>
      <c r="U266" s="162"/>
      <c r="V266" s="162"/>
      <c r="W266" s="162"/>
    </row>
    <row r="267" spans="15:23" x14ac:dyDescent="0.2">
      <c r="O267" s="162"/>
      <c r="P267" s="162"/>
      <c r="Q267" s="162"/>
      <c r="R267" s="162"/>
      <c r="S267" s="162"/>
      <c r="T267" s="162"/>
      <c r="U267" s="162"/>
      <c r="V267" s="162"/>
      <c r="W267" s="162"/>
    </row>
    <row r="268" spans="15:23" x14ac:dyDescent="0.2">
      <c r="O268" s="162"/>
      <c r="P268" s="162"/>
      <c r="Q268" s="162"/>
      <c r="R268" s="162"/>
      <c r="S268" s="162"/>
      <c r="T268" s="162"/>
      <c r="U268" s="162"/>
      <c r="V268" s="162"/>
      <c r="W268" s="162"/>
    </row>
    <row r="269" spans="15:23" x14ac:dyDescent="0.2">
      <c r="O269" s="162"/>
      <c r="P269" s="162"/>
      <c r="Q269" s="162"/>
      <c r="R269" s="162"/>
      <c r="S269" s="162"/>
      <c r="T269" s="162"/>
      <c r="U269" s="162"/>
      <c r="V269" s="162"/>
      <c r="W269" s="162"/>
    </row>
    <row r="270" spans="15:23" x14ac:dyDescent="0.2">
      <c r="O270" s="162"/>
      <c r="P270" s="162"/>
      <c r="Q270" s="162"/>
      <c r="R270" s="162"/>
      <c r="S270" s="162"/>
      <c r="T270" s="162"/>
      <c r="U270" s="162"/>
      <c r="V270" s="162"/>
      <c r="W270" s="162"/>
    </row>
    <row r="271" spans="15:23" x14ac:dyDescent="0.2">
      <c r="O271" s="162"/>
      <c r="P271" s="162"/>
      <c r="Q271" s="162"/>
      <c r="R271" s="162"/>
      <c r="S271" s="162"/>
      <c r="T271" s="162"/>
      <c r="U271" s="162"/>
      <c r="V271" s="162"/>
      <c r="W271" s="162"/>
    </row>
    <row r="272" spans="15:23" x14ac:dyDescent="0.2">
      <c r="O272" s="162"/>
      <c r="P272" s="162"/>
      <c r="Q272" s="162"/>
      <c r="R272" s="162"/>
      <c r="S272" s="162"/>
      <c r="T272" s="162"/>
      <c r="U272" s="162"/>
      <c r="V272" s="162"/>
      <c r="W272" s="162"/>
    </row>
    <row r="273" spans="15:23" x14ac:dyDescent="0.2">
      <c r="O273" s="162"/>
      <c r="P273" s="162"/>
      <c r="Q273" s="162"/>
      <c r="R273" s="162"/>
      <c r="S273" s="162"/>
      <c r="T273" s="162"/>
      <c r="U273" s="162"/>
      <c r="V273" s="162"/>
      <c r="W273" s="162"/>
    </row>
    <row r="274" spans="15:23" x14ac:dyDescent="0.2">
      <c r="O274" s="162"/>
      <c r="P274" s="162"/>
      <c r="Q274" s="162"/>
      <c r="R274" s="162"/>
      <c r="S274" s="162"/>
      <c r="T274" s="162"/>
      <c r="U274" s="162"/>
      <c r="V274" s="162"/>
      <c r="W274" s="162"/>
    </row>
    <row r="275" spans="15:23" x14ac:dyDescent="0.2">
      <c r="O275" s="162"/>
      <c r="P275" s="162"/>
      <c r="Q275" s="162"/>
      <c r="R275" s="162"/>
      <c r="S275" s="162"/>
      <c r="T275" s="162"/>
      <c r="U275" s="162"/>
      <c r="V275" s="162"/>
      <c r="W275" s="162"/>
    </row>
    <row r="276" spans="15:23" x14ac:dyDescent="0.2">
      <c r="O276" s="162"/>
      <c r="P276" s="162"/>
      <c r="Q276" s="162"/>
      <c r="R276" s="162"/>
      <c r="S276" s="162"/>
      <c r="T276" s="162"/>
      <c r="U276" s="162"/>
      <c r="V276" s="162"/>
      <c r="W276" s="162"/>
    </row>
    <row r="277" spans="15:23" x14ac:dyDescent="0.2">
      <c r="O277" s="162"/>
      <c r="P277" s="162"/>
      <c r="Q277" s="162"/>
      <c r="R277" s="162"/>
      <c r="S277" s="162"/>
      <c r="T277" s="162"/>
      <c r="U277" s="162"/>
      <c r="V277" s="162"/>
      <c r="W277" s="162"/>
    </row>
    <row r="278" spans="15:23" x14ac:dyDescent="0.2">
      <c r="O278" s="162"/>
      <c r="P278" s="162"/>
      <c r="Q278" s="162"/>
      <c r="R278" s="162"/>
      <c r="S278" s="162"/>
      <c r="T278" s="162"/>
      <c r="U278" s="162"/>
      <c r="V278" s="162"/>
      <c r="W278" s="162"/>
    </row>
    <row r="279" spans="15:23" x14ac:dyDescent="0.2">
      <c r="O279" s="162"/>
      <c r="P279" s="162"/>
      <c r="Q279" s="162"/>
      <c r="R279" s="162"/>
      <c r="S279" s="162"/>
      <c r="T279" s="162"/>
      <c r="U279" s="162"/>
      <c r="V279" s="162"/>
      <c r="W279" s="162"/>
    </row>
    <row r="280" spans="15:23" x14ac:dyDescent="0.2">
      <c r="O280" s="162"/>
      <c r="P280" s="162"/>
      <c r="Q280" s="162"/>
      <c r="R280" s="162"/>
      <c r="S280" s="162"/>
      <c r="T280" s="162"/>
      <c r="U280" s="162"/>
      <c r="V280" s="162"/>
      <c r="W280" s="162"/>
    </row>
    <row r="281" spans="15:23" x14ac:dyDescent="0.2">
      <c r="O281" s="162"/>
      <c r="P281" s="162"/>
      <c r="Q281" s="162"/>
      <c r="R281" s="162"/>
      <c r="S281" s="162"/>
      <c r="T281" s="162"/>
      <c r="U281" s="162"/>
      <c r="V281" s="162"/>
      <c r="W281" s="162"/>
    </row>
    <row r="282" spans="15:23" x14ac:dyDescent="0.2">
      <c r="O282" s="162"/>
      <c r="P282" s="162"/>
      <c r="Q282" s="162"/>
      <c r="R282" s="162"/>
      <c r="S282" s="162"/>
      <c r="T282" s="162"/>
      <c r="U282" s="162"/>
      <c r="V282" s="162"/>
      <c r="W282" s="162"/>
    </row>
    <row r="283" spans="15:23" x14ac:dyDescent="0.2">
      <c r="O283" s="162"/>
      <c r="P283" s="162"/>
      <c r="Q283" s="162"/>
      <c r="R283" s="162"/>
      <c r="S283" s="162"/>
      <c r="T283" s="162"/>
      <c r="U283" s="162"/>
      <c r="V283" s="162"/>
      <c r="W283" s="162"/>
    </row>
    <row r="284" spans="15:23" x14ac:dyDescent="0.2">
      <c r="O284" s="162"/>
      <c r="P284" s="162"/>
      <c r="Q284" s="162"/>
      <c r="R284" s="162"/>
      <c r="S284" s="162"/>
      <c r="T284" s="162"/>
      <c r="U284" s="162"/>
      <c r="V284" s="162"/>
      <c r="W284" s="162"/>
    </row>
    <row r="285" spans="15:23" x14ac:dyDescent="0.2">
      <c r="O285" s="162"/>
      <c r="P285" s="162"/>
      <c r="Q285" s="162"/>
      <c r="R285" s="162"/>
      <c r="S285" s="162"/>
      <c r="T285" s="162"/>
      <c r="U285" s="162"/>
      <c r="V285" s="162"/>
      <c r="W285" s="162"/>
    </row>
    <row r="286" spans="15:23" x14ac:dyDescent="0.2">
      <c r="O286" s="162"/>
      <c r="P286" s="162"/>
      <c r="Q286" s="162"/>
      <c r="R286" s="162"/>
      <c r="S286" s="162"/>
      <c r="T286" s="162"/>
      <c r="U286" s="162"/>
      <c r="V286" s="162"/>
      <c r="W286" s="162"/>
    </row>
    <row r="287" spans="15:23" x14ac:dyDescent="0.2">
      <c r="O287" s="162"/>
      <c r="P287" s="162"/>
      <c r="Q287" s="162"/>
      <c r="R287" s="162"/>
      <c r="S287" s="162"/>
      <c r="T287" s="162"/>
      <c r="U287" s="162"/>
      <c r="V287" s="162"/>
      <c r="W287" s="162"/>
    </row>
    <row r="288" spans="15:23" x14ac:dyDescent="0.2">
      <c r="O288" s="162"/>
      <c r="P288" s="162"/>
      <c r="Q288" s="162"/>
      <c r="R288" s="162"/>
      <c r="S288" s="162"/>
      <c r="T288" s="162"/>
      <c r="U288" s="162"/>
      <c r="V288" s="162"/>
      <c r="W288" s="162"/>
    </row>
    <row r="289" spans="15:23" x14ac:dyDescent="0.2">
      <c r="O289" s="162"/>
      <c r="P289" s="162"/>
      <c r="Q289" s="162"/>
      <c r="R289" s="162"/>
      <c r="S289" s="162"/>
      <c r="T289" s="162"/>
      <c r="U289" s="162"/>
      <c r="V289" s="162"/>
      <c r="W289" s="162"/>
    </row>
    <row r="290" spans="15:23" x14ac:dyDescent="0.2">
      <c r="O290" s="162"/>
      <c r="P290" s="162"/>
      <c r="Q290" s="162"/>
      <c r="R290" s="162"/>
      <c r="S290" s="162"/>
      <c r="T290" s="162"/>
      <c r="U290" s="162"/>
      <c r="V290" s="162"/>
      <c r="W290" s="162"/>
    </row>
    <row r="291" spans="15:23" x14ac:dyDescent="0.2">
      <c r="O291" s="162"/>
      <c r="P291" s="162"/>
      <c r="Q291" s="162"/>
      <c r="R291" s="162"/>
      <c r="S291" s="162"/>
      <c r="T291" s="162"/>
      <c r="U291" s="162"/>
      <c r="V291" s="162"/>
      <c r="W291" s="162"/>
    </row>
    <row r="292" spans="15:23" x14ac:dyDescent="0.2">
      <c r="O292" s="162"/>
      <c r="P292" s="162"/>
      <c r="Q292" s="162"/>
      <c r="R292" s="162"/>
      <c r="S292" s="162"/>
      <c r="T292" s="162"/>
      <c r="U292" s="162"/>
      <c r="V292" s="162"/>
      <c r="W292" s="162"/>
    </row>
    <row r="293" spans="15:23" x14ac:dyDescent="0.2">
      <c r="O293" s="162"/>
      <c r="P293" s="162"/>
      <c r="Q293" s="162"/>
      <c r="R293" s="162"/>
      <c r="S293" s="162"/>
      <c r="T293" s="162"/>
      <c r="U293" s="162"/>
      <c r="V293" s="162"/>
      <c r="W293" s="162"/>
    </row>
    <row r="294" spans="15:23" x14ac:dyDescent="0.2">
      <c r="O294" s="162"/>
      <c r="P294" s="162"/>
      <c r="Q294" s="162"/>
      <c r="R294" s="162"/>
      <c r="S294" s="162"/>
      <c r="T294" s="162"/>
      <c r="U294" s="162"/>
      <c r="V294" s="162"/>
      <c r="W294" s="162"/>
    </row>
    <row r="295" spans="15:23" x14ac:dyDescent="0.2">
      <c r="O295" s="162"/>
      <c r="P295" s="162"/>
      <c r="Q295" s="162"/>
      <c r="R295" s="162"/>
      <c r="S295" s="162"/>
      <c r="T295" s="162"/>
      <c r="U295" s="162"/>
      <c r="V295" s="162"/>
      <c r="W295" s="162"/>
    </row>
    <row r="296" spans="15:23" x14ac:dyDescent="0.2">
      <c r="O296" s="162"/>
      <c r="P296" s="162"/>
      <c r="Q296" s="162"/>
      <c r="R296" s="162"/>
      <c r="S296" s="162"/>
      <c r="T296" s="162"/>
      <c r="U296" s="162"/>
      <c r="V296" s="162"/>
      <c r="W296" s="162"/>
    </row>
    <row r="297" spans="15:23" x14ac:dyDescent="0.2">
      <c r="O297" s="162"/>
      <c r="P297" s="162"/>
      <c r="Q297" s="162"/>
      <c r="R297" s="162"/>
      <c r="S297" s="162"/>
      <c r="T297" s="162"/>
      <c r="U297" s="162"/>
      <c r="V297" s="162"/>
      <c r="W297" s="162"/>
    </row>
    <row r="298" spans="15:23" x14ac:dyDescent="0.2">
      <c r="O298" s="162"/>
      <c r="P298" s="162"/>
      <c r="Q298" s="162"/>
      <c r="R298" s="162"/>
      <c r="S298" s="162"/>
      <c r="T298" s="162"/>
      <c r="U298" s="162"/>
      <c r="V298" s="162"/>
      <c r="W298" s="162"/>
    </row>
    <row r="299" spans="15:23" x14ac:dyDescent="0.2">
      <c r="O299" s="162"/>
      <c r="P299" s="162"/>
      <c r="Q299" s="162"/>
      <c r="R299" s="162"/>
      <c r="S299" s="162"/>
      <c r="T299" s="162"/>
      <c r="U299" s="162"/>
      <c r="V299" s="162"/>
      <c r="W299" s="162"/>
    </row>
    <row r="300" spans="15:23" x14ac:dyDescent="0.2">
      <c r="O300" s="162"/>
      <c r="P300" s="162"/>
      <c r="Q300" s="162"/>
      <c r="R300" s="162"/>
      <c r="S300" s="162"/>
      <c r="T300" s="162"/>
      <c r="U300" s="162"/>
      <c r="V300" s="162"/>
      <c r="W300" s="162"/>
    </row>
    <row r="301" spans="15:23" x14ac:dyDescent="0.2">
      <c r="O301" s="162"/>
      <c r="P301" s="162"/>
      <c r="Q301" s="162"/>
      <c r="R301" s="162"/>
      <c r="S301" s="162"/>
      <c r="T301" s="162"/>
      <c r="U301" s="162"/>
      <c r="V301" s="162"/>
      <c r="W301" s="162"/>
    </row>
    <row r="302" spans="15:23" x14ac:dyDescent="0.2">
      <c r="O302" s="162"/>
      <c r="P302" s="162"/>
      <c r="Q302" s="162"/>
      <c r="R302" s="162"/>
      <c r="S302" s="162"/>
      <c r="T302" s="162"/>
      <c r="U302" s="162"/>
      <c r="V302" s="162"/>
      <c r="W302" s="162"/>
    </row>
    <row r="303" spans="15:23" x14ac:dyDescent="0.2">
      <c r="O303" s="162"/>
      <c r="P303" s="162"/>
      <c r="Q303" s="162"/>
      <c r="R303" s="162"/>
      <c r="S303" s="162"/>
      <c r="T303" s="162"/>
      <c r="U303" s="162"/>
      <c r="V303" s="162"/>
      <c r="W303" s="162"/>
    </row>
    <row r="304" spans="15:23" x14ac:dyDescent="0.2">
      <c r="O304" s="162"/>
      <c r="P304" s="162"/>
      <c r="Q304" s="162"/>
      <c r="R304" s="162"/>
      <c r="S304" s="162"/>
      <c r="T304" s="162"/>
      <c r="U304" s="162"/>
      <c r="V304" s="162"/>
      <c r="W304" s="162"/>
    </row>
    <row r="305" spans="15:23" x14ac:dyDescent="0.2">
      <c r="O305" s="162"/>
      <c r="P305" s="162"/>
      <c r="Q305" s="162"/>
      <c r="R305" s="162"/>
      <c r="S305" s="162"/>
      <c r="T305" s="162"/>
      <c r="U305" s="162"/>
      <c r="V305" s="162"/>
      <c r="W305" s="162"/>
    </row>
    <row r="306" spans="15:23" x14ac:dyDescent="0.2">
      <c r="O306" s="162"/>
      <c r="P306" s="162"/>
      <c r="Q306" s="162"/>
      <c r="R306" s="162"/>
      <c r="S306" s="162"/>
      <c r="T306" s="162"/>
      <c r="U306" s="162"/>
      <c r="V306" s="162"/>
      <c r="W306" s="162"/>
    </row>
    <row r="307" spans="15:23" x14ac:dyDescent="0.2">
      <c r="O307" s="162"/>
      <c r="P307" s="162"/>
      <c r="Q307" s="162"/>
      <c r="R307" s="162"/>
      <c r="S307" s="162"/>
      <c r="T307" s="162"/>
      <c r="U307" s="162"/>
      <c r="V307" s="162"/>
      <c r="W307" s="162"/>
    </row>
    <row r="308" spans="15:23" x14ac:dyDescent="0.2">
      <c r="O308" s="162"/>
      <c r="P308" s="162"/>
      <c r="Q308" s="162"/>
      <c r="R308" s="162"/>
      <c r="S308" s="162"/>
      <c r="T308" s="162"/>
      <c r="U308" s="162"/>
      <c r="V308" s="162"/>
      <c r="W308" s="162"/>
    </row>
    <row r="309" spans="15:23" x14ac:dyDescent="0.2">
      <c r="O309" s="162"/>
      <c r="P309" s="162"/>
      <c r="Q309" s="162"/>
      <c r="R309" s="162"/>
      <c r="S309" s="162"/>
      <c r="T309" s="162"/>
      <c r="U309" s="162"/>
      <c r="V309" s="162"/>
      <c r="W309" s="162"/>
    </row>
    <row r="310" spans="15:23" x14ac:dyDescent="0.2">
      <c r="O310" s="162"/>
      <c r="P310" s="162"/>
      <c r="Q310" s="162"/>
      <c r="R310" s="162"/>
      <c r="S310" s="162"/>
      <c r="T310" s="162"/>
      <c r="U310" s="162"/>
      <c r="V310" s="162"/>
      <c r="W310" s="162"/>
    </row>
    <row r="311" spans="15:23" x14ac:dyDescent="0.2">
      <c r="O311" s="162"/>
      <c r="P311" s="162"/>
      <c r="Q311" s="162"/>
      <c r="R311" s="162"/>
      <c r="S311" s="162"/>
      <c r="T311" s="162"/>
      <c r="U311" s="162"/>
      <c r="V311" s="162"/>
      <c r="W311" s="162"/>
    </row>
    <row r="312" spans="15:23" x14ac:dyDescent="0.2">
      <c r="O312" s="162"/>
      <c r="P312" s="162"/>
      <c r="Q312" s="162"/>
      <c r="R312" s="162"/>
      <c r="S312" s="162"/>
      <c r="T312" s="162"/>
      <c r="U312" s="162"/>
      <c r="V312" s="162"/>
      <c r="W312" s="162"/>
    </row>
    <row r="313" spans="15:23" x14ac:dyDescent="0.2">
      <c r="O313" s="162"/>
      <c r="P313" s="162"/>
      <c r="Q313" s="162"/>
      <c r="R313" s="162"/>
      <c r="S313" s="162"/>
      <c r="T313" s="162"/>
      <c r="U313" s="162"/>
      <c r="V313" s="162"/>
      <c r="W313" s="162"/>
    </row>
    <row r="314" spans="15:23" x14ac:dyDescent="0.2">
      <c r="O314" s="162"/>
      <c r="P314" s="162"/>
      <c r="Q314" s="162"/>
      <c r="R314" s="162"/>
      <c r="S314" s="162"/>
      <c r="T314" s="162"/>
      <c r="U314" s="162"/>
      <c r="V314" s="162"/>
      <c r="W314" s="162"/>
    </row>
    <row r="315" spans="15:23" x14ac:dyDescent="0.2">
      <c r="O315" s="162"/>
      <c r="P315" s="162"/>
      <c r="Q315" s="162"/>
      <c r="R315" s="162"/>
      <c r="S315" s="162"/>
      <c r="T315" s="162"/>
      <c r="U315" s="162"/>
      <c r="V315" s="162"/>
      <c r="W315" s="162"/>
    </row>
    <row r="316" spans="15:23" x14ac:dyDescent="0.2">
      <c r="O316" s="162"/>
      <c r="P316" s="162"/>
      <c r="Q316" s="162"/>
      <c r="R316" s="162"/>
      <c r="S316" s="162"/>
      <c r="T316" s="162"/>
      <c r="U316" s="162"/>
      <c r="V316" s="162"/>
      <c r="W316" s="162"/>
    </row>
    <row r="317" spans="15:23" x14ac:dyDescent="0.2">
      <c r="O317" s="162"/>
      <c r="P317" s="162"/>
      <c r="Q317" s="162"/>
      <c r="R317" s="162"/>
      <c r="S317" s="162"/>
      <c r="T317" s="162"/>
      <c r="U317" s="162"/>
      <c r="V317" s="162"/>
      <c r="W317" s="162"/>
    </row>
    <row r="318" spans="15:23" x14ac:dyDescent="0.2">
      <c r="O318" s="162"/>
      <c r="P318" s="162"/>
      <c r="Q318" s="162"/>
      <c r="R318" s="162"/>
      <c r="S318" s="162"/>
      <c r="T318" s="162"/>
      <c r="U318" s="162"/>
      <c r="V318" s="162"/>
      <c r="W318" s="162"/>
    </row>
    <row r="319" spans="15:23" x14ac:dyDescent="0.2">
      <c r="O319" s="162"/>
      <c r="P319" s="162"/>
      <c r="Q319" s="162"/>
      <c r="R319" s="162"/>
      <c r="S319" s="162"/>
      <c r="T319" s="162"/>
      <c r="U319" s="162"/>
      <c r="V319" s="162"/>
      <c r="W319" s="162"/>
    </row>
    <row r="320" spans="15:23" x14ac:dyDescent="0.2">
      <c r="O320" s="162"/>
      <c r="P320" s="162"/>
      <c r="Q320" s="162"/>
      <c r="R320" s="162"/>
      <c r="S320" s="162"/>
      <c r="T320" s="162"/>
      <c r="U320" s="162"/>
      <c r="V320" s="162"/>
      <c r="W320" s="162"/>
    </row>
    <row r="321" spans="15:23" x14ac:dyDescent="0.2">
      <c r="O321" s="162"/>
      <c r="P321" s="162"/>
      <c r="Q321" s="162"/>
      <c r="R321" s="162"/>
      <c r="S321" s="162"/>
      <c r="T321" s="162"/>
      <c r="U321" s="162"/>
      <c r="V321" s="162"/>
      <c r="W321" s="162"/>
    </row>
    <row r="322" spans="15:23" x14ac:dyDescent="0.2">
      <c r="O322" s="162"/>
      <c r="P322" s="162"/>
      <c r="Q322" s="162"/>
      <c r="R322" s="162"/>
      <c r="S322" s="162"/>
      <c r="T322" s="162"/>
      <c r="U322" s="162"/>
      <c r="V322" s="162"/>
      <c r="W322" s="162"/>
    </row>
    <row r="323" spans="15:23" x14ac:dyDescent="0.2">
      <c r="O323" s="162"/>
      <c r="P323" s="162"/>
      <c r="Q323" s="162"/>
      <c r="R323" s="162"/>
      <c r="S323" s="162"/>
      <c r="T323" s="162"/>
      <c r="U323" s="162"/>
      <c r="V323" s="162"/>
      <c r="W323" s="162"/>
    </row>
    <row r="324" spans="15:23" x14ac:dyDescent="0.2">
      <c r="O324" s="162"/>
      <c r="P324" s="162"/>
      <c r="Q324" s="162"/>
      <c r="R324" s="162"/>
      <c r="S324" s="162"/>
      <c r="T324" s="162"/>
      <c r="U324" s="162"/>
      <c r="V324" s="162"/>
      <c r="W324" s="162"/>
    </row>
    <row r="325" spans="15:23" x14ac:dyDescent="0.2">
      <c r="O325" s="162"/>
      <c r="P325" s="162"/>
      <c r="Q325" s="162"/>
      <c r="R325" s="162"/>
      <c r="S325" s="162"/>
      <c r="T325" s="162"/>
      <c r="U325" s="162"/>
      <c r="V325" s="162"/>
      <c r="W325" s="162"/>
    </row>
    <row r="326" spans="15:23" x14ac:dyDescent="0.2">
      <c r="O326" s="162"/>
      <c r="P326" s="162"/>
      <c r="Q326" s="162"/>
      <c r="R326" s="162"/>
      <c r="S326" s="162"/>
      <c r="T326" s="162"/>
      <c r="U326" s="162"/>
      <c r="V326" s="162"/>
      <c r="W326" s="162"/>
    </row>
    <row r="327" spans="15:23" x14ac:dyDescent="0.2">
      <c r="O327" s="162"/>
      <c r="P327" s="162"/>
      <c r="Q327" s="162"/>
      <c r="R327" s="162"/>
      <c r="S327" s="162"/>
      <c r="T327" s="162"/>
      <c r="U327" s="162"/>
      <c r="V327" s="162"/>
      <c r="W327" s="162"/>
    </row>
    <row r="328" spans="15:23" x14ac:dyDescent="0.2">
      <c r="O328" s="162"/>
      <c r="P328" s="162"/>
      <c r="Q328" s="162"/>
      <c r="R328" s="162"/>
      <c r="S328" s="162"/>
      <c r="T328" s="162"/>
      <c r="U328" s="162"/>
      <c r="V328" s="162"/>
      <c r="W328" s="162"/>
    </row>
    <row r="329" spans="15:23" x14ac:dyDescent="0.2">
      <c r="O329" s="162"/>
      <c r="P329" s="162"/>
      <c r="Q329" s="162"/>
      <c r="R329" s="162"/>
      <c r="S329" s="162"/>
      <c r="T329" s="162"/>
      <c r="U329" s="162"/>
      <c r="V329" s="162"/>
      <c r="W329" s="162"/>
    </row>
    <row r="330" spans="15:23" x14ac:dyDescent="0.2">
      <c r="O330" s="162"/>
      <c r="P330" s="162"/>
      <c r="Q330" s="162"/>
      <c r="R330" s="162"/>
      <c r="S330" s="162"/>
      <c r="T330" s="162"/>
      <c r="U330" s="162"/>
      <c r="V330" s="162"/>
      <c r="W330" s="162"/>
    </row>
    <row r="331" spans="15:23" x14ac:dyDescent="0.2">
      <c r="O331" s="162"/>
      <c r="P331" s="162"/>
      <c r="Q331" s="162"/>
      <c r="R331" s="162"/>
      <c r="S331" s="162"/>
      <c r="T331" s="162"/>
      <c r="U331" s="162"/>
      <c r="V331" s="162"/>
      <c r="W331" s="162"/>
    </row>
    <row r="332" spans="15:23" x14ac:dyDescent="0.2">
      <c r="O332" s="162"/>
      <c r="P332" s="162"/>
      <c r="Q332" s="162"/>
      <c r="R332" s="162"/>
      <c r="S332" s="162"/>
      <c r="T332" s="162"/>
      <c r="U332" s="162"/>
      <c r="V332" s="162"/>
      <c r="W332" s="162"/>
    </row>
    <row r="333" spans="15:23" x14ac:dyDescent="0.2">
      <c r="O333" s="162"/>
      <c r="P333" s="162"/>
      <c r="Q333" s="162"/>
      <c r="R333" s="162"/>
      <c r="S333" s="162"/>
      <c r="T333" s="162"/>
      <c r="U333" s="162"/>
      <c r="V333" s="162"/>
      <c r="W333" s="162"/>
    </row>
    <row r="334" spans="15:23" x14ac:dyDescent="0.2">
      <c r="O334" s="162"/>
      <c r="P334" s="162"/>
      <c r="Q334" s="162"/>
      <c r="R334" s="162"/>
      <c r="S334" s="162"/>
      <c r="T334" s="162"/>
      <c r="U334" s="162"/>
      <c r="V334" s="162"/>
      <c r="W334" s="162"/>
    </row>
    <row r="335" spans="15:23" x14ac:dyDescent="0.2">
      <c r="O335" s="162"/>
      <c r="P335" s="162"/>
      <c r="Q335" s="162"/>
      <c r="R335" s="162"/>
      <c r="S335" s="162"/>
      <c r="T335" s="162"/>
      <c r="U335" s="162"/>
      <c r="V335" s="162"/>
      <c r="W335" s="162"/>
    </row>
    <row r="336" spans="15:23" x14ac:dyDescent="0.2">
      <c r="O336" s="162"/>
      <c r="P336" s="162"/>
      <c r="Q336" s="162"/>
      <c r="R336" s="162"/>
      <c r="S336" s="162"/>
      <c r="T336" s="162"/>
      <c r="U336" s="162"/>
      <c r="V336" s="162"/>
      <c r="W336" s="162"/>
    </row>
    <row r="337" spans="15:23" x14ac:dyDescent="0.2">
      <c r="O337" s="162"/>
      <c r="P337" s="162"/>
      <c r="Q337" s="162"/>
      <c r="R337" s="162"/>
      <c r="S337" s="162"/>
      <c r="T337" s="162"/>
      <c r="U337" s="162"/>
      <c r="V337" s="162"/>
      <c r="W337" s="162"/>
    </row>
    <row r="338" spans="15:23" x14ac:dyDescent="0.2">
      <c r="O338" s="162"/>
      <c r="P338" s="162"/>
      <c r="Q338" s="162"/>
      <c r="R338" s="162"/>
      <c r="S338" s="162"/>
      <c r="T338" s="162"/>
      <c r="U338" s="162"/>
      <c r="V338" s="162"/>
      <c r="W338" s="162"/>
    </row>
    <row r="339" spans="15:23" x14ac:dyDescent="0.2">
      <c r="O339" s="162"/>
      <c r="P339" s="162"/>
      <c r="Q339" s="162"/>
      <c r="R339" s="162"/>
      <c r="S339" s="162"/>
      <c r="T339" s="162"/>
      <c r="U339" s="162"/>
      <c r="V339" s="162"/>
      <c r="W339" s="162"/>
    </row>
    <row r="340" spans="15:23" x14ac:dyDescent="0.2">
      <c r="O340" s="162"/>
      <c r="P340" s="162"/>
      <c r="Q340" s="162"/>
      <c r="R340" s="162"/>
      <c r="S340" s="162"/>
      <c r="T340" s="162"/>
      <c r="U340" s="162"/>
      <c r="V340" s="162"/>
      <c r="W340" s="162"/>
    </row>
    <row r="341" spans="15:23" x14ac:dyDescent="0.2">
      <c r="O341" s="162"/>
      <c r="P341" s="162"/>
      <c r="Q341" s="162"/>
      <c r="R341" s="162"/>
      <c r="S341" s="162"/>
      <c r="T341" s="162"/>
      <c r="U341" s="162"/>
      <c r="V341" s="162"/>
      <c r="W341" s="162"/>
    </row>
    <row r="342" spans="15:23" x14ac:dyDescent="0.2">
      <c r="O342" s="162"/>
      <c r="P342" s="162"/>
      <c r="Q342" s="162"/>
      <c r="R342" s="162"/>
      <c r="S342" s="162"/>
      <c r="T342" s="162"/>
      <c r="U342" s="162"/>
      <c r="V342" s="162"/>
      <c r="W342" s="162"/>
    </row>
    <row r="343" spans="15:23" x14ac:dyDescent="0.2">
      <c r="O343" s="162"/>
      <c r="P343" s="162"/>
      <c r="Q343" s="162"/>
      <c r="R343" s="162"/>
      <c r="S343" s="162"/>
      <c r="T343" s="162"/>
      <c r="U343" s="162"/>
      <c r="V343" s="162"/>
      <c r="W343" s="162"/>
    </row>
    <row r="344" spans="15:23" x14ac:dyDescent="0.2">
      <c r="O344" s="162"/>
      <c r="P344" s="162"/>
      <c r="Q344" s="162"/>
      <c r="R344" s="162"/>
      <c r="S344" s="162"/>
      <c r="T344" s="162"/>
      <c r="U344" s="162"/>
      <c r="V344" s="162"/>
      <c r="W344" s="162"/>
    </row>
    <row r="345" spans="15:23" x14ac:dyDescent="0.2">
      <c r="O345" s="162"/>
      <c r="P345" s="162"/>
      <c r="Q345" s="162"/>
      <c r="R345" s="162"/>
      <c r="S345" s="162"/>
      <c r="T345" s="162"/>
      <c r="U345" s="162"/>
      <c r="V345" s="162"/>
      <c r="W345" s="162"/>
    </row>
    <row r="346" spans="15:23" x14ac:dyDescent="0.2">
      <c r="O346" s="162"/>
      <c r="P346" s="162"/>
      <c r="Q346" s="162"/>
      <c r="R346" s="162"/>
      <c r="S346" s="162"/>
      <c r="T346" s="162"/>
      <c r="U346" s="162"/>
      <c r="V346" s="162"/>
      <c r="W346" s="162"/>
    </row>
    <row r="347" spans="15:23" x14ac:dyDescent="0.2">
      <c r="O347" s="162"/>
      <c r="P347" s="162"/>
      <c r="Q347" s="162"/>
      <c r="R347" s="162"/>
      <c r="S347" s="162"/>
      <c r="T347" s="162"/>
      <c r="U347" s="162"/>
      <c r="V347" s="162"/>
      <c r="W347" s="162"/>
    </row>
    <row r="348" spans="15:23" x14ac:dyDescent="0.2">
      <c r="O348" s="162"/>
      <c r="P348" s="162"/>
      <c r="Q348" s="162"/>
      <c r="R348" s="162"/>
      <c r="S348" s="162"/>
      <c r="T348" s="162"/>
      <c r="U348" s="162"/>
      <c r="V348" s="162"/>
      <c r="W348" s="162"/>
    </row>
    <row r="349" spans="15:23" x14ac:dyDescent="0.2">
      <c r="O349" s="162"/>
      <c r="P349" s="162"/>
      <c r="Q349" s="162"/>
      <c r="R349" s="162"/>
      <c r="S349" s="162"/>
      <c r="T349" s="162"/>
      <c r="U349" s="162"/>
      <c r="V349" s="162"/>
      <c r="W349" s="162"/>
    </row>
    <row r="350" spans="15:23" x14ac:dyDescent="0.2">
      <c r="O350" s="162"/>
      <c r="P350" s="162"/>
      <c r="Q350" s="162"/>
      <c r="R350" s="162"/>
      <c r="S350" s="162"/>
      <c r="T350" s="162"/>
      <c r="U350" s="162"/>
      <c r="V350" s="162"/>
      <c r="W350" s="162"/>
    </row>
    <row r="351" spans="15:23" x14ac:dyDescent="0.2">
      <c r="O351" s="162"/>
      <c r="P351" s="162"/>
      <c r="Q351" s="162"/>
      <c r="R351" s="162"/>
      <c r="S351" s="162"/>
      <c r="T351" s="162"/>
      <c r="U351" s="162"/>
      <c r="V351" s="162"/>
      <c r="W351" s="162"/>
    </row>
    <row r="352" spans="15:23" x14ac:dyDescent="0.2">
      <c r="O352" s="162"/>
      <c r="P352" s="162"/>
      <c r="Q352" s="162"/>
      <c r="R352" s="162"/>
      <c r="S352" s="162"/>
      <c r="T352" s="162"/>
      <c r="U352" s="162"/>
      <c r="V352" s="162"/>
      <c r="W352" s="162"/>
    </row>
    <row r="353" spans="15:23" x14ac:dyDescent="0.2">
      <c r="O353" s="162"/>
      <c r="P353" s="162"/>
      <c r="Q353" s="162"/>
      <c r="R353" s="162"/>
      <c r="S353" s="162"/>
      <c r="T353" s="162"/>
      <c r="U353" s="162"/>
      <c r="V353" s="162"/>
      <c r="W353" s="162"/>
    </row>
    <row r="354" spans="15:23" x14ac:dyDescent="0.2">
      <c r="O354" s="162"/>
      <c r="P354" s="162"/>
      <c r="Q354" s="162"/>
      <c r="R354" s="162"/>
      <c r="S354" s="162"/>
      <c r="T354" s="162"/>
      <c r="U354" s="162"/>
      <c r="V354" s="162"/>
      <c r="W354" s="162"/>
    </row>
    <row r="355" spans="15:23" x14ac:dyDescent="0.2">
      <c r="O355" s="162"/>
      <c r="P355" s="162"/>
      <c r="Q355" s="162"/>
      <c r="R355" s="162"/>
      <c r="S355" s="162"/>
      <c r="T355" s="162"/>
      <c r="U355" s="162"/>
      <c r="V355" s="162"/>
      <c r="W355" s="162"/>
    </row>
    <row r="356" spans="15:23" x14ac:dyDescent="0.2">
      <c r="O356" s="162"/>
      <c r="P356" s="162"/>
      <c r="Q356" s="162"/>
      <c r="R356" s="162"/>
      <c r="S356" s="162"/>
      <c r="T356" s="162"/>
      <c r="U356" s="162"/>
      <c r="V356" s="162"/>
      <c r="W356" s="162"/>
    </row>
    <row r="357" spans="15:23" x14ac:dyDescent="0.2">
      <c r="O357" s="162"/>
      <c r="P357" s="162"/>
      <c r="Q357" s="162"/>
      <c r="R357" s="162"/>
      <c r="S357" s="162"/>
      <c r="T357" s="162"/>
      <c r="U357" s="162"/>
      <c r="V357" s="162"/>
      <c r="W357" s="162"/>
    </row>
    <row r="358" spans="15:23" x14ac:dyDescent="0.2">
      <c r="O358" s="162"/>
      <c r="P358" s="162"/>
      <c r="Q358" s="162"/>
      <c r="R358" s="162"/>
      <c r="S358" s="162"/>
      <c r="T358" s="162"/>
      <c r="U358" s="162"/>
      <c r="V358" s="162"/>
      <c r="W358" s="162"/>
    </row>
    <row r="359" spans="15:23" x14ac:dyDescent="0.2">
      <c r="O359" s="162"/>
      <c r="P359" s="162"/>
      <c r="Q359" s="162"/>
      <c r="R359" s="162"/>
      <c r="S359" s="162"/>
      <c r="T359" s="162"/>
      <c r="U359" s="162"/>
      <c r="V359" s="162"/>
      <c r="W359" s="162"/>
    </row>
    <row r="360" spans="15:23" x14ac:dyDescent="0.2">
      <c r="O360" s="162"/>
      <c r="P360" s="162"/>
      <c r="Q360" s="162"/>
      <c r="R360" s="162"/>
      <c r="S360" s="162"/>
      <c r="T360" s="162"/>
      <c r="U360" s="162"/>
      <c r="V360" s="162"/>
      <c r="W360" s="162"/>
    </row>
    <row r="361" spans="15:23" x14ac:dyDescent="0.2">
      <c r="O361" s="162"/>
      <c r="P361" s="162"/>
      <c r="Q361" s="162"/>
      <c r="R361" s="162"/>
      <c r="S361" s="162"/>
      <c r="T361" s="162"/>
      <c r="U361" s="162"/>
      <c r="V361" s="162"/>
      <c r="W361" s="162"/>
    </row>
    <row r="362" spans="15:23" x14ac:dyDescent="0.2">
      <c r="O362" s="162"/>
      <c r="P362" s="162"/>
      <c r="Q362" s="162"/>
      <c r="R362" s="162"/>
      <c r="S362" s="162"/>
      <c r="T362" s="162"/>
      <c r="U362" s="162"/>
      <c r="V362" s="162"/>
      <c r="W362" s="162"/>
    </row>
    <row r="363" spans="15:23" x14ac:dyDescent="0.2">
      <c r="O363" s="162"/>
      <c r="P363" s="162"/>
      <c r="Q363" s="162"/>
      <c r="R363" s="162"/>
      <c r="S363" s="162"/>
      <c r="T363" s="162"/>
      <c r="U363" s="162"/>
      <c r="V363" s="162"/>
      <c r="W363" s="162"/>
    </row>
    <row r="364" spans="15:23" x14ac:dyDescent="0.2">
      <c r="O364" s="162"/>
      <c r="P364" s="162"/>
      <c r="Q364" s="162"/>
      <c r="R364" s="162"/>
      <c r="S364" s="162"/>
      <c r="T364" s="162"/>
      <c r="U364" s="162"/>
      <c r="V364" s="162"/>
      <c r="W364" s="162"/>
    </row>
    <row r="365" spans="15:23" x14ac:dyDescent="0.2">
      <c r="O365" s="162"/>
      <c r="P365" s="162"/>
      <c r="Q365" s="162"/>
      <c r="R365" s="162"/>
      <c r="S365" s="162"/>
      <c r="T365" s="162"/>
      <c r="U365" s="162"/>
      <c r="V365" s="162"/>
      <c r="W365" s="162"/>
    </row>
    <row r="366" spans="15:23" x14ac:dyDescent="0.2">
      <c r="O366" s="162"/>
      <c r="P366" s="162"/>
      <c r="Q366" s="162"/>
      <c r="R366" s="162"/>
      <c r="S366" s="162"/>
      <c r="T366" s="162"/>
      <c r="U366" s="162"/>
      <c r="V366" s="162"/>
      <c r="W366" s="162"/>
    </row>
    <row r="367" spans="15:23" x14ac:dyDescent="0.2">
      <c r="O367" s="162"/>
      <c r="P367" s="162"/>
      <c r="Q367" s="162"/>
      <c r="R367" s="162"/>
      <c r="S367" s="162"/>
      <c r="T367" s="162"/>
      <c r="U367" s="162"/>
      <c r="V367" s="162"/>
      <c r="W367" s="162"/>
    </row>
    <row r="368" spans="15:23" x14ac:dyDescent="0.2">
      <c r="O368" s="162"/>
      <c r="P368" s="162"/>
      <c r="Q368" s="162"/>
      <c r="R368" s="162"/>
      <c r="S368" s="162"/>
      <c r="T368" s="162"/>
      <c r="U368" s="162"/>
      <c r="V368" s="162"/>
      <c r="W368" s="162"/>
    </row>
    <row r="369" spans="15:23" x14ac:dyDescent="0.2">
      <c r="O369" s="162"/>
      <c r="P369" s="162"/>
      <c r="Q369" s="162"/>
      <c r="R369" s="162"/>
      <c r="S369" s="162"/>
      <c r="T369" s="162"/>
      <c r="U369" s="162"/>
      <c r="V369" s="162"/>
      <c r="W369" s="162"/>
    </row>
    <row r="370" spans="15:23" x14ac:dyDescent="0.2">
      <c r="O370" s="162"/>
      <c r="P370" s="162"/>
      <c r="Q370" s="162"/>
      <c r="R370" s="162"/>
      <c r="S370" s="162"/>
      <c r="T370" s="162"/>
      <c r="U370" s="162"/>
      <c r="V370" s="162"/>
      <c r="W370" s="162"/>
    </row>
    <row r="371" spans="15:23" x14ac:dyDescent="0.2">
      <c r="O371" s="162"/>
      <c r="P371" s="162"/>
      <c r="Q371" s="162"/>
      <c r="R371" s="162"/>
      <c r="S371" s="162"/>
      <c r="T371" s="162"/>
      <c r="U371" s="162"/>
      <c r="V371" s="162"/>
      <c r="W371" s="162"/>
    </row>
    <row r="372" spans="15:23" x14ac:dyDescent="0.2">
      <c r="O372" s="162"/>
      <c r="P372" s="162"/>
      <c r="Q372" s="162"/>
      <c r="R372" s="162"/>
      <c r="S372" s="162"/>
      <c r="T372" s="162"/>
      <c r="U372" s="162"/>
      <c r="V372" s="162"/>
      <c r="W372" s="162"/>
    </row>
    <row r="373" spans="15:23" x14ac:dyDescent="0.2">
      <c r="O373" s="162"/>
      <c r="P373" s="162"/>
      <c r="Q373" s="162"/>
      <c r="R373" s="162"/>
      <c r="S373" s="162"/>
      <c r="T373" s="162"/>
      <c r="U373" s="162"/>
      <c r="V373" s="162"/>
      <c r="W373" s="162"/>
    </row>
    <row r="374" spans="15:23" x14ac:dyDescent="0.2">
      <c r="O374" s="162"/>
      <c r="P374" s="162"/>
      <c r="Q374" s="162"/>
      <c r="R374" s="162"/>
      <c r="S374" s="162"/>
      <c r="T374" s="162"/>
      <c r="U374" s="162"/>
      <c r="V374" s="162"/>
      <c r="W374" s="162"/>
    </row>
    <row r="375" spans="15:23" x14ac:dyDescent="0.2">
      <c r="O375" s="162"/>
      <c r="P375" s="162"/>
      <c r="Q375" s="162"/>
      <c r="R375" s="162"/>
      <c r="S375" s="162"/>
      <c r="T375" s="162"/>
      <c r="U375" s="162"/>
      <c r="V375" s="162"/>
      <c r="W375" s="162"/>
    </row>
    <row r="376" spans="15:23" x14ac:dyDescent="0.2">
      <c r="O376" s="162"/>
      <c r="P376" s="162"/>
      <c r="Q376" s="162"/>
      <c r="R376" s="162"/>
      <c r="S376" s="162"/>
      <c r="T376" s="162"/>
      <c r="U376" s="162"/>
      <c r="V376" s="162"/>
      <c r="W376" s="162"/>
    </row>
    <row r="377" spans="15:23" x14ac:dyDescent="0.2">
      <c r="O377" s="162"/>
      <c r="P377" s="162"/>
      <c r="Q377" s="162"/>
      <c r="R377" s="162"/>
      <c r="S377" s="162"/>
      <c r="T377" s="162"/>
      <c r="U377" s="162"/>
      <c r="V377" s="162"/>
      <c r="W377" s="162"/>
    </row>
    <row r="378" spans="15:23" x14ac:dyDescent="0.2">
      <c r="O378" s="162"/>
      <c r="P378" s="162"/>
      <c r="Q378" s="162"/>
      <c r="R378" s="162"/>
      <c r="S378" s="162"/>
      <c r="T378" s="162"/>
      <c r="U378" s="162"/>
      <c r="V378" s="162"/>
      <c r="W378" s="162"/>
    </row>
    <row r="379" spans="15:23" x14ac:dyDescent="0.2">
      <c r="O379" s="162"/>
      <c r="P379" s="162"/>
      <c r="Q379" s="162"/>
      <c r="R379" s="162"/>
      <c r="S379" s="162"/>
      <c r="T379" s="162"/>
      <c r="U379" s="162"/>
      <c r="V379" s="162"/>
      <c r="W379" s="162"/>
    </row>
    <row r="380" spans="15:23" x14ac:dyDescent="0.2">
      <c r="O380" s="162"/>
      <c r="P380" s="162"/>
      <c r="Q380" s="162"/>
      <c r="R380" s="162"/>
      <c r="S380" s="162"/>
      <c r="T380" s="162"/>
      <c r="U380" s="162"/>
      <c r="V380" s="162"/>
      <c r="W380" s="162"/>
    </row>
    <row r="381" spans="15:23" x14ac:dyDescent="0.2">
      <c r="O381" s="162"/>
      <c r="P381" s="162"/>
      <c r="Q381" s="162"/>
      <c r="R381" s="162"/>
      <c r="S381" s="162"/>
      <c r="T381" s="162"/>
      <c r="U381" s="162"/>
      <c r="V381" s="162"/>
      <c r="W381" s="162"/>
    </row>
    <row r="382" spans="15:23" x14ac:dyDescent="0.2">
      <c r="O382" s="162"/>
      <c r="P382" s="162"/>
      <c r="Q382" s="162"/>
      <c r="R382" s="162"/>
      <c r="S382" s="162"/>
      <c r="T382" s="162"/>
      <c r="U382" s="162"/>
      <c r="V382" s="162"/>
      <c r="W382" s="162"/>
    </row>
    <row r="383" spans="15:23" x14ac:dyDescent="0.2">
      <c r="O383" s="162"/>
      <c r="P383" s="162"/>
      <c r="Q383" s="162"/>
      <c r="R383" s="162"/>
      <c r="S383" s="162"/>
      <c r="T383" s="162"/>
      <c r="U383" s="162"/>
      <c r="V383" s="162"/>
      <c r="W383" s="162"/>
    </row>
    <row r="384" spans="15:23" x14ac:dyDescent="0.2">
      <c r="O384" s="162"/>
      <c r="P384" s="162"/>
      <c r="Q384" s="162"/>
      <c r="R384" s="162"/>
      <c r="S384" s="162"/>
      <c r="T384" s="162"/>
      <c r="U384" s="162"/>
      <c r="V384" s="162"/>
      <c r="W384" s="162"/>
    </row>
    <row r="385" spans="15:23" x14ac:dyDescent="0.2">
      <c r="O385" s="162"/>
      <c r="P385" s="162"/>
      <c r="Q385" s="162"/>
      <c r="R385" s="162"/>
      <c r="S385" s="162"/>
      <c r="T385" s="162"/>
      <c r="U385" s="162"/>
      <c r="V385" s="162"/>
      <c r="W385" s="162"/>
    </row>
    <row r="386" spans="15:23" x14ac:dyDescent="0.2">
      <c r="O386" s="162"/>
      <c r="P386" s="162"/>
      <c r="Q386" s="162"/>
      <c r="R386" s="162"/>
      <c r="S386" s="162"/>
      <c r="T386" s="162"/>
      <c r="U386" s="162"/>
      <c r="V386" s="162"/>
      <c r="W386" s="162"/>
    </row>
    <row r="387" spans="15:23" x14ac:dyDescent="0.2">
      <c r="O387" s="162"/>
      <c r="P387" s="162"/>
      <c r="Q387" s="162"/>
      <c r="R387" s="162"/>
      <c r="S387" s="162"/>
      <c r="T387" s="162"/>
      <c r="U387" s="162"/>
      <c r="V387" s="162"/>
      <c r="W387" s="162"/>
    </row>
    <row r="388" spans="15:23" x14ac:dyDescent="0.2">
      <c r="O388" s="162"/>
      <c r="P388" s="162"/>
      <c r="Q388" s="162"/>
      <c r="R388" s="162"/>
      <c r="S388" s="162"/>
      <c r="T388" s="162"/>
      <c r="U388" s="162"/>
      <c r="V388" s="162"/>
      <c r="W388" s="162"/>
    </row>
    <row r="389" spans="15:23" x14ac:dyDescent="0.2">
      <c r="O389" s="162"/>
      <c r="P389" s="162"/>
      <c r="Q389" s="162"/>
      <c r="R389" s="162"/>
      <c r="S389" s="162"/>
      <c r="T389" s="162"/>
      <c r="U389" s="162"/>
      <c r="V389" s="162"/>
      <c r="W389" s="162"/>
    </row>
    <row r="390" spans="15:23" x14ac:dyDescent="0.2">
      <c r="O390" s="162"/>
      <c r="P390" s="162"/>
      <c r="Q390" s="162"/>
      <c r="R390" s="162"/>
      <c r="S390" s="162"/>
      <c r="T390" s="162"/>
      <c r="U390" s="162"/>
      <c r="V390" s="162"/>
      <c r="W390" s="162"/>
    </row>
    <row r="391" spans="15:23" x14ac:dyDescent="0.2">
      <c r="O391" s="162"/>
      <c r="P391" s="162"/>
      <c r="Q391" s="162"/>
      <c r="R391" s="162"/>
      <c r="S391" s="162"/>
      <c r="T391" s="162"/>
      <c r="U391" s="162"/>
      <c r="V391" s="162"/>
      <c r="W391" s="162"/>
    </row>
    <row r="392" spans="15:23" x14ac:dyDescent="0.2">
      <c r="O392" s="162"/>
      <c r="P392" s="162"/>
      <c r="Q392" s="162"/>
      <c r="R392" s="162"/>
      <c r="S392" s="162"/>
      <c r="T392" s="162"/>
      <c r="U392" s="162"/>
      <c r="V392" s="162"/>
      <c r="W392" s="162"/>
    </row>
    <row r="393" spans="15:23" x14ac:dyDescent="0.2">
      <c r="O393" s="162"/>
      <c r="P393" s="162"/>
      <c r="Q393" s="162"/>
      <c r="R393" s="162"/>
      <c r="S393" s="162"/>
      <c r="T393" s="162"/>
      <c r="U393" s="162"/>
      <c r="V393" s="162"/>
      <c r="W393" s="162"/>
    </row>
    <row r="394" spans="15:23" x14ac:dyDescent="0.2">
      <c r="O394" s="162"/>
      <c r="P394" s="162"/>
      <c r="Q394" s="162"/>
      <c r="R394" s="162"/>
      <c r="S394" s="162"/>
      <c r="T394" s="162"/>
      <c r="U394" s="162"/>
      <c r="V394" s="162"/>
      <c r="W394" s="162"/>
    </row>
    <row r="395" spans="15:23" x14ac:dyDescent="0.2">
      <c r="O395" s="162"/>
      <c r="P395" s="162"/>
      <c r="Q395" s="162"/>
      <c r="R395" s="162"/>
      <c r="S395" s="162"/>
      <c r="T395" s="162"/>
      <c r="U395" s="162"/>
      <c r="V395" s="162"/>
      <c r="W395" s="162"/>
    </row>
    <row r="396" spans="15:23" x14ac:dyDescent="0.2">
      <c r="O396" s="162"/>
      <c r="P396" s="162"/>
      <c r="Q396" s="162"/>
      <c r="R396" s="162"/>
      <c r="S396" s="162"/>
      <c r="T396" s="162"/>
      <c r="U396" s="162"/>
      <c r="V396" s="162"/>
      <c r="W396" s="162"/>
    </row>
    <row r="397" spans="15:23" x14ac:dyDescent="0.2">
      <c r="O397" s="162"/>
      <c r="P397" s="162"/>
      <c r="Q397" s="162"/>
      <c r="R397" s="162"/>
      <c r="S397" s="162"/>
      <c r="T397" s="162"/>
      <c r="U397" s="162"/>
      <c r="V397" s="162"/>
      <c r="W397" s="162"/>
    </row>
    <row r="398" spans="15:23" x14ac:dyDescent="0.2">
      <c r="O398" s="162"/>
      <c r="P398" s="162"/>
      <c r="Q398" s="162"/>
      <c r="R398" s="162"/>
      <c r="S398" s="162"/>
      <c r="T398" s="162"/>
      <c r="U398" s="162"/>
      <c r="V398" s="162"/>
      <c r="W398" s="162"/>
    </row>
    <row r="399" spans="15:23" x14ac:dyDescent="0.2">
      <c r="O399" s="162"/>
      <c r="P399" s="162"/>
      <c r="Q399" s="162"/>
      <c r="R399" s="162"/>
      <c r="S399" s="162"/>
      <c r="T399" s="162"/>
      <c r="U399" s="162"/>
      <c r="V399" s="162"/>
      <c r="W399" s="162"/>
    </row>
    <row r="400" spans="15:23" x14ac:dyDescent="0.2">
      <c r="O400" s="162"/>
      <c r="P400" s="162"/>
      <c r="Q400" s="162"/>
      <c r="R400" s="162"/>
      <c r="S400" s="162"/>
      <c r="T400" s="162"/>
      <c r="U400" s="162"/>
      <c r="V400" s="162"/>
      <c r="W400" s="162"/>
    </row>
    <row r="401" spans="15:23" x14ac:dyDescent="0.2">
      <c r="O401" s="162"/>
      <c r="P401" s="162"/>
      <c r="Q401" s="162"/>
      <c r="R401" s="162"/>
      <c r="S401" s="162"/>
      <c r="T401" s="162"/>
      <c r="U401" s="162"/>
      <c r="V401" s="162"/>
      <c r="W401" s="162"/>
    </row>
    <row r="402" spans="15:23" x14ac:dyDescent="0.2">
      <c r="O402" s="162"/>
      <c r="P402" s="162"/>
      <c r="Q402" s="162"/>
      <c r="R402" s="162"/>
      <c r="S402" s="162"/>
      <c r="T402" s="162"/>
      <c r="U402" s="162"/>
      <c r="V402" s="162"/>
      <c r="W402" s="162"/>
    </row>
    <row r="403" spans="15:23" x14ac:dyDescent="0.2">
      <c r="O403" s="162"/>
      <c r="P403" s="162"/>
      <c r="Q403" s="162"/>
      <c r="R403" s="162"/>
      <c r="S403" s="162"/>
      <c r="T403" s="162"/>
      <c r="U403" s="162"/>
      <c r="V403" s="162"/>
      <c r="W403" s="162"/>
    </row>
    <row r="404" spans="15:23" x14ac:dyDescent="0.2">
      <c r="O404" s="162"/>
      <c r="P404" s="162"/>
      <c r="Q404" s="162"/>
      <c r="R404" s="162"/>
      <c r="S404" s="162"/>
      <c r="T404" s="162"/>
      <c r="U404" s="162"/>
      <c r="V404" s="162"/>
      <c r="W404" s="162"/>
    </row>
    <row r="405" spans="15:23" x14ac:dyDescent="0.2">
      <c r="O405" s="162"/>
      <c r="P405" s="162"/>
      <c r="Q405" s="162"/>
      <c r="R405" s="162"/>
      <c r="S405" s="162"/>
      <c r="T405" s="162"/>
      <c r="U405" s="162"/>
      <c r="V405" s="162"/>
      <c r="W405" s="162"/>
    </row>
    <row r="406" spans="15:23" x14ac:dyDescent="0.2">
      <c r="O406" s="162"/>
      <c r="P406" s="162"/>
      <c r="Q406" s="162"/>
      <c r="R406" s="162"/>
      <c r="S406" s="162"/>
      <c r="T406" s="162"/>
      <c r="U406" s="162"/>
      <c r="V406" s="162"/>
      <c r="W406" s="162"/>
    </row>
    <row r="407" spans="15:23" x14ac:dyDescent="0.2">
      <c r="O407" s="162"/>
      <c r="P407" s="162"/>
      <c r="Q407" s="162"/>
      <c r="R407" s="162"/>
      <c r="S407" s="162"/>
      <c r="T407" s="162"/>
      <c r="U407" s="162"/>
      <c r="V407" s="162"/>
      <c r="W407" s="162"/>
    </row>
    <row r="408" spans="15:23" x14ac:dyDescent="0.2">
      <c r="O408" s="162"/>
      <c r="P408" s="162"/>
      <c r="Q408" s="162"/>
      <c r="R408" s="162"/>
      <c r="S408" s="162"/>
      <c r="T408" s="162"/>
      <c r="U408" s="162"/>
      <c r="V408" s="162"/>
      <c r="W408" s="162"/>
    </row>
    <row r="409" spans="15:23" x14ac:dyDescent="0.2">
      <c r="O409" s="162"/>
      <c r="P409" s="162"/>
      <c r="Q409" s="162"/>
      <c r="R409" s="162"/>
      <c r="S409" s="162"/>
      <c r="T409" s="162"/>
      <c r="U409" s="162"/>
      <c r="V409" s="162"/>
      <c r="W409" s="162"/>
    </row>
    <row r="410" spans="15:23" x14ac:dyDescent="0.2">
      <c r="O410" s="162"/>
      <c r="P410" s="162"/>
      <c r="Q410" s="162"/>
      <c r="R410" s="162"/>
      <c r="S410" s="162"/>
      <c r="T410" s="162"/>
      <c r="U410" s="162"/>
      <c r="V410" s="162"/>
      <c r="W410" s="162"/>
    </row>
    <row r="411" spans="15:23" x14ac:dyDescent="0.2">
      <c r="O411" s="162"/>
      <c r="P411" s="162"/>
      <c r="Q411" s="162"/>
      <c r="R411" s="162"/>
      <c r="S411" s="162"/>
      <c r="T411" s="162"/>
      <c r="U411" s="162"/>
      <c r="V411" s="162"/>
      <c r="W411" s="162"/>
    </row>
    <row r="412" spans="15:23" x14ac:dyDescent="0.2">
      <c r="O412" s="162"/>
      <c r="P412" s="162"/>
      <c r="Q412" s="162"/>
      <c r="R412" s="162"/>
      <c r="S412" s="162"/>
      <c r="T412" s="162"/>
      <c r="U412" s="162"/>
      <c r="V412" s="162"/>
      <c r="W412" s="162"/>
    </row>
    <row r="413" spans="15:23" x14ac:dyDescent="0.2">
      <c r="O413" s="162"/>
      <c r="P413" s="162"/>
      <c r="Q413" s="162"/>
      <c r="R413" s="162"/>
      <c r="S413" s="162"/>
      <c r="T413" s="162"/>
      <c r="U413" s="162"/>
      <c r="V413" s="162"/>
      <c r="W413" s="162"/>
    </row>
    <row r="414" spans="15:23" x14ac:dyDescent="0.2">
      <c r="O414" s="162"/>
      <c r="P414" s="162"/>
      <c r="Q414" s="162"/>
      <c r="R414" s="162"/>
      <c r="S414" s="162"/>
      <c r="T414" s="162"/>
      <c r="U414" s="162"/>
      <c r="V414" s="162"/>
      <c r="W414" s="162"/>
    </row>
    <row r="415" spans="15:23" x14ac:dyDescent="0.2">
      <c r="O415" s="162"/>
      <c r="P415" s="162"/>
      <c r="Q415" s="162"/>
      <c r="R415" s="162"/>
      <c r="S415" s="162"/>
      <c r="T415" s="162"/>
      <c r="U415" s="162"/>
      <c r="V415" s="162"/>
      <c r="W415" s="162"/>
    </row>
    <row r="416" spans="15:23" x14ac:dyDescent="0.2">
      <c r="O416" s="162"/>
      <c r="P416" s="162"/>
      <c r="Q416" s="162"/>
      <c r="R416" s="162"/>
      <c r="S416" s="162"/>
      <c r="T416" s="162"/>
      <c r="U416" s="162"/>
      <c r="V416" s="162"/>
      <c r="W416" s="162"/>
    </row>
    <row r="417" spans="15:23" x14ac:dyDescent="0.2">
      <c r="O417" s="162"/>
      <c r="P417" s="162"/>
      <c r="Q417" s="162"/>
      <c r="R417" s="162"/>
      <c r="S417" s="162"/>
      <c r="T417" s="162"/>
      <c r="U417" s="162"/>
      <c r="V417" s="162"/>
      <c r="W417" s="162"/>
    </row>
    <row r="418" spans="15:23" x14ac:dyDescent="0.2">
      <c r="O418" s="162"/>
      <c r="P418" s="162"/>
      <c r="Q418" s="162"/>
      <c r="R418" s="162"/>
      <c r="S418" s="162"/>
      <c r="T418" s="162"/>
      <c r="U418" s="162"/>
      <c r="V418" s="162"/>
      <c r="W418" s="162"/>
    </row>
    <row r="419" spans="15:23" x14ac:dyDescent="0.2">
      <c r="O419" s="162"/>
      <c r="P419" s="162"/>
      <c r="Q419" s="162"/>
      <c r="R419" s="162"/>
      <c r="S419" s="162"/>
      <c r="T419" s="162"/>
      <c r="U419" s="162"/>
      <c r="V419" s="162"/>
      <c r="W419" s="162"/>
    </row>
    <row r="420" spans="15:23" x14ac:dyDescent="0.2">
      <c r="O420" s="162"/>
      <c r="P420" s="162"/>
      <c r="Q420" s="162"/>
      <c r="R420" s="162"/>
      <c r="S420" s="162"/>
      <c r="T420" s="162"/>
      <c r="U420" s="162"/>
      <c r="V420" s="162"/>
      <c r="W420" s="162"/>
    </row>
    <row r="421" spans="15:23" x14ac:dyDescent="0.2">
      <c r="O421" s="162"/>
      <c r="P421" s="162"/>
      <c r="Q421" s="162"/>
      <c r="R421" s="162"/>
      <c r="S421" s="162"/>
      <c r="T421" s="162"/>
      <c r="U421" s="162"/>
      <c r="V421" s="162"/>
      <c r="W421" s="162"/>
    </row>
    <row r="422" spans="15:23" x14ac:dyDescent="0.2">
      <c r="O422" s="162"/>
      <c r="P422" s="162"/>
      <c r="Q422" s="162"/>
      <c r="R422" s="162"/>
      <c r="S422" s="162"/>
      <c r="T422" s="162"/>
      <c r="U422" s="162"/>
      <c r="V422" s="162"/>
      <c r="W422" s="162"/>
    </row>
    <row r="423" spans="15:23" x14ac:dyDescent="0.2">
      <c r="O423" s="162"/>
      <c r="P423" s="162"/>
      <c r="Q423" s="162"/>
      <c r="R423" s="162"/>
      <c r="S423" s="162"/>
      <c r="T423" s="162"/>
      <c r="U423" s="162"/>
      <c r="V423" s="162"/>
      <c r="W423" s="162"/>
    </row>
    <row r="424" spans="15:23" x14ac:dyDescent="0.2">
      <c r="O424" s="162"/>
      <c r="P424" s="162"/>
      <c r="Q424" s="162"/>
      <c r="R424" s="162"/>
      <c r="S424" s="162"/>
      <c r="T424" s="162"/>
      <c r="U424" s="162"/>
      <c r="V424" s="162"/>
      <c r="W424" s="162"/>
    </row>
    <row r="425" spans="15:23" x14ac:dyDescent="0.2">
      <c r="O425" s="162"/>
      <c r="P425" s="162"/>
      <c r="Q425" s="162"/>
      <c r="R425" s="162"/>
      <c r="S425" s="162"/>
      <c r="T425" s="162"/>
      <c r="U425" s="162"/>
      <c r="V425" s="162"/>
      <c r="W425" s="162"/>
    </row>
    <row r="426" spans="15:23" x14ac:dyDescent="0.2">
      <c r="O426" s="162"/>
      <c r="P426" s="162"/>
      <c r="Q426" s="162"/>
      <c r="R426" s="162"/>
      <c r="S426" s="162"/>
      <c r="T426" s="162"/>
      <c r="U426" s="162"/>
      <c r="V426" s="162"/>
      <c r="W426" s="162"/>
    </row>
    <row r="427" spans="15:23" x14ac:dyDescent="0.2">
      <c r="O427" s="162"/>
      <c r="P427" s="162"/>
      <c r="Q427" s="162"/>
      <c r="R427" s="162"/>
      <c r="S427" s="162"/>
      <c r="T427" s="162"/>
      <c r="U427" s="162"/>
      <c r="V427" s="162"/>
      <c r="W427" s="162"/>
    </row>
    <row r="428" spans="15:23" x14ac:dyDescent="0.2">
      <c r="O428" s="162"/>
      <c r="P428" s="162"/>
      <c r="Q428" s="162"/>
      <c r="R428" s="162"/>
      <c r="S428" s="162"/>
      <c r="T428" s="162"/>
      <c r="U428" s="162"/>
      <c r="V428" s="162"/>
      <c r="W428" s="162"/>
    </row>
    <row r="429" spans="15:23" x14ac:dyDescent="0.2">
      <c r="O429" s="162"/>
      <c r="P429" s="162"/>
      <c r="Q429" s="162"/>
      <c r="R429" s="162"/>
      <c r="S429" s="162"/>
      <c r="T429" s="162"/>
      <c r="U429" s="162"/>
      <c r="V429" s="162"/>
      <c r="W429" s="162"/>
    </row>
    <row r="430" spans="15:23" x14ac:dyDescent="0.2">
      <c r="O430" s="162"/>
      <c r="P430" s="162"/>
      <c r="Q430" s="162"/>
      <c r="R430" s="162"/>
      <c r="S430" s="162"/>
      <c r="T430" s="162"/>
      <c r="U430" s="162"/>
      <c r="V430" s="162"/>
      <c r="W430" s="162"/>
    </row>
    <row r="431" spans="15:23" x14ac:dyDescent="0.2">
      <c r="O431" s="162"/>
      <c r="P431" s="162"/>
      <c r="Q431" s="162"/>
      <c r="R431" s="162"/>
      <c r="S431" s="162"/>
      <c r="T431" s="162"/>
      <c r="U431" s="162"/>
      <c r="V431" s="162"/>
      <c r="W431" s="162"/>
    </row>
    <row r="432" spans="15:23" x14ac:dyDescent="0.2">
      <c r="O432" s="162"/>
      <c r="P432" s="162"/>
      <c r="Q432" s="162"/>
      <c r="R432" s="162"/>
      <c r="S432" s="162"/>
      <c r="T432" s="162"/>
      <c r="U432" s="162"/>
      <c r="V432" s="162"/>
      <c r="W432" s="162"/>
    </row>
    <row r="433" spans="15:23" x14ac:dyDescent="0.2">
      <c r="O433" s="162"/>
      <c r="P433" s="162"/>
      <c r="Q433" s="162"/>
      <c r="R433" s="162"/>
      <c r="S433" s="162"/>
      <c r="T433" s="162"/>
      <c r="U433" s="162"/>
      <c r="V433" s="162"/>
      <c r="W433" s="162"/>
    </row>
    <row r="434" spans="15:23" x14ac:dyDescent="0.2">
      <c r="O434" s="162"/>
      <c r="P434" s="162"/>
      <c r="Q434" s="162"/>
      <c r="R434" s="162"/>
      <c r="S434" s="162"/>
      <c r="T434" s="162"/>
      <c r="U434" s="162"/>
      <c r="V434" s="162"/>
      <c r="W434" s="162"/>
    </row>
    <row r="435" spans="15:23" x14ac:dyDescent="0.2">
      <c r="O435" s="162"/>
      <c r="P435" s="162"/>
      <c r="Q435" s="162"/>
      <c r="R435" s="162"/>
      <c r="S435" s="162"/>
      <c r="T435" s="162"/>
      <c r="U435" s="162"/>
      <c r="V435" s="162"/>
      <c r="W435" s="162"/>
    </row>
    <row r="436" spans="15:23" x14ac:dyDescent="0.2">
      <c r="O436" s="162"/>
      <c r="P436" s="162"/>
      <c r="Q436" s="162"/>
      <c r="R436" s="162"/>
      <c r="S436" s="162"/>
      <c r="T436" s="162"/>
      <c r="U436" s="162"/>
      <c r="V436" s="162"/>
      <c r="W436" s="162"/>
    </row>
    <row r="437" spans="15:23" x14ac:dyDescent="0.2">
      <c r="O437" s="162"/>
      <c r="P437" s="162"/>
      <c r="Q437" s="162"/>
      <c r="R437" s="162"/>
      <c r="S437" s="162"/>
      <c r="T437" s="162"/>
      <c r="U437" s="162"/>
      <c r="V437" s="162"/>
      <c r="W437" s="162"/>
    </row>
    <row r="438" spans="15:23" x14ac:dyDescent="0.2">
      <c r="O438" s="162"/>
      <c r="P438" s="162"/>
      <c r="Q438" s="162"/>
      <c r="R438" s="162"/>
      <c r="S438" s="162"/>
      <c r="T438" s="162"/>
      <c r="U438" s="162"/>
      <c r="V438" s="162"/>
      <c r="W438" s="162"/>
    </row>
    <row r="439" spans="15:23" x14ac:dyDescent="0.2">
      <c r="O439" s="162"/>
      <c r="P439" s="162"/>
      <c r="Q439" s="162"/>
      <c r="R439" s="162"/>
      <c r="S439" s="162"/>
      <c r="T439" s="162"/>
      <c r="U439" s="162"/>
      <c r="V439" s="162"/>
      <c r="W439" s="162"/>
    </row>
    <row r="440" spans="15:23" x14ac:dyDescent="0.2">
      <c r="O440" s="162"/>
      <c r="P440" s="162"/>
      <c r="Q440" s="162"/>
      <c r="R440" s="162"/>
      <c r="S440" s="162"/>
      <c r="T440" s="162"/>
      <c r="U440" s="162"/>
      <c r="V440" s="162"/>
      <c r="W440" s="162"/>
    </row>
    <row r="441" spans="15:23" x14ac:dyDescent="0.2">
      <c r="O441" s="162"/>
      <c r="P441" s="162"/>
      <c r="Q441" s="162"/>
      <c r="R441" s="162"/>
      <c r="S441" s="162"/>
      <c r="T441" s="162"/>
      <c r="U441" s="162"/>
      <c r="V441" s="162"/>
      <c r="W441" s="162"/>
    </row>
    <row r="442" spans="15:23" x14ac:dyDescent="0.2">
      <c r="O442" s="162"/>
      <c r="P442" s="162"/>
      <c r="Q442" s="162"/>
      <c r="R442" s="162"/>
      <c r="S442" s="162"/>
      <c r="T442" s="162"/>
      <c r="U442" s="162"/>
      <c r="V442" s="162"/>
      <c r="W442" s="162"/>
    </row>
    <row r="443" spans="15:23" x14ac:dyDescent="0.2">
      <c r="O443" s="162"/>
      <c r="P443" s="162"/>
      <c r="Q443" s="162"/>
      <c r="R443" s="162"/>
      <c r="S443" s="162"/>
      <c r="T443" s="162"/>
      <c r="U443" s="162"/>
      <c r="V443" s="162"/>
      <c r="W443" s="162"/>
    </row>
    <row r="444" spans="15:23" x14ac:dyDescent="0.2">
      <c r="O444" s="162"/>
      <c r="P444" s="162"/>
      <c r="Q444" s="162"/>
      <c r="R444" s="162"/>
      <c r="S444" s="162"/>
      <c r="T444" s="162"/>
      <c r="U444" s="162"/>
      <c r="V444" s="162"/>
      <c r="W444" s="162"/>
    </row>
    <row r="445" spans="15:23" x14ac:dyDescent="0.2">
      <c r="O445" s="162"/>
      <c r="P445" s="162"/>
      <c r="Q445" s="162"/>
      <c r="R445" s="162"/>
      <c r="S445" s="162"/>
      <c r="T445" s="162"/>
      <c r="U445" s="162"/>
      <c r="V445" s="162"/>
      <c r="W445" s="162"/>
    </row>
    <row r="446" spans="15:23" x14ac:dyDescent="0.2">
      <c r="O446" s="162"/>
      <c r="P446" s="162"/>
      <c r="Q446" s="162"/>
      <c r="R446" s="162"/>
      <c r="S446" s="162"/>
      <c r="T446" s="162"/>
      <c r="U446" s="162"/>
      <c r="V446" s="162"/>
      <c r="W446" s="162"/>
    </row>
    <row r="447" spans="15:23" x14ac:dyDescent="0.2">
      <c r="O447" s="162"/>
      <c r="P447" s="162"/>
      <c r="Q447" s="162"/>
      <c r="R447" s="162"/>
      <c r="S447" s="162"/>
      <c r="T447" s="162"/>
      <c r="U447" s="162"/>
      <c r="V447" s="162"/>
      <c r="W447" s="162"/>
    </row>
    <row r="448" spans="15:23" x14ac:dyDescent="0.2">
      <c r="O448" s="162"/>
      <c r="P448" s="162"/>
      <c r="Q448" s="162"/>
      <c r="R448" s="162"/>
      <c r="S448" s="162"/>
      <c r="T448" s="162"/>
      <c r="U448" s="162"/>
      <c r="V448" s="162"/>
      <c r="W448" s="162"/>
    </row>
    <row r="449" spans="15:23" x14ac:dyDescent="0.2">
      <c r="O449" s="162"/>
      <c r="P449" s="162"/>
      <c r="Q449" s="162"/>
      <c r="R449" s="162"/>
      <c r="S449" s="162"/>
      <c r="T449" s="162"/>
      <c r="U449" s="162"/>
      <c r="V449" s="162"/>
      <c r="W449" s="162"/>
    </row>
    <row r="450" spans="15:23" x14ac:dyDescent="0.2">
      <c r="O450" s="162"/>
      <c r="P450" s="162"/>
      <c r="Q450" s="162"/>
      <c r="R450" s="162"/>
      <c r="S450" s="162"/>
      <c r="T450" s="162"/>
      <c r="U450" s="162"/>
      <c r="V450" s="162"/>
      <c r="W450" s="162"/>
    </row>
    <row r="451" spans="15:23" x14ac:dyDescent="0.2">
      <c r="O451" s="162"/>
      <c r="P451" s="162"/>
      <c r="Q451" s="162"/>
      <c r="R451" s="162"/>
      <c r="S451" s="162"/>
      <c r="T451" s="162"/>
      <c r="U451" s="162"/>
      <c r="V451" s="162"/>
      <c r="W451" s="162"/>
    </row>
    <row r="452" spans="15:23" x14ac:dyDescent="0.2">
      <c r="O452" s="162"/>
      <c r="P452" s="162"/>
      <c r="Q452" s="162"/>
      <c r="R452" s="162"/>
      <c r="S452" s="162"/>
      <c r="T452" s="162"/>
      <c r="U452" s="162"/>
      <c r="V452" s="162"/>
      <c r="W452" s="162"/>
    </row>
    <row r="453" spans="15:23" x14ac:dyDescent="0.2">
      <c r="O453" s="162"/>
      <c r="P453" s="162"/>
      <c r="Q453" s="162"/>
      <c r="R453" s="162"/>
      <c r="S453" s="162"/>
      <c r="T453" s="162"/>
      <c r="U453" s="162"/>
      <c r="V453" s="162"/>
      <c r="W453" s="162"/>
    </row>
    <row r="454" spans="15:23" x14ac:dyDescent="0.2">
      <c r="O454" s="162"/>
      <c r="P454" s="162"/>
      <c r="Q454" s="162"/>
      <c r="R454" s="162"/>
      <c r="S454" s="162"/>
      <c r="T454" s="162"/>
      <c r="U454" s="162"/>
      <c r="V454" s="162"/>
      <c r="W454" s="162"/>
    </row>
  </sheetData>
  <printOptions gridLinesSet="0"/>
  <pageMargins left="0.25" right="0.25" top="0.25" bottom="0.25" header="0.5" footer="0.5"/>
  <pageSetup paperSize="5" orientation="landscape" horizontalDpi="4294967292" r:id="rId1"/>
  <headerFooter alignWithMargins="0">
    <oddHeader xml:space="preserve">&amp;RPage &amp;P of &amp;N   
</oddHeader>
  </headerFooter>
  <drawing r:id="rId2"/>
  <legacyDrawing r:id="rId3"/>
  <controls>
    <mc:AlternateContent xmlns:mc="http://schemas.openxmlformats.org/markup-compatibility/2006">
      <mc:Choice Requires="x14">
        <control shapeId="1040" r:id="rId4" name="CommandButton2">
          <controlPr defaultSize="0" autoLine="0" autoPict="0" r:id="rId5">
            <anchor moveWithCells="1">
              <from>
                <xdr:col>14</xdr:col>
                <xdr:colOff>0</xdr:colOff>
                <xdr:row>1</xdr:row>
                <xdr:rowOff>190500</xdr:rowOff>
              </from>
              <to>
                <xdr:col>16</xdr:col>
                <xdr:colOff>66675</xdr:colOff>
                <xdr:row>4</xdr:row>
                <xdr:rowOff>114300</xdr:rowOff>
              </to>
            </anchor>
          </controlPr>
        </control>
      </mc:Choice>
      <mc:Fallback>
        <control shapeId="1040" r:id="rId4" name="CommandButton2"/>
      </mc:Fallback>
    </mc:AlternateContent>
    <mc:AlternateContent xmlns:mc="http://schemas.openxmlformats.org/markup-compatibility/2006">
      <mc:Choice Requires="x14">
        <control shapeId="1039" r:id="rId6" name="CommandButton1">
          <controlPr defaultSize="0" autoLine="0" autoPict="0" r:id="rId7">
            <anchor moveWithCells="1">
              <from>
                <xdr:col>0</xdr:col>
                <xdr:colOff>733425</xdr:colOff>
                <xdr:row>5</xdr:row>
                <xdr:rowOff>66675</xdr:rowOff>
              </from>
              <to>
                <xdr:col>0</xdr:col>
                <xdr:colOff>1809750</xdr:colOff>
                <xdr:row>8</xdr:row>
                <xdr:rowOff>28575</xdr:rowOff>
              </to>
            </anchor>
          </controlPr>
        </control>
      </mc:Choice>
      <mc:Fallback>
        <control shapeId="1039" r:id="rId6" name="Command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2:P131"/>
  <sheetViews>
    <sheetView zoomScale="75" workbookViewId="0">
      <pane xSplit="3" ySplit="6" topLeftCell="D7" activePane="bottomRight" state="frozen"/>
      <selection activeCell="H24" sqref="H24"/>
      <selection pane="topRight" activeCell="H24" sqref="H24"/>
      <selection pane="bottomLeft" activeCell="H24" sqref="H24"/>
      <selection pane="bottomRight" activeCell="H24" sqref="H24"/>
    </sheetView>
  </sheetViews>
  <sheetFormatPr defaultRowHeight="12.75" x14ac:dyDescent="0.2"/>
  <cols>
    <col min="1" max="1" width="4.42578125" customWidth="1"/>
    <col min="2" max="2" width="5.28515625" customWidth="1"/>
    <col min="3" max="3" width="20.42578125" customWidth="1"/>
    <col min="4" max="4" width="16.7109375" customWidth="1"/>
    <col min="5" max="5" width="12.42578125" customWidth="1"/>
    <col min="6" max="6" width="9" customWidth="1"/>
    <col min="7" max="7" width="11.140625" bestFit="1" customWidth="1"/>
    <col min="9" max="9" width="11.140625" bestFit="1" customWidth="1"/>
    <col min="13" max="13" width="11.42578125" customWidth="1"/>
  </cols>
  <sheetData>
    <row r="2" spans="1:13" ht="37.5" x14ac:dyDescent="0.7">
      <c r="A2" s="408" t="s">
        <v>346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3" x14ac:dyDescent="0.2">
      <c r="E3" s="60"/>
      <c r="F3" s="60"/>
      <c r="G3" s="60"/>
      <c r="H3" s="60"/>
      <c r="I3" s="60"/>
      <c r="J3" s="60"/>
      <c r="K3" s="60"/>
    </row>
    <row r="4" spans="1:13" ht="14.25" x14ac:dyDescent="0.2">
      <c r="C4" s="393">
        <f>'ENRON MIDWEST P&amp;L'!A4</f>
        <v>36790</v>
      </c>
      <c r="E4" s="298"/>
      <c r="F4" s="298"/>
      <c r="G4" s="298"/>
      <c r="H4" s="298"/>
      <c r="I4" s="298"/>
      <c r="J4" s="298"/>
      <c r="K4" s="298"/>
    </row>
    <row r="5" spans="1:13" ht="14.25" x14ac:dyDescent="0.2">
      <c r="E5" s="298"/>
      <c r="F5" s="298"/>
      <c r="G5" s="298"/>
      <c r="H5" s="298"/>
      <c r="I5" s="298"/>
      <c r="J5" s="298"/>
      <c r="K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f>Physical!D25+Physical!D26-Physical!D10-Physical!D20</f>
        <v>-4425305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-40429</v>
      </c>
      <c r="J10" s="302"/>
      <c r="K10" s="302">
        <f>Physical!K59+Physical!K60-Physical!K44-Physical!K54</f>
        <v>0</v>
      </c>
      <c r="M10" s="402">
        <f>SUM(E10:K10)</f>
        <v>-4465734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2">
        <f>SUM(E11:K11)</f>
        <v>0</v>
      </c>
    </row>
    <row r="12" spans="1:13" x14ac:dyDescent="0.2">
      <c r="A12" s="1"/>
      <c r="B12" s="1"/>
      <c r="C12" s="1" t="s">
        <v>243</v>
      </c>
      <c r="E12" s="302">
        <f>Physical!D31</f>
        <v>0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2">
        <f>SUM(E12:K12)</f>
        <v>0</v>
      </c>
    </row>
    <row r="13" spans="1:13" ht="13.5" thickBot="1" x14ac:dyDescent="0.25">
      <c r="A13" s="1"/>
      <c r="B13" s="1"/>
      <c r="C13" s="1" t="s">
        <v>244</v>
      </c>
      <c r="E13" s="308">
        <f>Physical!D33</f>
        <v>268012</v>
      </c>
      <c r="F13" s="302"/>
      <c r="G13" s="308">
        <f>Physical!K33</f>
        <v>0</v>
      </c>
      <c r="H13" s="302"/>
      <c r="I13" s="308">
        <f>Physical!D67</f>
        <v>0</v>
      </c>
      <c r="J13" s="309"/>
      <c r="K13" s="308">
        <f>Physical!K67</f>
        <v>0</v>
      </c>
      <c r="M13" s="403">
        <f>SUM(E13:K13)</f>
        <v>268012</v>
      </c>
    </row>
    <row r="14" spans="1:13" ht="13.5" thickBot="1" x14ac:dyDescent="0.25">
      <c r="A14" s="1"/>
      <c r="B14" s="1"/>
      <c r="C14" s="2" t="s">
        <v>39</v>
      </c>
      <c r="E14" s="311">
        <f>SUM(E10:E13)</f>
        <v>-4157293</v>
      </c>
      <c r="F14" s="6"/>
      <c r="G14" s="311">
        <f>SUM(G10:G13)</f>
        <v>0</v>
      </c>
      <c r="H14" s="6"/>
      <c r="I14" s="311">
        <f>SUM(I10:I13)</f>
        <v>-40429</v>
      </c>
      <c r="J14" s="309"/>
      <c r="K14" s="311">
        <f>SUM(K10:K13)</f>
        <v>0</v>
      </c>
      <c r="M14" s="404">
        <f>SUM(M10:M13)</f>
        <v>-4197722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5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5"/>
    </row>
    <row r="17" spans="1:13" x14ac:dyDescent="0.2">
      <c r="A17" s="1"/>
      <c r="B17" s="1"/>
      <c r="C17" s="1" t="s">
        <v>246</v>
      </c>
      <c r="E17" s="302">
        <f>'Intra-EMWNSS1'!D15+'Intra-EMWNSS1'!D25+'Intra-EMWNSS1'!D35</f>
        <v>4258372.1426999997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</f>
        <v>154987.24239999987</v>
      </c>
      <c r="J17" s="302"/>
      <c r="K17" s="302">
        <f>'TP-EMWNSS'!D15+'TP-EMWNSS'!D25+'TP-EMWNSS'!D35</f>
        <v>2768.2867000000551</v>
      </c>
      <c r="M17" s="402">
        <f t="shared" ref="M17:M23" si="0">SUM(E17:K17)</f>
        <v>4416127.6717999997</v>
      </c>
    </row>
    <row r="18" spans="1:13" x14ac:dyDescent="0.2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2">
        <f t="shared" si="0"/>
        <v>0</v>
      </c>
    </row>
    <row r="19" spans="1:13" x14ac:dyDescent="0.2">
      <c r="A19" s="1"/>
      <c r="B19" s="1"/>
      <c r="C19" s="1" t="s">
        <v>248</v>
      </c>
      <c r="E19" s="302">
        <f>'Intra-EMWNSS1'!D16+'Intra-EMWNSS1'!D26+'Intra-EMWNSS1'!D36</f>
        <v>11037.208899999998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57135.255600000033</v>
      </c>
      <c r="J19" s="302"/>
      <c r="K19" s="302">
        <f>'TP-EMWNSS'!D16+'TP-EMWNSS'!D26+'TP-EMWNSS'!D36</f>
        <v>1E-4</v>
      </c>
      <c r="M19" s="402">
        <f t="shared" si="0"/>
        <v>68172.464600000036</v>
      </c>
    </row>
    <row r="20" spans="1:13" x14ac:dyDescent="0.2">
      <c r="A20" s="1"/>
      <c r="B20" s="1"/>
      <c r="C20" s="1" t="s">
        <v>249</v>
      </c>
      <c r="E20" s="302">
        <f>'Intra-EMWNSS1'!D17+'Intra-EMWNSS1'!D27+'Intra-EMWNSS1'!D37</f>
        <v>85.806899999999587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-11088.7961</v>
      </c>
      <c r="J20" s="302"/>
      <c r="K20" s="302">
        <f>'TP-EMWNSS'!D17+'TP-EMWNSS'!D27+'TP-EMWNSS'!D37</f>
        <v>-2.0000000000000001E-4</v>
      </c>
      <c r="M20" s="402">
        <f t="shared" si="0"/>
        <v>-11002.9894</v>
      </c>
    </row>
    <row r="21" spans="1:13" x14ac:dyDescent="0.2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2">
        <f t="shared" si="0"/>
        <v>0</v>
      </c>
    </row>
    <row r="22" spans="1:13" x14ac:dyDescent="0.2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2">
        <f t="shared" si="0"/>
        <v>0</v>
      </c>
    </row>
    <row r="23" spans="1:13" ht="13.5" thickBot="1" x14ac:dyDescent="0.25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3">
        <f t="shared" si="0"/>
        <v>0</v>
      </c>
    </row>
    <row r="24" spans="1:13" ht="13.5" thickBot="1" x14ac:dyDescent="0.25">
      <c r="A24" s="1"/>
      <c r="B24" s="1"/>
      <c r="C24" s="2" t="s">
        <v>39</v>
      </c>
      <c r="E24" s="311">
        <f>SUM(E17:E23)</f>
        <v>4269495.1584999999</v>
      </c>
      <c r="F24" s="302"/>
      <c r="G24" s="308">
        <f>SUM(G17:G23)</f>
        <v>0</v>
      </c>
      <c r="H24" s="302"/>
      <c r="I24" s="308">
        <f>SUM(I17:I23)</f>
        <v>201033.7018999999</v>
      </c>
      <c r="J24" s="309"/>
      <c r="K24" s="308">
        <f>SUM(K17:K23)</f>
        <v>2768.2866000000554</v>
      </c>
      <c r="M24" s="404">
        <f>SUM(M17:M23)</f>
        <v>4473297.1469999989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5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5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2">
        <f>SUM(E27:K27)</f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3">
        <f>SUM(E28:K28)</f>
        <v>0</v>
      </c>
    </row>
    <row r="29" spans="1:13" ht="13.5" thickBot="1" x14ac:dyDescent="0.25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4">
        <f>SUM(M27:M28)</f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5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5"/>
    </row>
    <row r="32" spans="1:13" x14ac:dyDescent="0.2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2">
        <f t="shared" ref="M32:M38" si="1">SUM(E32:K32)</f>
        <v>0</v>
      </c>
    </row>
    <row r="33" spans="1:13" x14ac:dyDescent="0.2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2">
        <f t="shared" si="1"/>
        <v>0</v>
      </c>
    </row>
    <row r="34" spans="1:13" x14ac:dyDescent="0.2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2">
        <f t="shared" si="1"/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2">
        <f t="shared" si="1"/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2">
        <f t="shared" si="1"/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2">
        <f t="shared" si="1"/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3">
        <f t="shared" si="1"/>
        <v>0</v>
      </c>
    </row>
    <row r="39" spans="1:13" ht="13.5" thickBot="1" x14ac:dyDescent="0.25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4">
        <f>SUM(M32:M38)</f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5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5"/>
    </row>
    <row r="42" spans="1:13" x14ac:dyDescent="0.2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2">
        <f t="shared" ref="M42:M48" si="2">SUM(E42:K42)</f>
        <v>0</v>
      </c>
    </row>
    <row r="43" spans="1:13" x14ac:dyDescent="0.2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2">
        <f t="shared" si="2"/>
        <v>0</v>
      </c>
    </row>
    <row r="44" spans="1:13" x14ac:dyDescent="0.2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2">
        <f t="shared" si="2"/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2">
        <f t="shared" si="2"/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2">
        <f t="shared" si="2"/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2">
        <f t="shared" si="2"/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3">
        <f t="shared" si="2"/>
        <v>0</v>
      </c>
    </row>
    <row r="49" spans="1:13" ht="13.5" thickBot="1" x14ac:dyDescent="0.25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4">
        <f>SUM(M42:M48)</f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5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5"/>
    </row>
    <row r="52" spans="1:13" x14ac:dyDescent="0.2">
      <c r="A52" s="1"/>
      <c r="B52" s="1"/>
      <c r="C52" s="1" t="s">
        <v>319</v>
      </c>
      <c r="E52" s="302">
        <f>Other!E42</f>
        <v>-84151</v>
      </c>
      <c r="F52" s="302"/>
      <c r="G52" s="302">
        <f>Other!E31</f>
        <v>0</v>
      </c>
      <c r="H52" s="302"/>
      <c r="I52" s="302">
        <v>0</v>
      </c>
      <c r="J52" s="302"/>
      <c r="K52" s="302">
        <f>Other!E43</f>
        <v>-2076</v>
      </c>
      <c r="M52" s="402">
        <f>SUM(E52:K52)</f>
        <v>-86227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402">
        <f>SUM(E53:K53)</f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2">
        <f>SUM(E54:K54)</f>
        <v>0</v>
      </c>
    </row>
    <row r="55" spans="1:13" ht="13.5" thickBot="1" x14ac:dyDescent="0.25">
      <c r="A55" s="1"/>
      <c r="B55" s="1"/>
      <c r="C55" s="1" t="s">
        <v>337</v>
      </c>
      <c r="E55" s="308">
        <v>0</v>
      </c>
      <c r="F55" s="302"/>
      <c r="G55" s="308">
        <f>Other!E36</f>
        <v>0</v>
      </c>
      <c r="H55" s="302"/>
      <c r="I55" s="308">
        <v>0</v>
      </c>
      <c r="J55" s="309"/>
      <c r="K55" s="308">
        <v>0</v>
      </c>
      <c r="M55" s="403">
        <f>SUM(E55:K55)</f>
        <v>0</v>
      </c>
    </row>
    <row r="56" spans="1:13" ht="13.5" thickBot="1" x14ac:dyDescent="0.25">
      <c r="A56" s="1"/>
      <c r="B56" s="1"/>
      <c r="C56" s="2" t="s">
        <v>39</v>
      </c>
      <c r="E56" s="311">
        <f>SUM(E52:E55)</f>
        <v>-84151</v>
      </c>
      <c r="F56" s="302"/>
      <c r="G56" s="311">
        <f>SUM(G52:G55)</f>
        <v>0</v>
      </c>
      <c r="H56" s="302"/>
      <c r="I56" s="311">
        <f>SUM(I52:I55)</f>
        <v>0</v>
      </c>
      <c r="J56" s="309"/>
      <c r="K56" s="308">
        <f>SUM(K52:K55)</f>
        <v>-2076</v>
      </c>
      <c r="M56" s="403">
        <f>SUM(M52:M55)</f>
        <v>-86227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5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5"/>
    </row>
    <row r="59" spans="1:13" ht="16.5" thickBot="1" x14ac:dyDescent="0.3">
      <c r="A59" s="315" t="s">
        <v>263</v>
      </c>
      <c r="B59" s="315"/>
      <c r="C59" s="315"/>
      <c r="D59" s="315"/>
      <c r="E59" s="316">
        <f>E14+E24+E29+E39+E49+E56</f>
        <v>28051.158499999903</v>
      </c>
      <c r="F59" s="316"/>
      <c r="G59" s="316">
        <f>G14+G24+G29+G39+G49+G56</f>
        <v>0</v>
      </c>
      <c r="H59" s="316"/>
      <c r="I59" s="316">
        <f>I14+I24+I29+I39+I49+I56</f>
        <v>160604.7018999999</v>
      </c>
      <c r="J59" s="316"/>
      <c r="K59" s="316">
        <f>K14+K24+K29+K39+K49+K56</f>
        <v>692.28660000005539</v>
      </c>
      <c r="L59" s="316"/>
      <c r="M59" s="316">
        <f>M14+M24+M29+M39+M49+M56</f>
        <v>189348.14699999895</v>
      </c>
    </row>
    <row r="60" spans="1:13" ht="13.5" thickBot="1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5"/>
    </row>
    <row r="61" spans="1:13" ht="13.5" thickBot="1" x14ac:dyDescent="0.25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5"/>
    </row>
    <row r="62" spans="1:13" ht="13.5" thickBot="1" x14ac:dyDescent="0.25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5"/>
    </row>
    <row r="63" spans="1:13" x14ac:dyDescent="0.2">
      <c r="A63" s="1"/>
      <c r="B63" s="1"/>
      <c r="C63" s="1" t="s">
        <v>242</v>
      </c>
      <c r="E63" s="302">
        <f>E10-'Prior DPR'!E10</f>
        <v>0</v>
      </c>
      <c r="F63" s="302"/>
      <c r="G63" s="302">
        <f>G10-'Prior DPR'!G10</f>
        <v>0</v>
      </c>
      <c r="H63" s="302"/>
      <c r="I63" s="302">
        <f>I10-'Prior DPR'!I10</f>
        <v>2401</v>
      </c>
      <c r="J63" s="302"/>
      <c r="K63" s="302">
        <f>K10-'Prior DPR'!K10</f>
        <v>0</v>
      </c>
      <c r="M63" s="402">
        <f>SUM(E63:K63)</f>
        <v>2401</v>
      </c>
    </row>
    <row r="64" spans="1:13" x14ac:dyDescent="0.2">
      <c r="A64" s="1"/>
      <c r="B64" s="1"/>
      <c r="C64" s="1" t="s">
        <v>40</v>
      </c>
      <c r="E64" s="302">
        <f>E11-'Prior DPR'!E11</f>
        <v>0</v>
      </c>
      <c r="F64" s="302"/>
      <c r="G64" s="302">
        <f>G11-'Prior DPR'!G11</f>
        <v>0</v>
      </c>
      <c r="H64" s="302"/>
      <c r="I64" s="302">
        <f>I11-'Prior DPR'!I11</f>
        <v>0</v>
      </c>
      <c r="J64" s="302"/>
      <c r="K64" s="302">
        <f>K11-'Prior DPR'!K11</f>
        <v>0</v>
      </c>
      <c r="M64" s="402">
        <f>SUM(E64:K64)</f>
        <v>0</v>
      </c>
    </row>
    <row r="65" spans="1:16" x14ac:dyDescent="0.2">
      <c r="A65" s="1"/>
      <c r="B65" s="1"/>
      <c r="C65" s="1" t="s">
        <v>243</v>
      </c>
      <c r="E65" s="302">
        <f>E12-'Prior DPR'!E12</f>
        <v>0</v>
      </c>
      <c r="F65" s="302"/>
      <c r="G65" s="302">
        <f>G12-'Prior DPR'!G12</f>
        <v>0</v>
      </c>
      <c r="H65" s="302"/>
      <c r="I65" s="302">
        <f>I12-'Prior DPR'!I12</f>
        <v>0</v>
      </c>
      <c r="J65" s="302"/>
      <c r="K65" s="302">
        <f>K12-'Prior DPR'!K12</f>
        <v>0</v>
      </c>
      <c r="M65" s="402">
        <f>SUM(E65:K65)</f>
        <v>0</v>
      </c>
    </row>
    <row r="66" spans="1:16" ht="13.5" thickBot="1" x14ac:dyDescent="0.25">
      <c r="A66" s="1" t="s">
        <v>27</v>
      </c>
      <c r="B66" s="1"/>
      <c r="C66" s="1" t="s">
        <v>244</v>
      </c>
      <c r="E66" s="302">
        <f>E13-'Prior DPR'!E13</f>
        <v>0</v>
      </c>
      <c r="F66" s="302"/>
      <c r="G66" s="302">
        <f>G13-'Prior DPR'!G13</f>
        <v>0</v>
      </c>
      <c r="H66" s="302"/>
      <c r="I66" s="302">
        <f>I13-'Prior DPR'!I13</f>
        <v>0</v>
      </c>
      <c r="J66" s="302"/>
      <c r="K66" s="302">
        <f>K13-'Prior DPR'!K13</f>
        <v>0</v>
      </c>
      <c r="M66" s="403">
        <f>SUM(E66:K66)</f>
        <v>0</v>
      </c>
    </row>
    <row r="67" spans="1:16" ht="13.5" thickBot="1" x14ac:dyDescent="0.25">
      <c r="A67" s="1"/>
      <c r="B67" s="1"/>
      <c r="C67" s="2" t="s">
        <v>39</v>
      </c>
      <c r="E67" s="311">
        <f>SUM(E63:E66)</f>
        <v>0</v>
      </c>
      <c r="F67" s="302"/>
      <c r="G67" s="311">
        <f>SUM(G63:G66)</f>
        <v>0</v>
      </c>
      <c r="H67" s="309"/>
      <c r="I67" s="311">
        <f>SUM(I63:I66)</f>
        <v>2401</v>
      </c>
      <c r="J67" s="309"/>
      <c r="K67" s="311">
        <f>SUM(K63:K66)</f>
        <v>0</v>
      </c>
      <c r="M67" s="404">
        <f>SUM(M63:M66)</f>
        <v>2401</v>
      </c>
    </row>
    <row r="68" spans="1:16" x14ac:dyDescent="0.2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5"/>
    </row>
    <row r="69" spans="1:16" ht="13.5" thickBot="1" x14ac:dyDescent="0.25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5"/>
    </row>
    <row r="70" spans="1:16" x14ac:dyDescent="0.2">
      <c r="A70" s="1"/>
      <c r="B70" s="1"/>
      <c r="C70" s="1" t="s">
        <v>246</v>
      </c>
      <c r="E70" s="302">
        <f>E17-'Prior DPR'!E17</f>
        <v>1788.8595000002533</v>
      </c>
      <c r="F70" s="302"/>
      <c r="G70" s="302">
        <f>G17-'Prior DPR'!G17</f>
        <v>0</v>
      </c>
      <c r="H70" s="302"/>
      <c r="I70" s="302">
        <f>I17-'Prior DPR'!I17</f>
        <v>9156.2020000000484</v>
      </c>
      <c r="J70" s="302"/>
      <c r="K70" s="302">
        <f>K17-'Prior DPR'!K17</f>
        <v>150.28740000003017</v>
      </c>
      <c r="M70" s="402">
        <f t="shared" ref="M70:M76" si="3">SUM(E70:K70)</f>
        <v>11095.348900000332</v>
      </c>
    </row>
    <row r="71" spans="1:16" x14ac:dyDescent="0.2">
      <c r="A71" s="1"/>
      <c r="B71" s="1"/>
      <c r="C71" s="1" t="s">
        <v>247</v>
      </c>
      <c r="E71" s="302">
        <f>E18-'Prior DPR'!E18</f>
        <v>0</v>
      </c>
      <c r="F71" s="302"/>
      <c r="G71" s="302">
        <f>G18-'Prior DPR'!G18</f>
        <v>0</v>
      </c>
      <c r="H71" s="302"/>
      <c r="I71" s="302">
        <f>I18-'Prior DPR'!I18</f>
        <v>0</v>
      </c>
      <c r="J71" s="302"/>
      <c r="K71" s="302">
        <f>K18-'Prior DPR'!K18</f>
        <v>0</v>
      </c>
      <c r="M71" s="402">
        <f t="shared" si="3"/>
        <v>0</v>
      </c>
    </row>
    <row r="72" spans="1:16" x14ac:dyDescent="0.2">
      <c r="A72" s="1"/>
      <c r="B72" s="1"/>
      <c r="C72" s="1" t="s">
        <v>248</v>
      </c>
      <c r="E72" s="302">
        <f>E19-'Prior DPR'!E19</f>
        <v>30.844000000011874</v>
      </c>
      <c r="F72" s="302"/>
      <c r="G72" s="302">
        <f>G19-'Prior DPR'!G19</f>
        <v>0</v>
      </c>
      <c r="H72" s="302"/>
      <c r="I72" s="302">
        <f>I19-'Prior DPR'!I19</f>
        <v>22844.235499999952</v>
      </c>
      <c r="J72" s="302"/>
      <c r="K72" s="302">
        <f>K19-'Prior DPR'!K19</f>
        <v>1E-4</v>
      </c>
      <c r="M72" s="402">
        <f t="shared" si="3"/>
        <v>22875.079599999965</v>
      </c>
    </row>
    <row r="73" spans="1:16" x14ac:dyDescent="0.2">
      <c r="A73" s="1"/>
      <c r="B73" s="1"/>
      <c r="C73" s="1" t="s">
        <v>249</v>
      </c>
      <c r="E73" s="302">
        <f>E20-'Prior DPR'!E20</f>
        <v>4.3577000000004773</v>
      </c>
      <c r="F73" s="302"/>
      <c r="G73" s="302">
        <f>G20-'Prior DPR'!G20</f>
        <v>0</v>
      </c>
      <c r="H73" s="302"/>
      <c r="I73" s="302">
        <f>I20-'Prior DPR'!I20</f>
        <v>-5926.8439999999991</v>
      </c>
      <c r="J73" s="302"/>
      <c r="K73" s="302">
        <f>K20-'Prior DPR'!K20</f>
        <v>-2.0000000000000001E-4</v>
      </c>
      <c r="M73" s="402">
        <f t="shared" si="3"/>
        <v>-5922.4864999999991</v>
      </c>
      <c r="P73" t="s">
        <v>27</v>
      </c>
    </row>
    <row r="74" spans="1:16" x14ac:dyDescent="0.2">
      <c r="A74" s="1"/>
      <c r="B74" s="1"/>
      <c r="C74" s="1" t="s">
        <v>250</v>
      </c>
      <c r="E74" s="302">
        <f>E21-'Prior DPR'!E21</f>
        <v>0</v>
      </c>
      <c r="F74" s="302"/>
      <c r="G74" s="302">
        <f>G21-'Prior DPR'!G21</f>
        <v>0</v>
      </c>
      <c r="H74" s="302"/>
      <c r="I74" s="302">
        <f>I21-'Prior DPR'!I21</f>
        <v>0</v>
      </c>
      <c r="J74" s="302"/>
      <c r="K74" s="302">
        <f>K21-'Prior DPR'!K21</f>
        <v>0</v>
      </c>
      <c r="M74" s="402">
        <f t="shared" si="3"/>
        <v>0</v>
      </c>
    </row>
    <row r="75" spans="1:16" x14ac:dyDescent="0.2">
      <c r="A75" s="1"/>
      <c r="B75" s="1"/>
      <c r="C75" s="1" t="s">
        <v>193</v>
      </c>
      <c r="E75" s="302">
        <f>E22-'Prior DPR'!E22</f>
        <v>0</v>
      </c>
      <c r="F75" s="302"/>
      <c r="G75" s="302">
        <f>G22-'Prior DPR'!G22</f>
        <v>0</v>
      </c>
      <c r="H75" s="302"/>
      <c r="I75" s="302">
        <f>I22-'Prior DPR'!I22</f>
        <v>0</v>
      </c>
      <c r="J75" s="302"/>
      <c r="K75" s="302">
        <f>K22-'Prior DPR'!K22</f>
        <v>0</v>
      </c>
      <c r="M75" s="402">
        <f t="shared" si="3"/>
        <v>0</v>
      </c>
    </row>
    <row r="76" spans="1:16" ht="13.5" thickBot="1" x14ac:dyDescent="0.25">
      <c r="A76" s="1"/>
      <c r="B76" s="1"/>
      <c r="C76" s="1" t="s">
        <v>30</v>
      </c>
      <c r="E76" s="302">
        <f>E23-'Prior DPR'!E23</f>
        <v>0</v>
      </c>
      <c r="F76" s="302"/>
      <c r="G76" s="302">
        <f>G23-'Prior DPR'!G23</f>
        <v>0</v>
      </c>
      <c r="H76" s="302"/>
      <c r="I76" s="302">
        <f>I23-'Prior DPR'!I23</f>
        <v>0</v>
      </c>
      <c r="J76" s="302"/>
      <c r="K76" s="302">
        <f>K23-'Prior DPR'!K23</f>
        <v>0</v>
      </c>
      <c r="M76" s="403">
        <f t="shared" si="3"/>
        <v>0</v>
      </c>
    </row>
    <row r="77" spans="1:16" ht="13.5" thickBot="1" x14ac:dyDescent="0.25">
      <c r="A77" s="1"/>
      <c r="B77" s="1"/>
      <c r="C77" s="2" t="s">
        <v>39</v>
      </c>
      <c r="E77" s="311">
        <f>SUM(E70:E76)</f>
        <v>1824.0612000002657</v>
      </c>
      <c r="F77" s="302"/>
      <c r="G77" s="311">
        <f>SUM(G70:G76)</f>
        <v>0</v>
      </c>
      <c r="H77" s="302"/>
      <c r="I77" s="311">
        <f>SUM(I70:I76)</f>
        <v>26073.593500000003</v>
      </c>
      <c r="J77" s="309"/>
      <c r="K77" s="311">
        <f>SUM(K70:K76)</f>
        <v>150.28730000003017</v>
      </c>
      <c r="M77" s="404">
        <f>SUM(M70:M76)</f>
        <v>28047.942000000301</v>
      </c>
    </row>
    <row r="78" spans="1:16" x14ac:dyDescent="0.2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5"/>
    </row>
    <row r="79" spans="1:16" ht="13.5" thickBot="1" x14ac:dyDescent="0.25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5"/>
    </row>
    <row r="80" spans="1:16" x14ac:dyDescent="0.2">
      <c r="A80" s="1"/>
      <c r="B80" s="12"/>
      <c r="C80" s="12" t="s">
        <v>242</v>
      </c>
      <c r="E80" s="302">
        <f>E27-'Prior DPR'!E27</f>
        <v>0</v>
      </c>
      <c r="F80" s="302"/>
      <c r="G80" s="302">
        <f>G27-'Prior DPR'!G27</f>
        <v>0</v>
      </c>
      <c r="H80" s="309"/>
      <c r="I80" s="302">
        <f>I27-'Prior DPR'!I27</f>
        <v>0</v>
      </c>
      <c r="J80" s="302"/>
      <c r="K80" s="302">
        <f>K27-'Prior DPR'!K27</f>
        <v>0</v>
      </c>
      <c r="M80" s="402">
        <f>SUM(E80:K80)</f>
        <v>0</v>
      </c>
    </row>
    <row r="81" spans="1:13" ht="13.5" thickBot="1" x14ac:dyDescent="0.25">
      <c r="A81" s="1"/>
      <c r="B81" s="12"/>
      <c r="C81" s="12" t="s">
        <v>245</v>
      </c>
      <c r="E81" s="302">
        <f>E28-'Prior DPR'!E28</f>
        <v>0</v>
      </c>
      <c r="F81" s="309"/>
      <c r="G81" s="302">
        <f>G28-'Prior DPR'!G28</f>
        <v>0</v>
      </c>
      <c r="H81" s="309"/>
      <c r="I81" s="302">
        <f>I28-'Prior DPR'!I28</f>
        <v>0</v>
      </c>
      <c r="J81" s="302"/>
      <c r="K81" s="302">
        <f>K28-'Prior DPR'!K28</f>
        <v>0</v>
      </c>
      <c r="M81" s="403">
        <f>SUM(E81:K81)</f>
        <v>0</v>
      </c>
    </row>
    <row r="82" spans="1:13" ht="13.5" thickBot="1" x14ac:dyDescent="0.25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5"/>
    </row>
    <row r="84" spans="1:13" ht="13.5" thickBot="1" x14ac:dyDescent="0.25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5"/>
    </row>
    <row r="85" spans="1:13" x14ac:dyDescent="0.2">
      <c r="A85" s="1"/>
      <c r="B85" s="1"/>
      <c r="C85" s="1" t="s">
        <v>253</v>
      </c>
      <c r="E85" s="302">
        <f>E32-'Prior DPR'!E32</f>
        <v>0</v>
      </c>
      <c r="F85" s="309"/>
      <c r="G85" s="302">
        <f>G32-'Prior DPR'!G32</f>
        <v>0</v>
      </c>
      <c r="H85" s="309"/>
      <c r="I85" s="302">
        <f>I32-'Prior DPR'!I32</f>
        <v>0</v>
      </c>
      <c r="J85" s="302"/>
      <c r="K85" s="302">
        <f>K32-'Prior DPR'!K32</f>
        <v>0</v>
      </c>
      <c r="M85" s="402">
        <f t="shared" ref="M85:M91" si="4">SUM(E85:K85)</f>
        <v>0</v>
      </c>
    </row>
    <row r="86" spans="1:13" x14ac:dyDescent="0.2">
      <c r="A86" s="1"/>
      <c r="B86" s="1"/>
      <c r="C86" s="1" t="s">
        <v>254</v>
      </c>
      <c r="E86" s="302">
        <f>E33-'Prior DPR'!E33</f>
        <v>0</v>
      </c>
      <c r="F86" s="309"/>
      <c r="G86" s="302">
        <f>G33-'Prior DPR'!G33</f>
        <v>0</v>
      </c>
      <c r="H86" s="309"/>
      <c r="I86" s="302">
        <f>I33-'Prior DPR'!I33</f>
        <v>0</v>
      </c>
      <c r="J86" s="302"/>
      <c r="K86" s="302">
        <f>K33-'Prior DPR'!K33</f>
        <v>0</v>
      </c>
      <c r="M86" s="402">
        <f t="shared" si="4"/>
        <v>0</v>
      </c>
    </row>
    <row r="87" spans="1:13" x14ac:dyDescent="0.2">
      <c r="A87" s="1"/>
      <c r="B87" s="1"/>
      <c r="C87" s="1" t="s">
        <v>255</v>
      </c>
      <c r="E87" s="302">
        <f>E34-'Prior DPR'!E34</f>
        <v>0</v>
      </c>
      <c r="F87" s="309"/>
      <c r="G87" s="302">
        <f>G34-'Prior DPR'!G34</f>
        <v>0</v>
      </c>
      <c r="H87" s="309"/>
      <c r="I87" s="302">
        <f>I34-'Prior DPR'!I34</f>
        <v>0</v>
      </c>
      <c r="J87" s="302"/>
      <c r="K87" s="302">
        <f>K34-'Prior DPR'!K34</f>
        <v>0</v>
      </c>
      <c r="M87" s="402">
        <f t="shared" si="4"/>
        <v>0</v>
      </c>
    </row>
    <row r="88" spans="1:13" x14ac:dyDescent="0.2">
      <c r="A88" s="1"/>
      <c r="B88" s="1"/>
      <c r="C88" s="1" t="s">
        <v>256</v>
      </c>
      <c r="E88" s="302">
        <f>E35-'Prior DPR'!E35</f>
        <v>0</v>
      </c>
      <c r="F88" s="309"/>
      <c r="G88" s="302">
        <f>G35-'Prior DPR'!G35</f>
        <v>0</v>
      </c>
      <c r="H88" s="309"/>
      <c r="I88" s="302">
        <f>I35-'Prior DPR'!I35</f>
        <v>0</v>
      </c>
      <c r="J88" s="302"/>
      <c r="K88" s="302">
        <f>K35-'Prior DPR'!K35</f>
        <v>0</v>
      </c>
      <c r="M88" s="402">
        <f t="shared" si="4"/>
        <v>0</v>
      </c>
    </row>
    <row r="89" spans="1:13" x14ac:dyDescent="0.2">
      <c r="A89" s="1"/>
      <c r="B89" s="1"/>
      <c r="C89" s="1" t="s">
        <v>257</v>
      </c>
      <c r="E89" s="302">
        <f>E36-'Prior DPR'!E36</f>
        <v>0</v>
      </c>
      <c r="F89" s="309"/>
      <c r="G89" s="302">
        <f>G36-'Prior DPR'!G36</f>
        <v>0</v>
      </c>
      <c r="H89" s="309"/>
      <c r="I89" s="302">
        <f>I36-'Prior DPR'!I36</f>
        <v>0</v>
      </c>
      <c r="J89" s="302"/>
      <c r="K89" s="302">
        <f>K36-'Prior DPR'!K36</f>
        <v>0</v>
      </c>
      <c r="M89" s="402">
        <f t="shared" si="4"/>
        <v>0</v>
      </c>
    </row>
    <row r="90" spans="1:13" x14ac:dyDescent="0.2">
      <c r="A90" s="1"/>
      <c r="B90" s="1"/>
      <c r="C90" s="1" t="s">
        <v>258</v>
      </c>
      <c r="E90" s="302">
        <f>E37-'Prior DPR'!E37</f>
        <v>0</v>
      </c>
      <c r="F90" s="309"/>
      <c r="G90" s="302">
        <f>G37-'Prior DPR'!G37</f>
        <v>0</v>
      </c>
      <c r="H90" s="309"/>
      <c r="I90" s="302">
        <f>I37-'Prior DPR'!I37</f>
        <v>0</v>
      </c>
      <c r="J90" s="302"/>
      <c r="K90" s="302">
        <f>K37-'Prior DPR'!K37</f>
        <v>0</v>
      </c>
      <c r="M90" s="402">
        <f t="shared" si="4"/>
        <v>0</v>
      </c>
    </row>
    <row r="91" spans="1:13" ht="13.5" thickBot="1" x14ac:dyDescent="0.25">
      <c r="A91" s="1"/>
      <c r="B91" s="1"/>
      <c r="C91" s="1" t="s">
        <v>259</v>
      </c>
      <c r="E91" s="302">
        <f>E38-'Prior DPR'!E38</f>
        <v>0</v>
      </c>
      <c r="F91" s="309"/>
      <c r="G91" s="302">
        <f>G38-'Prior DPR'!G38</f>
        <v>0</v>
      </c>
      <c r="H91" s="309"/>
      <c r="I91" s="302">
        <f>I38-'Prior DPR'!I38</f>
        <v>0</v>
      </c>
      <c r="J91" s="302"/>
      <c r="K91" s="302">
        <f>K38-'Prior DPR'!K38</f>
        <v>0</v>
      </c>
      <c r="M91" s="403">
        <f t="shared" si="4"/>
        <v>0</v>
      </c>
    </row>
    <row r="92" spans="1:13" ht="13.5" thickBot="1" x14ac:dyDescent="0.25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4">
        <f>SUM(M85:M91)</f>
        <v>0</v>
      </c>
    </row>
    <row r="93" spans="1:13" x14ac:dyDescent="0.2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5"/>
    </row>
    <row r="94" spans="1:13" ht="13.5" thickBot="1" x14ac:dyDescent="0.25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5"/>
    </row>
    <row r="95" spans="1:13" x14ac:dyDescent="0.2">
      <c r="A95" s="1"/>
      <c r="B95" s="1"/>
      <c r="C95" s="1" t="s">
        <v>253</v>
      </c>
      <c r="E95" s="302">
        <f>E42-'Prior DPR'!E42</f>
        <v>0</v>
      </c>
      <c r="F95" s="309"/>
      <c r="G95" s="302">
        <f>G42-'Prior DPR'!G42</f>
        <v>0</v>
      </c>
      <c r="H95" s="309"/>
      <c r="I95" s="302">
        <f>I42-'Prior DPR'!I42</f>
        <v>0</v>
      </c>
      <c r="J95" s="302"/>
      <c r="K95" s="302">
        <f>K42-'Prior DPR'!K42</f>
        <v>0</v>
      </c>
      <c r="M95" s="402">
        <f t="shared" ref="M95:M101" si="5">SUM(E95:K95)</f>
        <v>0</v>
      </c>
    </row>
    <row r="96" spans="1:13" x14ac:dyDescent="0.2">
      <c r="A96" s="1"/>
      <c r="B96" s="1"/>
      <c r="C96" s="1" t="s">
        <v>254</v>
      </c>
      <c r="E96" s="302">
        <f>E43-'Prior DPR'!E43</f>
        <v>0</v>
      </c>
      <c r="F96" s="309"/>
      <c r="G96" s="302">
        <f>G43-'Prior DPR'!G43</f>
        <v>0</v>
      </c>
      <c r="H96" s="309"/>
      <c r="I96" s="302">
        <f>I43-'Prior DPR'!I43</f>
        <v>0</v>
      </c>
      <c r="J96" s="302"/>
      <c r="K96" s="302">
        <f>K43-'Prior DPR'!K43</f>
        <v>0</v>
      </c>
      <c r="M96" s="402">
        <f t="shared" si="5"/>
        <v>0</v>
      </c>
    </row>
    <row r="97" spans="1:13" x14ac:dyDescent="0.2">
      <c r="A97" s="1"/>
      <c r="B97" s="1"/>
      <c r="C97" s="1" t="s">
        <v>255</v>
      </c>
      <c r="E97" s="302">
        <f>E44-'Prior DPR'!E44</f>
        <v>0</v>
      </c>
      <c r="F97" s="309"/>
      <c r="G97" s="302">
        <f>G44-'Prior DPR'!G44</f>
        <v>0</v>
      </c>
      <c r="H97" s="309"/>
      <c r="I97" s="302">
        <f>I44-'Prior DPR'!I44</f>
        <v>0</v>
      </c>
      <c r="J97" s="302"/>
      <c r="K97" s="302">
        <f>K44-'Prior DPR'!K44</f>
        <v>0</v>
      </c>
      <c r="M97" s="402">
        <f t="shared" si="5"/>
        <v>0</v>
      </c>
    </row>
    <row r="98" spans="1:13" x14ac:dyDescent="0.2">
      <c r="A98" s="1"/>
      <c r="B98" s="1"/>
      <c r="C98" s="1" t="s">
        <v>256</v>
      </c>
      <c r="E98" s="302">
        <f>E45-'Prior DPR'!E45</f>
        <v>0</v>
      </c>
      <c r="F98" s="309"/>
      <c r="G98" s="302">
        <f>G45-'Prior DPR'!G45</f>
        <v>0</v>
      </c>
      <c r="H98" s="309"/>
      <c r="I98" s="302">
        <f>I45-'Prior DPR'!I45</f>
        <v>0</v>
      </c>
      <c r="J98" s="302"/>
      <c r="K98" s="302">
        <f>K45-'Prior DPR'!K45</f>
        <v>0</v>
      </c>
      <c r="M98" s="402">
        <f t="shared" si="5"/>
        <v>0</v>
      </c>
    </row>
    <row r="99" spans="1:13" x14ac:dyDescent="0.2">
      <c r="A99" s="1"/>
      <c r="B99" s="1"/>
      <c r="C99" s="1" t="s">
        <v>257</v>
      </c>
      <c r="E99" s="302">
        <f>E46-'Prior DPR'!E46</f>
        <v>0</v>
      </c>
      <c r="F99" s="309"/>
      <c r="G99" s="302">
        <f>G46-'Prior DPR'!G46</f>
        <v>0</v>
      </c>
      <c r="H99" s="309"/>
      <c r="I99" s="302">
        <f>I46-'Prior DPR'!I46</f>
        <v>0</v>
      </c>
      <c r="J99" s="302"/>
      <c r="K99" s="302">
        <f>K46-'Prior DPR'!K46</f>
        <v>0</v>
      </c>
      <c r="M99" s="402">
        <f t="shared" si="5"/>
        <v>0</v>
      </c>
    </row>
    <row r="100" spans="1:13" x14ac:dyDescent="0.2">
      <c r="A100" s="1"/>
      <c r="B100" s="1"/>
      <c r="C100" s="1" t="s">
        <v>258</v>
      </c>
      <c r="E100" s="302">
        <f>E47-'Prior DPR'!E47</f>
        <v>0</v>
      </c>
      <c r="F100" s="309"/>
      <c r="G100" s="302">
        <f>G47-'Prior DPR'!G47</f>
        <v>0</v>
      </c>
      <c r="H100" s="309"/>
      <c r="I100" s="302">
        <f>I47-'Prior DPR'!I47</f>
        <v>0</v>
      </c>
      <c r="J100" s="302"/>
      <c r="K100" s="302">
        <f>K47-'Prior DPR'!K47</f>
        <v>0</v>
      </c>
      <c r="M100" s="402">
        <f t="shared" si="5"/>
        <v>0</v>
      </c>
    </row>
    <row r="101" spans="1:13" ht="13.5" thickBot="1" x14ac:dyDescent="0.25">
      <c r="A101" s="1"/>
      <c r="B101" s="1"/>
      <c r="C101" s="1" t="s">
        <v>259</v>
      </c>
      <c r="E101" s="302">
        <f>E48-'Prior DPR'!E48</f>
        <v>0</v>
      </c>
      <c r="F101" s="309"/>
      <c r="G101" s="302">
        <f>G48-'Prior DPR'!G48</f>
        <v>0</v>
      </c>
      <c r="H101" s="309"/>
      <c r="I101" s="302">
        <f>I48-'Prior DPR'!I48</f>
        <v>0</v>
      </c>
      <c r="J101" s="302"/>
      <c r="K101" s="302">
        <f>K48-'Prior DPR'!K48</f>
        <v>0</v>
      </c>
      <c r="M101" s="403">
        <f t="shared" si="5"/>
        <v>0</v>
      </c>
    </row>
    <row r="102" spans="1:13" ht="13.5" thickBot="1" x14ac:dyDescent="0.25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4">
        <f>SUM(M95:M101)</f>
        <v>0</v>
      </c>
    </row>
    <row r="103" spans="1:13" x14ac:dyDescent="0.2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5"/>
    </row>
    <row r="104" spans="1:13" ht="13.5" thickBot="1" x14ac:dyDescent="0.25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5"/>
    </row>
    <row r="105" spans="1:13" x14ac:dyDescent="0.2">
      <c r="A105" s="1"/>
      <c r="B105" s="1"/>
      <c r="C105" s="1" t="s">
        <v>319</v>
      </c>
      <c r="E105" s="302">
        <f>E52-'Prior DPR'!E52</f>
        <v>-1367</v>
      </c>
      <c r="F105" s="309"/>
      <c r="G105" s="302">
        <f>G52-'Prior DPR'!G52</f>
        <v>0</v>
      </c>
      <c r="H105" s="309"/>
      <c r="I105" s="302">
        <f>I52-'Prior DPR'!I52</f>
        <v>0</v>
      </c>
      <c r="J105" s="302"/>
      <c r="K105" s="302">
        <f>K52-'Prior DPR'!K52</f>
        <v>-112</v>
      </c>
      <c r="M105" s="402">
        <f>SUM(E105:K105)</f>
        <v>-1479</v>
      </c>
    </row>
    <row r="106" spans="1:13" x14ac:dyDescent="0.2">
      <c r="A106" s="1"/>
      <c r="B106" s="1"/>
      <c r="C106" s="1" t="s">
        <v>7</v>
      </c>
      <c r="E106" s="302">
        <f>E53-'Prior DPR'!E53</f>
        <v>0</v>
      </c>
      <c r="F106" s="309"/>
      <c r="G106" s="302">
        <f>G53-'Prior DPR'!G53</f>
        <v>0</v>
      </c>
      <c r="H106" s="309"/>
      <c r="I106" s="302">
        <f>I53-'Prior DPR'!I53</f>
        <v>0</v>
      </c>
      <c r="J106" s="302"/>
      <c r="K106" s="302">
        <f>K53-'Prior DPR'!K53</f>
        <v>0</v>
      </c>
      <c r="M106" s="402">
        <f>SUM(E106:K106)</f>
        <v>0</v>
      </c>
    </row>
    <row r="107" spans="1:13" x14ac:dyDescent="0.2">
      <c r="A107" s="1"/>
      <c r="B107" s="1"/>
      <c r="C107" s="1" t="s">
        <v>261</v>
      </c>
      <c r="E107" s="302">
        <f>E54-'Prior DPR'!E54</f>
        <v>0</v>
      </c>
      <c r="F107" s="309"/>
      <c r="G107" s="302">
        <f>G54-'Prior DPR'!G54</f>
        <v>0</v>
      </c>
      <c r="H107" s="309"/>
      <c r="I107" s="302">
        <f>I54-'Prior DPR'!I54</f>
        <v>0</v>
      </c>
      <c r="J107" s="302"/>
      <c r="K107" s="302">
        <f>K54-'Prior DPR'!K54</f>
        <v>0</v>
      </c>
      <c r="M107" s="402">
        <f>SUM(E107:K107)</f>
        <v>0</v>
      </c>
    </row>
    <row r="108" spans="1:13" ht="13.5" thickBot="1" x14ac:dyDescent="0.25">
      <c r="A108" s="1"/>
      <c r="B108" s="1"/>
      <c r="C108" s="1" t="s">
        <v>337</v>
      </c>
      <c r="E108" s="302">
        <f>E55-'Prior DPR'!E55</f>
        <v>0</v>
      </c>
      <c r="F108" s="309"/>
      <c r="G108" s="302">
        <f>G55-'Prior DPR'!G55</f>
        <v>0</v>
      </c>
      <c r="H108" s="309"/>
      <c r="I108" s="302">
        <f>I55-'Prior DPR'!I55</f>
        <v>0</v>
      </c>
      <c r="J108" s="302"/>
      <c r="K108" s="302">
        <f>K55-'Prior DPR'!K55</f>
        <v>0</v>
      </c>
      <c r="M108" s="403">
        <f>SUM(E108:K108)</f>
        <v>0</v>
      </c>
    </row>
    <row r="109" spans="1:13" ht="13.5" thickBot="1" x14ac:dyDescent="0.25">
      <c r="A109" s="1"/>
      <c r="B109" s="1"/>
      <c r="C109" s="2" t="s">
        <v>39</v>
      </c>
      <c r="E109" s="311">
        <f>SUM(E105:E108)</f>
        <v>-1367</v>
      </c>
      <c r="F109" s="309"/>
      <c r="G109" s="311">
        <f>SUM(G105:G108)</f>
        <v>0</v>
      </c>
      <c r="H109" s="309"/>
      <c r="I109" s="311">
        <f>SUM(I105:I108)</f>
        <v>0</v>
      </c>
      <c r="J109" s="309"/>
      <c r="K109" s="311">
        <f>SUM(K105:K108)</f>
        <v>-112</v>
      </c>
      <c r="M109" s="403">
        <f>SUM(M105:M108)</f>
        <v>-1479</v>
      </c>
    </row>
    <row r="110" spans="1:13" x14ac:dyDescent="0.2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5"/>
    </row>
    <row r="111" spans="1:13" x14ac:dyDescent="0.2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5"/>
    </row>
    <row r="112" spans="1:13" ht="16.5" thickBot="1" x14ac:dyDescent="0.3">
      <c r="A112" s="315" t="s">
        <v>265</v>
      </c>
      <c r="B112" s="315"/>
      <c r="C112" s="315"/>
      <c r="D112" s="315"/>
      <c r="E112" s="316">
        <f>SUM(E67,E77,E82,E92,E102,E109,)</f>
        <v>457.06120000026567</v>
      </c>
      <c r="F112" s="316"/>
      <c r="G112" s="316">
        <f>SUM(G67,G77,G82,G92,G102,G109,)</f>
        <v>0</v>
      </c>
      <c r="H112" s="316"/>
      <c r="I112" s="316">
        <f>SUM(I67,I77,I82,I92,I102,I109,)</f>
        <v>28474.593500000003</v>
      </c>
      <c r="J112" s="316"/>
      <c r="K112" s="316">
        <f>SUM(K67,K77,K82,K92,K102,K109,)</f>
        <v>38.287300000030172</v>
      </c>
      <c r="L112" s="316"/>
      <c r="M112" s="316">
        <f>SUM(M67,M77,M82,M92,M102,M109,)</f>
        <v>28969.942000000301</v>
      </c>
    </row>
    <row r="113" spans="1:13" ht="13.5" thickBot="1" x14ac:dyDescent="0.25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5"/>
    </row>
    <row r="114" spans="1:13" ht="13.5" thickBot="1" x14ac:dyDescent="0.25">
      <c r="A114" s="304" t="s">
        <v>266</v>
      </c>
      <c r="B114" s="305"/>
      <c r="C114" s="305"/>
      <c r="D114" s="305"/>
      <c r="E114" s="311">
        <f>E59</f>
        <v>28051.158499999903</v>
      </c>
      <c r="F114" s="311"/>
      <c r="G114" s="311">
        <f>G59</f>
        <v>0</v>
      </c>
      <c r="H114" s="311"/>
      <c r="I114" s="311">
        <f>I59</f>
        <v>160604.7018999999</v>
      </c>
      <c r="J114" s="311"/>
      <c r="K114" s="311">
        <f>K59</f>
        <v>692.28660000005539</v>
      </c>
      <c r="L114" s="311"/>
      <c r="M114" s="311">
        <f>M59</f>
        <v>189348.14699999895</v>
      </c>
    </row>
    <row r="115" spans="1:13" ht="13.5" thickBot="1" x14ac:dyDescent="0.25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5" thickBot="1" x14ac:dyDescent="0.25">
      <c r="A116" s="319" t="s">
        <v>267</v>
      </c>
      <c r="B116" s="320"/>
      <c r="C116" s="320"/>
      <c r="D116" s="320"/>
      <c r="E116" s="312">
        <f>E114+83837+43140+40697+32360+16180+16180+17653</f>
        <v>278098.1584999999</v>
      </c>
      <c r="F116" s="312"/>
      <c r="G116" s="312">
        <f>G114</f>
        <v>0</v>
      </c>
      <c r="H116" s="312"/>
      <c r="I116" s="312">
        <f>I114+30000+196372+98186+98186+19296+9648+9647+368125+184062+184062+600000+300000+300000+12500+17792-5292+1173728+586865+581864+169802</f>
        <v>5095447.7018999998</v>
      </c>
      <c r="J116" s="312"/>
      <c r="K116" s="312">
        <f>K114+71393+35696+35696+484+242+242+975</f>
        <v>145420.28660000005</v>
      </c>
      <c r="L116" s="312"/>
      <c r="M116" s="312">
        <f>E116+G116+I116+K116</f>
        <v>5518966.1469999999</v>
      </c>
    </row>
    <row r="117" spans="1:13" x14ac:dyDescent="0.2">
      <c r="M117" s="405"/>
    </row>
    <row r="118" spans="1:13" x14ac:dyDescent="0.2">
      <c r="M118" s="405"/>
    </row>
    <row r="119" spans="1:13" x14ac:dyDescent="0.2">
      <c r="C119" s="1"/>
      <c r="E119" s="383" t="s">
        <v>295</v>
      </c>
      <c r="F119" s="383"/>
      <c r="G119" s="383" t="s">
        <v>296</v>
      </c>
      <c r="H119" s="383"/>
      <c r="I119" s="383" t="s">
        <v>297</v>
      </c>
      <c r="J119" s="383"/>
      <c r="K119" s="383" t="s">
        <v>298</v>
      </c>
      <c r="L119" s="383"/>
      <c r="M119" s="383" t="s">
        <v>320</v>
      </c>
    </row>
    <row r="120" spans="1:13" x14ac:dyDescent="0.2">
      <c r="C120" s="379" t="s">
        <v>326</v>
      </c>
      <c r="D120" s="379"/>
      <c r="E120" s="385">
        <f>E63+E80</f>
        <v>0</v>
      </c>
      <c r="F120" s="385"/>
      <c r="G120" s="385">
        <f>G63+G80</f>
        <v>0</v>
      </c>
      <c r="H120" s="385"/>
      <c r="I120" s="385">
        <f>I63+I80</f>
        <v>2401</v>
      </c>
      <c r="J120" s="385"/>
      <c r="K120" s="385">
        <f>K63+K80</f>
        <v>0</v>
      </c>
      <c r="L120" s="385"/>
      <c r="M120" s="386">
        <f>SUM(E120:K120)</f>
        <v>2401</v>
      </c>
    </row>
    <row r="121" spans="1:13" x14ac:dyDescent="0.2">
      <c r="C121" s="380" t="s">
        <v>327</v>
      </c>
      <c r="D121" s="31"/>
      <c r="E121" s="392">
        <f>'P&amp;L Without Sharing'!E121</f>
        <v>0</v>
      </c>
      <c r="F121" s="392"/>
      <c r="G121" s="392">
        <f>'P&amp;L Without Sharing'!G121</f>
        <v>0</v>
      </c>
      <c r="H121" s="392"/>
      <c r="I121" s="392">
        <f>'P&amp;L Without Sharing'!I121</f>
        <v>0</v>
      </c>
      <c r="J121" s="392"/>
      <c r="K121" s="392">
        <f>'P&amp;L Without Sharing'!K121</f>
        <v>0</v>
      </c>
      <c r="L121" s="392"/>
      <c r="M121" s="387">
        <f>SUM(E121:L121)</f>
        <v>0</v>
      </c>
    </row>
    <row r="122" spans="1:13" x14ac:dyDescent="0.2">
      <c r="C122" s="381" t="s">
        <v>328</v>
      </c>
      <c r="D122" s="34"/>
      <c r="E122" s="384">
        <f>'P&amp;L Without Sharing'!E122</f>
        <v>0</v>
      </c>
      <c r="F122" s="384"/>
      <c r="G122" s="384">
        <f>'P&amp;L Without Sharing'!G122</f>
        <v>0</v>
      </c>
      <c r="H122" s="384"/>
      <c r="I122" s="384">
        <f>'P&amp;L Without Sharing'!I122</f>
        <v>0</v>
      </c>
      <c r="J122" s="384"/>
      <c r="K122" s="384">
        <f>'P&amp;L Without Sharing'!K122</f>
        <v>0</v>
      </c>
      <c r="L122" s="384"/>
      <c r="M122" s="388">
        <f>SUM(E122:L122)</f>
        <v>0</v>
      </c>
    </row>
    <row r="123" spans="1:13" x14ac:dyDescent="0.2">
      <c r="C123" s="381" t="s">
        <v>329</v>
      </c>
      <c r="D123" s="34"/>
      <c r="E123" s="384">
        <f>'P&amp;L Without Sharing'!E123</f>
        <v>0</v>
      </c>
      <c r="F123" s="384"/>
      <c r="G123" s="384">
        <f>'P&amp;L Without Sharing'!G123</f>
        <v>0</v>
      </c>
      <c r="H123" s="384"/>
      <c r="I123" s="384">
        <f>'P&amp;L Without Sharing'!I123</f>
        <v>0</v>
      </c>
      <c r="J123" s="384"/>
      <c r="K123" s="384">
        <f>'P&amp;L Without Sharing'!K123</f>
        <v>0</v>
      </c>
      <c r="L123" s="384"/>
      <c r="M123" s="388">
        <f>SUM(E123:L123)</f>
        <v>0</v>
      </c>
    </row>
    <row r="124" spans="1:13" x14ac:dyDescent="0.2">
      <c r="C124" s="381" t="s">
        <v>330</v>
      </c>
      <c r="D124" s="34"/>
      <c r="E124" s="384">
        <f>-E32-E33-E42-E43</f>
        <v>0</v>
      </c>
      <c r="F124" s="384"/>
      <c r="G124" s="384">
        <f>-G32-G33-G42-G43</f>
        <v>0</v>
      </c>
      <c r="H124" s="384"/>
      <c r="I124" s="384">
        <f>-I32-I33-I42-I43</f>
        <v>0</v>
      </c>
      <c r="J124" s="384"/>
      <c r="K124" s="384">
        <f>-K32-K33-K42-K43</f>
        <v>0</v>
      </c>
      <c r="L124" s="384"/>
      <c r="M124" s="388">
        <f>SUM(E124:L124)</f>
        <v>0</v>
      </c>
    </row>
    <row r="125" spans="1:13" x14ac:dyDescent="0.2">
      <c r="C125" s="382" t="s">
        <v>331</v>
      </c>
      <c r="D125" s="389"/>
      <c r="E125" s="390">
        <f>E120-E121-E122-E123-E124</f>
        <v>0</v>
      </c>
      <c r="F125" s="390"/>
      <c r="G125" s="390">
        <f>G120-G121-G122-G123-G124</f>
        <v>0</v>
      </c>
      <c r="H125" s="390"/>
      <c r="I125" s="390">
        <f>I120-I121-I122-I123-I124</f>
        <v>2401</v>
      </c>
      <c r="J125" s="390"/>
      <c r="K125" s="390">
        <f>K120-K121-K122-K123-K124</f>
        <v>0</v>
      </c>
      <c r="L125" s="390"/>
      <c r="M125" s="391">
        <f>SUM(E125:L125)</f>
        <v>2401</v>
      </c>
    </row>
    <row r="126" spans="1:13" x14ac:dyDescent="0.2">
      <c r="C126" s="379" t="s">
        <v>332</v>
      </c>
      <c r="D126" s="379"/>
      <c r="E126" s="385">
        <f>SUM(E127:E130)</f>
        <v>0</v>
      </c>
      <c r="F126" s="385"/>
      <c r="G126" s="385">
        <f>SUM(G127:G130)</f>
        <v>0</v>
      </c>
      <c r="H126" s="385"/>
      <c r="I126" s="385">
        <f>SUM(I127:I130)</f>
        <v>11028.965500000006</v>
      </c>
      <c r="J126" s="385"/>
      <c r="K126" s="385">
        <f>SUM(K127:K130)</f>
        <v>0</v>
      </c>
      <c r="L126" s="385"/>
      <c r="M126" s="386">
        <f>SUM(E126:K126)</f>
        <v>11028.965500000006</v>
      </c>
    </row>
    <row r="127" spans="1:13" x14ac:dyDescent="0.2">
      <c r="C127" s="380" t="s">
        <v>333</v>
      </c>
      <c r="D127" s="31"/>
      <c r="E127" s="392">
        <f>'Top Pages'!I2</f>
        <v>0</v>
      </c>
      <c r="F127" s="392"/>
      <c r="G127" s="392">
        <f>'Top Pages'!I17</f>
        <v>0</v>
      </c>
      <c r="H127" s="392"/>
      <c r="I127" s="392">
        <f>'Top Pages'!I32</f>
        <v>66475.197700000004</v>
      </c>
      <c r="J127" s="392"/>
      <c r="K127" s="392">
        <f>'Top Pages'!I47</f>
        <v>0</v>
      </c>
      <c r="L127" s="392"/>
      <c r="M127" s="387">
        <f>SUM(E127:L127)</f>
        <v>66475.197700000004</v>
      </c>
    </row>
    <row r="128" spans="1:13" x14ac:dyDescent="0.2">
      <c r="C128" s="381" t="s">
        <v>334</v>
      </c>
      <c r="D128" s="34"/>
      <c r="E128" s="384">
        <f>'Top Pages'!I7</f>
        <v>0</v>
      </c>
      <c r="F128" s="384"/>
      <c r="G128" s="384">
        <f>'Top Pages'!I22</f>
        <v>0</v>
      </c>
      <c r="H128" s="384"/>
      <c r="I128" s="384">
        <f>'Top Pages'!I37</f>
        <v>-49517.4473</v>
      </c>
      <c r="J128" s="384"/>
      <c r="K128" s="384">
        <f>'Top Pages'!I52</f>
        <v>0</v>
      </c>
      <c r="L128" s="384"/>
      <c r="M128" s="388">
        <f>SUM(E128:L128)</f>
        <v>-49517.4473</v>
      </c>
    </row>
    <row r="129" spans="3:13" x14ac:dyDescent="0.2">
      <c r="C129" s="381" t="s">
        <v>335</v>
      </c>
      <c r="D129" s="34"/>
      <c r="E129" s="384">
        <f>'Top Pages'!I12</f>
        <v>0</v>
      </c>
      <c r="F129" s="384"/>
      <c r="G129" s="384">
        <f>'Top Pages'!I27</f>
        <v>0</v>
      </c>
      <c r="H129" s="384"/>
      <c r="I129" s="384">
        <f>'Top Pages'!I42</f>
        <v>-5928.7848999999997</v>
      </c>
      <c r="J129" s="384"/>
      <c r="K129" s="384">
        <f>'Top Pages'!I57</f>
        <v>0</v>
      </c>
      <c r="L129" s="384"/>
      <c r="M129" s="388">
        <f>SUM(E129:L129)</f>
        <v>-5928.7848999999997</v>
      </c>
    </row>
    <row r="130" spans="3:13" x14ac:dyDescent="0.2">
      <c r="C130" s="382" t="s">
        <v>336</v>
      </c>
      <c r="D130" s="389"/>
      <c r="E130" s="390"/>
      <c r="F130" s="390"/>
      <c r="G130" s="390"/>
      <c r="H130" s="390"/>
      <c r="I130" s="390"/>
      <c r="J130" s="390"/>
      <c r="K130" s="390"/>
      <c r="L130" s="390"/>
      <c r="M130" s="391"/>
    </row>
    <row r="131" spans="3:13" x14ac:dyDescent="0.2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M60"/>
  <sheetViews>
    <sheetView zoomScale="75" workbookViewId="0">
      <pane xSplit="3" ySplit="6" topLeftCell="D7" activePane="bottomRight" state="frozen"/>
      <selection activeCell="A4" sqref="A4"/>
      <selection pane="topRight" activeCell="A4" sqref="A4"/>
      <selection pane="bottomLeft" activeCell="A4" sqref="A4"/>
      <selection pane="bottomRight" activeCell="E10" sqref="E10:M59"/>
    </sheetView>
  </sheetViews>
  <sheetFormatPr defaultRowHeight="12.75" x14ac:dyDescent="0.2"/>
  <cols>
    <col min="1" max="1" width="4.42578125" customWidth="1"/>
    <col min="2" max="2" width="5.28515625" customWidth="1"/>
    <col min="3" max="3" width="21.140625" customWidth="1"/>
    <col min="4" max="4" width="16.7109375" customWidth="1"/>
    <col min="5" max="5" width="11.28515625" customWidth="1"/>
    <col min="6" max="6" width="10.28515625" customWidth="1"/>
    <col min="7" max="7" width="11.140625" customWidth="1"/>
    <col min="9" max="9" width="12.28515625" customWidth="1"/>
    <col min="11" max="11" width="10.140625" customWidth="1"/>
    <col min="13" max="13" width="12.5703125" customWidth="1"/>
    <col min="14" max="14" width="10.28515625" bestFit="1" customWidth="1"/>
  </cols>
  <sheetData>
    <row r="3" spans="1:13" x14ac:dyDescent="0.2">
      <c r="F3" s="60"/>
      <c r="G3" s="60"/>
      <c r="H3" s="60"/>
      <c r="I3" s="60"/>
      <c r="J3" s="60"/>
      <c r="K3" s="60"/>
      <c r="L3" s="60"/>
    </row>
    <row r="4" spans="1:13" ht="15" x14ac:dyDescent="0.25">
      <c r="E4" s="299"/>
      <c r="F4" s="298"/>
      <c r="G4" s="298"/>
      <c r="H4" s="298"/>
      <c r="I4" s="298"/>
      <c r="J4" s="298"/>
      <c r="K4" s="298"/>
      <c r="L4" s="298"/>
    </row>
    <row r="5" spans="1:13" ht="15" x14ac:dyDescent="0.25">
      <c r="E5" s="299"/>
      <c r="F5" s="298"/>
      <c r="G5" s="298"/>
      <c r="H5" s="298"/>
      <c r="I5" s="298"/>
      <c r="J5" s="298"/>
      <c r="K5" s="298"/>
      <c r="L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78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v>-4425305</v>
      </c>
      <c r="F10" s="302"/>
      <c r="G10" s="302">
        <v>0</v>
      </c>
      <c r="H10" s="302"/>
      <c r="I10" s="302">
        <v>-42830</v>
      </c>
      <c r="J10" s="302"/>
      <c r="K10" s="302">
        <v>0</v>
      </c>
      <c r="M10" s="302">
        <v>-4468135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02">
        <v>0</v>
      </c>
    </row>
    <row r="12" spans="1:13" x14ac:dyDescent="0.2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02">
        <v>0</v>
      </c>
    </row>
    <row r="13" spans="1:13" ht="13.5" thickBot="1" x14ac:dyDescent="0.25">
      <c r="A13" s="1"/>
      <c r="B13" s="1"/>
      <c r="C13" s="1" t="s">
        <v>244</v>
      </c>
      <c r="E13" s="308">
        <v>268012</v>
      </c>
      <c r="F13" s="302"/>
      <c r="G13" s="308">
        <v>0</v>
      </c>
      <c r="H13" s="302"/>
      <c r="I13" s="308">
        <v>0</v>
      </c>
      <c r="J13" s="309"/>
      <c r="K13" s="308">
        <v>0</v>
      </c>
      <c r="M13" s="308">
        <v>268012</v>
      </c>
    </row>
    <row r="14" spans="1:13" ht="13.5" thickBot="1" x14ac:dyDescent="0.25">
      <c r="A14" s="1"/>
      <c r="B14" s="1"/>
      <c r="C14" s="2" t="s">
        <v>39</v>
      </c>
      <c r="E14" s="311">
        <v>-4157293</v>
      </c>
      <c r="F14" s="6"/>
      <c r="G14" s="311">
        <v>0</v>
      </c>
      <c r="H14" s="6"/>
      <c r="I14" s="311">
        <v>-42830</v>
      </c>
      <c r="J14" s="309"/>
      <c r="K14" s="311">
        <v>0</v>
      </c>
      <c r="M14" s="311">
        <v>-4200123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302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302"/>
    </row>
    <row r="17" spans="1:13" x14ac:dyDescent="0.2">
      <c r="A17" s="1"/>
      <c r="B17" s="1"/>
      <c r="C17" s="1" t="s">
        <v>246</v>
      </c>
      <c r="E17" s="302">
        <v>4256583.2831999995</v>
      </c>
      <c r="F17" s="302"/>
      <c r="G17" s="302">
        <v>0</v>
      </c>
      <c r="H17" s="302"/>
      <c r="I17" s="302">
        <v>145831.04039999982</v>
      </c>
      <c r="J17" s="302"/>
      <c r="K17" s="302">
        <v>2617.999300000025</v>
      </c>
      <c r="M17" s="302">
        <v>4405032.3229</v>
      </c>
    </row>
    <row r="18" spans="1:13" x14ac:dyDescent="0.2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02">
        <v>0</v>
      </c>
    </row>
    <row r="19" spans="1:13" x14ac:dyDescent="0.2">
      <c r="A19" s="1"/>
      <c r="B19" s="1"/>
      <c r="C19" s="1" t="s">
        <v>248</v>
      </c>
      <c r="E19" s="302">
        <v>11006.364899999986</v>
      </c>
      <c r="F19" s="302"/>
      <c r="G19" s="302">
        <v>0</v>
      </c>
      <c r="H19" s="302"/>
      <c r="I19" s="302">
        <v>34291.020100000082</v>
      </c>
      <c r="J19" s="302"/>
      <c r="K19" s="302">
        <v>0</v>
      </c>
      <c r="M19" s="302">
        <v>45297.385000000068</v>
      </c>
    </row>
    <row r="20" spans="1:13" x14ac:dyDescent="0.2">
      <c r="A20" s="1"/>
      <c r="B20" s="1"/>
      <c r="C20" s="1" t="s">
        <v>249</v>
      </c>
      <c r="E20" s="302">
        <v>81.449199999999109</v>
      </c>
      <c r="F20" s="302"/>
      <c r="G20" s="302">
        <v>0</v>
      </c>
      <c r="H20" s="302"/>
      <c r="I20" s="302">
        <v>-5161.9521000000004</v>
      </c>
      <c r="J20" s="302"/>
      <c r="K20" s="302">
        <v>0</v>
      </c>
      <c r="M20" s="302">
        <v>-5080.5029000000013</v>
      </c>
    </row>
    <row r="21" spans="1:13" x14ac:dyDescent="0.2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02">
        <v>0</v>
      </c>
    </row>
    <row r="22" spans="1:13" x14ac:dyDescent="0.2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02">
        <v>0</v>
      </c>
    </row>
    <row r="23" spans="1:13" ht="13.5" thickBot="1" x14ac:dyDescent="0.25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08">
        <v>0</v>
      </c>
    </row>
    <row r="24" spans="1:13" ht="13.5" thickBot="1" x14ac:dyDescent="0.25">
      <c r="A24" s="1"/>
      <c r="B24" s="1"/>
      <c r="C24" s="2" t="s">
        <v>39</v>
      </c>
      <c r="E24" s="311">
        <v>4267671.0972999996</v>
      </c>
      <c r="F24" s="302"/>
      <c r="G24" s="311">
        <v>0</v>
      </c>
      <c r="H24" s="302"/>
      <c r="I24" s="311">
        <v>174960.10839999991</v>
      </c>
      <c r="J24" s="309"/>
      <c r="K24" s="311">
        <v>2617.999300000025</v>
      </c>
      <c r="M24" s="311">
        <v>4445249.2050000001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302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302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02"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08">
        <v>0</v>
      </c>
    </row>
    <row r="29" spans="1:13" ht="13.5" thickBot="1" x14ac:dyDescent="0.25">
      <c r="A29" s="1"/>
      <c r="B29" s="12"/>
      <c r="C29" s="314" t="s">
        <v>39</v>
      </c>
      <c r="E29" s="311">
        <v>0</v>
      </c>
      <c r="F29" s="302"/>
      <c r="G29" s="311">
        <v>0</v>
      </c>
      <c r="H29" s="302"/>
      <c r="I29" s="311">
        <v>0</v>
      </c>
      <c r="J29" s="309"/>
      <c r="K29" s="311">
        <v>0</v>
      </c>
      <c r="M29" s="311"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302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302"/>
    </row>
    <row r="32" spans="1:13" x14ac:dyDescent="0.2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02">
        <v>0</v>
      </c>
    </row>
    <row r="33" spans="1:13" x14ac:dyDescent="0.2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02">
        <v>0</v>
      </c>
    </row>
    <row r="34" spans="1:13" x14ac:dyDescent="0.2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02"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02"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02"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02"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2">
        <v>0</v>
      </c>
      <c r="M38" s="302">
        <v>0</v>
      </c>
    </row>
    <row r="39" spans="1:13" ht="13.5" thickBot="1" x14ac:dyDescent="0.25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11">
        <v>0</v>
      </c>
      <c r="M39" s="311"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302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302"/>
    </row>
    <row r="42" spans="1:13" x14ac:dyDescent="0.2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02">
        <v>0</v>
      </c>
    </row>
    <row r="43" spans="1:13" x14ac:dyDescent="0.2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02">
        <v>0</v>
      </c>
    </row>
    <row r="44" spans="1:13" x14ac:dyDescent="0.2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02"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02"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02"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02"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2">
        <v>0</v>
      </c>
      <c r="M48" s="302">
        <v>0</v>
      </c>
    </row>
    <row r="49" spans="1:13" ht="13.5" thickBot="1" x14ac:dyDescent="0.25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11">
        <v>0</v>
      </c>
      <c r="M49" s="311"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302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302"/>
    </row>
    <row r="52" spans="1:13" x14ac:dyDescent="0.2">
      <c r="A52" s="1"/>
      <c r="B52" s="1"/>
      <c r="C52" s="1" t="s">
        <v>319</v>
      </c>
      <c r="E52" s="302">
        <v>-82784</v>
      </c>
      <c r="F52" s="302"/>
      <c r="G52" s="302">
        <v>0</v>
      </c>
      <c r="H52" s="302"/>
      <c r="I52" s="302">
        <v>0</v>
      </c>
      <c r="J52" s="302"/>
      <c r="K52" s="302">
        <v>-1964</v>
      </c>
      <c r="M52" s="302">
        <v>-84748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302"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02">
        <v>0</v>
      </c>
    </row>
    <row r="55" spans="1:13" ht="13.5" thickBot="1" x14ac:dyDescent="0.25">
      <c r="A55" s="1"/>
      <c r="B55" s="1"/>
      <c r="C55" s="1" t="s">
        <v>337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308">
        <v>0</v>
      </c>
    </row>
    <row r="56" spans="1:13" ht="13.5" thickBot="1" x14ac:dyDescent="0.25">
      <c r="A56" s="1"/>
      <c r="B56" s="1"/>
      <c r="C56" s="2" t="s">
        <v>39</v>
      </c>
      <c r="E56" s="311">
        <v>-82784</v>
      </c>
      <c r="F56" s="302"/>
      <c r="G56" s="311">
        <v>0</v>
      </c>
      <c r="H56" s="302"/>
      <c r="I56" s="311">
        <v>0</v>
      </c>
      <c r="J56" s="309"/>
      <c r="K56" s="311">
        <v>-1964</v>
      </c>
      <c r="M56" s="311">
        <v>-84748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302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302"/>
    </row>
    <row r="59" spans="1:13" ht="16.5" thickBot="1" x14ac:dyDescent="0.3">
      <c r="A59" s="315" t="s">
        <v>263</v>
      </c>
      <c r="B59" s="315"/>
      <c r="C59" s="315"/>
      <c r="E59" s="316">
        <v>27594.097299999557</v>
      </c>
      <c r="F59" s="316"/>
      <c r="G59" s="316">
        <v>0</v>
      </c>
      <c r="H59" s="316"/>
      <c r="I59" s="316">
        <v>132130.10839999991</v>
      </c>
      <c r="J59" s="316"/>
      <c r="K59" s="316">
        <v>653.99930000002496</v>
      </c>
      <c r="L59" s="316"/>
      <c r="M59" s="316">
        <v>160378.20500000007</v>
      </c>
    </row>
    <row r="60" spans="1:13" x14ac:dyDescent="0.2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2:M131"/>
  <sheetViews>
    <sheetView zoomScale="75" workbookViewId="0">
      <pane xSplit="3" ySplit="6" topLeftCell="D7" activePane="bottomRight" state="frozen"/>
      <selection activeCell="J34" sqref="J33:J34"/>
      <selection pane="topRight" activeCell="J34" sqref="J33:J34"/>
      <selection pane="bottomLeft" activeCell="J34" sqref="J33:J34"/>
      <selection pane="bottomRight" activeCell="H24" sqref="H24"/>
    </sheetView>
  </sheetViews>
  <sheetFormatPr defaultRowHeight="12.75" x14ac:dyDescent="0.2"/>
  <cols>
    <col min="1" max="1" width="4.42578125" customWidth="1"/>
    <col min="2" max="2" width="5.28515625" customWidth="1"/>
    <col min="3" max="3" width="20" customWidth="1"/>
    <col min="4" max="4" width="16.7109375" customWidth="1"/>
    <col min="5" max="5" width="12.42578125" customWidth="1"/>
    <col min="6" max="6" width="9" customWidth="1"/>
    <col min="7" max="7" width="10.42578125" bestFit="1" customWidth="1"/>
    <col min="9" max="9" width="12.42578125" customWidth="1"/>
    <col min="13" max="13" width="12.28515625" bestFit="1" customWidth="1"/>
  </cols>
  <sheetData>
    <row r="2" spans="1:13" ht="37.5" x14ac:dyDescent="0.7">
      <c r="A2" s="408" t="s">
        <v>342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3" x14ac:dyDescent="0.2">
      <c r="E3" s="60"/>
      <c r="F3" s="60"/>
      <c r="G3" s="60"/>
      <c r="H3" s="60"/>
      <c r="I3" s="60"/>
      <c r="J3" s="60"/>
      <c r="K3" s="60"/>
    </row>
    <row r="4" spans="1:13" ht="14.25" x14ac:dyDescent="0.2">
      <c r="C4" s="393">
        <f>'ENRON MIDWEST P&amp;L'!A4</f>
        <v>36790</v>
      </c>
      <c r="E4" s="298"/>
      <c r="F4" s="298"/>
      <c r="G4" s="298"/>
      <c r="H4" s="298"/>
      <c r="I4" s="298"/>
      <c r="J4" s="298"/>
      <c r="K4" s="298"/>
    </row>
    <row r="5" spans="1:13" ht="14.25" x14ac:dyDescent="0.2">
      <c r="E5" s="298"/>
      <c r="F5" s="298"/>
      <c r="G5" s="298"/>
      <c r="H5" s="298"/>
      <c r="I5" s="298"/>
      <c r="J5" s="298"/>
      <c r="K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f>Physical!D25+Physical!D26-Physical!D10-Physical!D20</f>
        <v>-4425305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-40429</v>
      </c>
      <c r="J10" s="302"/>
      <c r="K10" s="302">
        <f>Physical!K59+Physical!K60-Physical!K44-Physical!K54</f>
        <v>0</v>
      </c>
      <c r="M10" s="402">
        <f>SUM(E10:K10)</f>
        <v>-4465734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2">
        <f>SUM(E11:K11)</f>
        <v>0</v>
      </c>
    </row>
    <row r="12" spans="1:13" x14ac:dyDescent="0.2">
      <c r="A12" s="1"/>
      <c r="B12" s="1"/>
      <c r="C12" s="1" t="s">
        <v>243</v>
      </c>
      <c r="E12" s="302">
        <f>Physical!D31</f>
        <v>0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2">
        <f>SUM(E12:K12)</f>
        <v>0</v>
      </c>
    </row>
    <row r="13" spans="1:13" ht="13.5" thickBot="1" x14ac:dyDescent="0.25">
      <c r="A13" s="1"/>
      <c r="B13" s="1"/>
      <c r="C13" s="1" t="s">
        <v>244</v>
      </c>
      <c r="E13" s="308">
        <f>Physical!D33</f>
        <v>268012</v>
      </c>
      <c r="F13" s="302"/>
      <c r="G13" s="308">
        <f>Physical!K33</f>
        <v>0</v>
      </c>
      <c r="H13" s="302"/>
      <c r="I13" s="308">
        <f>Physical!D67</f>
        <v>0</v>
      </c>
      <c r="J13" s="309"/>
      <c r="K13" s="308">
        <f>Physical!K67</f>
        <v>0</v>
      </c>
      <c r="M13" s="403">
        <f>SUM(E13:K13)</f>
        <v>268012</v>
      </c>
    </row>
    <row r="14" spans="1:13" ht="13.5" thickBot="1" x14ac:dyDescent="0.25">
      <c r="A14" s="1"/>
      <c r="B14" s="1"/>
      <c r="C14" s="2" t="s">
        <v>39</v>
      </c>
      <c r="E14" s="311">
        <f>SUM(E10:E13)</f>
        <v>-4157293</v>
      </c>
      <c r="F14" s="6"/>
      <c r="G14" s="311">
        <f>SUM(G10:G13)</f>
        <v>0</v>
      </c>
      <c r="H14" s="6"/>
      <c r="I14" s="311">
        <f>SUM(I10:I13)</f>
        <v>-40429</v>
      </c>
      <c r="J14" s="309"/>
      <c r="K14" s="311">
        <f>SUM(K10:K13)</f>
        <v>0</v>
      </c>
      <c r="M14" s="404">
        <f>SUM(M10:M13)</f>
        <v>-4197722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5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5"/>
    </row>
    <row r="17" spans="1:13" x14ac:dyDescent="0.2">
      <c r="A17" s="1"/>
      <c r="B17" s="1"/>
      <c r="C17" s="1" t="s">
        <v>246</v>
      </c>
      <c r="E17" s="302">
        <f>'Intra-EMWNSS1'!D15+'Intra-EMWNSS1'!D25+'Intra-EMWNSS1'!D35</f>
        <v>4258372.1426999997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</f>
        <v>154987.24239999987</v>
      </c>
      <c r="J17" s="302"/>
      <c r="K17" s="302">
        <f>'TP-EMWNSS'!D15+'TP-EMWNSS'!D25+'TP-EMWNSS'!D35</f>
        <v>2768.2867000000551</v>
      </c>
      <c r="M17" s="402">
        <f t="shared" ref="M17:M23" si="0">SUM(E17:K17)</f>
        <v>4416127.6717999997</v>
      </c>
    </row>
    <row r="18" spans="1:13" x14ac:dyDescent="0.2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2">
        <f t="shared" si="0"/>
        <v>0</v>
      </c>
    </row>
    <row r="19" spans="1:13" x14ac:dyDescent="0.2">
      <c r="A19" s="1"/>
      <c r="B19" s="1"/>
      <c r="C19" s="1" t="s">
        <v>248</v>
      </c>
      <c r="E19" s="302">
        <f>'Intra-EMWNSS1'!D16+'Intra-EMWNSS1'!D26+'Intra-EMWNSS1'!D36</f>
        <v>11037.208899999998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57135.255600000033</v>
      </c>
      <c r="J19" s="302"/>
      <c r="K19" s="302">
        <f>'TP-EMWNSS'!D16+'TP-EMWNSS'!D26+'TP-EMWNSS'!D36</f>
        <v>1E-4</v>
      </c>
      <c r="M19" s="402">
        <f t="shared" si="0"/>
        <v>68172.464600000036</v>
      </c>
    </row>
    <row r="20" spans="1:13" x14ac:dyDescent="0.2">
      <c r="A20" s="1"/>
      <c r="B20" s="1"/>
      <c r="C20" s="1" t="s">
        <v>249</v>
      </c>
      <c r="E20" s="302">
        <f>'Intra-EMWNSS1'!D17+'Intra-EMWNSS1'!D27+'Intra-EMWNSS1'!D37</f>
        <v>85.806899999999587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-11088.7961</v>
      </c>
      <c r="J20" s="302"/>
      <c r="K20" s="302">
        <f>'TP-EMWNSS'!D17+'TP-EMWNSS'!D27+'TP-EMWNSS'!D37</f>
        <v>-2.0000000000000001E-4</v>
      </c>
      <c r="M20" s="402">
        <f t="shared" si="0"/>
        <v>-11002.9894</v>
      </c>
    </row>
    <row r="21" spans="1:13" x14ac:dyDescent="0.2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2">
        <f t="shared" si="0"/>
        <v>0</v>
      </c>
    </row>
    <row r="22" spans="1:13" x14ac:dyDescent="0.2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2">
        <f t="shared" si="0"/>
        <v>0</v>
      </c>
    </row>
    <row r="23" spans="1:13" ht="13.5" thickBot="1" x14ac:dyDescent="0.25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3">
        <f t="shared" si="0"/>
        <v>0</v>
      </c>
    </row>
    <row r="24" spans="1:13" ht="13.5" thickBot="1" x14ac:dyDescent="0.25">
      <c r="A24" s="1"/>
      <c r="B24" s="1"/>
      <c r="C24" s="2" t="s">
        <v>39</v>
      </c>
      <c r="E24" s="311">
        <f>SUM(E17:E23)</f>
        <v>4269495.1584999999</v>
      </c>
      <c r="F24" s="302"/>
      <c r="G24" s="308">
        <f>SUM(G17:G23)</f>
        <v>0</v>
      </c>
      <c r="H24" s="302"/>
      <c r="I24" s="308">
        <f>SUM(I17:I23)</f>
        <v>201033.7018999999</v>
      </c>
      <c r="J24" s="309"/>
      <c r="K24" s="308">
        <f>SUM(K17:K23)</f>
        <v>2768.2866000000554</v>
      </c>
      <c r="M24" s="404">
        <f>SUM(M17:M23)</f>
        <v>4473297.1469999989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5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5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2">
        <f>SUM(E27:K27)</f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3">
        <f>SUM(E28:K28)</f>
        <v>0</v>
      </c>
    </row>
    <row r="29" spans="1:13" ht="13.5" thickBot="1" x14ac:dyDescent="0.25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4">
        <f>SUM(M27:M28)</f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5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5"/>
    </row>
    <row r="32" spans="1:13" x14ac:dyDescent="0.2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2">
        <f t="shared" ref="M32:M38" si="1">SUM(E32:K32)</f>
        <v>0</v>
      </c>
    </row>
    <row r="33" spans="1:13" x14ac:dyDescent="0.2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2">
        <f t="shared" si="1"/>
        <v>0</v>
      </c>
    </row>
    <row r="34" spans="1:13" x14ac:dyDescent="0.2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2">
        <f t="shared" si="1"/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2">
        <f t="shared" si="1"/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2">
        <f t="shared" si="1"/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2">
        <f t="shared" si="1"/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3">
        <f t="shared" si="1"/>
        <v>0</v>
      </c>
    </row>
    <row r="39" spans="1:13" ht="13.5" thickBot="1" x14ac:dyDescent="0.25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4">
        <f>SUM(M32:M38)</f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5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5"/>
    </row>
    <row r="42" spans="1:13" x14ac:dyDescent="0.2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2">
        <f t="shared" ref="M42:M48" si="2">SUM(E42:K42)</f>
        <v>0</v>
      </c>
    </row>
    <row r="43" spans="1:13" x14ac:dyDescent="0.2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2">
        <f t="shared" si="2"/>
        <v>0</v>
      </c>
    </row>
    <row r="44" spans="1:13" x14ac:dyDescent="0.2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2">
        <f t="shared" si="2"/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2">
        <f t="shared" si="2"/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2">
        <f t="shared" si="2"/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2">
        <f t="shared" si="2"/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3">
        <f t="shared" si="2"/>
        <v>0</v>
      </c>
    </row>
    <row r="49" spans="1:13" ht="13.5" thickBot="1" x14ac:dyDescent="0.25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4">
        <f>SUM(M42:M48)</f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5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5"/>
    </row>
    <row r="52" spans="1:13" x14ac:dyDescent="0.2">
      <c r="A52" s="1"/>
      <c r="B52" s="1"/>
      <c r="C52" s="1" t="s">
        <v>319</v>
      </c>
      <c r="E52" s="302">
        <v>0</v>
      </c>
      <c r="F52" s="302"/>
      <c r="G52" s="302">
        <v>0</v>
      </c>
      <c r="H52" s="302"/>
      <c r="I52" s="302">
        <v>0</v>
      </c>
      <c r="J52" s="302"/>
      <c r="K52" s="302">
        <v>0</v>
      </c>
      <c r="M52" s="402">
        <f>SUM(E52:K52)</f>
        <v>0</v>
      </c>
    </row>
    <row r="53" spans="1:13" x14ac:dyDescent="0.2">
      <c r="A53" s="1"/>
      <c r="B53" s="1"/>
      <c r="C53" s="1" t="s">
        <v>7</v>
      </c>
      <c r="E53" s="302">
        <f>Physical!D34</f>
        <v>0</v>
      </c>
      <c r="F53" s="302"/>
      <c r="G53" s="302">
        <f>Physical!K34</f>
        <v>0</v>
      </c>
      <c r="H53" s="302"/>
      <c r="I53" s="302">
        <f>Physical!D68</f>
        <v>0</v>
      </c>
      <c r="J53" s="302"/>
      <c r="K53" s="302">
        <f>Physical!K68</f>
        <v>0</v>
      </c>
      <c r="M53" s="402">
        <f>SUM(E53:K53)</f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2">
        <f>SUM(E54:K54)</f>
        <v>0</v>
      </c>
    </row>
    <row r="55" spans="1:13" ht="13.5" thickBot="1" x14ac:dyDescent="0.25">
      <c r="A55" s="1"/>
      <c r="B55" s="1"/>
      <c r="C55" s="1" t="s">
        <v>337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403">
        <f>SUM(E55:K55)</f>
        <v>0</v>
      </c>
    </row>
    <row r="56" spans="1:13" ht="13.5" thickBot="1" x14ac:dyDescent="0.25">
      <c r="A56" s="1"/>
      <c r="B56" s="1"/>
      <c r="C56" s="2" t="s">
        <v>39</v>
      </c>
      <c r="E56" s="311">
        <f>SUM(E52:E55)</f>
        <v>0</v>
      </c>
      <c r="F56" s="302"/>
      <c r="G56" s="311">
        <f>SUM(G52:G55)</f>
        <v>0</v>
      </c>
      <c r="H56" s="302"/>
      <c r="I56" s="311">
        <f>SUM(I52:I55)</f>
        <v>0</v>
      </c>
      <c r="J56" s="309"/>
      <c r="K56" s="308">
        <f>SUM(K52:K55)</f>
        <v>0</v>
      </c>
      <c r="M56" s="403">
        <f>SUM(M52:M55)</f>
        <v>0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5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5"/>
    </row>
    <row r="59" spans="1:13" ht="16.5" thickBot="1" x14ac:dyDescent="0.3">
      <c r="A59" s="315" t="s">
        <v>263</v>
      </c>
      <c r="B59" s="315"/>
      <c r="C59" s="315"/>
      <c r="D59" s="315"/>
      <c r="E59" s="316">
        <f>E14+E24+E29+E39+E49+E56</f>
        <v>112202.1584999999</v>
      </c>
      <c r="F59" s="316"/>
      <c r="G59" s="316">
        <f>G14+G24+G29+G39+G49+G56</f>
        <v>0</v>
      </c>
      <c r="H59" s="316"/>
      <c r="I59" s="316">
        <f>I14+I24+I29+I39+I49+I56</f>
        <v>160604.7018999999</v>
      </c>
      <c r="J59" s="316"/>
      <c r="K59" s="316">
        <f>K14+K24+K29+K39+K49+K56</f>
        <v>2768.2866000000554</v>
      </c>
      <c r="L59" s="316"/>
      <c r="M59" s="316">
        <f>M14+M24+M29+M39+M49+M56</f>
        <v>275575.14699999895</v>
      </c>
    </row>
    <row r="60" spans="1:13" ht="13.5" thickBot="1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5"/>
    </row>
    <row r="61" spans="1:13" ht="13.5" thickBot="1" x14ac:dyDescent="0.25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5"/>
    </row>
    <row r="62" spans="1:13" ht="13.5" thickBot="1" x14ac:dyDescent="0.25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5"/>
    </row>
    <row r="63" spans="1:13" x14ac:dyDescent="0.2">
      <c r="A63" s="1"/>
      <c r="B63" s="1"/>
      <c r="C63" s="1" t="s">
        <v>242</v>
      </c>
      <c r="E63" s="302">
        <f>E10-'Prior P&amp;L Without Sharing'!E10</f>
        <v>0</v>
      </c>
      <c r="F63" s="302"/>
      <c r="G63" s="302">
        <f>G10-'Prior P&amp;L Without Sharing'!G10</f>
        <v>0</v>
      </c>
      <c r="H63" s="302"/>
      <c r="I63" s="302">
        <f>I10-'Prior P&amp;L Without Sharing'!I10</f>
        <v>2401</v>
      </c>
      <c r="J63" s="302"/>
      <c r="K63" s="302">
        <f>K10-'Prior P&amp;L Without Sharing'!K10</f>
        <v>0</v>
      </c>
      <c r="M63" s="402">
        <f>SUM(E63:K63)</f>
        <v>2401</v>
      </c>
    </row>
    <row r="64" spans="1:13" x14ac:dyDescent="0.2">
      <c r="A64" s="1"/>
      <c r="B64" s="1"/>
      <c r="C64" s="1" t="s">
        <v>40</v>
      </c>
      <c r="E64" s="302">
        <f>E11-'Prior P&amp;L Without Sharing'!E11</f>
        <v>0</v>
      </c>
      <c r="F64" s="302"/>
      <c r="G64" s="302">
        <f>G11-'Prior P&amp;L Without Sharing'!G11</f>
        <v>0</v>
      </c>
      <c r="H64" s="302"/>
      <c r="I64" s="302">
        <f>I11-'Prior P&amp;L Without Sharing'!I11</f>
        <v>0</v>
      </c>
      <c r="J64" s="302"/>
      <c r="K64" s="302">
        <f>K11-'Prior P&amp;L Without Sharing'!K11</f>
        <v>0</v>
      </c>
      <c r="M64" s="402">
        <f>SUM(E64:K64)</f>
        <v>0</v>
      </c>
    </row>
    <row r="65" spans="1:13" x14ac:dyDescent="0.2">
      <c r="A65" s="1"/>
      <c r="B65" s="1"/>
      <c r="C65" s="1" t="s">
        <v>243</v>
      </c>
      <c r="E65" s="302">
        <f>E12-'Prior P&amp;L Without Sharing'!E12</f>
        <v>0</v>
      </c>
      <c r="F65" s="302"/>
      <c r="G65" s="302">
        <f>G12-'Prior P&amp;L Without Sharing'!G12</f>
        <v>0</v>
      </c>
      <c r="H65" s="302"/>
      <c r="I65" s="302">
        <f>I12-'Prior P&amp;L Without Sharing'!I12</f>
        <v>0</v>
      </c>
      <c r="J65" s="302"/>
      <c r="K65" s="302">
        <f>K12-'Prior P&amp;L Without Sharing'!K12</f>
        <v>0</v>
      </c>
      <c r="M65" s="402">
        <f>SUM(E65:K65)</f>
        <v>0</v>
      </c>
    </row>
    <row r="66" spans="1:13" ht="13.5" thickBot="1" x14ac:dyDescent="0.25">
      <c r="A66" s="1" t="s">
        <v>27</v>
      </c>
      <c r="B66" s="1"/>
      <c r="C66" s="1" t="s">
        <v>244</v>
      </c>
      <c r="E66" s="302">
        <f>E13-'Prior P&amp;L Without Sharing'!E13</f>
        <v>0</v>
      </c>
      <c r="F66" s="302"/>
      <c r="G66" s="302">
        <f>G13-'Prior P&amp;L Without Sharing'!G13</f>
        <v>0</v>
      </c>
      <c r="H66" s="302"/>
      <c r="I66" s="302">
        <f>I13-'Prior P&amp;L Without Sharing'!I13</f>
        <v>0</v>
      </c>
      <c r="J66" s="302"/>
      <c r="K66" s="302">
        <f>K13-'Prior P&amp;L Without Sharing'!K13</f>
        <v>0</v>
      </c>
      <c r="M66" s="403">
        <f>SUM(E66:K66)</f>
        <v>0</v>
      </c>
    </row>
    <row r="67" spans="1:13" ht="13.5" thickBot="1" x14ac:dyDescent="0.25">
      <c r="A67" s="1"/>
      <c r="B67" s="1"/>
      <c r="C67" s="2" t="s">
        <v>39</v>
      </c>
      <c r="E67" s="311">
        <f>SUM(E63:E66)</f>
        <v>0</v>
      </c>
      <c r="F67" s="302"/>
      <c r="G67" s="311">
        <f>SUM(G63:G66)</f>
        <v>0</v>
      </c>
      <c r="H67" s="309"/>
      <c r="I67" s="311">
        <f>SUM(I63:I66)</f>
        <v>2401</v>
      </c>
      <c r="J67" s="309"/>
      <c r="K67" s="311">
        <f>SUM(K63:K66)</f>
        <v>0</v>
      </c>
      <c r="M67" s="404">
        <f>SUM(M63:M66)</f>
        <v>2401</v>
      </c>
    </row>
    <row r="68" spans="1:13" x14ac:dyDescent="0.2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5"/>
    </row>
    <row r="69" spans="1:13" ht="13.5" thickBot="1" x14ac:dyDescent="0.25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5"/>
    </row>
    <row r="70" spans="1:13" x14ac:dyDescent="0.2">
      <c r="A70" s="1"/>
      <c r="B70" s="1"/>
      <c r="C70" s="1" t="s">
        <v>246</v>
      </c>
      <c r="E70" s="302">
        <f>E17-'Prior P&amp;L Without Sharing'!E17</f>
        <v>1788.8595000002533</v>
      </c>
      <c r="F70" s="302"/>
      <c r="G70" s="302">
        <f>G17-'Prior P&amp;L Without Sharing'!G17</f>
        <v>0</v>
      </c>
      <c r="H70" s="302"/>
      <c r="I70" s="302">
        <f>I17-'Prior P&amp;L Without Sharing'!I17</f>
        <v>9156.2020000000484</v>
      </c>
      <c r="J70" s="302"/>
      <c r="K70" s="302">
        <f>K17-'Prior P&amp;L Without Sharing'!K17</f>
        <v>150.28740000003017</v>
      </c>
      <c r="M70" s="402">
        <f t="shared" ref="M70:M76" si="3">SUM(E70:K70)</f>
        <v>11095.348900000332</v>
      </c>
    </row>
    <row r="71" spans="1:13" x14ac:dyDescent="0.2">
      <c r="A71" s="1"/>
      <c r="B71" s="1"/>
      <c r="C71" s="1" t="s">
        <v>247</v>
      </c>
      <c r="E71" s="302">
        <f>E18-'Prior P&amp;L Without Sharing'!E18</f>
        <v>0</v>
      </c>
      <c r="F71" s="302"/>
      <c r="G71" s="302">
        <f>G18-'Prior P&amp;L Without Sharing'!G18</f>
        <v>0</v>
      </c>
      <c r="H71" s="302"/>
      <c r="I71" s="302">
        <f>I18-'Prior P&amp;L Without Sharing'!I18</f>
        <v>0</v>
      </c>
      <c r="J71" s="302"/>
      <c r="K71" s="302">
        <f>K18-'Prior P&amp;L Without Sharing'!K18</f>
        <v>0</v>
      </c>
      <c r="M71" s="402">
        <f t="shared" si="3"/>
        <v>0</v>
      </c>
    </row>
    <row r="72" spans="1:13" x14ac:dyDescent="0.2">
      <c r="A72" s="1"/>
      <c r="B72" s="1"/>
      <c r="C72" s="1" t="s">
        <v>248</v>
      </c>
      <c r="E72" s="302">
        <f>E19-'Prior P&amp;L Without Sharing'!E19</f>
        <v>30.844000000011874</v>
      </c>
      <c r="F72" s="302"/>
      <c r="G72" s="302">
        <f>G19-'Prior P&amp;L Without Sharing'!G19</f>
        <v>0</v>
      </c>
      <c r="H72" s="302"/>
      <c r="I72" s="302">
        <f>I19-'Prior P&amp;L Without Sharing'!I19</f>
        <v>22844.235499999952</v>
      </c>
      <c r="J72" s="302"/>
      <c r="K72" s="302">
        <f>K19-'Prior P&amp;L Without Sharing'!K19</f>
        <v>1E-4</v>
      </c>
      <c r="M72" s="402">
        <f t="shared" si="3"/>
        <v>22875.079599999965</v>
      </c>
    </row>
    <row r="73" spans="1:13" x14ac:dyDescent="0.2">
      <c r="A73" s="1"/>
      <c r="B73" s="1"/>
      <c r="C73" s="1" t="s">
        <v>249</v>
      </c>
      <c r="E73" s="302">
        <f>E20-'Prior P&amp;L Without Sharing'!E20</f>
        <v>4.3577000000004773</v>
      </c>
      <c r="F73" s="302"/>
      <c r="G73" s="302">
        <f>G20-'Prior P&amp;L Without Sharing'!G20</f>
        <v>0</v>
      </c>
      <c r="H73" s="302"/>
      <c r="I73" s="302">
        <f>I20-'Prior P&amp;L Without Sharing'!I20</f>
        <v>-5926.8439999999991</v>
      </c>
      <c r="J73" s="302"/>
      <c r="K73" s="302">
        <f>K20-'Prior P&amp;L Without Sharing'!K20</f>
        <v>-2.0000000000000001E-4</v>
      </c>
      <c r="M73" s="402">
        <f t="shared" si="3"/>
        <v>-5922.4864999999991</v>
      </c>
    </row>
    <row r="74" spans="1:13" x14ac:dyDescent="0.2">
      <c r="A74" s="1"/>
      <c r="B74" s="1"/>
      <c r="C74" s="1" t="s">
        <v>250</v>
      </c>
      <c r="E74" s="302">
        <f>E21-'Prior P&amp;L Without Sharing'!E21</f>
        <v>0</v>
      </c>
      <c r="F74" s="302"/>
      <c r="G74" s="302">
        <f>G21-'Prior P&amp;L Without Sharing'!G21</f>
        <v>0</v>
      </c>
      <c r="H74" s="302"/>
      <c r="I74" s="302">
        <f>I21-'Prior P&amp;L Without Sharing'!I21</f>
        <v>0</v>
      </c>
      <c r="J74" s="302"/>
      <c r="K74" s="302">
        <f>K21-'Prior P&amp;L Without Sharing'!K21</f>
        <v>0</v>
      </c>
      <c r="M74" s="402">
        <f t="shared" si="3"/>
        <v>0</v>
      </c>
    </row>
    <row r="75" spans="1:13" x14ac:dyDescent="0.2">
      <c r="A75" s="1"/>
      <c r="B75" s="1"/>
      <c r="C75" s="1" t="s">
        <v>193</v>
      </c>
      <c r="E75" s="302">
        <f>E22-'Prior P&amp;L Without Sharing'!E22</f>
        <v>0</v>
      </c>
      <c r="F75" s="302"/>
      <c r="G75" s="302">
        <f>G22-'Prior P&amp;L Without Sharing'!G22</f>
        <v>0</v>
      </c>
      <c r="H75" s="302"/>
      <c r="I75" s="302">
        <f>I22-'Prior P&amp;L Without Sharing'!I22</f>
        <v>0</v>
      </c>
      <c r="J75" s="302"/>
      <c r="K75" s="302">
        <f>K22-'Prior P&amp;L Without Sharing'!K22</f>
        <v>0</v>
      </c>
      <c r="M75" s="402">
        <f t="shared" si="3"/>
        <v>0</v>
      </c>
    </row>
    <row r="76" spans="1:13" ht="13.5" thickBot="1" x14ac:dyDescent="0.25">
      <c r="A76" s="1"/>
      <c r="B76" s="1"/>
      <c r="C76" s="1" t="s">
        <v>30</v>
      </c>
      <c r="E76" s="302">
        <f>E23-'Prior P&amp;L Without Sharing'!E23</f>
        <v>0</v>
      </c>
      <c r="F76" s="302"/>
      <c r="G76" s="302">
        <f>G23-'Prior P&amp;L Without Sharing'!G23</f>
        <v>0</v>
      </c>
      <c r="H76" s="302"/>
      <c r="I76" s="302">
        <f>I23-'Prior P&amp;L Without Sharing'!I23</f>
        <v>0</v>
      </c>
      <c r="J76" s="302"/>
      <c r="K76" s="302">
        <f>K23-'Prior P&amp;L Without Sharing'!K23</f>
        <v>0</v>
      </c>
      <c r="M76" s="403">
        <f t="shared" si="3"/>
        <v>0</v>
      </c>
    </row>
    <row r="77" spans="1:13" ht="13.5" thickBot="1" x14ac:dyDescent="0.25">
      <c r="A77" s="1"/>
      <c r="B77" s="1"/>
      <c r="C77" s="2" t="s">
        <v>39</v>
      </c>
      <c r="E77" s="311">
        <f>SUM(E70:E76)</f>
        <v>1824.0612000002657</v>
      </c>
      <c r="F77" s="302"/>
      <c r="G77" s="311">
        <f>SUM(G70:G76)</f>
        <v>0</v>
      </c>
      <c r="H77" s="302"/>
      <c r="I77" s="311">
        <f>SUM(I70:I76)</f>
        <v>26073.593500000003</v>
      </c>
      <c r="J77" s="309"/>
      <c r="K77" s="311">
        <f>SUM(K70:K76)</f>
        <v>150.28730000003017</v>
      </c>
      <c r="M77" s="404">
        <f>SUM(M70:M76)</f>
        <v>28047.942000000301</v>
      </c>
    </row>
    <row r="78" spans="1:13" x14ac:dyDescent="0.2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5"/>
    </row>
    <row r="79" spans="1:13" ht="13.5" thickBot="1" x14ac:dyDescent="0.25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5"/>
    </row>
    <row r="80" spans="1:13" x14ac:dyDescent="0.2">
      <c r="A80" s="1"/>
      <c r="B80" s="12"/>
      <c r="C80" s="12" t="s">
        <v>242</v>
      </c>
      <c r="E80" s="302">
        <f>E27-'Prior P&amp;L Without Sharing'!E27</f>
        <v>0</v>
      </c>
      <c r="F80" s="302"/>
      <c r="G80" s="302">
        <f>G27-'Prior P&amp;L Without Sharing'!G27</f>
        <v>0</v>
      </c>
      <c r="H80" s="309"/>
      <c r="I80" s="302">
        <f>I27-'Prior P&amp;L Without Sharing'!I27</f>
        <v>0</v>
      </c>
      <c r="J80" s="302"/>
      <c r="K80" s="302">
        <f>K27-'Prior P&amp;L Without Sharing'!K27</f>
        <v>0</v>
      </c>
      <c r="M80" s="402">
        <f>SUM(E80:K80)</f>
        <v>0</v>
      </c>
    </row>
    <row r="81" spans="1:13" ht="13.5" thickBot="1" x14ac:dyDescent="0.25">
      <c r="A81" s="1"/>
      <c r="B81" s="12"/>
      <c r="C81" s="12" t="s">
        <v>245</v>
      </c>
      <c r="E81" s="302">
        <f>E28-'Prior P&amp;L'!E28</f>
        <v>0</v>
      </c>
      <c r="F81" s="309"/>
      <c r="G81" s="302">
        <f>G28-'Prior P&amp;L Without Sharing'!G28</f>
        <v>0</v>
      </c>
      <c r="H81" s="309"/>
      <c r="I81" s="302">
        <f>I28-'Prior P&amp;L Without Sharing'!I28</f>
        <v>0</v>
      </c>
      <c r="J81" s="302"/>
      <c r="K81" s="302">
        <f>K28-'Prior P&amp;L Without Sharing'!K28</f>
        <v>0</v>
      </c>
      <c r="M81" s="403">
        <f>SUM(E81:K81)</f>
        <v>0</v>
      </c>
    </row>
    <row r="82" spans="1:13" ht="13.5" thickBot="1" x14ac:dyDescent="0.25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5"/>
    </row>
    <row r="84" spans="1:13" ht="13.5" thickBot="1" x14ac:dyDescent="0.25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5"/>
    </row>
    <row r="85" spans="1:13" x14ac:dyDescent="0.2">
      <c r="A85" s="1"/>
      <c r="B85" s="1"/>
      <c r="C85" s="1" t="s">
        <v>253</v>
      </c>
      <c r="E85" s="302">
        <f>E32-'Prior P&amp;L Without Sharing'!E32</f>
        <v>0</v>
      </c>
      <c r="F85" s="309"/>
      <c r="G85" s="302">
        <f>G32-'Prior P&amp;L Without Sharing'!G32</f>
        <v>0</v>
      </c>
      <c r="H85" s="309"/>
      <c r="I85" s="302">
        <f>I32-'Prior P&amp;L Without Sharing'!I32</f>
        <v>0</v>
      </c>
      <c r="J85" s="302"/>
      <c r="K85" s="302">
        <f>K32-'Prior P&amp;L Without Sharing'!K32</f>
        <v>0</v>
      </c>
      <c r="M85" s="402">
        <f t="shared" ref="M85:M91" si="4">SUM(E85:K85)</f>
        <v>0</v>
      </c>
    </row>
    <row r="86" spans="1:13" x14ac:dyDescent="0.2">
      <c r="A86" s="1"/>
      <c r="B86" s="1"/>
      <c r="C86" s="1" t="s">
        <v>254</v>
      </c>
      <c r="E86" s="302">
        <f>E33-'Prior P&amp;L Without Sharing'!E33</f>
        <v>0</v>
      </c>
      <c r="F86" s="309"/>
      <c r="G86" s="302">
        <f>G33-'Prior P&amp;L Without Sharing'!G33</f>
        <v>0</v>
      </c>
      <c r="H86" s="309"/>
      <c r="I86" s="302">
        <f>I33-'Prior P&amp;L Without Sharing'!I33</f>
        <v>0</v>
      </c>
      <c r="J86" s="302"/>
      <c r="K86" s="302">
        <f>K33-'Prior P&amp;L Without Sharing'!K33</f>
        <v>0</v>
      </c>
      <c r="M86" s="402">
        <f t="shared" si="4"/>
        <v>0</v>
      </c>
    </row>
    <row r="87" spans="1:13" x14ac:dyDescent="0.2">
      <c r="A87" s="1"/>
      <c r="B87" s="1"/>
      <c r="C87" s="1" t="s">
        <v>255</v>
      </c>
      <c r="E87" s="302">
        <f>E34-'Prior P&amp;L Without Sharing'!E34</f>
        <v>0</v>
      </c>
      <c r="F87" s="309"/>
      <c r="G87" s="302">
        <f>G34-'Prior P&amp;L Without Sharing'!G34</f>
        <v>0</v>
      </c>
      <c r="H87" s="309"/>
      <c r="I87" s="302">
        <f>I34-'Prior P&amp;L Without Sharing'!I34</f>
        <v>0</v>
      </c>
      <c r="J87" s="302"/>
      <c r="K87" s="302">
        <f>K34-'Prior P&amp;L Without Sharing'!K34</f>
        <v>0</v>
      </c>
      <c r="M87" s="402">
        <f t="shared" si="4"/>
        <v>0</v>
      </c>
    </row>
    <row r="88" spans="1:13" x14ac:dyDescent="0.2">
      <c r="A88" s="1"/>
      <c r="B88" s="1"/>
      <c r="C88" s="1" t="s">
        <v>256</v>
      </c>
      <c r="E88" s="302">
        <f>E35-'Prior P&amp;L Without Sharing'!E35</f>
        <v>0</v>
      </c>
      <c r="F88" s="309"/>
      <c r="G88" s="302">
        <f>G35-'Prior P&amp;L Without Sharing'!G35</f>
        <v>0</v>
      </c>
      <c r="H88" s="309"/>
      <c r="I88" s="302">
        <f>I35-'Prior P&amp;L Without Sharing'!I35</f>
        <v>0</v>
      </c>
      <c r="J88" s="302"/>
      <c r="K88" s="302">
        <f>K35-'Prior P&amp;L Without Sharing'!K35</f>
        <v>0</v>
      </c>
      <c r="M88" s="402">
        <f t="shared" si="4"/>
        <v>0</v>
      </c>
    </row>
    <row r="89" spans="1:13" x14ac:dyDescent="0.2">
      <c r="A89" s="1"/>
      <c r="B89" s="1"/>
      <c r="C89" s="1" t="s">
        <v>257</v>
      </c>
      <c r="E89" s="302">
        <f>E36-'Prior P&amp;L Without Sharing'!E36</f>
        <v>0</v>
      </c>
      <c r="F89" s="309"/>
      <c r="G89" s="302">
        <f>G36-'Prior P&amp;L Without Sharing'!G36</f>
        <v>0</v>
      </c>
      <c r="H89" s="309"/>
      <c r="I89" s="302">
        <f>I36-'Prior P&amp;L Without Sharing'!I36</f>
        <v>0</v>
      </c>
      <c r="J89" s="302"/>
      <c r="K89" s="302">
        <f>K36-'Prior P&amp;L Without Sharing'!K36</f>
        <v>0</v>
      </c>
      <c r="M89" s="402">
        <f t="shared" si="4"/>
        <v>0</v>
      </c>
    </row>
    <row r="90" spans="1:13" x14ac:dyDescent="0.2">
      <c r="A90" s="1"/>
      <c r="B90" s="1"/>
      <c r="C90" s="1" t="s">
        <v>258</v>
      </c>
      <c r="E90" s="302">
        <f>E37-'Prior P&amp;L Without Sharing'!E37</f>
        <v>0</v>
      </c>
      <c r="F90" s="309"/>
      <c r="G90" s="302">
        <f>G37-'Prior P&amp;L Without Sharing'!G37</f>
        <v>0</v>
      </c>
      <c r="H90" s="309"/>
      <c r="I90" s="302">
        <f>I37-'Prior P&amp;L Without Sharing'!I37</f>
        <v>0</v>
      </c>
      <c r="J90" s="302"/>
      <c r="K90" s="302">
        <f>K37-'Prior P&amp;L Without Sharing'!K37</f>
        <v>0</v>
      </c>
      <c r="M90" s="402">
        <f t="shared" si="4"/>
        <v>0</v>
      </c>
    </row>
    <row r="91" spans="1:13" ht="13.5" thickBot="1" x14ac:dyDescent="0.25">
      <c r="A91" s="1"/>
      <c r="B91" s="1"/>
      <c r="C91" s="1" t="s">
        <v>259</v>
      </c>
      <c r="E91" s="302">
        <f>E38-'Prior P&amp;L Without Sharing'!E38</f>
        <v>0</v>
      </c>
      <c r="F91" s="309"/>
      <c r="G91" s="302">
        <f>G38-'Prior P&amp;L Without Sharing'!G38</f>
        <v>0</v>
      </c>
      <c r="H91" s="309"/>
      <c r="I91" s="302">
        <f>I38-'Prior P&amp;L Without Sharing'!I38</f>
        <v>0</v>
      </c>
      <c r="J91" s="302"/>
      <c r="K91" s="302">
        <f>K38-'Prior P&amp;L Without Sharing'!K38</f>
        <v>0</v>
      </c>
      <c r="M91" s="403">
        <f t="shared" si="4"/>
        <v>0</v>
      </c>
    </row>
    <row r="92" spans="1:13" ht="13.5" thickBot="1" x14ac:dyDescent="0.25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4">
        <f>SUM(M85:M91)</f>
        <v>0</v>
      </c>
    </row>
    <row r="93" spans="1:13" x14ac:dyDescent="0.2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5"/>
    </row>
    <row r="94" spans="1:13" ht="13.5" thickBot="1" x14ac:dyDescent="0.25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5"/>
    </row>
    <row r="95" spans="1:13" x14ac:dyDescent="0.2">
      <c r="A95" s="1"/>
      <c r="B95" s="1"/>
      <c r="C95" s="1" t="s">
        <v>253</v>
      </c>
      <c r="E95" s="302">
        <f>E42-'Prior P&amp;L Without Sharing'!E42</f>
        <v>0</v>
      </c>
      <c r="F95" s="309"/>
      <c r="G95" s="302">
        <f>G42-'Prior P&amp;L Without Sharing'!G42</f>
        <v>0</v>
      </c>
      <c r="H95" s="309"/>
      <c r="I95" s="302">
        <f>I42-'Prior P&amp;L Without Sharing'!I42</f>
        <v>0</v>
      </c>
      <c r="J95" s="302"/>
      <c r="K95" s="302">
        <f>K42-'Prior P&amp;L Without Sharing'!K42</f>
        <v>0</v>
      </c>
      <c r="M95" s="402">
        <f t="shared" ref="M95:M101" si="5">SUM(E95:K95)</f>
        <v>0</v>
      </c>
    </row>
    <row r="96" spans="1:13" x14ac:dyDescent="0.2">
      <c r="A96" s="1"/>
      <c r="B96" s="1"/>
      <c r="C96" s="1" t="s">
        <v>254</v>
      </c>
      <c r="E96" s="302">
        <f>E43-'Prior P&amp;L Without Sharing'!E43</f>
        <v>0</v>
      </c>
      <c r="F96" s="309"/>
      <c r="G96" s="302">
        <f>G43-'Prior P&amp;L Without Sharing'!G43</f>
        <v>0</v>
      </c>
      <c r="H96" s="309"/>
      <c r="I96" s="302">
        <f>I43-'Prior P&amp;L Without Sharing'!I43</f>
        <v>0</v>
      </c>
      <c r="J96" s="302"/>
      <c r="K96" s="302">
        <f>K43-'Prior P&amp;L Without Sharing'!K43</f>
        <v>0</v>
      </c>
      <c r="M96" s="402">
        <f t="shared" si="5"/>
        <v>0</v>
      </c>
    </row>
    <row r="97" spans="1:13" x14ac:dyDescent="0.2">
      <c r="A97" s="1"/>
      <c r="B97" s="1"/>
      <c r="C97" s="1" t="s">
        <v>255</v>
      </c>
      <c r="E97" s="302">
        <f>E44-'Prior P&amp;L Without Sharing'!E44</f>
        <v>0</v>
      </c>
      <c r="F97" s="309"/>
      <c r="G97" s="302">
        <f>G44-'Prior P&amp;L Without Sharing'!G44</f>
        <v>0</v>
      </c>
      <c r="H97" s="309"/>
      <c r="I97" s="302">
        <f>I44-'Prior P&amp;L Without Sharing'!I44</f>
        <v>0</v>
      </c>
      <c r="J97" s="302"/>
      <c r="K97" s="302">
        <f>K44-'Prior P&amp;L Without Sharing'!K44</f>
        <v>0</v>
      </c>
      <c r="M97" s="402">
        <f t="shared" si="5"/>
        <v>0</v>
      </c>
    </row>
    <row r="98" spans="1:13" x14ac:dyDescent="0.2">
      <c r="A98" s="1"/>
      <c r="B98" s="1"/>
      <c r="C98" s="1" t="s">
        <v>256</v>
      </c>
      <c r="E98" s="302">
        <f>E45-'Prior P&amp;L Without Sharing'!E45</f>
        <v>0</v>
      </c>
      <c r="F98" s="309"/>
      <c r="G98" s="302">
        <f>G45-'Prior P&amp;L Without Sharing'!G45</f>
        <v>0</v>
      </c>
      <c r="H98" s="309"/>
      <c r="I98" s="302">
        <f>I45-'Prior P&amp;L Without Sharing'!I45</f>
        <v>0</v>
      </c>
      <c r="J98" s="302"/>
      <c r="K98" s="302">
        <f>K45-'Prior P&amp;L Without Sharing'!K45</f>
        <v>0</v>
      </c>
      <c r="M98" s="402">
        <f t="shared" si="5"/>
        <v>0</v>
      </c>
    </row>
    <row r="99" spans="1:13" x14ac:dyDescent="0.2">
      <c r="A99" s="1"/>
      <c r="B99" s="1"/>
      <c r="C99" s="1" t="s">
        <v>257</v>
      </c>
      <c r="E99" s="302">
        <f>E46-'Prior P&amp;L Without Sharing'!E46</f>
        <v>0</v>
      </c>
      <c r="F99" s="309"/>
      <c r="G99" s="302">
        <f>G46-'Prior P&amp;L Without Sharing'!G46</f>
        <v>0</v>
      </c>
      <c r="H99" s="309"/>
      <c r="I99" s="302">
        <f>I46-'Prior P&amp;L Without Sharing'!I46</f>
        <v>0</v>
      </c>
      <c r="J99" s="302"/>
      <c r="K99" s="302">
        <f>K46-'Prior P&amp;L Without Sharing'!K46</f>
        <v>0</v>
      </c>
      <c r="M99" s="402">
        <f t="shared" si="5"/>
        <v>0</v>
      </c>
    </row>
    <row r="100" spans="1:13" x14ac:dyDescent="0.2">
      <c r="A100" s="1"/>
      <c r="B100" s="1"/>
      <c r="C100" s="1" t="s">
        <v>258</v>
      </c>
      <c r="E100" s="302">
        <f>E47-'Prior P&amp;L Without Sharing'!E47</f>
        <v>0</v>
      </c>
      <c r="F100" s="309"/>
      <c r="G100" s="302">
        <f>G47-'Prior P&amp;L Without Sharing'!G47</f>
        <v>0</v>
      </c>
      <c r="H100" s="309"/>
      <c r="I100" s="302">
        <f>I47-'Prior P&amp;L Without Sharing'!I47</f>
        <v>0</v>
      </c>
      <c r="J100" s="302"/>
      <c r="K100" s="302">
        <f>K47-'Prior P&amp;L Without Sharing'!K47</f>
        <v>0</v>
      </c>
      <c r="M100" s="402">
        <f t="shared" si="5"/>
        <v>0</v>
      </c>
    </row>
    <row r="101" spans="1:13" ht="13.5" thickBot="1" x14ac:dyDescent="0.25">
      <c r="A101" s="1"/>
      <c r="B101" s="1"/>
      <c r="C101" s="1" t="s">
        <v>259</v>
      </c>
      <c r="E101" s="302">
        <f>E48-'Prior P&amp;L Without Sharing'!E48</f>
        <v>0</v>
      </c>
      <c r="F101" s="309"/>
      <c r="G101" s="302">
        <f>G48-'Prior P&amp;L Without Sharing'!G48</f>
        <v>0</v>
      </c>
      <c r="H101" s="309"/>
      <c r="I101" s="302">
        <f>I48-'Prior P&amp;L Without Sharing'!I48</f>
        <v>0</v>
      </c>
      <c r="J101" s="302"/>
      <c r="K101" s="302">
        <f>K48-'Prior P&amp;L Without Sharing'!K48</f>
        <v>0</v>
      </c>
      <c r="M101" s="403">
        <f t="shared" si="5"/>
        <v>0</v>
      </c>
    </row>
    <row r="102" spans="1:13" ht="13.5" thickBot="1" x14ac:dyDescent="0.25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4">
        <f>SUM(M95:M101)</f>
        <v>0</v>
      </c>
    </row>
    <row r="103" spans="1:13" x14ac:dyDescent="0.2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5"/>
    </row>
    <row r="104" spans="1:13" ht="13.5" thickBot="1" x14ac:dyDescent="0.25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5"/>
    </row>
    <row r="105" spans="1:13" x14ac:dyDescent="0.2">
      <c r="A105" s="1"/>
      <c r="B105" s="1"/>
      <c r="C105" s="1" t="s">
        <v>319</v>
      </c>
      <c r="E105" s="302">
        <f>E52-'Prior P&amp;L Without Sharing'!E52</f>
        <v>0</v>
      </c>
      <c r="F105" s="309"/>
      <c r="G105" s="302">
        <f>G52-'Prior P&amp;L Without Sharing'!G52</f>
        <v>0</v>
      </c>
      <c r="H105" s="309"/>
      <c r="I105" s="302">
        <f>I52-'Prior P&amp;L Without Sharing'!I52</f>
        <v>0</v>
      </c>
      <c r="J105" s="302"/>
      <c r="K105" s="302">
        <f>K52-'Prior P&amp;L Without Sharing'!K52</f>
        <v>0</v>
      </c>
      <c r="M105" s="402">
        <f>SUM(E105:K105)</f>
        <v>0</v>
      </c>
    </row>
    <row r="106" spans="1:13" x14ac:dyDescent="0.2">
      <c r="A106" s="1"/>
      <c r="B106" s="1"/>
      <c r="C106" s="1" t="s">
        <v>7</v>
      </c>
      <c r="E106" s="302">
        <f>E53-'Prior P&amp;L Without Sharing'!E53</f>
        <v>0</v>
      </c>
      <c r="F106" s="309"/>
      <c r="G106" s="302">
        <f>G53-'Prior P&amp;L Without Sharing'!G53</f>
        <v>0</v>
      </c>
      <c r="H106" s="309"/>
      <c r="I106" s="302">
        <f>I53-'Prior P&amp;L Without Sharing'!I53</f>
        <v>0</v>
      </c>
      <c r="J106" s="302"/>
      <c r="K106" s="302">
        <f>K53-'Prior P&amp;L Without Sharing'!K53</f>
        <v>0</v>
      </c>
      <c r="M106" s="402">
        <f>SUM(E106:K106)</f>
        <v>0</v>
      </c>
    </row>
    <row r="107" spans="1:13" x14ac:dyDescent="0.2">
      <c r="A107" s="1"/>
      <c r="B107" s="1"/>
      <c r="C107" s="1" t="s">
        <v>261</v>
      </c>
      <c r="E107" s="302">
        <f>E54-'Prior P&amp;L Without Sharing'!E54</f>
        <v>0</v>
      </c>
      <c r="F107" s="309"/>
      <c r="G107" s="302">
        <f>G54-'Prior P&amp;L Without Sharing'!G54</f>
        <v>0</v>
      </c>
      <c r="H107" s="309"/>
      <c r="I107" s="302">
        <f>I54-'Prior P&amp;L Without Sharing'!I54</f>
        <v>0</v>
      </c>
      <c r="J107" s="302"/>
      <c r="K107" s="302">
        <f>K54-'Prior P&amp;L Without Sharing'!K54</f>
        <v>0</v>
      </c>
      <c r="M107" s="402">
        <f>SUM(E107:K107)</f>
        <v>0</v>
      </c>
    </row>
    <row r="108" spans="1:13" ht="13.5" thickBot="1" x14ac:dyDescent="0.25">
      <c r="A108" s="1"/>
      <c r="B108" s="1"/>
      <c r="C108" s="1" t="s">
        <v>337</v>
      </c>
      <c r="E108" s="302">
        <f>E55-'Prior P&amp;L Without Sharing'!E55</f>
        <v>0</v>
      </c>
      <c r="F108" s="309"/>
      <c r="G108" s="302">
        <f>G55-'Prior P&amp;L Without Sharing'!G55</f>
        <v>0</v>
      </c>
      <c r="H108" s="309"/>
      <c r="I108" s="302">
        <f>I55-'Prior P&amp;L Without Sharing'!I55</f>
        <v>0</v>
      </c>
      <c r="J108" s="302"/>
      <c r="K108" s="302">
        <f>K55-'Prior P&amp;L Without Sharing'!K55</f>
        <v>0</v>
      </c>
      <c r="M108" s="403">
        <f>SUM(E108:K108)</f>
        <v>0</v>
      </c>
    </row>
    <row r="109" spans="1:13" ht="13.5" thickBot="1" x14ac:dyDescent="0.25">
      <c r="A109" s="1"/>
      <c r="B109" s="1"/>
      <c r="C109" s="2" t="s">
        <v>39</v>
      </c>
      <c r="E109" s="311">
        <f>SUM(E105:E108)</f>
        <v>0</v>
      </c>
      <c r="F109" s="309"/>
      <c r="G109" s="311">
        <f>SUM(G105:G108)</f>
        <v>0</v>
      </c>
      <c r="H109" s="309"/>
      <c r="I109" s="311">
        <f>SUM(I105:I108)</f>
        <v>0</v>
      </c>
      <c r="J109" s="309"/>
      <c r="K109" s="311">
        <f>SUM(K105:K108)</f>
        <v>0</v>
      </c>
      <c r="M109" s="403">
        <f>SUM(M105:M108)</f>
        <v>0</v>
      </c>
    </row>
    <row r="110" spans="1:13" x14ac:dyDescent="0.2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5"/>
    </row>
    <row r="111" spans="1:13" x14ac:dyDescent="0.2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5"/>
    </row>
    <row r="112" spans="1:13" ht="16.5" thickBot="1" x14ac:dyDescent="0.3">
      <c r="A112" s="315" t="s">
        <v>265</v>
      </c>
      <c r="B112" s="315"/>
      <c r="C112" s="315"/>
      <c r="D112" s="315"/>
      <c r="E112" s="316">
        <f>SUM(E67,E77,E82,E92,E102,E109,)</f>
        <v>1824.0612000002657</v>
      </c>
      <c r="F112" s="316"/>
      <c r="G112" s="316">
        <f>SUM(G67,G77,G82,G92,G102,G109,)</f>
        <v>0</v>
      </c>
      <c r="H112" s="316"/>
      <c r="I112" s="316">
        <f>SUM(I67,I77,I82,I92,I102,I109,)</f>
        <v>28474.593500000003</v>
      </c>
      <c r="J112" s="316"/>
      <c r="K112" s="316">
        <f>SUM(K67,K77,K82,K92,K102,K109,)</f>
        <v>150.28730000003017</v>
      </c>
      <c r="L112" s="316"/>
      <c r="M112" s="316">
        <f>SUM(M67,M77,M82,M92,M102,M109,)</f>
        <v>30448.942000000301</v>
      </c>
    </row>
    <row r="113" spans="1:13" ht="13.5" thickBot="1" x14ac:dyDescent="0.25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5"/>
    </row>
    <row r="114" spans="1:13" ht="13.5" thickBot="1" x14ac:dyDescent="0.25">
      <c r="A114" s="304" t="s">
        <v>266</v>
      </c>
      <c r="B114" s="305"/>
      <c r="C114" s="305"/>
      <c r="D114" s="305"/>
      <c r="E114" s="311">
        <f>E59</f>
        <v>112202.1584999999</v>
      </c>
      <c r="F114" s="311"/>
      <c r="G114" s="311">
        <f>G59</f>
        <v>0</v>
      </c>
      <c r="H114" s="311"/>
      <c r="I114" s="311">
        <f>I59</f>
        <v>160604.7018999999</v>
      </c>
      <c r="J114" s="311"/>
      <c r="K114" s="311">
        <f>K59</f>
        <v>2768.2866000000554</v>
      </c>
      <c r="L114" s="311"/>
      <c r="M114" s="311">
        <f>M59</f>
        <v>275575.14699999895</v>
      </c>
    </row>
    <row r="115" spans="1:13" ht="13.5" thickBot="1" x14ac:dyDescent="0.25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5" thickBot="1" x14ac:dyDescent="0.25">
      <c r="A116" s="319" t="s">
        <v>267</v>
      </c>
      <c r="B116" s="320"/>
      <c r="C116" s="320"/>
      <c r="D116" s="320"/>
      <c r="E116" s="312">
        <f>E114+670695+258882+71581</f>
        <v>1113360.1584999999</v>
      </c>
      <c r="F116" s="312"/>
      <c r="G116" s="312">
        <f>G114</f>
        <v>0</v>
      </c>
      <c r="H116" s="312"/>
      <c r="I116" s="312">
        <f>I114+3672584+2342457+173797</f>
        <v>6349442.7018999998</v>
      </c>
      <c r="J116" s="312"/>
      <c r="K116" s="312">
        <f>K114+571140+3878+4162</f>
        <v>581948.28660000011</v>
      </c>
      <c r="L116" s="312"/>
      <c r="M116" s="312">
        <f>+E116+G116+I116+K116</f>
        <v>8044751.1469999999</v>
      </c>
    </row>
    <row r="117" spans="1:13" x14ac:dyDescent="0.2">
      <c r="M117" s="405"/>
    </row>
    <row r="118" spans="1:13" x14ac:dyDescent="0.2">
      <c r="M118" s="405"/>
    </row>
    <row r="119" spans="1:13" x14ac:dyDescent="0.2">
      <c r="C119" s="1"/>
      <c r="E119" s="383" t="s">
        <v>295</v>
      </c>
      <c r="F119" s="383"/>
      <c r="G119" s="383" t="s">
        <v>296</v>
      </c>
      <c r="H119" s="383"/>
      <c r="I119" s="383" t="s">
        <v>297</v>
      </c>
      <c r="J119" s="383"/>
      <c r="K119" s="383" t="s">
        <v>298</v>
      </c>
      <c r="L119" s="383"/>
      <c r="M119" s="383" t="s">
        <v>320</v>
      </c>
    </row>
    <row r="120" spans="1:13" x14ac:dyDescent="0.2">
      <c r="C120" s="379" t="s">
        <v>326</v>
      </c>
      <c r="D120" s="379"/>
      <c r="E120" s="385">
        <f>E63+E80</f>
        <v>0</v>
      </c>
      <c r="F120" s="385"/>
      <c r="G120" s="385">
        <f>G63+G80</f>
        <v>0</v>
      </c>
      <c r="H120" s="385"/>
      <c r="I120" s="385">
        <f>I63+I80</f>
        <v>2401</v>
      </c>
      <c r="J120" s="385"/>
      <c r="K120" s="385">
        <f>K63+K80</f>
        <v>0</v>
      </c>
      <c r="L120" s="385"/>
      <c r="M120" s="386">
        <f>SUM(E120:K120)</f>
        <v>2401</v>
      </c>
    </row>
    <row r="121" spans="1:13" x14ac:dyDescent="0.2">
      <c r="C121" s="380" t="s">
        <v>327</v>
      </c>
      <c r="D121" s="31"/>
      <c r="E121" s="394">
        <v>0</v>
      </c>
      <c r="F121" s="392"/>
      <c r="G121" s="394">
        <v>0</v>
      </c>
      <c r="H121" s="392"/>
      <c r="I121" s="394">
        <v>0</v>
      </c>
      <c r="J121" s="392"/>
      <c r="K121" s="394">
        <v>0</v>
      </c>
      <c r="L121" s="392"/>
      <c r="M121" s="387">
        <f>SUM(E121:L121)</f>
        <v>0</v>
      </c>
    </row>
    <row r="122" spans="1:13" x14ac:dyDescent="0.2">
      <c r="C122" s="381" t="s">
        <v>328</v>
      </c>
      <c r="D122" s="34"/>
      <c r="E122" s="395">
        <v>0</v>
      </c>
      <c r="F122" s="384"/>
      <c r="G122" s="395">
        <v>0</v>
      </c>
      <c r="H122" s="384"/>
      <c r="I122" s="395">
        <v>0</v>
      </c>
      <c r="J122" s="384"/>
      <c r="K122" s="395">
        <v>0</v>
      </c>
      <c r="L122" s="384"/>
      <c r="M122" s="388">
        <f>SUM(E122:L122)</f>
        <v>0</v>
      </c>
    </row>
    <row r="123" spans="1:13" x14ac:dyDescent="0.2">
      <c r="C123" s="381" t="s">
        <v>329</v>
      </c>
      <c r="D123" s="34"/>
      <c r="E123" s="395">
        <v>0</v>
      </c>
      <c r="F123" s="384"/>
      <c r="G123" s="395">
        <v>0</v>
      </c>
      <c r="H123" s="384"/>
      <c r="I123" s="395">
        <v>0</v>
      </c>
      <c r="J123" s="384"/>
      <c r="K123" s="395">
        <v>0</v>
      </c>
      <c r="L123" s="384"/>
      <c r="M123" s="388">
        <f>SUM(E123:L123)</f>
        <v>0</v>
      </c>
    </row>
    <row r="124" spans="1:13" x14ac:dyDescent="0.2">
      <c r="C124" s="381" t="s">
        <v>330</v>
      </c>
      <c r="D124" s="34"/>
      <c r="E124" s="384">
        <v>0</v>
      </c>
      <c r="F124" s="384"/>
      <c r="G124" s="384">
        <f>-G32-G33-G42-G43</f>
        <v>0</v>
      </c>
      <c r="H124" s="384"/>
      <c r="I124" s="384">
        <f>-I32-I33-I42-I43</f>
        <v>0</v>
      </c>
      <c r="J124" s="384"/>
      <c r="K124" s="384">
        <f>-K32-K33-K42-K43</f>
        <v>0</v>
      </c>
      <c r="L124" s="384"/>
      <c r="M124" s="388">
        <f>SUM(E124:L124)</f>
        <v>0</v>
      </c>
    </row>
    <row r="125" spans="1:13" x14ac:dyDescent="0.2">
      <c r="C125" s="382" t="s">
        <v>331</v>
      </c>
      <c r="D125" s="389"/>
      <c r="E125" s="390">
        <f>E120-E121-E122-E123-E124</f>
        <v>0</v>
      </c>
      <c r="F125" s="390"/>
      <c r="G125" s="390">
        <f>G120-G121-G122-G123-G124</f>
        <v>0</v>
      </c>
      <c r="H125" s="390"/>
      <c r="I125" s="390">
        <f>I120-I121-I122-I123-I124</f>
        <v>2401</v>
      </c>
      <c r="J125" s="390"/>
      <c r="K125" s="390">
        <f>K120-K121-K122-K123-K124</f>
        <v>0</v>
      </c>
      <c r="L125" s="390"/>
      <c r="M125" s="391">
        <f>SUM(E125:L125)</f>
        <v>2401</v>
      </c>
    </row>
    <row r="126" spans="1:13" x14ac:dyDescent="0.2">
      <c r="C126" s="379" t="s">
        <v>332</v>
      </c>
      <c r="D126" s="379"/>
      <c r="E126" s="385">
        <f>SUM(E127:E130)</f>
        <v>0</v>
      </c>
      <c r="F126" s="385"/>
      <c r="G126" s="385">
        <f>SUM(G127:G130)</f>
        <v>0</v>
      </c>
      <c r="H126" s="385"/>
      <c r="I126" s="385">
        <f>SUM(I127:I130)</f>
        <v>11028.965500000006</v>
      </c>
      <c r="J126" s="385"/>
      <c r="K126" s="385">
        <f>SUM(K127:K130)</f>
        <v>0</v>
      </c>
      <c r="L126" s="385"/>
      <c r="M126" s="386">
        <f>SUM(E126:K126)</f>
        <v>11028.965500000006</v>
      </c>
    </row>
    <row r="127" spans="1:13" x14ac:dyDescent="0.2">
      <c r="C127" s="380" t="s">
        <v>333</v>
      </c>
      <c r="D127" s="31"/>
      <c r="E127" s="392">
        <f>'Top Pages'!I2</f>
        <v>0</v>
      </c>
      <c r="F127" s="392"/>
      <c r="G127" s="392">
        <f>'Top Pages'!I17</f>
        <v>0</v>
      </c>
      <c r="H127" s="392"/>
      <c r="I127" s="392">
        <f>'Top Pages'!I32</f>
        <v>66475.197700000004</v>
      </c>
      <c r="J127" s="392"/>
      <c r="K127" s="392">
        <f>'Top Pages'!I47</f>
        <v>0</v>
      </c>
      <c r="L127" s="392"/>
      <c r="M127" s="387">
        <f>SUM(E127:L127)</f>
        <v>66475.197700000004</v>
      </c>
    </row>
    <row r="128" spans="1:13" x14ac:dyDescent="0.2">
      <c r="C128" s="381" t="s">
        <v>334</v>
      </c>
      <c r="D128" s="34"/>
      <c r="E128" s="384">
        <f>'Top Pages'!I7</f>
        <v>0</v>
      </c>
      <c r="F128" s="384"/>
      <c r="G128" s="384">
        <f>'Top Pages'!I22</f>
        <v>0</v>
      </c>
      <c r="H128" s="384"/>
      <c r="I128" s="384">
        <f>'Top Pages'!I37</f>
        <v>-49517.4473</v>
      </c>
      <c r="J128" s="384"/>
      <c r="K128" s="384">
        <f>'Top Pages'!I52</f>
        <v>0</v>
      </c>
      <c r="L128" s="384"/>
      <c r="M128" s="388">
        <f>SUM(E128:L128)</f>
        <v>-49517.4473</v>
      </c>
    </row>
    <row r="129" spans="3:13" x14ac:dyDescent="0.2">
      <c r="C129" s="381" t="s">
        <v>335</v>
      </c>
      <c r="D129" s="34"/>
      <c r="E129" s="384">
        <f>'Top Pages'!I12</f>
        <v>0</v>
      </c>
      <c r="F129" s="384"/>
      <c r="G129" s="384">
        <f>'Top Pages'!I27</f>
        <v>0</v>
      </c>
      <c r="H129" s="384"/>
      <c r="I129" s="384">
        <f>'Top Pages'!I42</f>
        <v>-5928.7848999999997</v>
      </c>
      <c r="J129" s="384"/>
      <c r="K129" s="384">
        <f>'Top Pages'!I57</f>
        <v>0</v>
      </c>
      <c r="L129" s="384"/>
      <c r="M129" s="388">
        <f>SUM(E129:L129)</f>
        <v>-5928.7848999999997</v>
      </c>
    </row>
    <row r="130" spans="3:13" x14ac:dyDescent="0.2">
      <c r="C130" s="382" t="s">
        <v>336</v>
      </c>
      <c r="D130" s="389"/>
      <c r="E130" s="390"/>
      <c r="F130" s="390"/>
      <c r="G130" s="390"/>
      <c r="H130" s="390"/>
      <c r="I130" s="390"/>
      <c r="J130" s="390"/>
      <c r="K130" s="390"/>
      <c r="L130" s="390"/>
      <c r="M130" s="391"/>
    </row>
    <row r="131" spans="3:13" x14ac:dyDescent="0.2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3:M60"/>
  <sheetViews>
    <sheetView zoomScale="75" workbookViewId="0">
      <pane xSplit="3" ySplit="6" topLeftCell="D7" activePane="bottomRight" state="frozen"/>
      <selection activeCell="K135" sqref="K135"/>
      <selection pane="topRight" activeCell="K135" sqref="K135"/>
      <selection pane="bottomLeft" activeCell="K135" sqref="K135"/>
      <selection pane="bottomRight" activeCell="E10" sqref="E10:M59"/>
    </sheetView>
  </sheetViews>
  <sheetFormatPr defaultRowHeight="12.75" x14ac:dyDescent="0.2"/>
  <cols>
    <col min="1" max="1" width="4.42578125" customWidth="1"/>
    <col min="2" max="2" width="5.28515625" customWidth="1"/>
    <col min="3" max="3" width="21.140625" customWidth="1"/>
    <col min="4" max="4" width="16.7109375" customWidth="1"/>
    <col min="5" max="5" width="11.28515625" customWidth="1"/>
    <col min="6" max="6" width="10.28515625" customWidth="1"/>
    <col min="7" max="7" width="11.140625" customWidth="1"/>
    <col min="9" max="9" width="12.28515625" customWidth="1"/>
    <col min="11" max="11" width="10.140625" customWidth="1"/>
    <col min="13" max="13" width="12.5703125" customWidth="1"/>
    <col min="14" max="14" width="10.28515625" bestFit="1" customWidth="1"/>
  </cols>
  <sheetData>
    <row r="3" spans="1:13" x14ac:dyDescent="0.2">
      <c r="F3" s="60"/>
      <c r="G3" s="60"/>
      <c r="H3" s="60"/>
      <c r="I3" s="60"/>
      <c r="J3" s="60"/>
      <c r="K3" s="60"/>
      <c r="L3" s="60"/>
    </row>
    <row r="4" spans="1:13" ht="15" x14ac:dyDescent="0.25">
      <c r="E4" s="299"/>
      <c r="F4" s="298"/>
      <c r="G4" s="298"/>
      <c r="H4" s="298"/>
      <c r="I4" s="298"/>
      <c r="J4" s="298"/>
      <c r="K4" s="298"/>
      <c r="L4" s="298"/>
    </row>
    <row r="5" spans="1:13" ht="15" x14ac:dyDescent="0.25">
      <c r="E5" s="299"/>
      <c r="F5" s="298"/>
      <c r="G5" s="298"/>
      <c r="H5" s="298"/>
      <c r="I5" s="298"/>
      <c r="J5" s="298"/>
      <c r="K5" s="298"/>
      <c r="L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78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v>-4425305</v>
      </c>
      <c r="F10" s="302"/>
      <c r="G10" s="302">
        <v>0</v>
      </c>
      <c r="H10" s="302"/>
      <c r="I10" s="302">
        <v>-42830</v>
      </c>
      <c r="J10" s="302"/>
      <c r="K10" s="302">
        <v>0</v>
      </c>
      <c r="M10" s="302">
        <v>-4468135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02">
        <v>0</v>
      </c>
    </row>
    <row r="12" spans="1:13" x14ac:dyDescent="0.2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02">
        <v>0</v>
      </c>
    </row>
    <row r="13" spans="1:13" ht="13.5" thickBot="1" x14ac:dyDescent="0.25">
      <c r="A13" s="1"/>
      <c r="B13" s="1"/>
      <c r="C13" s="1" t="s">
        <v>244</v>
      </c>
      <c r="E13" s="308">
        <v>268012</v>
      </c>
      <c r="F13" s="302"/>
      <c r="G13" s="308">
        <v>0</v>
      </c>
      <c r="H13" s="302"/>
      <c r="I13" s="308">
        <v>0</v>
      </c>
      <c r="J13" s="309"/>
      <c r="K13" s="308">
        <v>0</v>
      </c>
      <c r="M13" s="308">
        <v>268012</v>
      </c>
    </row>
    <row r="14" spans="1:13" ht="13.5" thickBot="1" x14ac:dyDescent="0.25">
      <c r="A14" s="1"/>
      <c r="B14" s="1"/>
      <c r="C14" s="2" t="s">
        <v>39</v>
      </c>
      <c r="E14" s="311">
        <v>-4157293</v>
      </c>
      <c r="F14" s="6"/>
      <c r="G14" s="311">
        <v>0</v>
      </c>
      <c r="H14" s="6"/>
      <c r="I14" s="311">
        <v>-42830</v>
      </c>
      <c r="J14" s="309"/>
      <c r="K14" s="311">
        <v>0</v>
      </c>
      <c r="M14" s="311">
        <v>-4200123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302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302"/>
    </row>
    <row r="17" spans="1:13" x14ac:dyDescent="0.2">
      <c r="A17" s="1"/>
      <c r="B17" s="1"/>
      <c r="C17" s="1" t="s">
        <v>246</v>
      </c>
      <c r="E17" s="302">
        <v>4256583.2831999995</v>
      </c>
      <c r="F17" s="302"/>
      <c r="G17" s="302">
        <v>0</v>
      </c>
      <c r="H17" s="302"/>
      <c r="I17" s="302">
        <v>145831.04039999982</v>
      </c>
      <c r="J17" s="302"/>
      <c r="K17" s="302">
        <v>2617.999300000025</v>
      </c>
      <c r="M17" s="302">
        <v>4405032.3229</v>
      </c>
    </row>
    <row r="18" spans="1:13" x14ac:dyDescent="0.2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02">
        <v>0</v>
      </c>
    </row>
    <row r="19" spans="1:13" x14ac:dyDescent="0.2">
      <c r="A19" s="1"/>
      <c r="B19" s="1"/>
      <c r="C19" s="1" t="s">
        <v>248</v>
      </c>
      <c r="E19" s="302">
        <v>11006.364899999986</v>
      </c>
      <c r="F19" s="302"/>
      <c r="G19" s="302">
        <v>0</v>
      </c>
      <c r="H19" s="302"/>
      <c r="I19" s="302">
        <v>34291.020100000082</v>
      </c>
      <c r="J19" s="302"/>
      <c r="K19" s="302">
        <v>0</v>
      </c>
      <c r="M19" s="302">
        <v>45297.385000000068</v>
      </c>
    </row>
    <row r="20" spans="1:13" x14ac:dyDescent="0.2">
      <c r="A20" s="1"/>
      <c r="B20" s="1"/>
      <c r="C20" s="1" t="s">
        <v>249</v>
      </c>
      <c r="E20" s="302">
        <v>81.449199999999109</v>
      </c>
      <c r="F20" s="302"/>
      <c r="G20" s="302">
        <v>0</v>
      </c>
      <c r="H20" s="302"/>
      <c r="I20" s="302">
        <v>-5161.9521000000004</v>
      </c>
      <c r="J20" s="302"/>
      <c r="K20" s="302">
        <v>0</v>
      </c>
      <c r="M20" s="302">
        <v>-5080.5029000000013</v>
      </c>
    </row>
    <row r="21" spans="1:13" x14ac:dyDescent="0.2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02">
        <v>0</v>
      </c>
    </row>
    <row r="22" spans="1:13" x14ac:dyDescent="0.2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02">
        <v>0</v>
      </c>
    </row>
    <row r="23" spans="1:13" ht="13.5" thickBot="1" x14ac:dyDescent="0.25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08">
        <v>0</v>
      </c>
    </row>
    <row r="24" spans="1:13" ht="13.5" thickBot="1" x14ac:dyDescent="0.25">
      <c r="A24" s="1"/>
      <c r="B24" s="1"/>
      <c r="C24" s="2" t="s">
        <v>39</v>
      </c>
      <c r="E24" s="308">
        <v>4267671.0972999996</v>
      </c>
      <c r="F24" s="302"/>
      <c r="G24" s="308">
        <v>0</v>
      </c>
      <c r="H24" s="302"/>
      <c r="I24" s="308">
        <v>174960.10839999991</v>
      </c>
      <c r="J24" s="309"/>
      <c r="K24" s="308">
        <v>2617.999300000025</v>
      </c>
      <c r="M24" s="308">
        <v>4445249.2050000001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302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302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02"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08">
        <v>0</v>
      </c>
    </row>
    <row r="29" spans="1:13" ht="13.5" thickBot="1" x14ac:dyDescent="0.25">
      <c r="A29" s="1"/>
      <c r="B29" s="12"/>
      <c r="C29" s="314" t="s">
        <v>39</v>
      </c>
      <c r="E29" s="308">
        <v>0</v>
      </c>
      <c r="F29" s="302"/>
      <c r="G29" s="308">
        <v>0</v>
      </c>
      <c r="H29" s="302"/>
      <c r="I29" s="308">
        <v>0</v>
      </c>
      <c r="J29" s="309"/>
      <c r="K29" s="308">
        <v>0</v>
      </c>
      <c r="M29" s="308"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302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302"/>
    </row>
    <row r="32" spans="1:13" x14ac:dyDescent="0.2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02">
        <v>0</v>
      </c>
    </row>
    <row r="33" spans="1:13" x14ac:dyDescent="0.2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02">
        <v>0</v>
      </c>
    </row>
    <row r="34" spans="1:13" x14ac:dyDescent="0.2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02"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02"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02"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02"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2">
        <v>0</v>
      </c>
      <c r="M38" s="302">
        <v>0</v>
      </c>
    </row>
    <row r="39" spans="1:13" ht="13.5" thickBot="1" x14ac:dyDescent="0.25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11">
        <v>0</v>
      </c>
      <c r="M39" s="311"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302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302"/>
    </row>
    <row r="42" spans="1:13" x14ac:dyDescent="0.2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02">
        <v>0</v>
      </c>
    </row>
    <row r="43" spans="1:13" x14ac:dyDescent="0.2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02">
        <v>0</v>
      </c>
    </row>
    <row r="44" spans="1:13" x14ac:dyDescent="0.2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02"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02"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02"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02"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2">
        <v>0</v>
      </c>
      <c r="M48" s="302">
        <v>0</v>
      </c>
    </row>
    <row r="49" spans="1:13" ht="13.5" thickBot="1" x14ac:dyDescent="0.25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11">
        <v>0</v>
      </c>
      <c r="M49" s="311"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302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302"/>
    </row>
    <row r="52" spans="1:13" x14ac:dyDescent="0.2">
      <c r="A52" s="1"/>
      <c r="B52" s="1"/>
      <c r="C52" s="1" t="s">
        <v>319</v>
      </c>
      <c r="E52" s="302">
        <v>0</v>
      </c>
      <c r="F52" s="302"/>
      <c r="G52" s="302">
        <v>0</v>
      </c>
      <c r="H52" s="302"/>
      <c r="I52" s="302">
        <v>0</v>
      </c>
      <c r="J52" s="302"/>
      <c r="K52" s="302">
        <v>0</v>
      </c>
      <c r="M52" s="302">
        <v>0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302"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02">
        <v>0</v>
      </c>
    </row>
    <row r="55" spans="1:13" ht="13.5" thickBot="1" x14ac:dyDescent="0.25">
      <c r="A55" s="1"/>
      <c r="B55" s="1"/>
      <c r="C55" s="1" t="s">
        <v>262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308">
        <v>0</v>
      </c>
    </row>
    <row r="56" spans="1:13" ht="13.5" thickBot="1" x14ac:dyDescent="0.25">
      <c r="A56" s="1"/>
      <c r="B56" s="1"/>
      <c r="C56" s="2" t="s">
        <v>39</v>
      </c>
      <c r="E56" s="311">
        <v>0</v>
      </c>
      <c r="F56" s="302"/>
      <c r="G56" s="311">
        <v>0</v>
      </c>
      <c r="H56" s="302"/>
      <c r="I56" s="311">
        <v>0</v>
      </c>
      <c r="J56" s="309"/>
      <c r="K56" s="311">
        <v>0</v>
      </c>
      <c r="M56" s="311">
        <v>0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302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302"/>
    </row>
    <row r="59" spans="1:13" ht="16.5" thickBot="1" x14ac:dyDescent="0.3">
      <c r="A59" s="315" t="s">
        <v>263</v>
      </c>
      <c r="B59" s="315"/>
      <c r="C59" s="315"/>
      <c r="E59" s="316">
        <v>110378.09729999956</v>
      </c>
      <c r="F59" s="316"/>
      <c r="G59" s="316">
        <v>0</v>
      </c>
      <c r="H59" s="316"/>
      <c r="I59" s="316">
        <v>132130.10839999991</v>
      </c>
      <c r="J59" s="316"/>
      <c r="K59" s="316">
        <v>2617.999300000025</v>
      </c>
      <c r="L59" s="316"/>
      <c r="M59" s="316">
        <v>245126.20500000007</v>
      </c>
    </row>
    <row r="60" spans="1:13" x14ac:dyDescent="0.2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2:M131"/>
  <sheetViews>
    <sheetView zoomScale="75" workbookViewId="0">
      <pane xSplit="3" ySplit="6" topLeftCell="D7" activePane="bottomRight" state="frozen"/>
      <selection activeCell="H24" sqref="H24"/>
      <selection pane="topRight" activeCell="H24" sqref="H24"/>
      <selection pane="bottomLeft" activeCell="H24" sqref="H24"/>
      <selection pane="bottomRight" activeCell="H24" sqref="H24"/>
    </sheetView>
  </sheetViews>
  <sheetFormatPr defaultRowHeight="12.75" x14ac:dyDescent="0.2"/>
  <cols>
    <col min="1" max="1" width="4.42578125" customWidth="1"/>
    <col min="2" max="2" width="5.28515625" customWidth="1"/>
    <col min="3" max="3" width="21.7109375" customWidth="1"/>
    <col min="4" max="4" width="16.7109375" customWidth="1"/>
    <col min="5" max="5" width="12.42578125" customWidth="1"/>
    <col min="6" max="6" width="9" customWidth="1"/>
    <col min="7" max="7" width="11.140625" bestFit="1" customWidth="1"/>
    <col min="9" max="9" width="11.140625" bestFit="1" customWidth="1"/>
    <col min="13" max="13" width="11.42578125" customWidth="1"/>
  </cols>
  <sheetData>
    <row r="2" spans="1:13" ht="37.5" x14ac:dyDescent="0.7">
      <c r="A2" s="408" t="s">
        <v>343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3" x14ac:dyDescent="0.2">
      <c r="E3" s="60"/>
      <c r="F3" s="60"/>
      <c r="G3" s="60"/>
      <c r="H3" s="60"/>
      <c r="I3" s="60"/>
      <c r="J3" s="60"/>
      <c r="K3" s="60"/>
    </row>
    <row r="4" spans="1:13" ht="14.25" x14ac:dyDescent="0.2">
      <c r="C4" s="393">
        <f>'ENRON MIDWEST P&amp;L'!A4</f>
        <v>36790</v>
      </c>
      <c r="E4" s="298"/>
      <c r="F4" s="298"/>
      <c r="G4" s="298"/>
      <c r="H4" s="298"/>
      <c r="I4" s="298"/>
      <c r="J4" s="298"/>
      <c r="K4" s="298"/>
    </row>
    <row r="5" spans="1:13" ht="14.25" x14ac:dyDescent="0.2">
      <c r="E5" s="298"/>
      <c r="F5" s="298"/>
      <c r="G5" s="298"/>
      <c r="H5" s="298"/>
      <c r="I5" s="298"/>
      <c r="J5" s="298"/>
      <c r="K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f>Physical!D25+Physical!D26-Physical!D10-Physical!D20</f>
        <v>-4425305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-40429</v>
      </c>
      <c r="J10" s="302"/>
      <c r="K10" s="302">
        <f>Physical!K59+Physical!K60-Physical!K44-Physical!K54</f>
        <v>0</v>
      </c>
      <c r="M10" s="402">
        <f>SUM(E10:K10)</f>
        <v>-4465734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2">
        <f>SUM(E11:K11)</f>
        <v>0</v>
      </c>
    </row>
    <row r="12" spans="1:13" x14ac:dyDescent="0.2">
      <c r="A12" s="1"/>
      <c r="B12" s="1"/>
      <c r="C12" s="1" t="s">
        <v>243</v>
      </c>
      <c r="E12" s="302">
        <f>Physical!D31</f>
        <v>0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2">
        <f>SUM(E12:K12)</f>
        <v>0</v>
      </c>
    </row>
    <row r="13" spans="1:13" ht="13.5" thickBot="1" x14ac:dyDescent="0.25">
      <c r="A13" s="1"/>
      <c r="B13" s="1"/>
      <c r="C13" s="1" t="s">
        <v>244</v>
      </c>
      <c r="E13" s="308">
        <f>Physical!D33</f>
        <v>268012</v>
      </c>
      <c r="F13" s="302"/>
      <c r="G13" s="308">
        <f>Physical!K33</f>
        <v>0</v>
      </c>
      <c r="H13" s="302"/>
      <c r="I13" s="308">
        <f>Physical!D67</f>
        <v>0</v>
      </c>
      <c r="J13" s="309"/>
      <c r="K13" s="308">
        <f>Physical!K67</f>
        <v>0</v>
      </c>
      <c r="M13" s="403">
        <f>SUM(E13:K13)</f>
        <v>268012</v>
      </c>
    </row>
    <row r="14" spans="1:13" ht="13.5" thickBot="1" x14ac:dyDescent="0.25">
      <c r="A14" s="1"/>
      <c r="B14" s="1"/>
      <c r="C14" s="2" t="s">
        <v>39</v>
      </c>
      <c r="E14" s="311">
        <f>SUM(E10:E13)</f>
        <v>-4157293</v>
      </c>
      <c r="F14" s="6"/>
      <c r="G14" s="311">
        <f>SUM(G10:G13)</f>
        <v>0</v>
      </c>
      <c r="H14" s="6"/>
      <c r="I14" s="311">
        <f>SUM(I10:I13)</f>
        <v>-40429</v>
      </c>
      <c r="J14" s="309"/>
      <c r="K14" s="311">
        <f>SUM(K10:K13)</f>
        <v>0</v>
      </c>
      <c r="M14" s="404">
        <f>SUM(M10:M13)</f>
        <v>-4197722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5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5"/>
    </row>
    <row r="17" spans="1:13" x14ac:dyDescent="0.2">
      <c r="A17" s="1"/>
      <c r="B17" s="1"/>
      <c r="C17" s="1" t="s">
        <v>246</v>
      </c>
      <c r="E17" s="302">
        <f>'Intra-EMWNSS1'!D15+'Intra-EMWNSS1'!D25+'Intra-EMWNSS1'!D35</f>
        <v>4258372.1426999997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</f>
        <v>154987.24239999987</v>
      </c>
      <c r="J17" s="302"/>
      <c r="K17" s="302">
        <f>'TP-EMWNSS'!D15+'TP-EMWNSS'!D25+'TP-EMWNSS'!D35</f>
        <v>2768.2867000000551</v>
      </c>
      <c r="M17" s="402">
        <f t="shared" ref="M17:M23" si="0">SUM(E17:K17)</f>
        <v>4416127.6717999997</v>
      </c>
    </row>
    <row r="18" spans="1:13" x14ac:dyDescent="0.2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2">
        <f t="shared" si="0"/>
        <v>0</v>
      </c>
    </row>
    <row r="19" spans="1:13" x14ac:dyDescent="0.2">
      <c r="A19" s="1"/>
      <c r="B19" s="1"/>
      <c r="C19" s="1" t="s">
        <v>248</v>
      </c>
      <c r="E19" s="302">
        <f>'Intra-EMWNSS1'!D16+'Intra-EMWNSS1'!D26+'Intra-EMWNSS1'!D36</f>
        <v>11037.208899999998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57135.255600000033</v>
      </c>
      <c r="J19" s="302"/>
      <c r="K19" s="302">
        <f>'TP-EMWNSS'!D16+'TP-EMWNSS'!D26+'TP-EMWNSS'!D36</f>
        <v>1E-4</v>
      </c>
      <c r="M19" s="402">
        <f t="shared" si="0"/>
        <v>68172.464600000036</v>
      </c>
    </row>
    <row r="20" spans="1:13" x14ac:dyDescent="0.2">
      <c r="A20" s="1"/>
      <c r="B20" s="1"/>
      <c r="C20" s="1" t="s">
        <v>249</v>
      </c>
      <c r="E20" s="302">
        <f>'Intra-EMWNSS1'!D17+'Intra-EMWNSS1'!D27+'Intra-EMWNSS1'!D37</f>
        <v>85.806899999999587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-11088.7961</v>
      </c>
      <c r="J20" s="302"/>
      <c r="K20" s="302">
        <f>'TP-EMWNSS'!D17+'TP-EMWNSS'!D27+'TP-EMWNSS'!D37</f>
        <v>-2.0000000000000001E-4</v>
      </c>
      <c r="M20" s="402">
        <f t="shared" si="0"/>
        <v>-11002.9894</v>
      </c>
    </row>
    <row r="21" spans="1:13" x14ac:dyDescent="0.2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2">
        <f t="shared" si="0"/>
        <v>0</v>
      </c>
    </row>
    <row r="22" spans="1:13" x14ac:dyDescent="0.2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2">
        <f t="shared" si="0"/>
        <v>0</v>
      </c>
    </row>
    <row r="23" spans="1:13" ht="13.5" thickBot="1" x14ac:dyDescent="0.25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3">
        <f t="shared" si="0"/>
        <v>0</v>
      </c>
    </row>
    <row r="24" spans="1:13" ht="13.5" thickBot="1" x14ac:dyDescent="0.25">
      <c r="A24" s="1"/>
      <c r="B24" s="1"/>
      <c r="C24" s="2" t="s">
        <v>39</v>
      </c>
      <c r="E24" s="311">
        <f>SUM(E17:E23)</f>
        <v>4269495.1584999999</v>
      </c>
      <c r="F24" s="302"/>
      <c r="G24" s="308">
        <f>SUM(G17:G23)</f>
        <v>0</v>
      </c>
      <c r="H24" s="302"/>
      <c r="I24" s="308">
        <f>SUM(I17:I23)</f>
        <v>201033.7018999999</v>
      </c>
      <c r="J24" s="309"/>
      <c r="K24" s="308">
        <f>SUM(K17:K23)</f>
        <v>2768.2866000000554</v>
      </c>
      <c r="M24" s="404">
        <f>SUM(M17:M23)</f>
        <v>4473297.1469999989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5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5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2">
        <f>SUM(E27:K27)</f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3">
        <f>SUM(E28:K28)</f>
        <v>0</v>
      </c>
    </row>
    <row r="29" spans="1:13" ht="13.5" thickBot="1" x14ac:dyDescent="0.25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4">
        <f>SUM(M27:M28)</f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5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5"/>
    </row>
    <row r="32" spans="1:13" x14ac:dyDescent="0.2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2">
        <f t="shared" ref="M32:M38" si="1">SUM(E32:K32)</f>
        <v>0</v>
      </c>
    </row>
    <row r="33" spans="1:13" x14ac:dyDescent="0.2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2">
        <f t="shared" si="1"/>
        <v>0</v>
      </c>
    </row>
    <row r="34" spans="1:13" x14ac:dyDescent="0.2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2">
        <f t="shared" si="1"/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2">
        <f t="shared" si="1"/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2">
        <f t="shared" si="1"/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2">
        <f t="shared" si="1"/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3">
        <f t="shared" si="1"/>
        <v>0</v>
      </c>
    </row>
    <row r="39" spans="1:13" ht="13.5" thickBot="1" x14ac:dyDescent="0.25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4">
        <f>SUM(M32:M38)</f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5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5"/>
    </row>
    <row r="42" spans="1:13" x14ac:dyDescent="0.2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2">
        <f t="shared" ref="M42:M48" si="2">SUM(E42:K42)</f>
        <v>0</v>
      </c>
    </row>
    <row r="43" spans="1:13" x14ac:dyDescent="0.2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2">
        <f t="shared" si="2"/>
        <v>0</v>
      </c>
    </row>
    <row r="44" spans="1:13" x14ac:dyDescent="0.2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2">
        <f t="shared" si="2"/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2">
        <f t="shared" si="2"/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2">
        <f t="shared" si="2"/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2">
        <f t="shared" si="2"/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3">
        <f t="shared" si="2"/>
        <v>0</v>
      </c>
    </row>
    <row r="49" spans="1:13" ht="13.5" thickBot="1" x14ac:dyDescent="0.25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4">
        <f>SUM(M42:M48)</f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5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5"/>
    </row>
    <row r="52" spans="1:13" x14ac:dyDescent="0.2">
      <c r="A52" s="1"/>
      <c r="B52" s="1"/>
      <c r="C52" s="1" t="s">
        <v>319</v>
      </c>
      <c r="E52" s="302">
        <f>Other!E30</f>
        <v>-98179.375</v>
      </c>
      <c r="F52" s="302"/>
      <c r="G52" s="302">
        <f>Other!E31</f>
        <v>0</v>
      </c>
      <c r="H52" s="302"/>
      <c r="I52" s="302">
        <f>Other!E32</f>
        <v>-80302.5</v>
      </c>
      <c r="J52" s="302"/>
      <c r="K52" s="302">
        <f>Other!E33</f>
        <v>-2422</v>
      </c>
      <c r="M52" s="402">
        <f>SUM(E52:K52)</f>
        <v>-180903.875</v>
      </c>
    </row>
    <row r="53" spans="1:13" x14ac:dyDescent="0.2">
      <c r="A53" s="1"/>
      <c r="B53" s="1"/>
      <c r="C53" s="1" t="s">
        <v>7</v>
      </c>
      <c r="E53" s="302">
        <f>Physical!D34</f>
        <v>0</v>
      </c>
      <c r="F53" s="302"/>
      <c r="G53" s="302">
        <f>Physical!K34</f>
        <v>0</v>
      </c>
      <c r="H53" s="302"/>
      <c r="I53" s="302">
        <f>Physical!D68</f>
        <v>0</v>
      </c>
      <c r="J53" s="302"/>
      <c r="K53" s="302">
        <f>Physical!K68</f>
        <v>0</v>
      </c>
      <c r="M53" s="402">
        <f>SUM(E53:K53)</f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2">
        <f>SUM(E54:K54)</f>
        <v>0</v>
      </c>
    </row>
    <row r="55" spans="1:13" ht="13.5" thickBot="1" x14ac:dyDescent="0.25">
      <c r="A55" s="1"/>
      <c r="B55" s="1"/>
      <c r="C55" s="1" t="s">
        <v>337</v>
      </c>
      <c r="E55" s="308">
        <f>Other!E35</f>
        <v>-7011.5</v>
      </c>
      <c r="F55" s="302"/>
      <c r="G55" s="308">
        <f>Other!E36</f>
        <v>0</v>
      </c>
      <c r="H55" s="302"/>
      <c r="I55" s="308">
        <f>Other!E37</f>
        <v>-40151</v>
      </c>
      <c r="J55" s="309"/>
      <c r="K55" s="308">
        <f>Other!E38</f>
        <v>-173</v>
      </c>
      <c r="M55" s="403">
        <f>SUM(E55:K55)</f>
        <v>-47335.5</v>
      </c>
    </row>
    <row r="56" spans="1:13" ht="13.5" thickBot="1" x14ac:dyDescent="0.25">
      <c r="A56" s="1"/>
      <c r="B56" s="1"/>
      <c r="C56" s="2" t="s">
        <v>39</v>
      </c>
      <c r="E56" s="311">
        <f>SUM(E52:E55)</f>
        <v>-105190.875</v>
      </c>
      <c r="F56" s="302"/>
      <c r="G56" s="311">
        <f>SUM(G52:G55)</f>
        <v>0</v>
      </c>
      <c r="H56" s="302"/>
      <c r="I56" s="311">
        <f>SUM(I52:I55)</f>
        <v>-120453.5</v>
      </c>
      <c r="J56" s="309"/>
      <c r="K56" s="308">
        <f>SUM(K52:K55)</f>
        <v>-2595</v>
      </c>
      <c r="M56" s="403">
        <f>SUM(M52:M55)</f>
        <v>-228239.375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5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5"/>
    </row>
    <row r="59" spans="1:13" ht="16.5" thickBot="1" x14ac:dyDescent="0.3">
      <c r="A59" s="315" t="s">
        <v>263</v>
      </c>
      <c r="B59" s="315"/>
      <c r="C59" s="315"/>
      <c r="D59" s="315"/>
      <c r="E59" s="316">
        <f>E14+E24+E29+E39+E49+E56</f>
        <v>7011.2834999999031</v>
      </c>
      <c r="F59" s="316"/>
      <c r="G59" s="316">
        <f>G14+G24+G29+G39+G49+G56</f>
        <v>0</v>
      </c>
      <c r="H59" s="316"/>
      <c r="I59" s="316">
        <f>I14+I24+I29+I39+I49+I56</f>
        <v>40151.201899999898</v>
      </c>
      <c r="J59" s="316"/>
      <c r="K59" s="316">
        <f>K14+K24+K29+K39+K49+K56</f>
        <v>173.28660000005539</v>
      </c>
      <c r="L59" s="316"/>
      <c r="M59" s="316">
        <f>M14+M24+M29+M39+M49+M56</f>
        <v>47335.771999998949</v>
      </c>
    </row>
    <row r="60" spans="1:13" ht="13.5" thickBot="1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5"/>
    </row>
    <row r="61" spans="1:13" ht="13.5" thickBot="1" x14ac:dyDescent="0.25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5"/>
    </row>
    <row r="62" spans="1:13" ht="13.5" thickBot="1" x14ac:dyDescent="0.25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5"/>
    </row>
    <row r="63" spans="1:13" x14ac:dyDescent="0.2">
      <c r="A63" s="1"/>
      <c r="B63" s="1"/>
      <c r="C63" s="1" t="s">
        <v>242</v>
      </c>
      <c r="E63" s="302">
        <f>E10-'Prior P&amp;L'!E10</f>
        <v>0</v>
      </c>
      <c r="F63" s="302"/>
      <c r="G63" s="302">
        <f>G10-'Prior P&amp;L'!G10</f>
        <v>0</v>
      </c>
      <c r="H63" s="302"/>
      <c r="I63" s="302">
        <f>I10-'Prior P&amp;L'!I10</f>
        <v>2401</v>
      </c>
      <c r="J63" s="302"/>
      <c r="K63" s="302">
        <f>K10-'Prior P&amp;L'!K10</f>
        <v>0</v>
      </c>
      <c r="M63" s="402">
        <f>SUM(E63:K63)</f>
        <v>2401</v>
      </c>
    </row>
    <row r="64" spans="1:13" x14ac:dyDescent="0.2">
      <c r="A64" s="1"/>
      <c r="B64" s="1"/>
      <c r="C64" s="1" t="s">
        <v>40</v>
      </c>
      <c r="E64" s="302">
        <f>E11-'Prior P&amp;L'!E11</f>
        <v>0</v>
      </c>
      <c r="F64" s="302"/>
      <c r="G64" s="302">
        <f>G11-'Prior P&amp;L'!G11</f>
        <v>0</v>
      </c>
      <c r="H64" s="302"/>
      <c r="I64" s="302">
        <f>I11-'Prior P&amp;L'!I11</f>
        <v>0</v>
      </c>
      <c r="J64" s="302"/>
      <c r="K64" s="302">
        <f>K11-'Prior P&amp;L'!K11</f>
        <v>0</v>
      </c>
      <c r="M64" s="402">
        <f>SUM(E64:K64)</f>
        <v>0</v>
      </c>
    </row>
    <row r="65" spans="1:13" x14ac:dyDescent="0.2">
      <c r="A65" s="1"/>
      <c r="B65" s="1"/>
      <c r="C65" s="1" t="s">
        <v>243</v>
      </c>
      <c r="E65" s="302">
        <f>E12-'Prior P&amp;L'!E12</f>
        <v>0</v>
      </c>
      <c r="F65" s="302"/>
      <c r="G65" s="302">
        <f>G12-'Prior P&amp;L'!G12</f>
        <v>0</v>
      </c>
      <c r="H65" s="302"/>
      <c r="I65" s="302">
        <f>I12-'Prior P&amp;L'!I12</f>
        <v>0</v>
      </c>
      <c r="J65" s="302"/>
      <c r="K65" s="302">
        <f>K12-'Prior P&amp;L'!K12</f>
        <v>0</v>
      </c>
      <c r="M65" s="402">
        <f>SUM(E65:K65)</f>
        <v>0</v>
      </c>
    </row>
    <row r="66" spans="1:13" ht="13.5" thickBot="1" x14ac:dyDescent="0.25">
      <c r="A66" s="1" t="s">
        <v>27</v>
      </c>
      <c r="B66" s="1"/>
      <c r="C66" s="1" t="s">
        <v>244</v>
      </c>
      <c r="E66" s="302">
        <f>E13-'Prior P&amp;L'!E13</f>
        <v>0</v>
      </c>
      <c r="F66" s="302"/>
      <c r="G66" s="302">
        <f>G13-'Prior P&amp;L'!G13</f>
        <v>0</v>
      </c>
      <c r="H66" s="302"/>
      <c r="I66" s="302">
        <f>I13-'Prior P&amp;L'!I13</f>
        <v>0</v>
      </c>
      <c r="J66" s="302"/>
      <c r="K66" s="302">
        <f>K13-'Prior P&amp;L'!K13</f>
        <v>0</v>
      </c>
      <c r="M66" s="403">
        <f>SUM(E66:K66)</f>
        <v>0</v>
      </c>
    </row>
    <row r="67" spans="1:13" ht="13.5" thickBot="1" x14ac:dyDescent="0.25">
      <c r="A67" s="1"/>
      <c r="B67" s="1"/>
      <c r="C67" s="2" t="s">
        <v>39</v>
      </c>
      <c r="E67" s="311">
        <f>SUM(E63:E66)</f>
        <v>0</v>
      </c>
      <c r="F67" s="302"/>
      <c r="G67" s="311">
        <f>SUM(G63:G66)</f>
        <v>0</v>
      </c>
      <c r="H67" s="309"/>
      <c r="I67" s="311">
        <f>SUM(I63:I66)</f>
        <v>2401</v>
      </c>
      <c r="J67" s="309"/>
      <c r="K67" s="311">
        <f>SUM(K63:K66)</f>
        <v>0</v>
      </c>
      <c r="M67" s="404">
        <f>SUM(M63:M66)</f>
        <v>2401</v>
      </c>
    </row>
    <row r="68" spans="1:13" x14ac:dyDescent="0.2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5"/>
    </row>
    <row r="69" spans="1:13" ht="13.5" thickBot="1" x14ac:dyDescent="0.25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5"/>
    </row>
    <row r="70" spans="1:13" x14ac:dyDescent="0.2">
      <c r="A70" s="1"/>
      <c r="B70" s="1"/>
      <c r="C70" s="1" t="s">
        <v>246</v>
      </c>
      <c r="E70" s="302">
        <f>E17-'Prior P&amp;L'!E17</f>
        <v>1788.8595000002533</v>
      </c>
      <c r="F70" s="302"/>
      <c r="G70" s="302">
        <f>G17-'Prior P&amp;L'!G17</f>
        <v>0</v>
      </c>
      <c r="H70" s="302"/>
      <c r="I70" s="302">
        <f>I17-'Prior P&amp;L'!I17</f>
        <v>9156.2020000000484</v>
      </c>
      <c r="J70" s="302"/>
      <c r="K70" s="302">
        <f>K17-'Prior P&amp;L'!K17</f>
        <v>150.28740000003017</v>
      </c>
      <c r="M70" s="402">
        <f t="shared" ref="M70:M76" si="3">SUM(E70:K70)</f>
        <v>11095.348900000332</v>
      </c>
    </row>
    <row r="71" spans="1:13" x14ac:dyDescent="0.2">
      <c r="A71" s="1"/>
      <c r="B71" s="1"/>
      <c r="C71" s="1" t="s">
        <v>247</v>
      </c>
      <c r="E71" s="302">
        <f>E18-'Prior P&amp;L'!E18</f>
        <v>0</v>
      </c>
      <c r="F71" s="302"/>
      <c r="G71" s="302">
        <f>G18-'Prior P&amp;L'!G18</f>
        <v>0</v>
      </c>
      <c r="H71" s="302"/>
      <c r="I71" s="302">
        <f>I18-'Prior P&amp;L'!I18</f>
        <v>0</v>
      </c>
      <c r="J71" s="302"/>
      <c r="K71" s="302">
        <f>K18-'Prior P&amp;L'!K18</f>
        <v>0</v>
      </c>
      <c r="M71" s="402">
        <f t="shared" si="3"/>
        <v>0</v>
      </c>
    </row>
    <row r="72" spans="1:13" x14ac:dyDescent="0.2">
      <c r="A72" s="1"/>
      <c r="B72" s="1"/>
      <c r="C72" s="1" t="s">
        <v>248</v>
      </c>
      <c r="E72" s="302">
        <f>E19-'Prior P&amp;L'!E19</f>
        <v>30.844000000011874</v>
      </c>
      <c r="F72" s="302"/>
      <c r="G72" s="302">
        <f>G19-'Prior P&amp;L'!G19</f>
        <v>0</v>
      </c>
      <c r="H72" s="302"/>
      <c r="I72" s="302">
        <f>I19-'Prior P&amp;L'!I19</f>
        <v>22844.235499999952</v>
      </c>
      <c r="J72" s="302"/>
      <c r="K72" s="302">
        <f>K19-'Prior P&amp;L'!K19</f>
        <v>1E-4</v>
      </c>
      <c r="M72" s="402">
        <f t="shared" si="3"/>
        <v>22875.079599999965</v>
      </c>
    </row>
    <row r="73" spans="1:13" x14ac:dyDescent="0.2">
      <c r="A73" s="1"/>
      <c r="B73" s="1"/>
      <c r="C73" s="1" t="s">
        <v>249</v>
      </c>
      <c r="E73" s="302">
        <f>E20-'Prior P&amp;L'!E20</f>
        <v>4.3577000000004773</v>
      </c>
      <c r="F73" s="302"/>
      <c r="G73" s="302">
        <f>G20-'Prior P&amp;L'!G20</f>
        <v>0</v>
      </c>
      <c r="H73" s="302"/>
      <c r="I73" s="302">
        <f>I20-'Prior P&amp;L'!I20</f>
        <v>-5926.8439999999991</v>
      </c>
      <c r="J73" s="302"/>
      <c r="K73" s="302">
        <f>K20-'Prior P&amp;L'!K20</f>
        <v>-2.0000000000000001E-4</v>
      </c>
      <c r="M73" s="402">
        <f t="shared" si="3"/>
        <v>-5922.4864999999991</v>
      </c>
    </row>
    <row r="74" spans="1:13" x14ac:dyDescent="0.2">
      <c r="A74" s="1"/>
      <c r="B74" s="1"/>
      <c r="C74" s="1" t="s">
        <v>250</v>
      </c>
      <c r="E74" s="302">
        <f>E21-'Prior P&amp;L'!E21</f>
        <v>0</v>
      </c>
      <c r="F74" s="302"/>
      <c r="G74" s="302">
        <f>G21-'Prior P&amp;L'!G21</f>
        <v>0</v>
      </c>
      <c r="H74" s="302"/>
      <c r="I74" s="302">
        <f>I21-'Prior P&amp;L'!I21</f>
        <v>0</v>
      </c>
      <c r="J74" s="302"/>
      <c r="K74" s="302">
        <f>K21-'Prior P&amp;L'!K21</f>
        <v>0</v>
      </c>
      <c r="M74" s="402">
        <f t="shared" si="3"/>
        <v>0</v>
      </c>
    </row>
    <row r="75" spans="1:13" x14ac:dyDescent="0.2">
      <c r="A75" s="1"/>
      <c r="B75" s="1"/>
      <c r="C75" s="1" t="s">
        <v>193</v>
      </c>
      <c r="E75" s="302">
        <f>E22-'Prior P&amp;L'!E22</f>
        <v>0</v>
      </c>
      <c r="F75" s="302"/>
      <c r="G75" s="302">
        <f>G22-'Prior P&amp;L'!G22</f>
        <v>0</v>
      </c>
      <c r="H75" s="302"/>
      <c r="I75" s="302">
        <f>I22-'Prior P&amp;L'!I22</f>
        <v>0</v>
      </c>
      <c r="J75" s="302"/>
      <c r="K75" s="302">
        <f>K22-'Prior P&amp;L'!K22</f>
        <v>0</v>
      </c>
      <c r="M75" s="402">
        <f t="shared" si="3"/>
        <v>0</v>
      </c>
    </row>
    <row r="76" spans="1:13" ht="13.5" thickBot="1" x14ac:dyDescent="0.25">
      <c r="A76" s="1"/>
      <c r="B76" s="1"/>
      <c r="C76" s="1" t="s">
        <v>30</v>
      </c>
      <c r="E76" s="302">
        <f>E23-'Prior P&amp;L'!E23</f>
        <v>0</v>
      </c>
      <c r="F76" s="302"/>
      <c r="G76" s="302">
        <f>G23-'Prior P&amp;L'!G23</f>
        <v>0</v>
      </c>
      <c r="H76" s="302"/>
      <c r="I76" s="302">
        <f>I23-'Prior P&amp;L'!I23</f>
        <v>0</v>
      </c>
      <c r="J76" s="302"/>
      <c r="K76" s="302">
        <f>K23-'Prior P&amp;L'!K23</f>
        <v>0</v>
      </c>
      <c r="M76" s="403">
        <f t="shared" si="3"/>
        <v>0</v>
      </c>
    </row>
    <row r="77" spans="1:13" ht="13.5" thickBot="1" x14ac:dyDescent="0.25">
      <c r="A77" s="1"/>
      <c r="B77" s="1"/>
      <c r="C77" s="2" t="s">
        <v>39</v>
      </c>
      <c r="E77" s="311">
        <f>SUM(E70:E76)</f>
        <v>1824.0612000002657</v>
      </c>
      <c r="F77" s="302"/>
      <c r="G77" s="311">
        <f>SUM(G70:G76)</f>
        <v>0</v>
      </c>
      <c r="H77" s="302"/>
      <c r="I77" s="311">
        <f>SUM(I70:I76)</f>
        <v>26073.593500000003</v>
      </c>
      <c r="J77" s="309"/>
      <c r="K77" s="311">
        <f>SUM(K70:K76)</f>
        <v>150.28730000003017</v>
      </c>
      <c r="M77" s="404">
        <f>SUM(M70:M76)</f>
        <v>28047.942000000301</v>
      </c>
    </row>
    <row r="78" spans="1:13" x14ac:dyDescent="0.2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5"/>
    </row>
    <row r="79" spans="1:13" ht="13.5" thickBot="1" x14ac:dyDescent="0.25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5"/>
    </row>
    <row r="80" spans="1:13" x14ac:dyDescent="0.2">
      <c r="A80" s="1"/>
      <c r="B80" s="12"/>
      <c r="C80" s="12" t="s">
        <v>242</v>
      </c>
      <c r="E80" s="302">
        <f>E27-'Prior P&amp;L'!E27</f>
        <v>0</v>
      </c>
      <c r="F80" s="302"/>
      <c r="G80" s="302">
        <f>G27-'Prior P&amp;L'!G27</f>
        <v>0</v>
      </c>
      <c r="H80" s="309"/>
      <c r="I80" s="302">
        <f>I27-'Prior P&amp;L'!I27</f>
        <v>0</v>
      </c>
      <c r="J80" s="302"/>
      <c r="K80" s="302">
        <f>K27-'Prior P&amp;L'!K27</f>
        <v>0</v>
      </c>
      <c r="M80" s="402">
        <f>SUM(E80:K80)</f>
        <v>0</v>
      </c>
    </row>
    <row r="81" spans="1:13" ht="13.5" thickBot="1" x14ac:dyDescent="0.25">
      <c r="A81" s="1"/>
      <c r="B81" s="12"/>
      <c r="C81" s="12" t="s">
        <v>245</v>
      </c>
      <c r="E81" s="302">
        <f>E28-'Prior P&amp;L'!E28</f>
        <v>0</v>
      </c>
      <c r="F81" s="309"/>
      <c r="G81" s="302">
        <f>G28-'Prior P&amp;L'!G28</f>
        <v>0</v>
      </c>
      <c r="H81" s="309"/>
      <c r="I81" s="302">
        <f>I28-'Prior P&amp;L'!I28</f>
        <v>0</v>
      </c>
      <c r="J81" s="302"/>
      <c r="K81" s="302">
        <f>K28-'Prior P&amp;L'!K28</f>
        <v>0</v>
      </c>
      <c r="M81" s="403">
        <f>SUM(E81:K81)</f>
        <v>0</v>
      </c>
    </row>
    <row r="82" spans="1:13" ht="13.5" thickBot="1" x14ac:dyDescent="0.25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5"/>
    </row>
    <row r="84" spans="1:13" ht="13.5" thickBot="1" x14ac:dyDescent="0.25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5"/>
    </row>
    <row r="85" spans="1:13" x14ac:dyDescent="0.2">
      <c r="A85" s="1"/>
      <c r="B85" s="1"/>
      <c r="C85" s="1" t="s">
        <v>253</v>
      </c>
      <c r="E85" s="302">
        <f>E32-'Prior P&amp;L'!E32</f>
        <v>0</v>
      </c>
      <c r="F85" s="309"/>
      <c r="G85" s="302">
        <f>G32-'Prior P&amp;L'!G32</f>
        <v>0</v>
      </c>
      <c r="H85" s="309"/>
      <c r="I85" s="302">
        <f>I32-'Prior P&amp;L'!I32</f>
        <v>0</v>
      </c>
      <c r="J85" s="302"/>
      <c r="K85" s="302">
        <f>K32-'Prior P&amp;L'!K32</f>
        <v>0</v>
      </c>
      <c r="M85" s="402">
        <f t="shared" ref="M85:M91" si="4">SUM(E85:K85)</f>
        <v>0</v>
      </c>
    </row>
    <row r="86" spans="1:13" x14ac:dyDescent="0.2">
      <c r="A86" s="1"/>
      <c r="B86" s="1"/>
      <c r="C86" s="1" t="s">
        <v>254</v>
      </c>
      <c r="E86" s="302">
        <f>E33-'Prior P&amp;L'!E33</f>
        <v>0</v>
      </c>
      <c r="F86" s="309"/>
      <c r="G86" s="302">
        <f>G33-'Prior P&amp;L'!G33</f>
        <v>0</v>
      </c>
      <c r="H86" s="309"/>
      <c r="I86" s="302">
        <f>I33-'Prior P&amp;L'!I33</f>
        <v>0</v>
      </c>
      <c r="J86" s="302"/>
      <c r="K86" s="302">
        <f>K33-'Prior P&amp;L'!K33</f>
        <v>0</v>
      </c>
      <c r="M86" s="402">
        <f t="shared" si="4"/>
        <v>0</v>
      </c>
    </row>
    <row r="87" spans="1:13" x14ac:dyDescent="0.2">
      <c r="A87" s="1"/>
      <c r="B87" s="1"/>
      <c r="C87" s="1" t="s">
        <v>255</v>
      </c>
      <c r="E87" s="302">
        <f>E34-'Prior P&amp;L'!E34</f>
        <v>0</v>
      </c>
      <c r="F87" s="309"/>
      <c r="G87" s="302">
        <f>G34-'Prior P&amp;L'!G34</f>
        <v>0</v>
      </c>
      <c r="H87" s="309"/>
      <c r="I87" s="302">
        <f>I34-'Prior P&amp;L'!I34</f>
        <v>0</v>
      </c>
      <c r="J87" s="302"/>
      <c r="K87" s="302">
        <f>K34-'Prior P&amp;L'!K34</f>
        <v>0</v>
      </c>
      <c r="M87" s="402">
        <f t="shared" si="4"/>
        <v>0</v>
      </c>
    </row>
    <row r="88" spans="1:13" x14ac:dyDescent="0.2">
      <c r="A88" s="1"/>
      <c r="B88" s="1"/>
      <c r="C88" s="1" t="s">
        <v>256</v>
      </c>
      <c r="E88" s="302">
        <f>E35-'Prior P&amp;L'!E35</f>
        <v>0</v>
      </c>
      <c r="F88" s="309"/>
      <c r="G88" s="302">
        <f>G35-'Prior P&amp;L'!G35</f>
        <v>0</v>
      </c>
      <c r="H88" s="309"/>
      <c r="I88" s="302">
        <f>I35-'Prior P&amp;L'!I35</f>
        <v>0</v>
      </c>
      <c r="J88" s="302"/>
      <c r="K88" s="302">
        <f>K35-'Prior P&amp;L'!K35</f>
        <v>0</v>
      </c>
      <c r="M88" s="402">
        <f t="shared" si="4"/>
        <v>0</v>
      </c>
    </row>
    <row r="89" spans="1:13" x14ac:dyDescent="0.2">
      <c r="A89" s="1"/>
      <c r="B89" s="1"/>
      <c r="C89" s="1" t="s">
        <v>257</v>
      </c>
      <c r="E89" s="302">
        <f>E36-'Prior P&amp;L'!E36</f>
        <v>0</v>
      </c>
      <c r="F89" s="309"/>
      <c r="G89" s="302">
        <f>G36-'Prior P&amp;L'!G36</f>
        <v>0</v>
      </c>
      <c r="H89" s="309"/>
      <c r="I89" s="302">
        <f>I36-'Prior P&amp;L'!I36</f>
        <v>0</v>
      </c>
      <c r="J89" s="302"/>
      <c r="K89" s="302">
        <f>K36-'Prior P&amp;L'!K36</f>
        <v>0</v>
      </c>
      <c r="M89" s="402">
        <f t="shared" si="4"/>
        <v>0</v>
      </c>
    </row>
    <row r="90" spans="1:13" x14ac:dyDescent="0.2">
      <c r="A90" s="1"/>
      <c r="B90" s="1"/>
      <c r="C90" s="1" t="s">
        <v>258</v>
      </c>
      <c r="E90" s="302">
        <f>E37-'Prior P&amp;L'!E37</f>
        <v>0</v>
      </c>
      <c r="F90" s="309"/>
      <c r="G90" s="302">
        <f>G37-'Prior P&amp;L'!G37</f>
        <v>0</v>
      </c>
      <c r="H90" s="309"/>
      <c r="I90" s="302">
        <f>I37-'Prior P&amp;L'!I37</f>
        <v>0</v>
      </c>
      <c r="J90" s="302"/>
      <c r="K90" s="302">
        <f>K37-'Prior P&amp;L'!K37</f>
        <v>0</v>
      </c>
      <c r="M90" s="402">
        <f t="shared" si="4"/>
        <v>0</v>
      </c>
    </row>
    <row r="91" spans="1:13" ht="13.5" thickBot="1" x14ac:dyDescent="0.25">
      <c r="A91" s="1"/>
      <c r="B91" s="1"/>
      <c r="C91" s="1" t="s">
        <v>259</v>
      </c>
      <c r="E91" s="302">
        <f>E38-'Prior P&amp;L'!E38</f>
        <v>0</v>
      </c>
      <c r="F91" s="309"/>
      <c r="G91" s="302">
        <f>G38-'Prior P&amp;L'!G38</f>
        <v>0</v>
      </c>
      <c r="H91" s="309"/>
      <c r="I91" s="302">
        <f>I38-'Prior P&amp;L'!I38</f>
        <v>0</v>
      </c>
      <c r="J91" s="302"/>
      <c r="K91" s="302">
        <f>K38-'Prior P&amp;L'!K38</f>
        <v>0</v>
      </c>
      <c r="M91" s="403">
        <f t="shared" si="4"/>
        <v>0</v>
      </c>
    </row>
    <row r="92" spans="1:13" ht="13.5" thickBot="1" x14ac:dyDescent="0.25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4">
        <f>SUM(M85:M91)</f>
        <v>0</v>
      </c>
    </row>
    <row r="93" spans="1:13" x14ac:dyDescent="0.2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5"/>
    </row>
    <row r="94" spans="1:13" ht="13.5" thickBot="1" x14ac:dyDescent="0.25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5"/>
    </row>
    <row r="95" spans="1:13" x14ac:dyDescent="0.2">
      <c r="A95" s="1"/>
      <c r="B95" s="1"/>
      <c r="C95" s="1" t="s">
        <v>253</v>
      </c>
      <c r="E95" s="302">
        <f>E42-'Prior P&amp;L'!E42</f>
        <v>0</v>
      </c>
      <c r="F95" s="309"/>
      <c r="G95" s="302">
        <f>G42-'Prior P&amp;L'!G42</f>
        <v>0</v>
      </c>
      <c r="H95" s="309"/>
      <c r="I95" s="302">
        <f>I42-'Prior P&amp;L'!I42</f>
        <v>0</v>
      </c>
      <c r="J95" s="302"/>
      <c r="K95" s="302">
        <f>K42-'Prior P&amp;L'!K42</f>
        <v>0</v>
      </c>
      <c r="M95" s="402">
        <f t="shared" ref="M95:M101" si="5">SUM(E95:K95)</f>
        <v>0</v>
      </c>
    </row>
    <row r="96" spans="1:13" x14ac:dyDescent="0.2">
      <c r="A96" s="1"/>
      <c r="B96" s="1"/>
      <c r="C96" s="1" t="s">
        <v>254</v>
      </c>
      <c r="E96" s="302">
        <f>E43-'Prior P&amp;L'!E43</f>
        <v>0</v>
      </c>
      <c r="F96" s="309"/>
      <c r="G96" s="302">
        <f>G43-'Prior P&amp;L'!G43</f>
        <v>0</v>
      </c>
      <c r="H96" s="309"/>
      <c r="I96" s="302">
        <f>I43-'Prior P&amp;L'!I43</f>
        <v>0</v>
      </c>
      <c r="J96" s="302"/>
      <c r="K96" s="302">
        <f>K43-'Prior P&amp;L'!K43</f>
        <v>0</v>
      </c>
      <c r="M96" s="402">
        <f t="shared" si="5"/>
        <v>0</v>
      </c>
    </row>
    <row r="97" spans="1:13" x14ac:dyDescent="0.2">
      <c r="A97" s="1"/>
      <c r="B97" s="1"/>
      <c r="C97" s="1" t="s">
        <v>255</v>
      </c>
      <c r="E97" s="302">
        <f>E44-'Prior P&amp;L'!E44</f>
        <v>0</v>
      </c>
      <c r="F97" s="309"/>
      <c r="G97" s="302">
        <f>G44-'Prior P&amp;L'!G44</f>
        <v>0</v>
      </c>
      <c r="H97" s="309"/>
      <c r="I97" s="302">
        <f>I44-'Prior P&amp;L'!I44</f>
        <v>0</v>
      </c>
      <c r="J97" s="302"/>
      <c r="K97" s="302">
        <f>K44-'Prior P&amp;L'!K44</f>
        <v>0</v>
      </c>
      <c r="M97" s="402">
        <f t="shared" si="5"/>
        <v>0</v>
      </c>
    </row>
    <row r="98" spans="1:13" x14ac:dyDescent="0.2">
      <c r="A98" s="1"/>
      <c r="B98" s="1"/>
      <c r="C98" s="1" t="s">
        <v>256</v>
      </c>
      <c r="E98" s="302">
        <f>E45-'Prior P&amp;L'!E45</f>
        <v>0</v>
      </c>
      <c r="F98" s="309"/>
      <c r="G98" s="302">
        <f>G45-'Prior P&amp;L'!G45</f>
        <v>0</v>
      </c>
      <c r="H98" s="309"/>
      <c r="I98" s="302">
        <f>I45-'Prior P&amp;L'!I45</f>
        <v>0</v>
      </c>
      <c r="J98" s="302"/>
      <c r="K98" s="302">
        <f>K45-'Prior P&amp;L'!K45</f>
        <v>0</v>
      </c>
      <c r="M98" s="402">
        <f t="shared" si="5"/>
        <v>0</v>
      </c>
    </row>
    <row r="99" spans="1:13" x14ac:dyDescent="0.2">
      <c r="A99" s="1"/>
      <c r="B99" s="1"/>
      <c r="C99" s="1" t="s">
        <v>257</v>
      </c>
      <c r="E99" s="302">
        <f>E46-'Prior P&amp;L'!E46</f>
        <v>0</v>
      </c>
      <c r="F99" s="309"/>
      <c r="G99" s="302">
        <f>G46-'Prior P&amp;L'!G46</f>
        <v>0</v>
      </c>
      <c r="H99" s="309"/>
      <c r="I99" s="302">
        <f>I46-'Prior P&amp;L'!I46</f>
        <v>0</v>
      </c>
      <c r="J99" s="302"/>
      <c r="K99" s="302">
        <f>K46-'Prior P&amp;L'!K46</f>
        <v>0</v>
      </c>
      <c r="M99" s="402">
        <f t="shared" si="5"/>
        <v>0</v>
      </c>
    </row>
    <row r="100" spans="1:13" x14ac:dyDescent="0.2">
      <c r="A100" s="1"/>
      <c r="B100" s="1"/>
      <c r="C100" s="1" t="s">
        <v>258</v>
      </c>
      <c r="E100" s="302">
        <f>E47-'Prior P&amp;L'!E47</f>
        <v>0</v>
      </c>
      <c r="F100" s="309"/>
      <c r="G100" s="302">
        <f>G47-'Prior P&amp;L'!G47</f>
        <v>0</v>
      </c>
      <c r="H100" s="309"/>
      <c r="I100" s="302">
        <f>I47-'Prior P&amp;L'!I47</f>
        <v>0</v>
      </c>
      <c r="J100" s="302"/>
      <c r="K100" s="302">
        <f>K47-'Prior P&amp;L'!K47</f>
        <v>0</v>
      </c>
      <c r="M100" s="402">
        <f t="shared" si="5"/>
        <v>0</v>
      </c>
    </row>
    <row r="101" spans="1:13" ht="13.5" thickBot="1" x14ac:dyDescent="0.25">
      <c r="A101" s="1"/>
      <c r="B101" s="1"/>
      <c r="C101" s="1" t="s">
        <v>259</v>
      </c>
      <c r="E101" s="302">
        <f>E48-'Prior P&amp;L'!E48</f>
        <v>0</v>
      </c>
      <c r="F101" s="309"/>
      <c r="G101" s="302">
        <f>G48-'Prior P&amp;L'!G48</f>
        <v>0</v>
      </c>
      <c r="H101" s="309"/>
      <c r="I101" s="302">
        <f>I48-'Prior P&amp;L'!I48</f>
        <v>0</v>
      </c>
      <c r="J101" s="302"/>
      <c r="K101" s="302">
        <f>K48-'Prior P&amp;L'!K48</f>
        <v>0</v>
      </c>
      <c r="M101" s="403">
        <f t="shared" si="5"/>
        <v>0</v>
      </c>
    </row>
    <row r="102" spans="1:13" ht="13.5" thickBot="1" x14ac:dyDescent="0.25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4">
        <f>SUM(M95:M101)</f>
        <v>0</v>
      </c>
    </row>
    <row r="103" spans="1:13" x14ac:dyDescent="0.2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5"/>
    </row>
    <row r="104" spans="1:13" ht="13.5" thickBot="1" x14ac:dyDescent="0.25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5"/>
    </row>
    <row r="105" spans="1:13" x14ac:dyDescent="0.2">
      <c r="A105" s="1"/>
      <c r="B105" s="1"/>
      <c r="C105" s="1" t="s">
        <v>319</v>
      </c>
      <c r="E105" s="302">
        <f>E52-'Prior P&amp;L'!E52</f>
        <v>-1598.375</v>
      </c>
      <c r="F105" s="309"/>
      <c r="G105" s="302">
        <f>G52-'Prior P&amp;L'!G52</f>
        <v>0</v>
      </c>
      <c r="H105" s="309"/>
      <c r="I105" s="302">
        <f>I52-'Prior P&amp;L'!I52</f>
        <v>-14237.5</v>
      </c>
      <c r="J105" s="302"/>
      <c r="K105" s="302">
        <f>K52-'Prior P&amp;L'!K52</f>
        <v>-131</v>
      </c>
      <c r="M105" s="402">
        <f>SUM(E105:K105)</f>
        <v>-15966.875</v>
      </c>
    </row>
    <row r="106" spans="1:13" x14ac:dyDescent="0.2">
      <c r="A106" s="1"/>
      <c r="B106" s="1"/>
      <c r="C106" s="1" t="s">
        <v>7</v>
      </c>
      <c r="E106" s="302">
        <f>E53-'Prior P&amp;L'!E53</f>
        <v>0</v>
      </c>
      <c r="F106" s="309"/>
      <c r="G106" s="302">
        <f>G53-'Prior P&amp;L'!G53</f>
        <v>0</v>
      </c>
      <c r="H106" s="309"/>
      <c r="I106" s="302">
        <f>I53-'Prior P&amp;L'!I53</f>
        <v>0</v>
      </c>
      <c r="J106" s="302"/>
      <c r="K106" s="302">
        <f>K53-'Prior P&amp;L'!K53</f>
        <v>0</v>
      </c>
      <c r="M106" s="402">
        <f>SUM(E106:K106)</f>
        <v>0</v>
      </c>
    </row>
    <row r="107" spans="1:13" x14ac:dyDescent="0.2">
      <c r="A107" s="1"/>
      <c r="B107" s="1"/>
      <c r="C107" s="1" t="s">
        <v>261</v>
      </c>
      <c r="E107" s="302">
        <f>E54-'Prior P&amp;L'!E54</f>
        <v>0</v>
      </c>
      <c r="F107" s="309"/>
      <c r="G107" s="302">
        <f>G54-'Prior P&amp;L'!G54</f>
        <v>0</v>
      </c>
      <c r="H107" s="309"/>
      <c r="I107" s="302">
        <f>I54-'Prior P&amp;L'!I54</f>
        <v>0</v>
      </c>
      <c r="J107" s="302"/>
      <c r="K107" s="302">
        <f>K54-'Prior P&amp;L'!K54</f>
        <v>0</v>
      </c>
      <c r="M107" s="402">
        <f>SUM(E107:K107)</f>
        <v>0</v>
      </c>
    </row>
    <row r="108" spans="1:13" ht="13.5" thickBot="1" x14ac:dyDescent="0.25">
      <c r="A108" s="1"/>
      <c r="B108" s="1"/>
      <c r="C108" s="1" t="s">
        <v>337</v>
      </c>
      <c r="E108" s="302">
        <f>E55-'Prior P&amp;L'!E55</f>
        <v>-112.5</v>
      </c>
      <c r="F108" s="309"/>
      <c r="G108" s="302">
        <f>G55-'Prior P&amp;L'!G55</f>
        <v>0</v>
      </c>
      <c r="H108" s="309"/>
      <c r="I108" s="302">
        <f>I55-'Prior P&amp;L'!I55</f>
        <v>-7118</v>
      </c>
      <c r="J108" s="302"/>
      <c r="K108" s="302">
        <f>K55-'Prior P&amp;L'!K55</f>
        <v>-9</v>
      </c>
      <c r="M108" s="403">
        <f>SUM(E108:K108)</f>
        <v>-7239.5</v>
      </c>
    </row>
    <row r="109" spans="1:13" ht="13.5" thickBot="1" x14ac:dyDescent="0.25">
      <c r="A109" s="1"/>
      <c r="B109" s="1"/>
      <c r="C109" s="2" t="s">
        <v>39</v>
      </c>
      <c r="E109" s="311">
        <f>SUM(E105:E108)</f>
        <v>-1710.875</v>
      </c>
      <c r="F109" s="309"/>
      <c r="G109" s="311">
        <f>SUM(G105:G108)</f>
        <v>0</v>
      </c>
      <c r="H109" s="309"/>
      <c r="I109" s="311">
        <f>SUM(I105:I108)</f>
        <v>-21355.5</v>
      </c>
      <c r="J109" s="309"/>
      <c r="K109" s="311">
        <f>SUM(K105:K108)</f>
        <v>-140</v>
      </c>
      <c r="M109" s="403">
        <f>SUM(M105:M108)</f>
        <v>-23206.375</v>
      </c>
    </row>
    <row r="110" spans="1:13" x14ac:dyDescent="0.2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5"/>
    </row>
    <row r="111" spans="1:13" x14ac:dyDescent="0.2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5"/>
    </row>
    <row r="112" spans="1:13" ht="16.5" thickBot="1" x14ac:dyDescent="0.3">
      <c r="A112" s="315" t="s">
        <v>265</v>
      </c>
      <c r="B112" s="315"/>
      <c r="C112" s="315"/>
      <c r="D112" s="315"/>
      <c r="E112" s="316">
        <f>SUM(E67,E77,E82,E92,E102,E109,)</f>
        <v>113.18620000026567</v>
      </c>
      <c r="F112" s="316"/>
      <c r="G112" s="316">
        <f>SUM(G67,G77,G82,G92,G102,G109,)</f>
        <v>0</v>
      </c>
      <c r="H112" s="316"/>
      <c r="I112" s="316">
        <f>SUM(I67,I77,I82,I92,I102,I109,)</f>
        <v>7119.0935000000027</v>
      </c>
      <c r="J112" s="316"/>
      <c r="K112" s="316">
        <f>SUM(K67,K77,K82,K92,K102,K109,)</f>
        <v>10.287300000030172</v>
      </c>
      <c r="L112" s="316"/>
      <c r="M112" s="316">
        <f>SUM(M67,M77,M82,M92,M102,M109,)</f>
        <v>7242.5670000003011</v>
      </c>
    </row>
    <row r="113" spans="1:13" ht="13.5" thickBot="1" x14ac:dyDescent="0.25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5"/>
    </row>
    <row r="114" spans="1:13" ht="13.5" thickBot="1" x14ac:dyDescent="0.25">
      <c r="A114" s="304" t="s">
        <v>266</v>
      </c>
      <c r="B114" s="305"/>
      <c r="C114" s="305"/>
      <c r="D114" s="305"/>
      <c r="E114" s="311">
        <f>E59</f>
        <v>7011.2834999999031</v>
      </c>
      <c r="F114" s="311"/>
      <c r="G114" s="311">
        <f>G59</f>
        <v>0</v>
      </c>
      <c r="H114" s="311"/>
      <c r="I114" s="311">
        <f>I59</f>
        <v>40151.201899999898</v>
      </c>
      <c r="J114" s="311"/>
      <c r="K114" s="311">
        <f>K59</f>
        <v>173.28660000005539</v>
      </c>
      <c r="L114" s="311"/>
      <c r="M114" s="311">
        <f>M59</f>
        <v>47335.771999998949</v>
      </c>
    </row>
    <row r="115" spans="1:13" ht="13.5" thickBot="1" x14ac:dyDescent="0.25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5" thickBot="1" x14ac:dyDescent="0.25">
      <c r="A116" s="319" t="s">
        <v>267</v>
      </c>
      <c r="B116" s="320"/>
      <c r="C116" s="320"/>
      <c r="D116" s="320"/>
      <c r="E116" s="312">
        <f>E114+16180+40697+4975</f>
        <v>68863.283499999903</v>
      </c>
      <c r="F116" s="312"/>
      <c r="G116" s="312">
        <f>G114</f>
        <v>0</v>
      </c>
      <c r="H116" s="312"/>
      <c r="I116" s="312">
        <f>I114+581864+30000+98186+9647+184062+300000-5292+46206</f>
        <v>1284824.2018999998</v>
      </c>
      <c r="J116" s="312"/>
      <c r="K116" s="312">
        <f>K114+243+35696+262</f>
        <v>36374.286600000058</v>
      </c>
      <c r="L116" s="312"/>
      <c r="M116" s="312">
        <f>+E116+I116+K116</f>
        <v>1390061.7719999996</v>
      </c>
    </row>
    <row r="117" spans="1:13" x14ac:dyDescent="0.2">
      <c r="M117" s="405"/>
    </row>
    <row r="118" spans="1:13" x14ac:dyDescent="0.2">
      <c r="M118" s="405"/>
    </row>
    <row r="119" spans="1:13" x14ac:dyDescent="0.2">
      <c r="C119" s="1"/>
      <c r="E119" s="383" t="s">
        <v>295</v>
      </c>
      <c r="F119" s="383"/>
      <c r="G119" s="383" t="s">
        <v>296</v>
      </c>
      <c r="H119" s="383"/>
      <c r="I119" s="383" t="s">
        <v>297</v>
      </c>
      <c r="J119" s="383"/>
      <c r="K119" s="383" t="s">
        <v>298</v>
      </c>
      <c r="L119" s="383"/>
      <c r="M119" s="383" t="s">
        <v>320</v>
      </c>
    </row>
    <row r="120" spans="1:13" x14ac:dyDescent="0.2">
      <c r="C120" s="379" t="s">
        <v>326</v>
      </c>
      <c r="D120" s="379"/>
      <c r="E120" s="385">
        <f>E63+E80</f>
        <v>0</v>
      </c>
      <c r="F120" s="385"/>
      <c r="G120" s="385">
        <f>G63+G80</f>
        <v>0</v>
      </c>
      <c r="H120" s="385"/>
      <c r="I120" s="385">
        <f>I63+I80</f>
        <v>2401</v>
      </c>
      <c r="J120" s="385"/>
      <c r="K120" s="385">
        <f>K63+K80</f>
        <v>0</v>
      </c>
      <c r="L120" s="385"/>
      <c r="M120" s="386">
        <f>SUM(E120:K120)</f>
        <v>2401</v>
      </c>
    </row>
    <row r="121" spans="1:13" x14ac:dyDescent="0.2">
      <c r="C121" s="380" t="s">
        <v>327</v>
      </c>
      <c r="D121" s="31"/>
      <c r="E121" s="392">
        <f>'P&amp;L Without Sharing'!E121</f>
        <v>0</v>
      </c>
      <c r="F121" s="392"/>
      <c r="G121" s="392">
        <f>'P&amp;L Without Sharing'!G121</f>
        <v>0</v>
      </c>
      <c r="H121" s="392"/>
      <c r="I121" s="392">
        <f>'P&amp;L Without Sharing'!I121</f>
        <v>0</v>
      </c>
      <c r="J121" s="392"/>
      <c r="K121" s="392">
        <f>'P&amp;L Without Sharing'!K121</f>
        <v>0</v>
      </c>
      <c r="L121" s="392"/>
      <c r="M121" s="387">
        <f>SUM(E121:L121)</f>
        <v>0</v>
      </c>
    </row>
    <row r="122" spans="1:13" x14ac:dyDescent="0.2">
      <c r="C122" s="381" t="s">
        <v>328</v>
      </c>
      <c r="D122" s="34"/>
      <c r="E122" s="384">
        <f>'P&amp;L Without Sharing'!E122</f>
        <v>0</v>
      </c>
      <c r="F122" s="384"/>
      <c r="G122" s="384">
        <f>'P&amp;L Without Sharing'!G122</f>
        <v>0</v>
      </c>
      <c r="H122" s="384"/>
      <c r="I122" s="384">
        <f>'P&amp;L Without Sharing'!I122</f>
        <v>0</v>
      </c>
      <c r="J122" s="384"/>
      <c r="K122" s="384">
        <f>'P&amp;L Without Sharing'!K122</f>
        <v>0</v>
      </c>
      <c r="L122" s="384"/>
      <c r="M122" s="388">
        <f>SUM(E122:L122)</f>
        <v>0</v>
      </c>
    </row>
    <row r="123" spans="1:13" x14ac:dyDescent="0.2">
      <c r="C123" s="381" t="s">
        <v>329</v>
      </c>
      <c r="D123" s="34"/>
      <c r="E123" s="384">
        <f>'P&amp;L Without Sharing'!E123</f>
        <v>0</v>
      </c>
      <c r="F123" s="384"/>
      <c r="G123" s="384">
        <f>'P&amp;L Without Sharing'!G123</f>
        <v>0</v>
      </c>
      <c r="H123" s="384"/>
      <c r="I123" s="384">
        <f>'P&amp;L Without Sharing'!I123</f>
        <v>0</v>
      </c>
      <c r="J123" s="384"/>
      <c r="K123" s="384">
        <f>'P&amp;L Without Sharing'!K123</f>
        <v>0</v>
      </c>
      <c r="L123" s="384"/>
      <c r="M123" s="388">
        <f>SUM(E123:L123)</f>
        <v>0</v>
      </c>
    </row>
    <row r="124" spans="1:13" x14ac:dyDescent="0.2">
      <c r="C124" s="381" t="s">
        <v>330</v>
      </c>
      <c r="D124" s="34"/>
      <c r="E124" s="384">
        <f>-E32-E33-E42-E43</f>
        <v>0</v>
      </c>
      <c r="F124" s="384"/>
      <c r="G124" s="384">
        <f>-G32-G33-G42-G43</f>
        <v>0</v>
      </c>
      <c r="H124" s="384"/>
      <c r="I124" s="384">
        <f>-I32-I33-I42-I43</f>
        <v>0</v>
      </c>
      <c r="J124" s="384"/>
      <c r="K124" s="384">
        <f>-K32-K33-K42-K43</f>
        <v>0</v>
      </c>
      <c r="L124" s="384"/>
      <c r="M124" s="388">
        <f>SUM(E124:L124)</f>
        <v>0</v>
      </c>
    </row>
    <row r="125" spans="1:13" x14ac:dyDescent="0.2">
      <c r="C125" s="382" t="s">
        <v>331</v>
      </c>
      <c r="D125" s="389"/>
      <c r="E125" s="390">
        <f>E120-E121-E122-E123-E124</f>
        <v>0</v>
      </c>
      <c r="F125" s="390"/>
      <c r="G125" s="390">
        <f>G120-G121-G122-G123-G124</f>
        <v>0</v>
      </c>
      <c r="H125" s="390"/>
      <c r="I125" s="390">
        <f>I120-I121-I122-I123-I124</f>
        <v>2401</v>
      </c>
      <c r="J125" s="390"/>
      <c r="K125" s="390">
        <f>K120-K121-K122-K123-K124</f>
        <v>0</v>
      </c>
      <c r="L125" s="390"/>
      <c r="M125" s="391">
        <f>SUM(E125:L125)</f>
        <v>2401</v>
      </c>
    </row>
    <row r="126" spans="1:13" x14ac:dyDescent="0.2">
      <c r="C126" s="379" t="s">
        <v>332</v>
      </c>
      <c r="D126" s="379"/>
      <c r="E126" s="385">
        <f>SUM(E127:E130)</f>
        <v>0</v>
      </c>
      <c r="F126" s="385"/>
      <c r="G126" s="385">
        <f>SUM(G127:G130)</f>
        <v>0</v>
      </c>
      <c r="H126" s="385"/>
      <c r="I126" s="385">
        <f>SUM(I127:I130)</f>
        <v>11028.965500000006</v>
      </c>
      <c r="J126" s="385"/>
      <c r="K126" s="385">
        <f>SUM(K127:K130)</f>
        <v>0</v>
      </c>
      <c r="L126" s="385"/>
      <c r="M126" s="386">
        <f>SUM(E126:K126)</f>
        <v>11028.965500000006</v>
      </c>
    </row>
    <row r="127" spans="1:13" x14ac:dyDescent="0.2">
      <c r="C127" s="380" t="s">
        <v>333</v>
      </c>
      <c r="D127" s="31"/>
      <c r="E127" s="392">
        <f>'Top Pages'!I2</f>
        <v>0</v>
      </c>
      <c r="F127" s="392"/>
      <c r="G127" s="392">
        <f>'Top Pages'!I17</f>
        <v>0</v>
      </c>
      <c r="H127" s="392"/>
      <c r="I127" s="392">
        <f>'Top Pages'!I32</f>
        <v>66475.197700000004</v>
      </c>
      <c r="J127" s="392"/>
      <c r="K127" s="392">
        <f>'Top Pages'!I47</f>
        <v>0</v>
      </c>
      <c r="L127" s="392"/>
      <c r="M127" s="387">
        <f>SUM(E127:L127)</f>
        <v>66475.197700000004</v>
      </c>
    </row>
    <row r="128" spans="1:13" x14ac:dyDescent="0.2">
      <c r="C128" s="381" t="s">
        <v>334</v>
      </c>
      <c r="D128" s="34"/>
      <c r="E128" s="384">
        <f>'Top Pages'!I7</f>
        <v>0</v>
      </c>
      <c r="F128" s="384"/>
      <c r="G128" s="384">
        <f>'Top Pages'!I22</f>
        <v>0</v>
      </c>
      <c r="H128" s="384"/>
      <c r="I128" s="384">
        <f>'Top Pages'!I37</f>
        <v>-49517.4473</v>
      </c>
      <c r="J128" s="384"/>
      <c r="K128" s="384">
        <f>'Top Pages'!I52</f>
        <v>0</v>
      </c>
      <c r="L128" s="384"/>
      <c r="M128" s="388">
        <f>SUM(E128:L128)</f>
        <v>-49517.4473</v>
      </c>
    </row>
    <row r="129" spans="3:13" x14ac:dyDescent="0.2">
      <c r="C129" s="381" t="s">
        <v>335</v>
      </c>
      <c r="D129" s="34"/>
      <c r="E129" s="384">
        <f>'Top Pages'!I12</f>
        <v>0</v>
      </c>
      <c r="F129" s="384"/>
      <c r="G129" s="384">
        <f>'Top Pages'!I27</f>
        <v>0</v>
      </c>
      <c r="H129" s="384"/>
      <c r="I129" s="384">
        <f>'Top Pages'!I42</f>
        <v>-5928.7848999999997</v>
      </c>
      <c r="J129" s="384"/>
      <c r="K129" s="384">
        <f>'Top Pages'!I57</f>
        <v>0</v>
      </c>
      <c r="L129" s="384"/>
      <c r="M129" s="388">
        <f>SUM(E129:L129)</f>
        <v>-5928.7848999999997</v>
      </c>
    </row>
    <row r="130" spans="3:13" x14ac:dyDescent="0.2">
      <c r="C130" s="382" t="s">
        <v>336</v>
      </c>
      <c r="D130" s="389"/>
      <c r="E130" s="390"/>
      <c r="F130" s="390"/>
      <c r="G130" s="390"/>
      <c r="H130" s="390"/>
      <c r="I130" s="390"/>
      <c r="J130" s="390"/>
      <c r="K130" s="390"/>
      <c r="L130" s="390"/>
      <c r="M130" s="391"/>
    </row>
    <row r="131" spans="3:13" x14ac:dyDescent="0.2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3:M60"/>
  <sheetViews>
    <sheetView zoomScale="75" workbookViewId="0">
      <pane xSplit="3" ySplit="6" topLeftCell="D7" activePane="bottomRight" state="frozen"/>
      <selection activeCell="K135" sqref="K135"/>
      <selection pane="topRight" activeCell="K135" sqref="K135"/>
      <selection pane="bottomLeft" activeCell="K135" sqref="K135"/>
      <selection pane="bottomRight" activeCell="E10" sqref="E10:M59"/>
    </sheetView>
  </sheetViews>
  <sheetFormatPr defaultRowHeight="12.75" x14ac:dyDescent="0.2"/>
  <cols>
    <col min="1" max="1" width="4.42578125" customWidth="1"/>
    <col min="2" max="2" width="5.28515625" customWidth="1"/>
    <col min="3" max="3" width="21.140625" customWidth="1"/>
    <col min="4" max="4" width="16.7109375" customWidth="1"/>
    <col min="5" max="5" width="11.28515625" customWidth="1"/>
    <col min="6" max="6" width="10.28515625" customWidth="1"/>
    <col min="7" max="7" width="11.140625" customWidth="1"/>
    <col min="9" max="9" width="12.28515625" customWidth="1"/>
    <col min="11" max="11" width="10.140625" customWidth="1"/>
    <col min="13" max="13" width="12.5703125" customWidth="1"/>
    <col min="14" max="14" width="10.28515625" bestFit="1" customWidth="1"/>
  </cols>
  <sheetData>
    <row r="3" spans="1:13" x14ac:dyDescent="0.2">
      <c r="F3" s="60"/>
      <c r="G3" s="60"/>
      <c r="H3" s="60"/>
      <c r="I3" s="60"/>
      <c r="J3" s="60"/>
      <c r="K3" s="60"/>
      <c r="L3" s="60"/>
    </row>
    <row r="4" spans="1:13" ht="15" x14ac:dyDescent="0.25">
      <c r="E4" s="299"/>
      <c r="F4" s="298"/>
      <c r="G4" s="298"/>
      <c r="H4" s="298"/>
      <c r="I4" s="298"/>
      <c r="J4" s="298"/>
      <c r="K4" s="298"/>
      <c r="L4" s="298"/>
    </row>
    <row r="5" spans="1:13" ht="15" x14ac:dyDescent="0.25">
      <c r="E5" s="299"/>
      <c r="F5" s="298"/>
      <c r="G5" s="298"/>
      <c r="H5" s="298"/>
      <c r="I5" s="298"/>
      <c r="J5" s="298"/>
      <c r="K5" s="298"/>
      <c r="L5" s="298"/>
    </row>
    <row r="6" spans="1:13" ht="15" thickBot="1" x14ac:dyDescent="0.25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78" t="s">
        <v>320</v>
      </c>
    </row>
    <row r="7" spans="1:13" ht="13.5" thickBot="1" x14ac:dyDescent="0.25">
      <c r="E7" s="303"/>
      <c r="F7" s="303"/>
      <c r="G7" s="303"/>
      <c r="H7" s="303"/>
      <c r="I7" s="303"/>
      <c r="J7" s="303"/>
      <c r="K7" s="303"/>
    </row>
    <row r="8" spans="1:13" ht="13.5" thickBot="1" x14ac:dyDescent="0.25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5" thickBot="1" x14ac:dyDescent="0.25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">
      <c r="A10" s="1"/>
      <c r="B10" s="1"/>
      <c r="C10" s="1" t="s">
        <v>242</v>
      </c>
      <c r="E10" s="302">
        <v>-4425305</v>
      </c>
      <c r="F10" s="302"/>
      <c r="G10" s="302">
        <v>0</v>
      </c>
      <c r="H10" s="302"/>
      <c r="I10" s="302">
        <v>-42830</v>
      </c>
      <c r="J10" s="302"/>
      <c r="K10" s="302">
        <v>0</v>
      </c>
      <c r="M10" s="302">
        <v>-4468135</v>
      </c>
    </row>
    <row r="11" spans="1:13" x14ac:dyDescent="0.2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02">
        <v>0</v>
      </c>
    </row>
    <row r="12" spans="1:13" x14ac:dyDescent="0.2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02">
        <v>0</v>
      </c>
    </row>
    <row r="13" spans="1:13" ht="13.5" thickBot="1" x14ac:dyDescent="0.25">
      <c r="A13" s="1"/>
      <c r="B13" s="1"/>
      <c r="C13" s="1" t="s">
        <v>244</v>
      </c>
      <c r="E13" s="308">
        <v>268012</v>
      </c>
      <c r="F13" s="302"/>
      <c r="G13" s="308">
        <v>0</v>
      </c>
      <c r="H13" s="302"/>
      <c r="I13" s="308">
        <v>0</v>
      </c>
      <c r="J13" s="309"/>
      <c r="K13" s="308">
        <v>0</v>
      </c>
      <c r="M13" s="308">
        <v>268012</v>
      </c>
    </row>
    <row r="14" spans="1:13" ht="13.5" thickBot="1" x14ac:dyDescent="0.25">
      <c r="A14" s="1"/>
      <c r="B14" s="1"/>
      <c r="C14" s="2" t="s">
        <v>39</v>
      </c>
      <c r="E14" s="311">
        <v>-4157293</v>
      </c>
      <c r="F14" s="6"/>
      <c r="G14" s="311">
        <v>0</v>
      </c>
      <c r="H14" s="6"/>
      <c r="I14" s="311">
        <v>-42830</v>
      </c>
      <c r="J14" s="309"/>
      <c r="K14" s="311">
        <v>0</v>
      </c>
      <c r="M14" s="311">
        <v>-4200123</v>
      </c>
    </row>
    <row r="15" spans="1:13" x14ac:dyDescent="0.2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302"/>
    </row>
    <row r="16" spans="1:13" ht="13.5" thickBot="1" x14ac:dyDescent="0.25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302"/>
    </row>
    <row r="17" spans="1:13" x14ac:dyDescent="0.2">
      <c r="A17" s="1"/>
      <c r="B17" s="1"/>
      <c r="C17" s="1" t="s">
        <v>246</v>
      </c>
      <c r="E17" s="302">
        <v>4256583.2831999995</v>
      </c>
      <c r="F17" s="302"/>
      <c r="G17" s="302">
        <v>0</v>
      </c>
      <c r="H17" s="302"/>
      <c r="I17" s="302">
        <v>145831.04039999982</v>
      </c>
      <c r="J17" s="302"/>
      <c r="K17" s="302">
        <v>2617.999300000025</v>
      </c>
      <c r="M17" s="302">
        <v>4405032.3229</v>
      </c>
    </row>
    <row r="18" spans="1:13" x14ac:dyDescent="0.2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02">
        <v>0</v>
      </c>
    </row>
    <row r="19" spans="1:13" x14ac:dyDescent="0.2">
      <c r="A19" s="1"/>
      <c r="B19" s="1"/>
      <c r="C19" s="1" t="s">
        <v>248</v>
      </c>
      <c r="E19" s="302">
        <v>11006.364899999986</v>
      </c>
      <c r="F19" s="302"/>
      <c r="G19" s="302">
        <v>0</v>
      </c>
      <c r="H19" s="302"/>
      <c r="I19" s="302">
        <v>34291.020100000082</v>
      </c>
      <c r="J19" s="302"/>
      <c r="K19" s="302">
        <v>0</v>
      </c>
      <c r="M19" s="302">
        <v>45297.385000000068</v>
      </c>
    </row>
    <row r="20" spans="1:13" x14ac:dyDescent="0.2">
      <c r="A20" s="1"/>
      <c r="B20" s="1"/>
      <c r="C20" s="1" t="s">
        <v>249</v>
      </c>
      <c r="E20" s="302">
        <v>81.449199999999109</v>
      </c>
      <c r="F20" s="302"/>
      <c r="G20" s="302">
        <v>0</v>
      </c>
      <c r="H20" s="302"/>
      <c r="I20" s="302">
        <v>-5161.9521000000004</v>
      </c>
      <c r="J20" s="302"/>
      <c r="K20" s="302">
        <v>0</v>
      </c>
      <c r="M20" s="302">
        <v>-5080.5029000000013</v>
      </c>
    </row>
    <row r="21" spans="1:13" x14ac:dyDescent="0.2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02">
        <v>0</v>
      </c>
    </row>
    <row r="22" spans="1:13" x14ac:dyDescent="0.2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02">
        <v>0</v>
      </c>
    </row>
    <row r="23" spans="1:13" ht="13.5" thickBot="1" x14ac:dyDescent="0.25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08">
        <v>0</v>
      </c>
    </row>
    <row r="24" spans="1:13" ht="13.5" thickBot="1" x14ac:dyDescent="0.25">
      <c r="A24" s="1"/>
      <c r="B24" s="1"/>
      <c r="C24" s="2" t="s">
        <v>39</v>
      </c>
      <c r="E24" s="308">
        <v>4267671.0972999996</v>
      </c>
      <c r="F24" s="302"/>
      <c r="G24" s="308">
        <v>0</v>
      </c>
      <c r="H24" s="302"/>
      <c r="I24" s="308">
        <v>174960.10839999991</v>
      </c>
      <c r="J24" s="309"/>
      <c r="K24" s="308">
        <v>2617.999300000025</v>
      </c>
      <c r="M24" s="308">
        <v>4445249.2050000001</v>
      </c>
    </row>
    <row r="25" spans="1:13" x14ac:dyDescent="0.2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302"/>
    </row>
    <row r="26" spans="1:13" ht="13.5" thickBot="1" x14ac:dyDescent="0.25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302"/>
    </row>
    <row r="27" spans="1:13" x14ac:dyDescent="0.2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02">
        <v>0</v>
      </c>
    </row>
    <row r="28" spans="1:13" ht="13.5" thickBot="1" x14ac:dyDescent="0.25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08">
        <v>0</v>
      </c>
    </row>
    <row r="29" spans="1:13" ht="13.5" thickBot="1" x14ac:dyDescent="0.25">
      <c r="A29" s="1"/>
      <c r="B29" s="12"/>
      <c r="C29" s="314" t="s">
        <v>39</v>
      </c>
      <c r="E29" s="308">
        <v>0</v>
      </c>
      <c r="F29" s="302"/>
      <c r="G29" s="308">
        <v>0</v>
      </c>
      <c r="H29" s="302"/>
      <c r="I29" s="308">
        <v>0</v>
      </c>
      <c r="J29" s="309"/>
      <c r="K29" s="308">
        <v>0</v>
      </c>
      <c r="M29" s="308">
        <v>0</v>
      </c>
    </row>
    <row r="30" spans="1:13" x14ac:dyDescent="0.2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302"/>
    </row>
    <row r="31" spans="1:13" ht="13.5" thickBot="1" x14ac:dyDescent="0.25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302"/>
    </row>
    <row r="32" spans="1:13" x14ac:dyDescent="0.2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02">
        <v>0</v>
      </c>
    </row>
    <row r="33" spans="1:13" x14ac:dyDescent="0.2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02">
        <v>0</v>
      </c>
    </row>
    <row r="34" spans="1:13" x14ac:dyDescent="0.2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02">
        <v>0</v>
      </c>
    </row>
    <row r="35" spans="1:13" x14ac:dyDescent="0.2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02">
        <v>0</v>
      </c>
    </row>
    <row r="36" spans="1:13" x14ac:dyDescent="0.2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02">
        <v>0</v>
      </c>
    </row>
    <row r="37" spans="1:13" x14ac:dyDescent="0.2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02">
        <v>0</v>
      </c>
    </row>
    <row r="38" spans="1:13" ht="13.5" thickBot="1" x14ac:dyDescent="0.25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2">
        <v>0</v>
      </c>
      <c r="M38" s="302">
        <v>0</v>
      </c>
    </row>
    <row r="39" spans="1:13" ht="13.5" thickBot="1" x14ac:dyDescent="0.25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11">
        <v>0</v>
      </c>
      <c r="M39" s="311">
        <v>0</v>
      </c>
    </row>
    <row r="40" spans="1:13" x14ac:dyDescent="0.2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302"/>
    </row>
    <row r="41" spans="1:13" ht="13.5" thickBot="1" x14ac:dyDescent="0.25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302"/>
    </row>
    <row r="42" spans="1:13" x14ac:dyDescent="0.2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02">
        <v>0</v>
      </c>
    </row>
    <row r="43" spans="1:13" x14ac:dyDescent="0.2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02">
        <v>0</v>
      </c>
    </row>
    <row r="44" spans="1:13" x14ac:dyDescent="0.2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02">
        <v>0</v>
      </c>
    </row>
    <row r="45" spans="1:13" x14ac:dyDescent="0.2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02">
        <v>0</v>
      </c>
    </row>
    <row r="46" spans="1:13" x14ac:dyDescent="0.2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02">
        <v>0</v>
      </c>
    </row>
    <row r="47" spans="1:13" x14ac:dyDescent="0.2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02">
        <v>0</v>
      </c>
    </row>
    <row r="48" spans="1:13" ht="13.5" thickBot="1" x14ac:dyDescent="0.25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2">
        <v>0</v>
      </c>
      <c r="M48" s="302">
        <v>0</v>
      </c>
    </row>
    <row r="49" spans="1:13" ht="13.5" thickBot="1" x14ac:dyDescent="0.25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11">
        <v>0</v>
      </c>
      <c r="M49" s="311">
        <v>0</v>
      </c>
    </row>
    <row r="50" spans="1:13" x14ac:dyDescent="0.2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302"/>
    </row>
    <row r="51" spans="1:13" ht="13.5" thickBot="1" x14ac:dyDescent="0.25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302"/>
    </row>
    <row r="52" spans="1:13" x14ac:dyDescent="0.2">
      <c r="A52" s="1"/>
      <c r="B52" s="1"/>
      <c r="C52" s="1" t="s">
        <v>319</v>
      </c>
      <c r="E52" s="302">
        <v>-96581</v>
      </c>
      <c r="F52" s="302"/>
      <c r="G52" s="302">
        <v>0</v>
      </c>
      <c r="H52" s="302"/>
      <c r="I52" s="302">
        <v>-66065</v>
      </c>
      <c r="J52" s="302"/>
      <c r="K52" s="302">
        <v>-2291</v>
      </c>
      <c r="M52" s="302">
        <v>-164937</v>
      </c>
    </row>
    <row r="53" spans="1:13" x14ac:dyDescent="0.2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302">
        <v>0</v>
      </c>
    </row>
    <row r="54" spans="1:13" x14ac:dyDescent="0.2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02">
        <v>0</v>
      </c>
    </row>
    <row r="55" spans="1:13" ht="13.5" thickBot="1" x14ac:dyDescent="0.25">
      <c r="A55" s="1"/>
      <c r="B55" s="1"/>
      <c r="C55" s="1" t="s">
        <v>262</v>
      </c>
      <c r="E55" s="308">
        <v>-6899</v>
      </c>
      <c r="F55" s="302"/>
      <c r="G55" s="308">
        <v>0</v>
      </c>
      <c r="H55" s="302"/>
      <c r="I55" s="308">
        <v>-33033</v>
      </c>
      <c r="J55" s="309"/>
      <c r="K55" s="308">
        <v>-164</v>
      </c>
      <c r="M55" s="308">
        <v>-40096</v>
      </c>
    </row>
    <row r="56" spans="1:13" ht="13.5" thickBot="1" x14ac:dyDescent="0.25">
      <c r="A56" s="1"/>
      <c r="B56" s="1"/>
      <c r="C56" s="2" t="s">
        <v>39</v>
      </c>
      <c r="E56" s="311">
        <v>-103480</v>
      </c>
      <c r="F56" s="302"/>
      <c r="G56" s="311">
        <v>0</v>
      </c>
      <c r="H56" s="302"/>
      <c r="I56" s="311">
        <v>-99098</v>
      </c>
      <c r="J56" s="309"/>
      <c r="K56" s="311">
        <v>-2455</v>
      </c>
      <c r="M56" s="311">
        <v>-205033</v>
      </c>
    </row>
    <row r="57" spans="1:13" x14ac:dyDescent="0.2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302"/>
    </row>
    <row r="58" spans="1:13" x14ac:dyDescent="0.2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302"/>
    </row>
    <row r="59" spans="1:13" ht="16.5" thickBot="1" x14ac:dyDescent="0.3">
      <c r="A59" s="315" t="s">
        <v>263</v>
      </c>
      <c r="B59" s="315"/>
      <c r="C59" s="315"/>
      <c r="E59" s="316">
        <v>6898.0972999995574</v>
      </c>
      <c r="F59" s="316"/>
      <c r="G59" s="316">
        <v>0</v>
      </c>
      <c r="H59" s="316"/>
      <c r="I59" s="316">
        <v>33032.10839999991</v>
      </c>
      <c r="J59" s="316"/>
      <c r="K59" s="316">
        <v>162.99930000002496</v>
      </c>
      <c r="L59" s="316"/>
      <c r="M59" s="316">
        <v>40093.205000000075</v>
      </c>
    </row>
    <row r="60" spans="1:13" x14ac:dyDescent="0.2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R124"/>
  <sheetViews>
    <sheetView zoomScale="75" workbookViewId="0">
      <selection activeCell="H24" sqref="H24"/>
    </sheetView>
  </sheetViews>
  <sheetFormatPr defaultRowHeight="15.75" x14ac:dyDescent="0.25"/>
  <cols>
    <col min="1" max="1" width="45.5703125" style="102" customWidth="1"/>
    <col min="2" max="2" width="13.28515625" style="102" customWidth="1"/>
    <col min="3" max="3" width="15.7109375" style="125" customWidth="1"/>
    <col min="4" max="4" width="1.7109375" style="246" customWidth="1"/>
    <col min="5" max="5" width="15.7109375" style="125" customWidth="1"/>
    <col min="6" max="6" width="1.7109375" style="102" customWidth="1"/>
    <col min="7" max="7" width="15.7109375" style="270" customWidth="1"/>
    <col min="8" max="9" width="3.42578125" style="102" customWidth="1"/>
    <col min="10" max="10" width="15.7109375" style="125" customWidth="1"/>
    <col min="11" max="11" width="1.7109375" style="102" customWidth="1"/>
    <col min="12" max="12" width="15.7109375" style="270" customWidth="1"/>
    <col min="13" max="13" width="17" style="102" customWidth="1"/>
    <col min="14" max="14" width="13.42578125" style="102" customWidth="1"/>
    <col min="15" max="15" width="14.140625" style="102" customWidth="1"/>
    <col min="16" max="16" width="13.85546875" style="102" customWidth="1"/>
    <col min="17" max="16384" width="9.140625" style="102"/>
  </cols>
  <sheetData>
    <row r="1" spans="1:13" x14ac:dyDescent="0.25">
      <c r="B1" s="106" t="s">
        <v>42</v>
      </c>
      <c r="C1" s="242" t="s">
        <v>43</v>
      </c>
      <c r="D1" s="243"/>
      <c r="E1" s="242" t="s">
        <v>44</v>
      </c>
    </row>
    <row r="2" spans="1:13" ht="17.25" customHeight="1" x14ac:dyDescent="0.25">
      <c r="B2" s="281">
        <v>30</v>
      </c>
      <c r="C2" s="281">
        <f>B2-E2</f>
        <v>11</v>
      </c>
      <c r="D2" s="282"/>
      <c r="E2" s="283">
        <v>19</v>
      </c>
    </row>
    <row r="3" spans="1:13" ht="15.75" customHeight="1" x14ac:dyDescent="0.25">
      <c r="A3" s="21" t="s">
        <v>183</v>
      </c>
      <c r="B3" s="104"/>
      <c r="C3" s="242" t="s">
        <v>27</v>
      </c>
      <c r="D3" s="243"/>
    </row>
    <row r="4" spans="1:13" ht="15" customHeight="1" x14ac:dyDescent="0.25">
      <c r="A4" s="89">
        <v>36790</v>
      </c>
      <c r="J4" s="243"/>
      <c r="M4" s="103"/>
    </row>
    <row r="5" spans="1:13" x14ac:dyDescent="0.25">
      <c r="C5" s="242" t="s">
        <v>45</v>
      </c>
      <c r="D5" s="243"/>
      <c r="E5" s="275"/>
      <c r="F5" s="276"/>
      <c r="G5" s="275"/>
      <c r="H5" s="276"/>
      <c r="I5" s="276"/>
      <c r="J5" s="277"/>
      <c r="L5" s="267"/>
      <c r="M5" s="103"/>
    </row>
    <row r="6" spans="1:13" x14ac:dyDescent="0.25">
      <c r="C6" s="244" t="s">
        <v>46</v>
      </c>
      <c r="D6" s="243"/>
      <c r="E6" s="278">
        <f>A4</f>
        <v>36790</v>
      </c>
      <c r="F6" s="279" t="s">
        <v>27</v>
      </c>
      <c r="G6" s="278"/>
      <c r="H6" s="280"/>
      <c r="I6" s="276"/>
      <c r="J6" s="278">
        <v>36789</v>
      </c>
      <c r="K6" s="107" t="s">
        <v>27</v>
      </c>
      <c r="L6" s="268"/>
    </row>
    <row r="7" spans="1:13" ht="16.5" thickBot="1" x14ac:dyDescent="0.3">
      <c r="A7" s="108" t="s">
        <v>47</v>
      </c>
      <c r="H7" s="109"/>
    </row>
    <row r="8" spans="1:13" x14ac:dyDescent="0.25">
      <c r="E8" s="245" t="s">
        <v>48</v>
      </c>
      <c r="F8" s="110"/>
      <c r="G8" s="269" t="s">
        <v>49</v>
      </c>
      <c r="H8" s="111"/>
      <c r="J8" s="245" t="s">
        <v>48</v>
      </c>
      <c r="K8" s="110"/>
      <c r="L8" s="269" t="s">
        <v>49</v>
      </c>
    </row>
    <row r="9" spans="1:13" x14ac:dyDescent="0.25">
      <c r="A9" s="102" t="s">
        <v>220</v>
      </c>
      <c r="C9" s="246"/>
      <c r="E9" s="247">
        <f>Physical!S4+Physical!S16+Physical!S28+Physical!S40</f>
        <v>8445487</v>
      </c>
      <c r="G9" s="270">
        <f>+Physical!U4+Physical!U16+Physical!U28+Physical!U40</f>
        <v>2861038</v>
      </c>
      <c r="H9" s="111"/>
      <c r="J9" s="125">
        <v>8009420</v>
      </c>
      <c r="L9" s="270">
        <v>2695481</v>
      </c>
    </row>
    <row r="10" spans="1:13" x14ac:dyDescent="0.25">
      <c r="A10" s="102" t="s">
        <v>224</v>
      </c>
      <c r="C10" s="102"/>
      <c r="E10" s="125">
        <f>-E69</f>
        <v>0</v>
      </c>
      <c r="G10" s="270">
        <v>0</v>
      </c>
      <c r="H10" s="111"/>
      <c r="J10" s="125">
        <v>0</v>
      </c>
      <c r="L10" s="270">
        <v>0</v>
      </c>
    </row>
    <row r="11" spans="1:13" x14ac:dyDescent="0.25">
      <c r="A11" s="102" t="s">
        <v>221</v>
      </c>
      <c r="C11" s="102"/>
      <c r="E11" s="125">
        <f>-E38</f>
        <v>0</v>
      </c>
      <c r="F11" s="113"/>
      <c r="G11" s="270">
        <v>0</v>
      </c>
      <c r="H11" s="111"/>
      <c r="J11" s="125">
        <v>0</v>
      </c>
      <c r="L11" s="270">
        <v>0</v>
      </c>
    </row>
    <row r="12" spans="1:13" x14ac:dyDescent="0.25">
      <c r="A12" s="102" t="s">
        <v>222</v>
      </c>
      <c r="C12" s="102"/>
      <c r="E12" s="248">
        <f>Physical!S6+Physical!S18+Physical!S30+Physical!S42</f>
        <v>11714030</v>
      </c>
      <c r="F12" s="113"/>
      <c r="G12" s="272">
        <f>Physical!U6+Physical!U18+Physical!U30+Physical!U42</f>
        <v>2534982</v>
      </c>
      <c r="H12" s="111"/>
      <c r="J12" s="125">
        <v>11134494</v>
      </c>
      <c r="L12" s="270">
        <v>2409475</v>
      </c>
    </row>
    <row r="13" spans="1:13" x14ac:dyDescent="0.25">
      <c r="A13" s="104" t="s">
        <v>51</v>
      </c>
      <c r="C13" s="102"/>
      <c r="E13" s="248">
        <f>SUM(E9:E12)</f>
        <v>20159517</v>
      </c>
      <c r="F13" s="113"/>
      <c r="G13" s="272">
        <f>SUM(G9:G12)</f>
        <v>5396020</v>
      </c>
      <c r="H13" s="111"/>
      <c r="J13" s="125">
        <v>19143914</v>
      </c>
      <c r="L13" s="270">
        <v>5104956</v>
      </c>
    </row>
    <row r="14" spans="1:13" x14ac:dyDescent="0.25">
      <c r="C14" s="102"/>
      <c r="F14" s="113"/>
      <c r="H14" s="111"/>
    </row>
    <row r="15" spans="1:13" x14ac:dyDescent="0.25">
      <c r="A15" s="102" t="s">
        <v>223</v>
      </c>
      <c r="C15" s="102"/>
      <c r="E15" s="125">
        <f>Physical!S5+Physical!S17+Physical!S29+Physical!S41</f>
        <v>11959488</v>
      </c>
      <c r="F15" s="113"/>
      <c r="G15" s="270">
        <f>Physical!U5+Physical!U17+Physical!U29+Physical!U41</f>
        <v>2811816</v>
      </c>
      <c r="H15" s="111"/>
      <c r="J15" s="125">
        <v>11321311</v>
      </c>
      <c r="L15" s="270">
        <v>2665025</v>
      </c>
    </row>
    <row r="16" spans="1:13" x14ac:dyDescent="0.25">
      <c r="A16" s="102" t="s">
        <v>224</v>
      </c>
      <c r="C16" s="102"/>
      <c r="E16" s="247">
        <v>0</v>
      </c>
      <c r="F16" s="113"/>
      <c r="G16" s="270">
        <v>0</v>
      </c>
      <c r="H16" s="111"/>
      <c r="J16" s="125">
        <v>0</v>
      </c>
      <c r="L16" s="270">
        <v>0</v>
      </c>
    </row>
    <row r="17" spans="1:15" x14ac:dyDescent="0.25">
      <c r="A17" s="102" t="s">
        <v>221</v>
      </c>
      <c r="C17" s="102"/>
      <c r="E17" s="125">
        <v>0</v>
      </c>
      <c r="F17" s="113"/>
      <c r="G17" s="270">
        <v>0</v>
      </c>
      <c r="H17" s="111"/>
      <c r="J17" s="125">
        <v>0</v>
      </c>
      <c r="L17" s="270">
        <v>0</v>
      </c>
    </row>
    <row r="18" spans="1:15" x14ac:dyDescent="0.25">
      <c r="A18" s="102" t="s">
        <v>225</v>
      </c>
      <c r="C18" s="102"/>
      <c r="E18" s="249">
        <f>Physical!S7+Physical!S19+Physical!S31+Physical!S43</f>
        <v>12216389</v>
      </c>
      <c r="F18" s="113"/>
      <c r="G18" s="272">
        <f>Physical!U7+Physical!U19+Physical!U31+Physical!U43</f>
        <v>2603372</v>
      </c>
      <c r="H18" s="111"/>
      <c r="J18" s="125">
        <v>11525734</v>
      </c>
      <c r="L18" s="270">
        <v>2459099</v>
      </c>
    </row>
    <row r="19" spans="1:15" x14ac:dyDescent="0.25">
      <c r="A19" s="104" t="s">
        <v>53</v>
      </c>
      <c r="C19" s="102"/>
      <c r="E19" s="248">
        <f>SUM(E15:E18)</f>
        <v>24175877</v>
      </c>
      <c r="F19" s="113"/>
      <c r="G19" s="272">
        <f>SUM(G15:G18)</f>
        <v>5415188</v>
      </c>
      <c r="H19" s="111"/>
      <c r="J19" s="125">
        <v>22847045</v>
      </c>
      <c r="L19" s="270">
        <v>5124124</v>
      </c>
    </row>
    <row r="20" spans="1:15" x14ac:dyDescent="0.25">
      <c r="C20" s="102"/>
      <c r="F20" s="113"/>
      <c r="H20" s="111"/>
    </row>
    <row r="21" spans="1:15" x14ac:dyDescent="0.25">
      <c r="A21" s="104" t="s">
        <v>54</v>
      </c>
      <c r="C21" s="102"/>
      <c r="E21" s="246">
        <f>(+E13-E19)</f>
        <v>-4016360</v>
      </c>
      <c r="F21" s="113"/>
      <c r="G21" s="271">
        <f>-G13+G19</f>
        <v>19168</v>
      </c>
      <c r="H21" s="111"/>
      <c r="J21" s="125">
        <v>-3703131</v>
      </c>
      <c r="L21" s="270">
        <v>19168</v>
      </c>
    </row>
    <row r="22" spans="1:15" x14ac:dyDescent="0.25">
      <c r="C22" s="102"/>
      <c r="E22" s="246"/>
      <c r="F22" s="113"/>
      <c r="G22" s="271"/>
      <c r="H22" s="111"/>
    </row>
    <row r="23" spans="1:15" x14ac:dyDescent="0.25">
      <c r="A23" s="104" t="s">
        <v>226</v>
      </c>
      <c r="C23" s="102"/>
      <c r="E23" s="246">
        <f>+G23*Physical!F17</f>
        <v>86256</v>
      </c>
      <c r="F23" s="113"/>
      <c r="G23" s="271">
        <f>+G21</f>
        <v>19168</v>
      </c>
      <c r="H23" s="111"/>
      <c r="J23" s="125">
        <v>86256</v>
      </c>
      <c r="L23" s="270">
        <v>19168</v>
      </c>
    </row>
    <row r="24" spans="1:15" ht="16.5" thickBot="1" x14ac:dyDescent="0.3">
      <c r="A24" s="115"/>
      <c r="F24" s="113"/>
      <c r="H24" s="111"/>
    </row>
    <row r="25" spans="1:15" s="104" customFormat="1" ht="16.5" thickBot="1" x14ac:dyDescent="0.3">
      <c r="A25" s="104" t="s">
        <v>55</v>
      </c>
      <c r="B25" s="116"/>
      <c r="C25" s="250">
        <f>+E25-J25</f>
        <v>-313229</v>
      </c>
      <c r="D25" s="243"/>
      <c r="E25" s="251">
        <f>+E21+E23</f>
        <v>-3930104</v>
      </c>
      <c r="G25" s="267"/>
      <c r="H25" s="117"/>
      <c r="I25" s="102"/>
      <c r="J25" s="125">
        <v>-3616875</v>
      </c>
      <c r="K25" s="102"/>
      <c r="L25" s="270"/>
    </row>
    <row r="26" spans="1:15" x14ac:dyDescent="0.25">
      <c r="H26" s="111"/>
    </row>
    <row r="27" spans="1:15" ht="16.5" thickBot="1" x14ac:dyDescent="0.3">
      <c r="A27" s="118" t="s">
        <v>56</v>
      </c>
      <c r="H27" s="111"/>
      <c r="M27" s="270"/>
      <c r="N27" s="270"/>
    </row>
    <row r="28" spans="1:15" x14ac:dyDescent="0.25">
      <c r="H28" s="111"/>
    </row>
    <row r="29" spans="1:15" x14ac:dyDescent="0.25">
      <c r="A29" s="102" t="s">
        <v>227</v>
      </c>
      <c r="C29" s="246">
        <f>+E29-J29</f>
        <v>0</v>
      </c>
      <c r="E29" s="125">
        <f>Physical!D31+Physical!K31+Physical!D65+Physical!K65</f>
        <v>0</v>
      </c>
      <c r="H29" s="111"/>
      <c r="J29" s="125">
        <v>0</v>
      </c>
      <c r="M29" s="270"/>
      <c r="N29" s="270"/>
    </row>
    <row r="30" spans="1:15" x14ac:dyDescent="0.25">
      <c r="A30" s="102" t="s">
        <v>192</v>
      </c>
      <c r="C30" s="246">
        <f>+E30-J30</f>
        <v>315627</v>
      </c>
      <c r="E30" s="125">
        <f>Physical!D26+Physical!K26+Physical!D60+Physical!K60-'ENRON MIDWEST P&amp;L'!E48-'ENRON MIDWEST P&amp;L'!E49</f>
        <v>-535633</v>
      </c>
      <c r="H30" s="111"/>
      <c r="J30" s="125">
        <v>-851260</v>
      </c>
    </row>
    <row r="31" spans="1:15" x14ac:dyDescent="0.25">
      <c r="A31" s="102" t="s">
        <v>228</v>
      </c>
      <c r="C31" s="246">
        <f>+E31-J31</f>
        <v>0</v>
      </c>
      <c r="E31" s="252">
        <v>0</v>
      </c>
      <c r="H31" s="111"/>
      <c r="J31" s="125">
        <v>0</v>
      </c>
      <c r="O31" s="270"/>
    </row>
    <row r="32" spans="1:15" ht="15" customHeight="1" thickBot="1" x14ac:dyDescent="0.3">
      <c r="H32" s="111"/>
      <c r="O32" s="270"/>
    </row>
    <row r="33" spans="1:14" ht="16.5" thickBot="1" x14ac:dyDescent="0.3">
      <c r="A33" s="120" t="s">
        <v>167</v>
      </c>
      <c r="C33" s="250">
        <f>+E33-J33</f>
        <v>315627</v>
      </c>
      <c r="D33" s="243"/>
      <c r="E33" s="253">
        <f>SUM(E29:E32)</f>
        <v>-535633</v>
      </c>
      <c r="G33" s="270" t="s">
        <v>27</v>
      </c>
      <c r="H33" s="111"/>
      <c r="J33" s="125">
        <v>-851260</v>
      </c>
      <c r="L33" s="270" t="s">
        <v>27</v>
      </c>
      <c r="N33" s="121"/>
    </row>
    <row r="34" spans="1:14" x14ac:dyDescent="0.25">
      <c r="A34" s="104"/>
      <c r="E34" s="247"/>
      <c r="H34" s="111"/>
    </row>
    <row r="35" spans="1:14" x14ac:dyDescent="0.25">
      <c r="A35" s="104"/>
      <c r="E35" s="246"/>
      <c r="H35" s="111"/>
    </row>
    <row r="36" spans="1:14" x14ac:dyDescent="0.25">
      <c r="A36" s="122" t="s">
        <v>57</v>
      </c>
      <c r="E36" s="246"/>
      <c r="H36" s="111"/>
      <c r="I36" s="103"/>
      <c r="M36" s="103"/>
      <c r="N36" s="103"/>
    </row>
    <row r="37" spans="1:14" x14ac:dyDescent="0.25">
      <c r="A37" s="104" t="s">
        <v>58</v>
      </c>
      <c r="E37" s="246"/>
      <c r="H37" s="111"/>
      <c r="I37" s="103"/>
      <c r="M37" s="103"/>
      <c r="N37" s="103"/>
    </row>
    <row r="38" spans="1:14" x14ac:dyDescent="0.25">
      <c r="A38" s="102" t="s">
        <v>214</v>
      </c>
      <c r="C38" s="246">
        <f t="shared" ref="C38:C43" si="0">+E38-J38</f>
        <v>0</v>
      </c>
      <c r="E38" s="254">
        <f>Physical!D21+Physical!K21+Physical!D55+Physical!K55</f>
        <v>0</v>
      </c>
      <c r="H38" s="111"/>
      <c r="I38" s="103"/>
      <c r="J38" s="125">
        <v>0</v>
      </c>
      <c r="M38" s="103"/>
      <c r="N38" s="103"/>
    </row>
    <row r="39" spans="1:14" x14ac:dyDescent="0.25">
      <c r="A39" s="102" t="s">
        <v>215</v>
      </c>
      <c r="C39" s="246">
        <f t="shared" si="0"/>
        <v>0</v>
      </c>
      <c r="E39" s="254">
        <f>Physical!D11+Physical!K11+Physical!D45+Physical!K45</f>
        <v>0</v>
      </c>
      <c r="H39" s="111"/>
      <c r="I39" s="103"/>
      <c r="J39" s="125">
        <v>0</v>
      </c>
      <c r="M39" s="103"/>
      <c r="N39" s="103"/>
    </row>
    <row r="40" spans="1:14" x14ac:dyDescent="0.25">
      <c r="A40" s="102" t="s">
        <v>216</v>
      </c>
      <c r="C40" s="246">
        <f t="shared" si="0"/>
        <v>0</v>
      </c>
      <c r="E40" s="254">
        <f>Physical!D15+Physical!K15+Physical!D49+Physical!K49</f>
        <v>0</v>
      </c>
      <c r="H40" s="111"/>
      <c r="I40" s="103"/>
      <c r="J40" s="125">
        <v>0</v>
      </c>
      <c r="M40" s="103"/>
      <c r="N40" s="103"/>
    </row>
    <row r="41" spans="1:14" x14ac:dyDescent="0.25">
      <c r="A41" s="102" t="s">
        <v>217</v>
      </c>
      <c r="C41" s="246">
        <f t="shared" si="0"/>
        <v>0</v>
      </c>
      <c r="E41" s="254">
        <v>0</v>
      </c>
      <c r="H41" s="111"/>
      <c r="I41" s="103"/>
      <c r="J41" s="125">
        <v>0</v>
      </c>
      <c r="M41" s="103"/>
      <c r="N41" s="103"/>
    </row>
    <row r="42" spans="1:14" x14ac:dyDescent="0.25">
      <c r="A42" s="102" t="s">
        <v>218</v>
      </c>
      <c r="C42" s="246">
        <f t="shared" si="0"/>
        <v>0</v>
      </c>
      <c r="E42" s="246">
        <v>0</v>
      </c>
      <c r="H42" s="111"/>
      <c r="I42" s="103"/>
      <c r="J42" s="125">
        <v>0</v>
      </c>
      <c r="M42" s="114"/>
      <c r="N42" s="103"/>
    </row>
    <row r="43" spans="1:14" x14ac:dyDescent="0.25">
      <c r="A43" s="102" t="s">
        <v>219</v>
      </c>
      <c r="C43" s="248">
        <f t="shared" si="0"/>
        <v>0</v>
      </c>
      <c r="E43" s="248">
        <v>0</v>
      </c>
      <c r="H43" s="111"/>
      <c r="I43" s="103"/>
      <c r="J43" s="125">
        <v>0</v>
      </c>
      <c r="M43" s="114"/>
      <c r="N43" s="103"/>
    </row>
    <row r="44" spans="1:14" x14ac:dyDescent="0.25">
      <c r="A44" s="104"/>
      <c r="C44" s="246"/>
      <c r="E44" s="246"/>
      <c r="H44" s="111"/>
      <c r="I44" s="103"/>
      <c r="M44" s="103"/>
      <c r="N44" s="103"/>
    </row>
    <row r="45" spans="1:14" x14ac:dyDescent="0.25">
      <c r="A45" s="120" t="s">
        <v>168</v>
      </c>
      <c r="C45" s="246">
        <f>+E45-J45</f>
        <v>0</v>
      </c>
      <c r="E45" s="246">
        <f>SUM(E38:E42)</f>
        <v>0</v>
      </c>
      <c r="H45" s="111"/>
      <c r="I45" s="103"/>
      <c r="J45" s="125">
        <v>0</v>
      </c>
      <c r="M45" s="103"/>
      <c r="N45" s="103"/>
    </row>
    <row r="46" spans="1:14" x14ac:dyDescent="0.25">
      <c r="A46" s="104"/>
      <c r="H46" s="111"/>
      <c r="I46" s="103"/>
      <c r="M46" s="103"/>
      <c r="N46" s="103"/>
    </row>
    <row r="47" spans="1:14" x14ac:dyDescent="0.25">
      <c r="A47" s="104" t="s">
        <v>59</v>
      </c>
      <c r="H47" s="111"/>
      <c r="I47" s="103"/>
      <c r="M47" s="103"/>
      <c r="N47" s="103"/>
    </row>
    <row r="48" spans="1:14" x14ac:dyDescent="0.25">
      <c r="A48" s="102" t="s">
        <v>214</v>
      </c>
      <c r="C48" s="246">
        <f t="shared" ref="C48:C53" si="1">+E48-J48</f>
        <v>0</v>
      </c>
      <c r="E48" s="255">
        <f>Physical!D20+Physical!K20+Physical!D54+Physical!K54</f>
        <v>0</v>
      </c>
      <c r="H48" s="111"/>
      <c r="I48" s="103"/>
      <c r="J48" s="125">
        <v>0</v>
      </c>
      <c r="M48" s="103"/>
      <c r="N48" s="103"/>
    </row>
    <row r="49" spans="1:14" x14ac:dyDescent="0.25">
      <c r="A49" s="102" t="s">
        <v>215</v>
      </c>
      <c r="C49" s="246">
        <f t="shared" si="1"/>
        <v>0</v>
      </c>
      <c r="E49" s="255">
        <f>Physical!D10+Physical!K10+Physical!D44+Physical!K44</f>
        <v>0</v>
      </c>
      <c r="H49" s="111"/>
      <c r="I49" s="103"/>
      <c r="J49" s="125">
        <v>0</v>
      </c>
      <c r="M49" s="103"/>
      <c r="N49" s="103"/>
    </row>
    <row r="50" spans="1:14" x14ac:dyDescent="0.25">
      <c r="A50" s="102" t="s">
        <v>216</v>
      </c>
      <c r="C50" s="246">
        <f t="shared" si="1"/>
        <v>0</v>
      </c>
      <c r="E50" s="255">
        <f>Physical!D14+Physical!K14+Physical!D48+Physical!K48</f>
        <v>0</v>
      </c>
      <c r="H50" s="111"/>
      <c r="I50" s="103"/>
      <c r="J50" s="125">
        <v>0</v>
      </c>
      <c r="M50" s="103"/>
      <c r="N50" s="103"/>
    </row>
    <row r="51" spans="1:14" x14ac:dyDescent="0.25">
      <c r="A51" s="102" t="s">
        <v>217</v>
      </c>
      <c r="C51" s="246">
        <f t="shared" si="1"/>
        <v>0</v>
      </c>
      <c r="E51" s="255">
        <v>0</v>
      </c>
      <c r="H51" s="111"/>
      <c r="I51" s="103"/>
      <c r="J51" s="125">
        <v>0</v>
      </c>
      <c r="M51" s="103"/>
      <c r="N51" s="103"/>
    </row>
    <row r="52" spans="1:14" x14ac:dyDescent="0.25">
      <c r="A52" s="102" t="s">
        <v>218</v>
      </c>
      <c r="C52" s="246">
        <f t="shared" si="1"/>
        <v>0</v>
      </c>
      <c r="E52" s="255">
        <v>0</v>
      </c>
      <c r="H52" s="111"/>
      <c r="I52" s="103"/>
      <c r="J52" s="125">
        <v>0</v>
      </c>
      <c r="M52" s="103"/>
      <c r="N52" s="103"/>
    </row>
    <row r="53" spans="1:14" x14ac:dyDescent="0.25">
      <c r="A53" s="102" t="s">
        <v>219</v>
      </c>
      <c r="C53" s="248">
        <f t="shared" si="1"/>
        <v>0</v>
      </c>
      <c r="E53" s="248">
        <v>0</v>
      </c>
      <c r="H53" s="111"/>
      <c r="I53" s="103"/>
      <c r="J53" s="125">
        <v>0</v>
      </c>
      <c r="M53" s="103"/>
      <c r="N53" s="103"/>
    </row>
    <row r="54" spans="1:14" x14ac:dyDescent="0.25">
      <c r="C54" s="246"/>
      <c r="E54" s="255"/>
      <c r="H54" s="111"/>
      <c r="I54" s="103"/>
      <c r="M54" s="103"/>
      <c r="N54" s="103"/>
    </row>
    <row r="55" spans="1:14" x14ac:dyDescent="0.25">
      <c r="A55" s="120" t="s">
        <v>169</v>
      </c>
      <c r="C55" s="246">
        <f>SUM(C48:C52)</f>
        <v>0</v>
      </c>
      <c r="E55" s="246">
        <f>SUM(E48:E52)</f>
        <v>0</v>
      </c>
      <c r="H55" s="111"/>
      <c r="I55" s="103"/>
      <c r="J55" s="125">
        <v>0</v>
      </c>
      <c r="M55" s="103"/>
      <c r="N55" s="103"/>
    </row>
    <row r="56" spans="1:14" x14ac:dyDescent="0.25">
      <c r="A56" s="104"/>
      <c r="C56" s="246"/>
      <c r="E56" s="246"/>
      <c r="H56" s="111"/>
      <c r="I56" s="103"/>
      <c r="M56" s="103"/>
      <c r="N56" s="103"/>
    </row>
    <row r="57" spans="1:14" x14ac:dyDescent="0.25">
      <c r="A57" s="104"/>
      <c r="C57" s="246"/>
      <c r="E57" s="246"/>
      <c r="H57" s="111"/>
      <c r="I57" s="103"/>
      <c r="M57" s="103"/>
      <c r="N57" s="103"/>
    </row>
    <row r="58" spans="1:14" x14ac:dyDescent="0.25">
      <c r="A58" s="104"/>
      <c r="C58" s="246"/>
      <c r="E58" s="246"/>
      <c r="H58" s="111"/>
      <c r="I58" s="103"/>
      <c r="M58" s="103"/>
      <c r="N58" s="103"/>
    </row>
    <row r="59" spans="1:14" x14ac:dyDescent="0.25">
      <c r="A59" s="104" t="s">
        <v>60</v>
      </c>
      <c r="H59" s="111"/>
    </row>
    <row r="60" spans="1:14" x14ac:dyDescent="0.25">
      <c r="A60" s="102" t="s">
        <v>212</v>
      </c>
      <c r="C60" s="246">
        <f>+E60-J60</f>
        <v>0</v>
      </c>
      <c r="E60" s="255">
        <v>0</v>
      </c>
      <c r="H60" s="111"/>
      <c r="J60" s="125">
        <v>0</v>
      </c>
    </row>
    <row r="61" spans="1:14" x14ac:dyDescent="0.25">
      <c r="A61" s="102" t="s">
        <v>213</v>
      </c>
      <c r="C61" s="248">
        <f>+E61-J61</f>
        <v>0</v>
      </c>
      <c r="E61" s="256">
        <v>0</v>
      </c>
      <c r="H61" s="111"/>
      <c r="J61" s="125">
        <v>0</v>
      </c>
    </row>
    <row r="62" spans="1:14" x14ac:dyDescent="0.25">
      <c r="A62" s="104" t="s">
        <v>61</v>
      </c>
      <c r="C62" s="246">
        <f>+E62-J62</f>
        <v>0</v>
      </c>
      <c r="E62" s="246">
        <f>SUM(E60:E61)</f>
        <v>0</v>
      </c>
      <c r="H62" s="111"/>
      <c r="J62" s="125">
        <v>0</v>
      </c>
    </row>
    <row r="63" spans="1:14" x14ac:dyDescent="0.25">
      <c r="A63" s="104"/>
      <c r="E63" s="248"/>
      <c r="H63" s="111"/>
      <c r="I63" s="103"/>
      <c r="M63" s="103"/>
      <c r="N63" s="103"/>
    </row>
    <row r="64" spans="1:14" s="104" customFormat="1" x14ac:dyDescent="0.25">
      <c r="A64" s="120" t="s">
        <v>170</v>
      </c>
      <c r="C64" s="251">
        <f>+E64-J64</f>
        <v>0</v>
      </c>
      <c r="D64" s="243"/>
      <c r="E64" s="244">
        <f>+E45+E55+E62</f>
        <v>0</v>
      </c>
      <c r="G64" s="267"/>
      <c r="H64" s="117"/>
      <c r="I64" s="103"/>
      <c r="J64" s="125">
        <v>0</v>
      </c>
      <c r="K64" s="102"/>
      <c r="L64" s="270"/>
      <c r="M64" s="105"/>
      <c r="N64" s="105"/>
    </row>
    <row r="65" spans="1:14" x14ac:dyDescent="0.25">
      <c r="A65" s="104"/>
      <c r="C65" s="257"/>
      <c r="D65" s="257"/>
      <c r="E65" s="246"/>
      <c r="H65" s="111"/>
      <c r="I65" s="103"/>
      <c r="M65" s="103"/>
      <c r="N65" s="103"/>
    </row>
    <row r="66" spans="1:14" x14ac:dyDescent="0.25">
      <c r="A66" s="122" t="s">
        <v>203</v>
      </c>
      <c r="E66" s="246"/>
      <c r="H66" s="111"/>
      <c r="I66" s="103"/>
      <c r="M66" s="103"/>
      <c r="N66" s="103"/>
    </row>
    <row r="67" spans="1:14" x14ac:dyDescent="0.25">
      <c r="A67" s="104" t="s">
        <v>62</v>
      </c>
      <c r="H67" s="111"/>
      <c r="I67" s="103"/>
      <c r="M67" s="103"/>
      <c r="N67" s="103"/>
    </row>
    <row r="68" spans="1:14" x14ac:dyDescent="0.25">
      <c r="A68" s="102" t="s">
        <v>209</v>
      </c>
      <c r="C68" s="246">
        <f>+E68-J68</f>
        <v>0</v>
      </c>
      <c r="E68" s="125">
        <v>0</v>
      </c>
      <c r="H68" s="111"/>
      <c r="I68" s="103"/>
      <c r="J68" s="125">
        <v>0</v>
      </c>
      <c r="M68" s="103"/>
      <c r="N68" s="103"/>
    </row>
    <row r="69" spans="1:14" x14ac:dyDescent="0.25">
      <c r="A69" s="102" t="s">
        <v>210</v>
      </c>
      <c r="C69" s="246">
        <f>+E69-J69</f>
        <v>0</v>
      </c>
      <c r="E69" s="246">
        <v>0</v>
      </c>
      <c r="H69" s="111"/>
      <c r="I69" s="103"/>
      <c r="J69" s="125">
        <v>0</v>
      </c>
      <c r="M69" s="103"/>
      <c r="N69" s="103"/>
    </row>
    <row r="70" spans="1:14" x14ac:dyDescent="0.25">
      <c r="A70" s="102" t="s">
        <v>211</v>
      </c>
      <c r="C70" s="248">
        <f>+E70-J70</f>
        <v>0</v>
      </c>
      <c r="E70" s="248">
        <f>-E76</f>
        <v>0</v>
      </c>
      <c r="H70" s="111"/>
      <c r="I70" s="103"/>
      <c r="J70" s="125">
        <v>0</v>
      </c>
      <c r="M70" s="103"/>
      <c r="N70" s="103"/>
    </row>
    <row r="71" spans="1:14" x14ac:dyDescent="0.25">
      <c r="A71" s="120" t="s">
        <v>171</v>
      </c>
      <c r="C71" s="246">
        <f>+E71-J71</f>
        <v>0</v>
      </c>
      <c r="E71" s="125">
        <f>SUM(E68:E70)</f>
        <v>0</v>
      </c>
      <c r="H71" s="111"/>
      <c r="I71" s="103"/>
      <c r="J71" s="125">
        <v>0</v>
      </c>
      <c r="M71" s="103"/>
      <c r="N71" s="103"/>
    </row>
    <row r="72" spans="1:14" x14ac:dyDescent="0.25">
      <c r="C72" s="246"/>
      <c r="H72" s="111"/>
      <c r="I72" s="103"/>
      <c r="M72" s="103"/>
      <c r="N72" s="103"/>
    </row>
    <row r="73" spans="1:14" x14ac:dyDescent="0.25">
      <c r="A73" s="104" t="s">
        <v>63</v>
      </c>
      <c r="C73" s="246"/>
      <c r="H73" s="111"/>
      <c r="I73" s="103"/>
      <c r="M73" s="103"/>
      <c r="N73" s="103"/>
    </row>
    <row r="74" spans="1:14" x14ac:dyDescent="0.25">
      <c r="A74" s="102" t="s">
        <v>209</v>
      </c>
      <c r="C74" s="246">
        <f>+E74-J74</f>
        <v>0</v>
      </c>
      <c r="E74" s="125">
        <v>0</v>
      </c>
      <c r="H74" s="111"/>
      <c r="I74" s="103"/>
      <c r="J74" s="125">
        <v>0</v>
      </c>
      <c r="M74" s="103"/>
      <c r="N74" s="103"/>
    </row>
    <row r="75" spans="1:14" x14ac:dyDescent="0.25">
      <c r="A75" s="102" t="s">
        <v>210</v>
      </c>
      <c r="C75" s="246">
        <f>+E75-J75</f>
        <v>0</v>
      </c>
      <c r="E75" s="246">
        <v>0</v>
      </c>
      <c r="H75" s="111"/>
      <c r="I75" s="103"/>
      <c r="J75" s="125">
        <v>0</v>
      </c>
      <c r="M75" s="103"/>
      <c r="N75" s="103"/>
    </row>
    <row r="76" spans="1:14" x14ac:dyDescent="0.25">
      <c r="A76" s="102" t="s">
        <v>211</v>
      </c>
      <c r="C76" s="248">
        <f>+E76-J76</f>
        <v>0</v>
      </c>
      <c r="E76" s="248">
        <v>0</v>
      </c>
      <c r="H76" s="111"/>
      <c r="I76" s="103"/>
      <c r="J76" s="125">
        <v>0</v>
      </c>
      <c r="M76" s="103"/>
      <c r="N76" s="103"/>
    </row>
    <row r="77" spans="1:14" x14ac:dyDescent="0.25">
      <c r="A77" s="120" t="s">
        <v>171</v>
      </c>
      <c r="C77" s="246">
        <f>+E77-J77</f>
        <v>0</v>
      </c>
      <c r="E77" s="125">
        <f>SUM(E74:E76)</f>
        <v>0</v>
      </c>
      <c r="H77" s="111"/>
      <c r="I77" s="103"/>
      <c r="J77" s="125">
        <v>0</v>
      </c>
      <c r="M77" s="103"/>
      <c r="N77" s="103"/>
    </row>
    <row r="78" spans="1:14" ht="16.5" thickBot="1" x14ac:dyDescent="0.3">
      <c r="E78" s="248"/>
      <c r="H78" s="111"/>
      <c r="I78" s="103"/>
      <c r="M78" s="103"/>
      <c r="N78" s="103"/>
    </row>
    <row r="79" spans="1:14" s="104" customFormat="1" ht="16.5" thickBot="1" x14ac:dyDescent="0.3">
      <c r="A79" s="120" t="s">
        <v>172</v>
      </c>
      <c r="C79" s="250">
        <f>+E79-J79</f>
        <v>0</v>
      </c>
      <c r="D79" s="243"/>
      <c r="E79" s="244">
        <f>+E71+E77</f>
        <v>0</v>
      </c>
      <c r="G79" s="267"/>
      <c r="H79" s="117"/>
      <c r="I79" s="103"/>
      <c r="J79" s="125">
        <v>0</v>
      </c>
      <c r="K79" s="102"/>
      <c r="L79" s="270"/>
      <c r="M79" s="105"/>
      <c r="N79" s="105"/>
    </row>
    <row r="80" spans="1:14" s="104" customFormat="1" ht="16.5" thickBot="1" x14ac:dyDescent="0.3">
      <c r="C80" s="243"/>
      <c r="D80" s="243"/>
      <c r="E80" s="243"/>
      <c r="G80" s="267"/>
      <c r="H80" s="117"/>
      <c r="I80" s="103"/>
      <c r="J80" s="125"/>
      <c r="K80" s="102"/>
      <c r="L80" s="270"/>
      <c r="M80" s="105"/>
      <c r="N80" s="105"/>
    </row>
    <row r="81" spans="1:14" s="104" customFormat="1" ht="16.5" thickBot="1" x14ac:dyDescent="0.3">
      <c r="A81" s="104" t="s">
        <v>208</v>
      </c>
      <c r="C81" s="250">
        <f>+E81-J81</f>
        <v>0</v>
      </c>
      <c r="D81" s="243"/>
      <c r="E81" s="244">
        <f>Physical!D33+Physical!K33+Physical!D67+Physical!K67</f>
        <v>268012</v>
      </c>
      <c r="G81" s="267"/>
      <c r="H81" s="117"/>
      <c r="I81" s="103"/>
      <c r="J81" s="125">
        <v>268012</v>
      </c>
      <c r="K81" s="102"/>
      <c r="L81" s="270"/>
      <c r="M81" s="105"/>
      <c r="N81" s="105"/>
    </row>
    <row r="82" spans="1:14" s="104" customFormat="1" ht="18" customHeight="1" thickBot="1" x14ac:dyDescent="0.3">
      <c r="A82" s="104" t="s">
        <v>41</v>
      </c>
      <c r="C82" s="250">
        <f>+E82-J82</f>
        <v>0</v>
      </c>
      <c r="D82" s="243"/>
      <c r="E82" s="244">
        <f>Physical!D34+Physical!K34+Physical!D68+Physical!K68</f>
        <v>0</v>
      </c>
      <c r="G82" s="267"/>
      <c r="H82" s="117"/>
      <c r="I82" s="103"/>
      <c r="J82" s="125">
        <v>0</v>
      </c>
      <c r="K82" s="102"/>
      <c r="L82" s="270"/>
      <c r="M82" s="105"/>
      <c r="N82" s="105"/>
    </row>
    <row r="83" spans="1:14" s="104" customFormat="1" x14ac:dyDescent="0.25">
      <c r="C83" s="242"/>
      <c r="D83" s="243"/>
      <c r="E83" s="243"/>
      <c r="G83" s="267"/>
      <c r="H83" s="117"/>
      <c r="I83" s="103"/>
      <c r="J83" s="125"/>
      <c r="K83" s="102"/>
      <c r="L83" s="270"/>
      <c r="M83" s="105"/>
      <c r="N83" s="105"/>
    </row>
    <row r="84" spans="1:14" ht="21.75" customHeight="1" x14ac:dyDescent="0.25">
      <c r="A84" s="123" t="s">
        <v>64</v>
      </c>
      <c r="E84" s="242" t="s">
        <v>27</v>
      </c>
      <c r="H84" s="111"/>
      <c r="I84" s="103"/>
      <c r="J84" s="125" t="s">
        <v>27</v>
      </c>
      <c r="M84" s="103"/>
      <c r="N84" s="103"/>
    </row>
    <row r="85" spans="1:14" x14ac:dyDescent="0.25">
      <c r="A85" s="124"/>
      <c r="H85" s="111"/>
      <c r="I85" s="103"/>
      <c r="M85" s="103"/>
      <c r="N85" s="103"/>
    </row>
    <row r="86" spans="1:14" x14ac:dyDescent="0.25">
      <c r="A86" s="104" t="s">
        <v>204</v>
      </c>
      <c r="B86" s="125"/>
      <c r="C86" s="246">
        <f>+E86-J86</f>
        <v>11095.348899999633</v>
      </c>
      <c r="E86" s="242">
        <f>'Total Financial'!D15+'Total Financial'!D19+'Total Financial'!D25+'Total Financial'!D29+'Total Financial'!D35+'Total Financial'!D39</f>
        <v>4416127.6717999987</v>
      </c>
      <c r="H86" s="111"/>
      <c r="I86" s="103"/>
      <c r="J86" s="125">
        <v>4405032.3228999991</v>
      </c>
      <c r="M86" s="103"/>
      <c r="N86" s="103"/>
    </row>
    <row r="87" spans="1:14" x14ac:dyDescent="0.25">
      <c r="A87" s="104"/>
      <c r="B87" s="125"/>
      <c r="C87" s="246" t="s">
        <v>27</v>
      </c>
      <c r="E87" s="242"/>
      <c r="H87" s="111"/>
      <c r="I87" s="103"/>
      <c r="M87" s="103"/>
      <c r="N87" s="103"/>
    </row>
    <row r="88" spans="1:14" x14ac:dyDescent="0.25">
      <c r="A88" s="104" t="s">
        <v>205</v>
      </c>
      <c r="B88" s="119"/>
      <c r="C88" s="246">
        <f>+E88-J88</f>
        <v>22875.079600000056</v>
      </c>
      <c r="E88" s="242">
        <f>'Total Financial'!D16+'Total Financial'!D20+'Total Financial'!D26+'Total Financial'!D30+'Total Financial'!D36+'Total Financial'!D40</f>
        <v>68172.464600000065</v>
      </c>
      <c r="H88" s="111"/>
      <c r="I88" s="103"/>
      <c r="J88" s="125">
        <v>45297.385000000009</v>
      </c>
      <c r="M88" s="103"/>
      <c r="N88" s="103"/>
    </row>
    <row r="89" spans="1:14" x14ac:dyDescent="0.25">
      <c r="A89" s="104"/>
      <c r="B89" s="119"/>
      <c r="C89" s="246"/>
      <c r="E89" s="242"/>
      <c r="H89" s="111"/>
      <c r="I89" s="103"/>
      <c r="M89" s="103"/>
      <c r="N89" s="103"/>
    </row>
    <row r="90" spans="1:14" s="129" customFormat="1" x14ac:dyDescent="0.25">
      <c r="A90" s="126" t="s">
        <v>165</v>
      </c>
      <c r="B90" s="127"/>
      <c r="C90" s="258">
        <f>+E90-J90</f>
        <v>-5922.4864999999991</v>
      </c>
      <c r="D90" s="258"/>
      <c r="E90" s="259">
        <f>'Total Financial'!D17+'Total Financial'!D27+'Total Financial'!D37</f>
        <v>-11002.989399999999</v>
      </c>
      <c r="G90" s="273"/>
      <c r="H90" s="130"/>
      <c r="I90" s="128"/>
      <c r="J90" s="125">
        <v>-5080.5028999999995</v>
      </c>
      <c r="K90" s="102"/>
      <c r="L90" s="270"/>
      <c r="M90" s="128"/>
      <c r="N90" s="128"/>
    </row>
    <row r="91" spans="1:14" x14ac:dyDescent="0.25">
      <c r="A91" s="104"/>
      <c r="B91" s="119"/>
      <c r="C91" s="246"/>
      <c r="E91" s="242"/>
      <c r="H91" s="111"/>
      <c r="I91" s="103"/>
      <c r="M91" s="103"/>
      <c r="N91" s="103"/>
    </row>
    <row r="92" spans="1:14" x14ac:dyDescent="0.25">
      <c r="A92" s="104" t="s">
        <v>35</v>
      </c>
      <c r="B92" s="119"/>
      <c r="C92" s="246">
        <f>+E92-J92</f>
        <v>0</v>
      </c>
      <c r="E92" s="242">
        <f>'Total Financial'!D18+'Total Financial'!D28+'Total Financial'!D38</f>
        <v>0</v>
      </c>
      <c r="H92" s="111"/>
      <c r="I92" s="103"/>
      <c r="J92" s="125">
        <v>0</v>
      </c>
      <c r="M92" s="103"/>
      <c r="N92" s="103"/>
    </row>
    <row r="93" spans="1:14" x14ac:dyDescent="0.25">
      <c r="A93" s="104"/>
      <c r="B93" s="119"/>
      <c r="C93" s="246"/>
      <c r="E93" s="242"/>
      <c r="H93" s="111"/>
      <c r="I93" s="103"/>
      <c r="M93" s="103"/>
      <c r="N93" s="103"/>
    </row>
    <row r="94" spans="1:14" x14ac:dyDescent="0.25">
      <c r="A94" s="104" t="s">
        <v>193</v>
      </c>
      <c r="C94" s="246">
        <f>+E94-J94</f>
        <v>0</v>
      </c>
      <c r="E94" s="260">
        <f>'Total Financial'!D21+'Total Financial'!D31+'Total Financial'!D41</f>
        <v>0</v>
      </c>
      <c r="H94" s="111"/>
      <c r="I94" s="103"/>
      <c r="J94" s="125">
        <v>0</v>
      </c>
      <c r="M94" s="103"/>
      <c r="N94" s="103"/>
    </row>
    <row r="95" spans="1:14" x14ac:dyDescent="0.25">
      <c r="A95" s="104"/>
      <c r="C95" s="246"/>
      <c r="E95" s="261"/>
      <c r="H95" s="111"/>
      <c r="I95" s="103"/>
      <c r="M95" s="103"/>
      <c r="N95" s="103"/>
    </row>
    <row r="96" spans="1:14" x14ac:dyDescent="0.25">
      <c r="A96" s="104" t="s">
        <v>7</v>
      </c>
      <c r="C96" s="246">
        <v>0</v>
      </c>
      <c r="E96" s="261">
        <v>0</v>
      </c>
      <c r="H96" s="111"/>
      <c r="I96" s="103"/>
      <c r="J96" s="125">
        <v>0</v>
      </c>
      <c r="M96" s="103"/>
      <c r="N96" s="103"/>
    </row>
    <row r="97" spans="1:18" x14ac:dyDescent="0.25">
      <c r="A97" s="104"/>
      <c r="C97" s="248"/>
      <c r="E97" s="242"/>
      <c r="H97" s="111"/>
      <c r="I97" s="103"/>
      <c r="M97" s="103"/>
      <c r="N97" s="103"/>
    </row>
    <row r="98" spans="1:18" x14ac:dyDescent="0.25">
      <c r="A98" s="120" t="s">
        <v>173</v>
      </c>
      <c r="C98" s="248">
        <f>+E98-J98</f>
        <v>28047.941999999806</v>
      </c>
      <c r="D98" s="243"/>
      <c r="E98" s="251">
        <f>SUM(E86:E96)</f>
        <v>4473297.1469999989</v>
      </c>
      <c r="H98" s="111"/>
      <c r="I98" s="103"/>
      <c r="J98" s="125">
        <v>4445249.2049999991</v>
      </c>
      <c r="M98" s="103"/>
      <c r="N98" s="103"/>
    </row>
    <row r="99" spans="1:18" ht="18" customHeight="1" x14ac:dyDescent="0.25">
      <c r="A99" s="120"/>
      <c r="C99" s="246"/>
      <c r="D99" s="243"/>
      <c r="E99" s="243"/>
      <c r="H99" s="111"/>
      <c r="I99" s="103"/>
      <c r="M99" s="103"/>
      <c r="N99" s="103"/>
    </row>
    <row r="100" spans="1:18" ht="23.25" customHeight="1" x14ac:dyDescent="0.25">
      <c r="A100" s="123" t="s">
        <v>166</v>
      </c>
      <c r="C100" s="246"/>
      <c r="D100" s="243"/>
      <c r="E100" s="243"/>
      <c r="H100" s="111"/>
      <c r="I100" s="103"/>
      <c r="M100" s="103"/>
      <c r="N100" s="103"/>
    </row>
    <row r="101" spans="1:18" x14ac:dyDescent="0.25">
      <c r="A101" s="274" t="s">
        <v>206</v>
      </c>
      <c r="C101" s="243">
        <f>+E101-J101</f>
        <v>0</v>
      </c>
      <c r="E101" s="243">
        <v>0</v>
      </c>
      <c r="H101" s="111"/>
      <c r="I101" s="103"/>
      <c r="J101" s="125">
        <v>0</v>
      </c>
      <c r="M101" s="103"/>
      <c r="N101" s="103"/>
    </row>
    <row r="102" spans="1:18" x14ac:dyDescent="0.25">
      <c r="A102" s="102" t="s">
        <v>90</v>
      </c>
      <c r="C102" s="244">
        <f>+E102-J102</f>
        <v>0</v>
      </c>
      <c r="D102" s="243"/>
      <c r="E102" s="244">
        <v>0</v>
      </c>
      <c r="H102" s="111"/>
      <c r="I102" s="103"/>
      <c r="J102" s="125">
        <v>0</v>
      </c>
      <c r="M102" s="103"/>
      <c r="N102" s="103"/>
    </row>
    <row r="103" spans="1:18" x14ac:dyDescent="0.25">
      <c r="C103" s="243"/>
      <c r="D103" s="243"/>
      <c r="E103" s="243"/>
      <c r="H103" s="111"/>
      <c r="I103" s="103"/>
      <c r="M103" s="103"/>
      <c r="N103" s="103"/>
    </row>
    <row r="104" spans="1:18" x14ac:dyDescent="0.25">
      <c r="A104" s="120" t="s">
        <v>174</v>
      </c>
      <c r="C104" s="246">
        <f>+E104-J104</f>
        <v>0</v>
      </c>
      <c r="D104" s="125"/>
      <c r="E104" s="242">
        <f>SUM(E101:E102)</f>
        <v>0</v>
      </c>
      <c r="H104" s="111"/>
      <c r="J104" s="125">
        <v>0</v>
      </c>
    </row>
    <row r="105" spans="1:18" ht="24" customHeight="1" x14ac:dyDescent="0.25">
      <c r="A105" s="122" t="s">
        <v>65</v>
      </c>
      <c r="E105" s="242"/>
      <c r="H105" s="111"/>
      <c r="I105" s="103"/>
      <c r="M105" s="103"/>
      <c r="N105" s="103"/>
    </row>
    <row r="106" spans="1:18" ht="18" customHeight="1" x14ac:dyDescent="0.25">
      <c r="A106" s="102" t="s">
        <v>325</v>
      </c>
      <c r="C106" s="246">
        <f>+E106-J106</f>
        <v>-15966.875</v>
      </c>
      <c r="E106" s="262">
        <f>Other!E30+Other!E31+Other!E32+Other!E33</f>
        <v>-180903.875</v>
      </c>
      <c r="H106" s="111"/>
      <c r="I106" s="103"/>
      <c r="J106" s="125">
        <v>-164937</v>
      </c>
      <c r="M106" s="131"/>
      <c r="N106" s="132"/>
      <c r="O106" s="133"/>
      <c r="P106" s="133"/>
      <c r="Q106" s="103"/>
      <c r="R106" s="103"/>
    </row>
    <row r="107" spans="1:18" ht="18" customHeight="1" x14ac:dyDescent="0.25">
      <c r="A107" s="102" t="s">
        <v>337</v>
      </c>
      <c r="C107" s="246">
        <f>+E107-J107</f>
        <v>-7239.5</v>
      </c>
      <c r="E107" s="262">
        <f>Other!E35+Other!E36+Other!E37+Other!E38</f>
        <v>-47335.5</v>
      </c>
      <c r="H107" s="111"/>
      <c r="I107" s="103"/>
      <c r="J107" s="125">
        <v>-40096</v>
      </c>
      <c r="M107" s="131"/>
      <c r="N107" s="132"/>
      <c r="O107" s="133"/>
      <c r="P107" s="133"/>
      <c r="Q107" s="103"/>
      <c r="R107" s="103"/>
    </row>
    <row r="108" spans="1:18" ht="18" customHeight="1" x14ac:dyDescent="0.25">
      <c r="A108" s="102" t="s">
        <v>233</v>
      </c>
      <c r="C108" s="246">
        <f>+E108-J108</f>
        <v>0</v>
      </c>
      <c r="E108" s="262">
        <f>+Other!E21</f>
        <v>0</v>
      </c>
      <c r="H108" s="111"/>
      <c r="I108" s="103"/>
      <c r="J108" s="125">
        <v>0</v>
      </c>
      <c r="M108" s="131"/>
      <c r="N108" s="132"/>
      <c r="O108" s="133"/>
      <c r="P108" s="133"/>
      <c r="Q108" s="103"/>
      <c r="R108" s="103"/>
    </row>
    <row r="109" spans="1:18" ht="18" customHeight="1" thickBot="1" x14ac:dyDescent="0.3">
      <c r="A109" s="102" t="s">
        <v>237</v>
      </c>
      <c r="C109" s="246">
        <f>+E109-J109</f>
        <v>0</v>
      </c>
      <c r="E109" s="262">
        <f>+Other!E28</f>
        <v>0</v>
      </c>
      <c r="H109" s="111"/>
      <c r="I109" s="103"/>
      <c r="J109" s="125">
        <v>0</v>
      </c>
      <c r="M109" s="131" t="s">
        <v>27</v>
      </c>
      <c r="N109" s="132"/>
      <c r="O109" s="133"/>
      <c r="P109" s="133"/>
      <c r="Q109" s="103"/>
      <c r="R109" s="103"/>
    </row>
    <row r="110" spans="1:18" ht="16.5" thickBot="1" x14ac:dyDescent="0.3">
      <c r="A110" s="104" t="s">
        <v>207</v>
      </c>
      <c r="C110" s="263">
        <f>+E110-J110</f>
        <v>-23206.375</v>
      </c>
      <c r="D110" s="243"/>
      <c r="E110" s="264">
        <f>SUM(E106:E109)</f>
        <v>-228239.375</v>
      </c>
      <c r="H110" s="111"/>
      <c r="I110" s="103"/>
      <c r="J110" s="125">
        <v>-205033</v>
      </c>
      <c r="M110" s="103"/>
      <c r="N110" s="132"/>
      <c r="O110" s="133"/>
      <c r="P110" s="133"/>
      <c r="Q110" s="103"/>
      <c r="R110" s="103"/>
    </row>
    <row r="111" spans="1:18" x14ac:dyDescent="0.25">
      <c r="D111" s="125"/>
      <c r="H111" s="111"/>
      <c r="I111" s="103"/>
      <c r="M111" s="103"/>
      <c r="N111" s="132"/>
      <c r="O111" s="133"/>
      <c r="P111" s="133"/>
      <c r="Q111" s="103"/>
      <c r="R111" s="103"/>
    </row>
    <row r="112" spans="1:18" x14ac:dyDescent="0.25">
      <c r="A112" s="104" t="s">
        <v>27</v>
      </c>
      <c r="C112" s="246" t="s">
        <v>27</v>
      </c>
      <c r="E112" s="265" t="s">
        <v>27</v>
      </c>
      <c r="H112" s="111"/>
      <c r="I112" s="103"/>
      <c r="J112" s="125" t="s">
        <v>27</v>
      </c>
      <c r="M112" s="103"/>
      <c r="N112" s="103"/>
      <c r="O112" s="133"/>
      <c r="P112" s="133"/>
      <c r="Q112" s="103"/>
      <c r="R112" s="103"/>
    </row>
    <row r="113" spans="1:18" x14ac:dyDescent="0.25">
      <c r="C113" s="248"/>
      <c r="E113" s="244"/>
      <c r="H113" s="111"/>
      <c r="I113" s="103"/>
      <c r="M113" s="103"/>
      <c r="N113" s="103"/>
      <c r="O113" s="133"/>
      <c r="P113" s="133"/>
      <c r="Q113" s="103"/>
      <c r="R113" s="103"/>
    </row>
    <row r="114" spans="1:18" ht="16.5" thickBot="1" x14ac:dyDescent="0.3">
      <c r="A114" s="120" t="s">
        <v>175</v>
      </c>
      <c r="C114" s="266">
        <f>+C25+C33+C64+C79+C81+C82+C98+C104+C110</f>
        <v>7239.5669999998063</v>
      </c>
      <c r="D114" s="257"/>
      <c r="E114" s="266">
        <f>+E25+E33+E64+E79+E81+E82+E98+E104+E110</f>
        <v>47332.771999998949</v>
      </c>
      <c r="H114" s="111"/>
      <c r="I114" s="103"/>
      <c r="J114" s="125">
        <v>40093.204999999143</v>
      </c>
      <c r="M114" s="112"/>
      <c r="N114" s="132"/>
      <c r="O114" s="133"/>
      <c r="P114" s="133"/>
      <c r="Q114" s="103"/>
      <c r="R114" s="103"/>
    </row>
    <row r="115" spans="1:18" ht="16.5" thickTop="1" x14ac:dyDescent="0.25">
      <c r="I115" s="103"/>
      <c r="L115" s="271"/>
      <c r="M115" s="103"/>
      <c r="N115" s="132"/>
      <c r="O115" s="133"/>
      <c r="P115" s="133"/>
      <c r="Q115" s="103"/>
      <c r="R115" s="103"/>
    </row>
    <row r="116" spans="1:18" x14ac:dyDescent="0.25">
      <c r="A116" s="102" t="s">
        <v>27</v>
      </c>
      <c r="I116" s="103"/>
      <c r="K116" s="103"/>
      <c r="L116" s="271"/>
      <c r="M116" s="103"/>
      <c r="N116" s="132"/>
      <c r="O116" s="103"/>
      <c r="P116" s="103"/>
      <c r="Q116" s="103"/>
      <c r="R116" s="103"/>
    </row>
    <row r="117" spans="1:18" x14ac:dyDescent="0.25">
      <c r="I117" s="103"/>
      <c r="K117" s="103"/>
      <c r="L117" s="271"/>
      <c r="M117" s="103"/>
      <c r="N117" s="103"/>
    </row>
    <row r="118" spans="1:18" x14ac:dyDescent="0.25">
      <c r="I118" s="103"/>
      <c r="K118" s="103"/>
      <c r="L118" s="271"/>
      <c r="M118" s="103"/>
      <c r="N118" s="103"/>
    </row>
    <row r="119" spans="1:18" x14ac:dyDescent="0.25">
      <c r="I119" s="103"/>
      <c r="K119" s="103"/>
      <c r="L119" s="271"/>
      <c r="M119" s="103"/>
      <c r="N119" s="103"/>
    </row>
    <row r="120" spans="1:18" x14ac:dyDescent="0.25">
      <c r="I120" s="103"/>
      <c r="K120" s="103"/>
      <c r="L120" s="271"/>
      <c r="M120" s="103"/>
      <c r="N120" s="103"/>
    </row>
    <row r="121" spans="1:18" x14ac:dyDescent="0.25">
      <c r="I121" s="103"/>
      <c r="K121" s="103"/>
      <c r="L121" s="271"/>
      <c r="M121" s="103"/>
      <c r="N121" s="103"/>
    </row>
    <row r="122" spans="1:18" x14ac:dyDescent="0.25">
      <c r="I122" s="103"/>
      <c r="K122" s="103"/>
      <c r="L122" s="271"/>
      <c r="M122" s="103"/>
      <c r="N122" s="103"/>
    </row>
    <row r="123" spans="1:18" x14ac:dyDescent="0.25">
      <c r="I123" s="103"/>
      <c r="K123" s="103"/>
      <c r="L123" s="271"/>
      <c r="M123" s="103"/>
      <c r="N123" s="103"/>
    </row>
    <row r="124" spans="1:18" x14ac:dyDescent="0.25">
      <c r="I124" s="103"/>
      <c r="K124" s="103"/>
      <c r="L124" s="271"/>
      <c r="M124" s="103"/>
      <c r="N124" s="103"/>
    </row>
  </sheetData>
  <pageMargins left="0.75" right="0.75" top="1" bottom="1" header="0.5" footer="0.5"/>
  <pageSetup scale="3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0]!CopytoPrior">
                <anchor moveWithCells="1" sizeWithCells="1">
                  <from>
                    <xdr:col>9</xdr:col>
                    <xdr:colOff>9525</xdr:colOff>
                    <xdr:row>1</xdr:row>
                    <xdr:rowOff>0</xdr:rowOff>
                  </from>
                  <to>
                    <xdr:col>12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35"/>
  <sheetViews>
    <sheetView topLeftCell="A3" workbookViewId="0">
      <selection activeCell="I28" sqref="I28"/>
    </sheetView>
  </sheetViews>
  <sheetFormatPr defaultRowHeight="12.75" x14ac:dyDescent="0.2"/>
  <cols>
    <col min="1" max="1" width="3.140625" style="1" customWidth="1"/>
    <col min="2" max="2" width="9.140625" style="1"/>
    <col min="3" max="3" width="19.5703125" style="1" customWidth="1"/>
    <col min="4" max="5" width="14" style="213" customWidth="1"/>
    <col min="6" max="6" width="14" style="1" customWidth="1"/>
    <col min="7" max="7" width="4.140625" style="1" customWidth="1"/>
    <col min="8" max="8" width="4.85546875" style="1" customWidth="1"/>
    <col min="9" max="9" width="9.140625" style="1"/>
    <col min="10" max="10" width="20.140625" style="1" customWidth="1"/>
    <col min="11" max="12" width="14" style="213" customWidth="1"/>
    <col min="13" max="13" width="14" style="1" customWidth="1"/>
    <col min="14" max="16384" width="9.140625" style="1"/>
  </cols>
  <sheetData>
    <row r="1" spans="1:13" ht="18.75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9.5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 t="e">
        <f>+L2*M29</f>
        <v>#DIV/0!</v>
      </c>
    </row>
    <row r="3" spans="1:13" x14ac:dyDescent="0.2">
      <c r="E3" s="213" t="s">
        <v>39</v>
      </c>
      <c r="F3" s="6"/>
      <c r="G3" s="6"/>
      <c r="H3" s="6"/>
      <c r="L3" s="213" t="s">
        <v>39</v>
      </c>
      <c r="M3" s="6"/>
    </row>
    <row r="4" spans="1:13" ht="15" thickBot="1" x14ac:dyDescent="0.25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">
      <c r="A5" s="1">
        <v>1</v>
      </c>
      <c r="B5" s="71" t="s">
        <v>83</v>
      </c>
      <c r="D5" s="215"/>
      <c r="E5" s="216"/>
      <c r="F5" s="65" t="e">
        <f>D5/E5</f>
        <v>#DIV/0!</v>
      </c>
      <c r="G5" s="76"/>
      <c r="H5" s="76">
        <v>6</v>
      </c>
      <c r="I5" s="71" t="s">
        <v>84</v>
      </c>
      <c r="K5" s="215"/>
      <c r="L5" s="216"/>
      <c r="M5" s="65" t="e">
        <f>K5/L5</f>
        <v>#DIV/0!</v>
      </c>
    </row>
    <row r="6" spans="1:13" x14ac:dyDescent="0.2">
      <c r="K6" s="213" t="s">
        <v>27</v>
      </c>
      <c r="L6" s="227"/>
    </row>
    <row r="7" spans="1:13" ht="14.25" x14ac:dyDescent="0.2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5" thickBot="1" x14ac:dyDescent="0.25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">
      <c r="A10" s="1">
        <v>3</v>
      </c>
      <c r="B10" s="71" t="s">
        <v>130</v>
      </c>
      <c r="D10" s="217"/>
      <c r="E10" s="218"/>
      <c r="F10" s="65" t="e">
        <f>D10/E10</f>
        <v>#DIV/0!</v>
      </c>
      <c r="G10" s="76"/>
      <c r="H10" s="76">
        <v>8</v>
      </c>
      <c r="I10" s="71" t="s">
        <v>130</v>
      </c>
      <c r="K10" s="222"/>
      <c r="L10" s="222"/>
      <c r="M10" s="65" t="e">
        <f>K10/L10</f>
        <v>#DIV/0!</v>
      </c>
    </row>
    <row r="11" spans="1:13" x14ac:dyDescent="0.2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3" x14ac:dyDescent="0.2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3" x14ac:dyDescent="0.2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3" x14ac:dyDescent="0.2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3" x14ac:dyDescent="0.2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3" x14ac:dyDescent="0.2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3" x14ac:dyDescent="0.2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3" x14ac:dyDescent="0.2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3" x14ac:dyDescent="0.2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3" x14ac:dyDescent="0.2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0</v>
      </c>
      <c r="L25" s="220">
        <f>SUM(L9:L24)</f>
        <v>0</v>
      </c>
      <c r="M25" s="67" t="e">
        <f t="shared" si="1"/>
        <v>#DIV/0!</v>
      </c>
    </row>
    <row r="26" spans="1:13" ht="13.5" thickBot="1" x14ac:dyDescent="0.25">
      <c r="B26" s="20" t="s">
        <v>139</v>
      </c>
      <c r="D26" s="220">
        <f>SUM(D9:D25)</f>
        <v>0</v>
      </c>
      <c r="E26" s="220">
        <f>SUM(E9:E25)</f>
        <v>0</v>
      </c>
      <c r="F26" s="67" t="e">
        <f t="shared" si="0"/>
        <v>#DIV/0!</v>
      </c>
      <c r="I26" s="2" t="s">
        <v>142</v>
      </c>
      <c r="K26" s="221">
        <f>+K25+K5</f>
        <v>0</v>
      </c>
      <c r="L26" s="221">
        <f>+L25+L5</f>
        <v>0</v>
      </c>
      <c r="M26" s="68" t="e">
        <f t="shared" si="1"/>
        <v>#DIV/0!</v>
      </c>
    </row>
    <row r="27" spans="1:13" ht="14.25" thickTop="1" thickBot="1" x14ac:dyDescent="0.25">
      <c r="B27" s="2" t="s">
        <v>141</v>
      </c>
      <c r="C27" s="2"/>
      <c r="D27" s="221">
        <f>+D26+D5</f>
        <v>0</v>
      </c>
      <c r="E27" s="221">
        <f>+E26+E5</f>
        <v>0</v>
      </c>
      <c r="F27" s="68" t="e">
        <f t="shared" si="0"/>
        <v>#DIV/0!</v>
      </c>
      <c r="L27" s="227"/>
    </row>
    <row r="28" spans="1:13" ht="13.5" thickTop="1" x14ac:dyDescent="0.2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3" ht="15" thickBot="1" x14ac:dyDescent="0.25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0</v>
      </c>
      <c r="L29" s="229">
        <f>+L5</f>
        <v>0</v>
      </c>
      <c r="M29" s="70" t="e">
        <f>K29/L29</f>
        <v>#DIV/0!</v>
      </c>
    </row>
    <row r="30" spans="1:13" ht="15" thickBot="1" x14ac:dyDescent="0.25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3" ht="15" thickBot="1" x14ac:dyDescent="0.25">
      <c r="A31" s="1">
        <v>31</v>
      </c>
      <c r="B31" s="14" t="s">
        <v>157</v>
      </c>
      <c r="C31" s="13"/>
      <c r="D31" s="213">
        <v>0</v>
      </c>
      <c r="E31" s="223"/>
      <c r="L31" s="227"/>
    </row>
    <row r="32" spans="1:13" x14ac:dyDescent="0.2">
      <c r="L32" s="227" t="s">
        <v>27</v>
      </c>
    </row>
    <row r="34" spans="6:10" x14ac:dyDescent="0.2">
      <c r="J34" s="80"/>
    </row>
    <row r="35" spans="6:10" x14ac:dyDescent="0.2">
      <c r="F35" s="17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35"/>
  <sheetViews>
    <sheetView topLeftCell="C9" workbookViewId="0">
      <selection activeCell="D30" sqref="D30"/>
    </sheetView>
  </sheetViews>
  <sheetFormatPr defaultRowHeight="12.75" x14ac:dyDescent="0.2"/>
  <cols>
    <col min="1" max="1" width="3.140625" style="1" customWidth="1"/>
    <col min="2" max="2" width="9.140625" style="1"/>
    <col min="3" max="3" width="19.5703125" style="1" customWidth="1"/>
    <col min="4" max="5" width="14" style="213" customWidth="1"/>
    <col min="6" max="6" width="14" style="1" customWidth="1"/>
    <col min="7" max="7" width="4.140625" style="1" customWidth="1"/>
    <col min="8" max="8" width="4.85546875" style="1" customWidth="1"/>
    <col min="9" max="9" width="9.140625" style="1"/>
    <col min="10" max="10" width="20.140625" style="1" customWidth="1"/>
    <col min="11" max="12" width="14" style="213" customWidth="1"/>
    <col min="13" max="13" width="14" style="1" customWidth="1"/>
    <col min="14" max="16384" width="9.140625" style="1"/>
  </cols>
  <sheetData>
    <row r="1" spans="1:13" ht="18.75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9.5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 t="e">
        <f>+L2*M29</f>
        <v>#DIV/0!</v>
      </c>
    </row>
    <row r="3" spans="1:13" x14ac:dyDescent="0.2">
      <c r="E3" s="213" t="s">
        <v>39</v>
      </c>
      <c r="F3" s="6"/>
      <c r="G3" s="6"/>
      <c r="H3" s="6"/>
      <c r="L3" s="213" t="s">
        <v>39</v>
      </c>
      <c r="M3" s="6"/>
    </row>
    <row r="4" spans="1:13" ht="15" thickBot="1" x14ac:dyDescent="0.25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">
      <c r="A5" s="1">
        <v>1</v>
      </c>
      <c r="B5" s="71" t="s">
        <v>83</v>
      </c>
      <c r="D5" s="215"/>
      <c r="E5" s="216"/>
      <c r="F5" s="65" t="e">
        <f>D5/E5</f>
        <v>#DIV/0!</v>
      </c>
      <c r="G5" s="76"/>
      <c r="H5" s="76">
        <v>6</v>
      </c>
      <c r="I5" s="71" t="s">
        <v>84</v>
      </c>
      <c r="K5" s="215"/>
      <c r="L5" s="216"/>
      <c r="M5" s="65" t="e">
        <f>K5/L5</f>
        <v>#DIV/0!</v>
      </c>
    </row>
    <row r="6" spans="1:13" x14ac:dyDescent="0.2">
      <c r="L6" s="227"/>
    </row>
    <row r="7" spans="1:13" ht="14.25" x14ac:dyDescent="0.2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5" thickBot="1" x14ac:dyDescent="0.25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">
      <c r="A10" s="1">
        <v>3</v>
      </c>
      <c r="B10" s="71" t="s">
        <v>130</v>
      </c>
      <c r="D10" s="217"/>
      <c r="E10" s="218"/>
      <c r="F10" s="65" t="e">
        <f>D10/E10</f>
        <v>#DIV/0!</v>
      </c>
      <c r="G10" s="76"/>
      <c r="H10" s="76">
        <v>8</v>
      </c>
      <c r="I10" s="71" t="s">
        <v>130</v>
      </c>
      <c r="K10" s="222"/>
      <c r="L10" s="222"/>
      <c r="M10" s="65" t="e">
        <f>K10/L10</f>
        <v>#DIV/0!</v>
      </c>
    </row>
    <row r="11" spans="1:13" x14ac:dyDescent="0.2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3" x14ac:dyDescent="0.2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3" x14ac:dyDescent="0.2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3" x14ac:dyDescent="0.2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3" x14ac:dyDescent="0.2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3" x14ac:dyDescent="0.2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3" x14ac:dyDescent="0.2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3" x14ac:dyDescent="0.2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3" x14ac:dyDescent="0.2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3" x14ac:dyDescent="0.2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0</v>
      </c>
      <c r="L25" s="220">
        <f>SUM(L9:L24)</f>
        <v>0</v>
      </c>
      <c r="M25" s="67" t="e">
        <f t="shared" si="1"/>
        <v>#DIV/0!</v>
      </c>
    </row>
    <row r="26" spans="1:13" ht="13.5" thickBot="1" x14ac:dyDescent="0.25">
      <c r="B26" s="20" t="s">
        <v>139</v>
      </c>
      <c r="D26" s="220">
        <f>SUM(D9:D25)</f>
        <v>0</v>
      </c>
      <c r="E26" s="220">
        <f>SUM(E9:E25)</f>
        <v>0</v>
      </c>
      <c r="F26" s="67" t="e">
        <f t="shared" si="0"/>
        <v>#DIV/0!</v>
      </c>
      <c r="I26" s="2" t="s">
        <v>142</v>
      </c>
      <c r="K26" s="221">
        <f>+K25+K5</f>
        <v>0</v>
      </c>
      <c r="L26" s="221">
        <f>+L25+L5</f>
        <v>0</v>
      </c>
      <c r="M26" s="68" t="e">
        <f t="shared" si="1"/>
        <v>#DIV/0!</v>
      </c>
    </row>
    <row r="27" spans="1:13" ht="14.25" thickTop="1" thickBot="1" x14ac:dyDescent="0.25">
      <c r="B27" s="2" t="s">
        <v>141</v>
      </c>
      <c r="C27" s="2"/>
      <c r="D27" s="221">
        <f>+D26+D5</f>
        <v>0</v>
      </c>
      <c r="E27" s="221">
        <f>+E26+E5</f>
        <v>0</v>
      </c>
      <c r="F27" s="68" t="e">
        <f t="shared" si="0"/>
        <v>#DIV/0!</v>
      </c>
      <c r="L27" s="227"/>
    </row>
    <row r="28" spans="1:13" ht="13.5" thickTop="1" x14ac:dyDescent="0.2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3" ht="15" thickBot="1" x14ac:dyDescent="0.25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0</v>
      </c>
      <c r="L29" s="229">
        <f>+L5</f>
        <v>0</v>
      </c>
      <c r="M29" s="70" t="e">
        <f>K29/L29</f>
        <v>#DIV/0!</v>
      </c>
    </row>
    <row r="30" spans="1:13" ht="15" thickBot="1" x14ac:dyDescent="0.25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3" ht="15" thickBot="1" x14ac:dyDescent="0.25">
      <c r="A31" s="1">
        <v>31</v>
      </c>
      <c r="B31" s="14" t="s">
        <v>157</v>
      </c>
      <c r="C31" s="13"/>
      <c r="D31" s="213">
        <v>0</v>
      </c>
      <c r="E31" s="223"/>
      <c r="L31" s="227"/>
    </row>
    <row r="32" spans="1:13" x14ac:dyDescent="0.2">
      <c r="L32" s="227" t="s">
        <v>27</v>
      </c>
    </row>
    <row r="34" spans="6:10" x14ac:dyDescent="0.2">
      <c r="J34" s="80"/>
    </row>
    <row r="35" spans="6:10" x14ac:dyDescent="0.2">
      <c r="F35" s="1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5"/>
  <sheetViews>
    <sheetView topLeftCell="C8" workbookViewId="0">
      <selection activeCell="J39" sqref="J39"/>
    </sheetView>
  </sheetViews>
  <sheetFormatPr defaultRowHeight="12.75" x14ac:dyDescent="0.2"/>
  <cols>
    <col min="1" max="1" width="3.140625" style="1" customWidth="1"/>
    <col min="2" max="2" width="9.140625" style="1"/>
    <col min="3" max="3" width="19.5703125" style="1" customWidth="1"/>
    <col min="4" max="5" width="14" style="213" customWidth="1"/>
    <col min="6" max="6" width="14" style="1" customWidth="1"/>
    <col min="7" max="7" width="4.140625" style="1" customWidth="1"/>
    <col min="8" max="8" width="4.85546875" style="1" customWidth="1"/>
    <col min="9" max="9" width="9.140625" style="1"/>
    <col min="10" max="10" width="20.140625" style="1" customWidth="1"/>
    <col min="11" max="12" width="14" style="213" customWidth="1"/>
    <col min="13" max="13" width="14" style="1" customWidth="1"/>
    <col min="14" max="16384" width="9.140625" style="1"/>
  </cols>
  <sheetData>
    <row r="1" spans="1:13" ht="18.75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9.5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>
        <f>+L2*M29</f>
        <v>0</v>
      </c>
    </row>
    <row r="3" spans="1:13" x14ac:dyDescent="0.2">
      <c r="E3" s="213" t="s">
        <v>39</v>
      </c>
      <c r="F3" s="6"/>
      <c r="G3" s="6"/>
      <c r="H3" s="6"/>
      <c r="L3" s="213" t="s">
        <v>39</v>
      </c>
      <c r="M3" s="6"/>
    </row>
    <row r="4" spans="1:13" ht="15" thickBot="1" x14ac:dyDescent="0.25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">
      <c r="A5" s="1">
        <v>1</v>
      </c>
      <c r="B5" s="71" t="s">
        <v>83</v>
      </c>
      <c r="D5" s="215"/>
      <c r="E5" s="216"/>
      <c r="F5" s="65" t="e">
        <f>D5/E5</f>
        <v>#DIV/0!</v>
      </c>
      <c r="G5" s="76"/>
      <c r="H5" s="76">
        <v>6</v>
      </c>
      <c r="I5" s="71" t="s">
        <v>84</v>
      </c>
      <c r="K5" s="215"/>
      <c r="L5" s="216"/>
      <c r="M5" s="65" t="e">
        <f>K5/L5</f>
        <v>#DIV/0!</v>
      </c>
    </row>
    <row r="6" spans="1:13" x14ac:dyDescent="0.2">
      <c r="K6" s="213" t="s">
        <v>27</v>
      </c>
      <c r="L6" s="227"/>
    </row>
    <row r="7" spans="1:13" ht="14.25" x14ac:dyDescent="0.2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5" thickBot="1" x14ac:dyDescent="0.25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">
      <c r="A10" s="1">
        <v>3</v>
      </c>
      <c r="B10" s="71" t="s">
        <v>130</v>
      </c>
      <c r="D10" s="217"/>
      <c r="E10" s="218"/>
      <c r="F10" s="65" t="e">
        <f>D10/E10</f>
        <v>#DIV/0!</v>
      </c>
      <c r="G10" s="76"/>
      <c r="H10" s="76">
        <v>8</v>
      </c>
      <c r="I10" s="71" t="s">
        <v>130</v>
      </c>
      <c r="K10" s="222"/>
      <c r="L10" s="222"/>
      <c r="M10" s="65" t="e">
        <f>K10/L10</f>
        <v>#DIV/0!</v>
      </c>
    </row>
    <row r="11" spans="1:13" x14ac:dyDescent="0.2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5" x14ac:dyDescent="0.2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5" x14ac:dyDescent="0.2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5" x14ac:dyDescent="0.2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5" x14ac:dyDescent="0.2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5" x14ac:dyDescent="0.2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5" x14ac:dyDescent="0.2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5" x14ac:dyDescent="0.2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5" x14ac:dyDescent="0.2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5" x14ac:dyDescent="0.2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0</v>
      </c>
      <c r="L25" s="220">
        <f>SUM(L9:L24)</f>
        <v>0</v>
      </c>
      <c r="M25" s="67" t="e">
        <f t="shared" si="1"/>
        <v>#DIV/0!</v>
      </c>
    </row>
    <row r="26" spans="1:15" ht="13.5" thickBot="1" x14ac:dyDescent="0.25">
      <c r="B26" s="20" t="s">
        <v>139</v>
      </c>
      <c r="D26" s="220">
        <f>SUM(D9:D25)</f>
        <v>0</v>
      </c>
      <c r="E26" s="220">
        <f>SUM(E9:E25)</f>
        <v>0</v>
      </c>
      <c r="F26" s="67" t="e">
        <f t="shared" si="0"/>
        <v>#DIV/0!</v>
      </c>
      <c r="I26" s="2" t="s">
        <v>142</v>
      </c>
      <c r="K26" s="221">
        <f>+K25+K5</f>
        <v>0</v>
      </c>
      <c r="L26" s="221">
        <f>+L25+L5</f>
        <v>0</v>
      </c>
      <c r="M26" s="68" t="e">
        <f t="shared" si="1"/>
        <v>#DIV/0!</v>
      </c>
    </row>
    <row r="27" spans="1:15" ht="14.25" thickTop="1" thickBot="1" x14ac:dyDescent="0.25">
      <c r="B27" s="2" t="s">
        <v>141</v>
      </c>
      <c r="C27" s="2"/>
      <c r="D27" s="221">
        <f>+D26+D5</f>
        <v>0</v>
      </c>
      <c r="E27" s="221">
        <f>+E26+E5</f>
        <v>0</v>
      </c>
      <c r="F27" s="68" t="e">
        <f t="shared" si="0"/>
        <v>#DIV/0!</v>
      </c>
      <c r="L27" s="227"/>
    </row>
    <row r="28" spans="1:15" ht="13.5" thickTop="1" x14ac:dyDescent="0.2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5" ht="15" thickBot="1" x14ac:dyDescent="0.25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0</v>
      </c>
      <c r="L29" s="229">
        <f>L5+1</f>
        <v>1</v>
      </c>
      <c r="M29" s="70">
        <f>K29/L29</f>
        <v>0</v>
      </c>
    </row>
    <row r="30" spans="1:15" ht="15" thickBot="1" x14ac:dyDescent="0.25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5" ht="15" thickBot="1" x14ac:dyDescent="0.25">
      <c r="A31" s="1">
        <v>31</v>
      </c>
      <c r="B31" s="14" t="s">
        <v>157</v>
      </c>
      <c r="C31" s="13"/>
      <c r="D31" s="213">
        <v>0</v>
      </c>
      <c r="E31" s="223"/>
      <c r="L31" s="227"/>
      <c r="O31" s="1" t="s">
        <v>27</v>
      </c>
    </row>
    <row r="32" spans="1:15" x14ac:dyDescent="0.2">
      <c r="L32" s="227" t="s">
        <v>27</v>
      </c>
    </row>
    <row r="34" spans="6:10" x14ac:dyDescent="0.2">
      <c r="J34" s="80"/>
    </row>
    <row r="35" spans="6:10" x14ac:dyDescent="0.2">
      <c r="F35" s="17"/>
    </row>
  </sheetData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Y1521"/>
  <sheetViews>
    <sheetView showGridLines="0" tabSelected="1" workbookViewId="0">
      <pane xSplit="5" ySplit="1" topLeftCell="F2" activePane="bottomRight" state="frozen"/>
      <selection activeCell="G24" sqref="G24"/>
      <selection pane="topRight" activeCell="G24" sqref="G24"/>
      <selection pane="bottomLeft" activeCell="G24" sqref="G24"/>
      <selection pane="bottomRight" activeCell="G27" sqref="G27"/>
    </sheetView>
  </sheetViews>
  <sheetFormatPr defaultColWidth="38.5703125" defaultRowHeight="12.75" x14ac:dyDescent="0.2"/>
  <cols>
    <col min="1" max="2" width="12" style="134" customWidth="1"/>
    <col min="3" max="3" width="12.85546875" style="143" customWidth="1"/>
    <col min="4" max="4" width="10.28515625" style="138" customWidth="1"/>
    <col min="5" max="5" width="14.140625" style="139" customWidth="1"/>
    <col min="6" max="7" width="12.85546875" style="150" bestFit="1" customWidth="1"/>
    <col min="8" max="8" width="8.7109375" style="150" customWidth="1"/>
    <col min="9" max="19" width="11.7109375" style="150" customWidth="1"/>
    <col min="20" max="16384" width="38.5703125" style="137"/>
  </cols>
  <sheetData>
    <row r="1" spans="1:19" ht="12.75" customHeight="1" thickBot="1" x14ac:dyDescent="0.25">
      <c r="C1" s="210" t="s">
        <v>9</v>
      </c>
      <c r="D1" s="135" t="s">
        <v>10</v>
      </c>
      <c r="E1" s="136" t="s">
        <v>11</v>
      </c>
      <c r="F1" s="211" t="s">
        <v>12</v>
      </c>
      <c r="G1" s="211" t="s">
        <v>13</v>
      </c>
      <c r="H1" s="211" t="s">
        <v>14</v>
      </c>
      <c r="I1" s="211" t="s">
        <v>1</v>
      </c>
      <c r="J1" s="211" t="s">
        <v>0</v>
      </c>
      <c r="K1" s="211" t="s">
        <v>2</v>
      </c>
      <c r="L1" s="211" t="s">
        <v>3</v>
      </c>
      <c r="M1" s="211" t="s">
        <v>4</v>
      </c>
      <c r="N1" s="211" t="s">
        <v>5</v>
      </c>
      <c r="O1" s="211" t="s">
        <v>6</v>
      </c>
      <c r="P1" s="211" t="s">
        <v>7</v>
      </c>
      <c r="Q1" s="211" t="s">
        <v>15</v>
      </c>
      <c r="R1" s="211" t="s">
        <v>8</v>
      </c>
      <c r="S1" s="211" t="s">
        <v>16</v>
      </c>
    </row>
    <row r="2" spans="1:19" ht="12.75" customHeight="1" x14ac:dyDescent="0.2">
      <c r="C2" s="297">
        <v>893621</v>
      </c>
      <c r="D2" s="138" t="s">
        <v>179</v>
      </c>
      <c r="E2" s="139" t="s">
        <v>17</v>
      </c>
      <c r="F2" s="150">
        <v>14157237.1427</v>
      </c>
      <c r="G2" s="150">
        <v>14155448.283199999</v>
      </c>
      <c r="H2" s="150">
        <v>0.12989966999999999</v>
      </c>
      <c r="I2" s="150">
        <v>0</v>
      </c>
      <c r="J2" s="150">
        <v>-44.106699999999996</v>
      </c>
      <c r="K2" s="150">
        <v>0</v>
      </c>
      <c r="L2" s="150">
        <v>0</v>
      </c>
      <c r="M2" s="150">
        <v>0</v>
      </c>
      <c r="N2" s="150">
        <v>-169.55840000000001</v>
      </c>
      <c r="O2" s="150">
        <v>2001.0578</v>
      </c>
      <c r="P2" s="150">
        <v>0</v>
      </c>
      <c r="Q2" s="150">
        <v>0</v>
      </c>
      <c r="R2" s="150">
        <v>1.4668000000000001</v>
      </c>
      <c r="S2" s="150">
        <v>0</v>
      </c>
    </row>
    <row r="3" spans="1:19" ht="12.75" customHeight="1" x14ac:dyDescent="0.2">
      <c r="A3" s="208" t="s">
        <v>18</v>
      </c>
      <c r="B3" s="146"/>
      <c r="C3" s="296">
        <v>893621</v>
      </c>
      <c r="D3" s="138" t="s">
        <v>179</v>
      </c>
      <c r="E3" s="139" t="s">
        <v>19</v>
      </c>
      <c r="F3" s="150">
        <v>0</v>
      </c>
      <c r="G3" s="150">
        <v>0</v>
      </c>
      <c r="H3" s="150">
        <v>0</v>
      </c>
      <c r="I3" s="150">
        <v>0</v>
      </c>
      <c r="J3" s="150">
        <v>0</v>
      </c>
      <c r="K3" s="150">
        <v>0</v>
      </c>
      <c r="L3" s="150">
        <v>0</v>
      </c>
      <c r="M3" s="150">
        <v>0</v>
      </c>
      <c r="N3" s="150">
        <v>0</v>
      </c>
      <c r="O3" s="150">
        <v>0</v>
      </c>
      <c r="P3" s="150">
        <v>0</v>
      </c>
      <c r="Q3" s="150">
        <v>0</v>
      </c>
      <c r="R3" s="150">
        <v>0</v>
      </c>
      <c r="S3" s="150">
        <v>0</v>
      </c>
    </row>
    <row r="4" spans="1:19" ht="12.75" customHeight="1" x14ac:dyDescent="0.2">
      <c r="A4" s="209" t="s">
        <v>20</v>
      </c>
      <c r="B4" s="147"/>
      <c r="C4" s="296">
        <v>893621</v>
      </c>
      <c r="D4" s="138" t="s">
        <v>179</v>
      </c>
      <c r="E4" s="139" t="s">
        <v>21</v>
      </c>
      <c r="F4" s="150">
        <v>0</v>
      </c>
      <c r="G4" s="150">
        <v>0</v>
      </c>
      <c r="H4" s="150">
        <v>0</v>
      </c>
      <c r="I4" s="150">
        <v>0</v>
      </c>
      <c r="J4" s="150">
        <v>0</v>
      </c>
      <c r="K4" s="150">
        <v>0</v>
      </c>
      <c r="L4" s="150">
        <v>0</v>
      </c>
      <c r="M4" s="150">
        <v>0</v>
      </c>
      <c r="N4" s="150">
        <v>0</v>
      </c>
      <c r="O4" s="150">
        <v>0</v>
      </c>
      <c r="P4" s="150">
        <v>0</v>
      </c>
      <c r="Q4" s="150">
        <v>0</v>
      </c>
      <c r="R4" s="150">
        <v>0</v>
      </c>
      <c r="S4" s="150">
        <v>0</v>
      </c>
    </row>
    <row r="5" spans="1:19" ht="12.75" customHeight="1" x14ac:dyDescent="0.2">
      <c r="A5" s="285" t="s">
        <v>22</v>
      </c>
      <c r="B5" s="149">
        <f>Input!A2</f>
        <v>36790</v>
      </c>
      <c r="C5" s="296">
        <v>893621</v>
      </c>
      <c r="D5" s="138" t="s">
        <v>179</v>
      </c>
      <c r="E5" s="139" t="s">
        <v>23</v>
      </c>
      <c r="F5" s="150">
        <v>0</v>
      </c>
      <c r="G5" s="150">
        <v>0</v>
      </c>
      <c r="H5" s="150">
        <v>0</v>
      </c>
      <c r="I5" s="150">
        <v>0</v>
      </c>
      <c r="J5" s="150">
        <v>0</v>
      </c>
      <c r="K5" s="150">
        <v>0</v>
      </c>
      <c r="L5" s="150">
        <v>0</v>
      </c>
      <c r="M5" s="150">
        <v>0</v>
      </c>
      <c r="N5" s="150">
        <v>0</v>
      </c>
      <c r="O5" s="150">
        <v>0</v>
      </c>
      <c r="P5" s="150">
        <v>0</v>
      </c>
      <c r="Q5" s="150">
        <v>0</v>
      </c>
      <c r="R5" s="150">
        <v>0</v>
      </c>
      <c r="S5" s="150">
        <v>0</v>
      </c>
    </row>
    <row r="6" spans="1:19" ht="12.75" customHeight="1" x14ac:dyDescent="0.2">
      <c r="A6" s="286" t="str">
        <f>Input!C2</f>
        <v>Price-NSS1</v>
      </c>
      <c r="B6" s="284">
        <f>Input!B2</f>
        <v>893621</v>
      </c>
      <c r="C6" s="296">
        <v>893621</v>
      </c>
      <c r="D6" s="138" t="s">
        <v>179</v>
      </c>
      <c r="E6" s="139" t="s">
        <v>24</v>
      </c>
      <c r="F6" s="150">
        <v>0</v>
      </c>
      <c r="G6" s="150">
        <v>0</v>
      </c>
      <c r="H6" s="150">
        <v>0</v>
      </c>
      <c r="I6" s="150">
        <v>0</v>
      </c>
      <c r="J6" s="150">
        <v>0</v>
      </c>
      <c r="K6" s="150">
        <v>0</v>
      </c>
      <c r="L6" s="150">
        <v>0</v>
      </c>
      <c r="M6" s="150">
        <v>0</v>
      </c>
      <c r="N6" s="150">
        <v>0</v>
      </c>
      <c r="O6" s="150">
        <v>0</v>
      </c>
      <c r="P6" s="150">
        <v>0</v>
      </c>
      <c r="Q6" s="150">
        <v>0</v>
      </c>
      <c r="R6" s="150">
        <v>0</v>
      </c>
      <c r="S6" s="150">
        <v>0</v>
      </c>
    </row>
    <row r="7" spans="1:19" ht="12.75" customHeight="1" x14ac:dyDescent="0.2">
      <c r="A7" s="287" t="str">
        <f>Input!C3</f>
        <v>Basis-NSS1</v>
      </c>
      <c r="B7" s="284">
        <f>Input!B3</f>
        <v>893622</v>
      </c>
      <c r="C7" s="296">
        <v>893622</v>
      </c>
      <c r="D7" s="138" t="s">
        <v>179</v>
      </c>
      <c r="E7" s="139" t="s">
        <v>17</v>
      </c>
      <c r="F7" s="150">
        <v>151600.2089</v>
      </c>
      <c r="G7" s="150">
        <v>151569.36489999999</v>
      </c>
      <c r="H7" s="150">
        <v>-14.97262465</v>
      </c>
      <c r="I7" s="150">
        <v>0</v>
      </c>
      <c r="J7" s="150">
        <v>-72.736199999999997</v>
      </c>
      <c r="K7" s="150">
        <v>0</v>
      </c>
      <c r="L7" s="150">
        <v>0</v>
      </c>
      <c r="M7" s="150">
        <v>0</v>
      </c>
      <c r="N7" s="150">
        <v>35.829099999999997</v>
      </c>
      <c r="O7" s="150">
        <v>68.015900000000002</v>
      </c>
      <c r="P7" s="150">
        <v>0</v>
      </c>
      <c r="Q7" s="150">
        <v>0</v>
      </c>
      <c r="R7" s="150">
        <v>-0.26479999999999998</v>
      </c>
      <c r="S7" s="150">
        <v>0</v>
      </c>
    </row>
    <row r="8" spans="1:19" x14ac:dyDescent="0.2">
      <c r="A8" s="287" t="str">
        <f>Input!C4</f>
        <v>Index-NSS1</v>
      </c>
      <c r="B8" s="284">
        <f>Input!B4</f>
        <v>893623</v>
      </c>
      <c r="C8" s="296">
        <v>893622</v>
      </c>
      <c r="D8" s="138" t="s">
        <v>179</v>
      </c>
      <c r="E8" s="139" t="s">
        <v>19</v>
      </c>
      <c r="F8" s="150">
        <v>0</v>
      </c>
      <c r="G8" s="150">
        <v>0</v>
      </c>
      <c r="H8" s="150">
        <v>0</v>
      </c>
      <c r="I8" s="150">
        <v>0</v>
      </c>
      <c r="J8" s="150">
        <v>0</v>
      </c>
      <c r="K8" s="150">
        <v>0</v>
      </c>
      <c r="L8" s="150">
        <v>0</v>
      </c>
      <c r="M8" s="150">
        <v>0</v>
      </c>
      <c r="N8" s="150">
        <v>0</v>
      </c>
      <c r="O8" s="150">
        <v>0</v>
      </c>
      <c r="P8" s="150">
        <v>0</v>
      </c>
      <c r="Q8" s="150">
        <v>0</v>
      </c>
      <c r="R8" s="150">
        <v>0</v>
      </c>
      <c r="S8" s="150">
        <v>0</v>
      </c>
    </row>
    <row r="9" spans="1:19" x14ac:dyDescent="0.2">
      <c r="A9" s="287" t="str">
        <f>Input!C5</f>
        <v>Price-NSS2</v>
      </c>
      <c r="B9" s="284">
        <f>Input!B5</f>
        <v>893624</v>
      </c>
      <c r="C9" s="296">
        <v>893622</v>
      </c>
      <c r="D9" s="138" t="s">
        <v>179</v>
      </c>
      <c r="E9" s="139" t="s">
        <v>21</v>
      </c>
      <c r="F9" s="150">
        <v>0</v>
      </c>
      <c r="G9" s="150">
        <v>0</v>
      </c>
      <c r="H9" s="150">
        <v>0</v>
      </c>
      <c r="I9" s="150">
        <v>0</v>
      </c>
      <c r="J9" s="150">
        <v>0</v>
      </c>
      <c r="K9" s="150">
        <v>0</v>
      </c>
      <c r="L9" s="150">
        <v>0</v>
      </c>
      <c r="M9" s="150">
        <v>0</v>
      </c>
      <c r="N9" s="150">
        <v>0</v>
      </c>
      <c r="O9" s="150">
        <v>0</v>
      </c>
      <c r="P9" s="150">
        <v>0</v>
      </c>
      <c r="Q9" s="150">
        <v>0</v>
      </c>
      <c r="R9" s="150">
        <v>0</v>
      </c>
      <c r="S9" s="150">
        <v>0</v>
      </c>
    </row>
    <row r="10" spans="1:19" x14ac:dyDescent="0.2">
      <c r="A10" s="287" t="str">
        <f>Input!C6</f>
        <v>Basis-NSS2</v>
      </c>
      <c r="B10" s="284">
        <f>Input!B6</f>
        <v>893625</v>
      </c>
      <c r="C10" s="296">
        <v>893622</v>
      </c>
      <c r="D10" s="138" t="s">
        <v>179</v>
      </c>
      <c r="E10" s="139" t="s">
        <v>23</v>
      </c>
      <c r="F10" s="150">
        <v>0</v>
      </c>
      <c r="G10" s="150">
        <v>0</v>
      </c>
      <c r="H10" s="150">
        <v>0</v>
      </c>
      <c r="I10" s="150">
        <v>0</v>
      </c>
      <c r="J10" s="150">
        <v>0</v>
      </c>
      <c r="K10" s="150">
        <v>0</v>
      </c>
      <c r="L10" s="150">
        <v>0</v>
      </c>
      <c r="M10" s="150">
        <v>0</v>
      </c>
      <c r="N10" s="150">
        <v>0</v>
      </c>
      <c r="O10" s="150">
        <v>0</v>
      </c>
      <c r="P10" s="150">
        <v>0</v>
      </c>
      <c r="Q10" s="150">
        <v>0</v>
      </c>
      <c r="R10" s="150">
        <v>0</v>
      </c>
      <c r="S10" s="150">
        <v>0</v>
      </c>
    </row>
    <row r="11" spans="1:19" x14ac:dyDescent="0.2">
      <c r="A11" s="287" t="str">
        <f>Input!C7</f>
        <v>Index-NSS2</v>
      </c>
      <c r="B11" s="284">
        <f>Input!B7</f>
        <v>893626</v>
      </c>
      <c r="C11" s="296">
        <v>893622</v>
      </c>
      <c r="D11" s="138" t="s">
        <v>179</v>
      </c>
      <c r="E11" s="141" t="s">
        <v>24</v>
      </c>
      <c r="F11" s="150">
        <v>0</v>
      </c>
      <c r="G11" s="150">
        <v>0</v>
      </c>
      <c r="H11" s="150">
        <v>0</v>
      </c>
      <c r="I11" s="150">
        <v>0</v>
      </c>
      <c r="J11" s="150">
        <v>0</v>
      </c>
      <c r="K11" s="150">
        <v>0</v>
      </c>
      <c r="L11" s="150">
        <v>0</v>
      </c>
      <c r="M11" s="150">
        <v>0</v>
      </c>
      <c r="N11" s="150">
        <v>0</v>
      </c>
      <c r="O11" s="150">
        <v>0</v>
      </c>
      <c r="P11" s="150">
        <v>0</v>
      </c>
      <c r="Q11" s="150">
        <v>0</v>
      </c>
      <c r="R11" s="150">
        <v>0</v>
      </c>
      <c r="S11" s="150">
        <v>0</v>
      </c>
    </row>
    <row r="12" spans="1:19" x14ac:dyDescent="0.2">
      <c r="A12" s="287" t="str">
        <f>Input!C8</f>
        <v>Price-MEH</v>
      </c>
      <c r="B12" s="284">
        <f>Input!B8</f>
        <v>893627</v>
      </c>
      <c r="C12" s="296">
        <v>893623</v>
      </c>
      <c r="D12" s="138" t="s">
        <v>179</v>
      </c>
      <c r="E12" s="139" t="s">
        <v>17</v>
      </c>
      <c r="F12" s="150">
        <v>18176.8069</v>
      </c>
      <c r="G12" s="150">
        <v>18172.449199999999</v>
      </c>
      <c r="H12" s="150">
        <v>0.90349800000000002</v>
      </c>
      <c r="I12" s="150">
        <v>0</v>
      </c>
      <c r="J12" s="150">
        <v>0</v>
      </c>
      <c r="K12" s="150">
        <v>0</v>
      </c>
      <c r="L12" s="150">
        <v>0</v>
      </c>
      <c r="M12" s="150">
        <v>0</v>
      </c>
      <c r="N12" s="150">
        <v>0.30449999999999999</v>
      </c>
      <c r="O12" s="150">
        <v>4.0576999999999996</v>
      </c>
      <c r="P12" s="150">
        <v>0</v>
      </c>
      <c r="Q12" s="150">
        <v>0</v>
      </c>
      <c r="R12" s="150">
        <v>-4.4999999999999997E-3</v>
      </c>
      <c r="S12" s="150">
        <v>0</v>
      </c>
    </row>
    <row r="13" spans="1:19" x14ac:dyDescent="0.2">
      <c r="A13" s="287" t="str">
        <f>Input!C9</f>
        <v>Basis-MEH</v>
      </c>
      <c r="B13" s="284">
        <f>Input!B9</f>
        <v>893628</v>
      </c>
      <c r="C13" s="296">
        <v>893623</v>
      </c>
      <c r="D13" s="138" t="s">
        <v>179</v>
      </c>
      <c r="E13" s="139" t="s">
        <v>19</v>
      </c>
      <c r="F13" s="150">
        <v>0</v>
      </c>
      <c r="G13" s="150">
        <v>0</v>
      </c>
      <c r="H13" s="150">
        <v>0</v>
      </c>
      <c r="I13" s="150">
        <v>0</v>
      </c>
      <c r="J13" s="150">
        <v>0</v>
      </c>
      <c r="K13" s="150">
        <v>0</v>
      </c>
      <c r="L13" s="150">
        <v>0</v>
      </c>
      <c r="M13" s="150">
        <v>0</v>
      </c>
      <c r="N13" s="150">
        <v>0</v>
      </c>
      <c r="O13" s="150">
        <v>0</v>
      </c>
      <c r="P13" s="150">
        <v>0</v>
      </c>
      <c r="Q13" s="150">
        <v>0</v>
      </c>
      <c r="R13" s="150">
        <v>0</v>
      </c>
      <c r="S13" s="150">
        <v>0</v>
      </c>
    </row>
    <row r="14" spans="1:19" x14ac:dyDescent="0.2">
      <c r="A14" s="287" t="str">
        <f>Input!C10</f>
        <v>Index-MEH</v>
      </c>
      <c r="B14" s="284">
        <f>Input!B10</f>
        <v>893629</v>
      </c>
      <c r="C14" s="296">
        <v>893623</v>
      </c>
      <c r="D14" s="138" t="s">
        <v>179</v>
      </c>
      <c r="E14" s="139" t="s">
        <v>21</v>
      </c>
      <c r="F14" s="150">
        <v>0</v>
      </c>
      <c r="G14" s="150">
        <v>0</v>
      </c>
      <c r="H14" s="150">
        <v>0</v>
      </c>
      <c r="I14" s="150">
        <v>0</v>
      </c>
      <c r="J14" s="150">
        <v>0</v>
      </c>
      <c r="K14" s="150">
        <v>0</v>
      </c>
      <c r="L14" s="150">
        <v>0</v>
      </c>
      <c r="M14" s="150">
        <v>0</v>
      </c>
      <c r="N14" s="150">
        <v>0</v>
      </c>
      <c r="O14" s="150">
        <v>0</v>
      </c>
      <c r="P14" s="150">
        <v>0</v>
      </c>
      <c r="Q14" s="150">
        <v>0</v>
      </c>
      <c r="R14" s="150">
        <v>0</v>
      </c>
      <c r="S14" s="150">
        <v>0</v>
      </c>
    </row>
    <row r="15" spans="1:19" x14ac:dyDescent="0.2">
      <c r="A15" s="287" t="str">
        <f>Input!C11</f>
        <v>TP-EMWNSS</v>
      </c>
      <c r="B15" s="284">
        <f>Input!B11</f>
        <v>893630</v>
      </c>
      <c r="C15" s="296">
        <v>893623</v>
      </c>
      <c r="D15" s="138" t="s">
        <v>179</v>
      </c>
      <c r="E15" s="139" t="s">
        <v>23</v>
      </c>
      <c r="F15" s="150">
        <v>0</v>
      </c>
      <c r="G15" s="150">
        <v>0</v>
      </c>
      <c r="H15" s="150">
        <v>0</v>
      </c>
      <c r="I15" s="150">
        <v>0</v>
      </c>
      <c r="J15" s="150">
        <v>0</v>
      </c>
      <c r="K15" s="150">
        <v>0</v>
      </c>
      <c r="L15" s="150">
        <v>0</v>
      </c>
      <c r="M15" s="150">
        <v>0</v>
      </c>
      <c r="N15" s="150">
        <v>0</v>
      </c>
      <c r="O15" s="150">
        <v>0</v>
      </c>
      <c r="P15" s="150">
        <v>0</v>
      </c>
      <c r="Q15" s="150">
        <v>0</v>
      </c>
      <c r="R15" s="150">
        <v>0</v>
      </c>
      <c r="S15" s="150">
        <v>0</v>
      </c>
    </row>
    <row r="16" spans="1:19" x14ac:dyDescent="0.2">
      <c r="A16" s="287" t="str">
        <f>Input!C12</f>
        <v>TP-EMWNSS</v>
      </c>
      <c r="B16" s="284">
        <f>Input!B12</f>
        <v>893631</v>
      </c>
      <c r="C16" s="296">
        <v>893623</v>
      </c>
      <c r="D16" s="138" t="s">
        <v>179</v>
      </c>
      <c r="E16" s="139" t="s">
        <v>24</v>
      </c>
      <c r="F16" s="150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0</v>
      </c>
      <c r="M16" s="150">
        <v>0</v>
      </c>
      <c r="N16" s="150">
        <v>0</v>
      </c>
      <c r="O16" s="150">
        <v>0</v>
      </c>
      <c r="P16" s="150">
        <v>0</v>
      </c>
      <c r="Q16" s="150">
        <v>0</v>
      </c>
      <c r="R16" s="150">
        <v>0</v>
      </c>
      <c r="S16" s="150">
        <v>0</v>
      </c>
    </row>
    <row r="17" spans="1:19" ht="12" customHeight="1" x14ac:dyDescent="0.2">
      <c r="A17" s="288" t="str">
        <f>Input!C13</f>
        <v>TP-EMWNSS</v>
      </c>
      <c r="B17" s="284">
        <f>Input!B13</f>
        <v>893632</v>
      </c>
      <c r="C17" s="296">
        <v>893624</v>
      </c>
      <c r="D17" s="138" t="s">
        <v>179</v>
      </c>
      <c r="E17" s="139" t="s">
        <v>17</v>
      </c>
      <c r="F17" s="150">
        <v>0</v>
      </c>
      <c r="G17" s="150">
        <v>0</v>
      </c>
      <c r="H17" s="150">
        <v>0</v>
      </c>
      <c r="I17" s="150">
        <v>0</v>
      </c>
      <c r="J17" s="150">
        <v>0</v>
      </c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</row>
    <row r="18" spans="1:19" ht="12.75" customHeight="1" x14ac:dyDescent="0.2">
      <c r="A18" s="140"/>
      <c r="C18" s="296">
        <v>893624</v>
      </c>
      <c r="D18" s="138" t="s">
        <v>179</v>
      </c>
      <c r="E18" s="139" t="s">
        <v>19</v>
      </c>
      <c r="F18" s="150">
        <v>0</v>
      </c>
      <c r="G18" s="150">
        <v>0</v>
      </c>
      <c r="H18" s="150">
        <v>0</v>
      </c>
      <c r="I18" s="150">
        <v>0</v>
      </c>
      <c r="J18" s="150">
        <v>0</v>
      </c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</row>
    <row r="19" spans="1:19" ht="13.5" customHeight="1" x14ac:dyDescent="0.2">
      <c r="C19" s="296">
        <v>893624</v>
      </c>
      <c r="D19" s="138" t="s">
        <v>179</v>
      </c>
      <c r="E19" s="139" t="s">
        <v>21</v>
      </c>
      <c r="F19" s="150">
        <v>0</v>
      </c>
      <c r="G19" s="150">
        <v>0</v>
      </c>
      <c r="H19" s="150">
        <v>0</v>
      </c>
      <c r="I19" s="150">
        <v>0</v>
      </c>
      <c r="J19" s="150">
        <v>0</v>
      </c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</row>
    <row r="20" spans="1:19" ht="13.5" customHeight="1" x14ac:dyDescent="0.2">
      <c r="C20" s="296">
        <v>893624</v>
      </c>
      <c r="D20" s="138" t="s">
        <v>179</v>
      </c>
      <c r="E20" s="139" t="s">
        <v>23</v>
      </c>
      <c r="F20" s="150">
        <v>0</v>
      </c>
      <c r="G20" s="150">
        <v>0</v>
      </c>
      <c r="H20" s="150">
        <v>0</v>
      </c>
      <c r="I20" s="150">
        <v>0</v>
      </c>
      <c r="J20" s="150">
        <v>0</v>
      </c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</row>
    <row r="21" spans="1:19" ht="11.25" customHeight="1" x14ac:dyDescent="0.2">
      <c r="C21" s="296">
        <v>893624</v>
      </c>
      <c r="D21" s="138" t="s">
        <v>179</v>
      </c>
      <c r="E21" s="139" t="s">
        <v>24</v>
      </c>
      <c r="F21" s="150">
        <v>0</v>
      </c>
      <c r="G21" s="150">
        <v>0</v>
      </c>
      <c r="H21" s="150">
        <v>0</v>
      </c>
      <c r="I21" s="150">
        <v>0</v>
      </c>
      <c r="J21" s="150">
        <v>0</v>
      </c>
      <c r="K21" s="150">
        <v>0</v>
      </c>
      <c r="L21" s="150">
        <v>0</v>
      </c>
      <c r="M21" s="150">
        <v>0</v>
      </c>
      <c r="N21" s="150">
        <v>0</v>
      </c>
      <c r="O21" s="150">
        <v>0</v>
      </c>
      <c r="P21" s="150">
        <v>0</v>
      </c>
      <c r="Q21" s="150">
        <v>0</v>
      </c>
      <c r="R21" s="150">
        <v>0</v>
      </c>
      <c r="S21" s="150">
        <v>0</v>
      </c>
    </row>
    <row r="22" spans="1:19" x14ac:dyDescent="0.2">
      <c r="C22" s="296">
        <v>893625</v>
      </c>
      <c r="D22" s="138" t="s">
        <v>179</v>
      </c>
      <c r="E22" s="139" t="s">
        <v>17</v>
      </c>
      <c r="F22" s="150">
        <v>0</v>
      </c>
      <c r="G22" s="150">
        <v>0</v>
      </c>
      <c r="H22" s="150">
        <v>0</v>
      </c>
      <c r="I22" s="150">
        <v>0</v>
      </c>
      <c r="J22" s="150">
        <v>0</v>
      </c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</row>
    <row r="23" spans="1:19" x14ac:dyDescent="0.2">
      <c r="C23" s="296">
        <v>893625</v>
      </c>
      <c r="D23" s="138" t="s">
        <v>179</v>
      </c>
      <c r="E23" s="139" t="s">
        <v>19</v>
      </c>
      <c r="F23" s="150">
        <v>0</v>
      </c>
      <c r="G23" s="150">
        <v>0</v>
      </c>
      <c r="H23" s="150">
        <v>0</v>
      </c>
      <c r="I23" s="150">
        <v>0</v>
      </c>
      <c r="J23" s="150">
        <v>0</v>
      </c>
      <c r="K23" s="150">
        <v>0</v>
      </c>
      <c r="L23" s="150">
        <v>0</v>
      </c>
      <c r="M23" s="150">
        <v>0</v>
      </c>
      <c r="N23" s="150">
        <v>0</v>
      </c>
      <c r="O23" s="150">
        <v>0</v>
      </c>
      <c r="P23" s="150">
        <v>0</v>
      </c>
      <c r="Q23" s="150">
        <v>0</v>
      </c>
      <c r="R23" s="150">
        <v>0</v>
      </c>
      <c r="S23" s="150">
        <v>0</v>
      </c>
    </row>
    <row r="24" spans="1:19" x14ac:dyDescent="0.2">
      <c r="C24" s="296">
        <v>893625</v>
      </c>
      <c r="D24" s="138" t="s">
        <v>179</v>
      </c>
      <c r="E24" s="139" t="s">
        <v>21</v>
      </c>
      <c r="F24" s="150">
        <v>0</v>
      </c>
      <c r="G24" s="150">
        <v>0</v>
      </c>
      <c r="H24" s="150">
        <v>0</v>
      </c>
      <c r="I24" s="150">
        <v>0</v>
      </c>
      <c r="J24" s="150">
        <v>0</v>
      </c>
      <c r="K24" s="150">
        <v>0</v>
      </c>
      <c r="L24" s="150">
        <v>0</v>
      </c>
      <c r="M24" s="150">
        <v>0</v>
      </c>
      <c r="N24" s="150">
        <v>0</v>
      </c>
      <c r="O24" s="150">
        <v>0</v>
      </c>
      <c r="P24" s="150">
        <v>0</v>
      </c>
      <c r="Q24" s="150">
        <v>0</v>
      </c>
      <c r="R24" s="150">
        <v>0</v>
      </c>
      <c r="S24" s="150">
        <v>0</v>
      </c>
    </row>
    <row r="25" spans="1:19" x14ac:dyDescent="0.2">
      <c r="C25" s="296">
        <v>893625</v>
      </c>
      <c r="D25" s="138" t="s">
        <v>179</v>
      </c>
      <c r="E25" s="139" t="s">
        <v>23</v>
      </c>
      <c r="F25" s="150">
        <v>0</v>
      </c>
      <c r="G25" s="150">
        <v>0</v>
      </c>
      <c r="H25" s="150">
        <v>0</v>
      </c>
      <c r="I25" s="150">
        <v>0</v>
      </c>
      <c r="J25" s="150">
        <v>0</v>
      </c>
      <c r="K25" s="150">
        <v>0</v>
      </c>
      <c r="L25" s="150">
        <v>0</v>
      </c>
      <c r="M25" s="150">
        <v>0</v>
      </c>
      <c r="N25" s="150">
        <v>0</v>
      </c>
      <c r="O25" s="150">
        <v>0</v>
      </c>
      <c r="P25" s="150">
        <v>0</v>
      </c>
      <c r="Q25" s="150">
        <v>0</v>
      </c>
      <c r="R25" s="150">
        <v>0</v>
      </c>
      <c r="S25" s="150">
        <v>0</v>
      </c>
    </row>
    <row r="26" spans="1:19" x14ac:dyDescent="0.2">
      <c r="C26" s="296">
        <v>893625</v>
      </c>
      <c r="D26" s="138" t="s">
        <v>179</v>
      </c>
      <c r="E26" s="139" t="s">
        <v>24</v>
      </c>
      <c r="F26" s="150">
        <v>0</v>
      </c>
      <c r="G26" s="150">
        <v>0</v>
      </c>
      <c r="H26" s="150">
        <v>0</v>
      </c>
      <c r="I26" s="150">
        <v>0</v>
      </c>
      <c r="J26" s="150">
        <v>0</v>
      </c>
      <c r="K26" s="150">
        <v>0</v>
      </c>
      <c r="L26" s="150">
        <v>0</v>
      </c>
      <c r="M26" s="150">
        <v>0</v>
      </c>
      <c r="N26" s="150">
        <v>0</v>
      </c>
      <c r="O26" s="150">
        <v>0</v>
      </c>
      <c r="P26" s="150">
        <v>0</v>
      </c>
      <c r="Q26" s="150">
        <v>0</v>
      </c>
      <c r="R26" s="150">
        <v>0</v>
      </c>
      <c r="S26" s="150">
        <v>0</v>
      </c>
    </row>
    <row r="27" spans="1:19" x14ac:dyDescent="0.2">
      <c r="C27" s="296">
        <v>893626</v>
      </c>
      <c r="D27" s="138" t="s">
        <v>179</v>
      </c>
      <c r="E27" s="139" t="s">
        <v>17</v>
      </c>
      <c r="F27" s="150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150">
        <v>0</v>
      </c>
      <c r="O27" s="150">
        <v>0</v>
      </c>
      <c r="P27" s="150">
        <v>0</v>
      </c>
      <c r="Q27" s="150">
        <v>0</v>
      </c>
      <c r="R27" s="150">
        <v>0</v>
      </c>
      <c r="S27" s="150">
        <v>0</v>
      </c>
    </row>
    <row r="28" spans="1:19" x14ac:dyDescent="0.2">
      <c r="C28" s="296">
        <v>893626</v>
      </c>
      <c r="D28" s="138" t="s">
        <v>179</v>
      </c>
      <c r="E28" s="139" t="s">
        <v>19</v>
      </c>
      <c r="F28" s="150">
        <v>0</v>
      </c>
      <c r="G28" s="150">
        <v>0</v>
      </c>
      <c r="H28" s="150">
        <v>0</v>
      </c>
      <c r="I28" s="150">
        <v>0</v>
      </c>
      <c r="J28" s="150">
        <v>0</v>
      </c>
      <c r="K28" s="150">
        <v>0</v>
      </c>
      <c r="L28" s="150">
        <v>0</v>
      </c>
      <c r="M28" s="150">
        <v>0</v>
      </c>
      <c r="N28" s="150">
        <v>0</v>
      </c>
      <c r="O28" s="150">
        <v>0</v>
      </c>
      <c r="P28" s="150">
        <v>0</v>
      </c>
      <c r="Q28" s="150">
        <v>0</v>
      </c>
      <c r="R28" s="150">
        <v>0</v>
      </c>
      <c r="S28" s="150">
        <v>0</v>
      </c>
    </row>
    <row r="29" spans="1:19" x14ac:dyDescent="0.2">
      <c r="C29" s="296">
        <v>893626</v>
      </c>
      <c r="D29" s="138" t="s">
        <v>179</v>
      </c>
      <c r="E29" s="139" t="s">
        <v>21</v>
      </c>
      <c r="F29" s="150">
        <v>0</v>
      </c>
      <c r="G29" s="150">
        <v>0</v>
      </c>
      <c r="H29" s="150">
        <v>0</v>
      </c>
      <c r="I29" s="150">
        <v>0</v>
      </c>
      <c r="J29" s="150">
        <v>0</v>
      </c>
      <c r="K29" s="150">
        <v>0</v>
      </c>
      <c r="L29" s="150">
        <v>0</v>
      </c>
      <c r="M29" s="150">
        <v>0</v>
      </c>
      <c r="N29" s="150">
        <v>0</v>
      </c>
      <c r="O29" s="150">
        <v>0</v>
      </c>
      <c r="P29" s="150">
        <v>0</v>
      </c>
      <c r="Q29" s="150">
        <v>0</v>
      </c>
      <c r="R29" s="150">
        <v>0</v>
      </c>
      <c r="S29" s="150">
        <v>0</v>
      </c>
    </row>
    <row r="30" spans="1:19" x14ac:dyDescent="0.2">
      <c r="C30" s="296">
        <v>893626</v>
      </c>
      <c r="D30" s="138" t="s">
        <v>179</v>
      </c>
      <c r="E30" s="139" t="s">
        <v>23</v>
      </c>
      <c r="F30" s="150">
        <v>0</v>
      </c>
      <c r="G30" s="150">
        <v>0</v>
      </c>
      <c r="H30" s="150">
        <v>0</v>
      </c>
      <c r="I30" s="150">
        <v>0</v>
      </c>
      <c r="J30" s="150">
        <v>0</v>
      </c>
      <c r="K30" s="150">
        <v>0</v>
      </c>
      <c r="L30" s="150">
        <v>0</v>
      </c>
      <c r="M30" s="150">
        <v>0</v>
      </c>
      <c r="N30" s="150">
        <v>0</v>
      </c>
      <c r="O30" s="150">
        <v>0</v>
      </c>
      <c r="P30" s="150">
        <v>0</v>
      </c>
      <c r="Q30" s="150">
        <v>0</v>
      </c>
      <c r="R30" s="150">
        <v>0</v>
      </c>
      <c r="S30" s="150">
        <v>0</v>
      </c>
    </row>
    <row r="31" spans="1:19" x14ac:dyDescent="0.2">
      <c r="C31" s="296">
        <v>893626</v>
      </c>
      <c r="D31" s="138" t="s">
        <v>179</v>
      </c>
      <c r="E31" s="139" t="s">
        <v>24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0</v>
      </c>
      <c r="M31" s="150">
        <v>0</v>
      </c>
      <c r="N31" s="150">
        <v>0</v>
      </c>
      <c r="O31" s="150">
        <v>0</v>
      </c>
      <c r="P31" s="150">
        <v>0</v>
      </c>
      <c r="Q31" s="150">
        <v>0</v>
      </c>
      <c r="R31" s="150">
        <v>0</v>
      </c>
      <c r="S31" s="150">
        <v>0</v>
      </c>
    </row>
    <row r="32" spans="1:19" x14ac:dyDescent="0.2">
      <c r="C32" s="296">
        <v>893627</v>
      </c>
      <c r="D32" s="138" t="s">
        <v>179</v>
      </c>
      <c r="E32" s="139" t="s">
        <v>17</v>
      </c>
      <c r="F32" s="150">
        <v>3832655.2423999999</v>
      </c>
      <c r="G32" s="150">
        <v>3772315.3281999999</v>
      </c>
      <c r="H32" s="150">
        <v>1E-8</v>
      </c>
      <c r="I32" s="150">
        <v>66475.197700000004</v>
      </c>
      <c r="J32" s="150">
        <v>-5645.9857000000002</v>
      </c>
      <c r="K32" s="150">
        <v>0</v>
      </c>
      <c r="L32" s="150">
        <v>0</v>
      </c>
      <c r="M32" s="150">
        <v>0</v>
      </c>
      <c r="N32" s="150">
        <v>-248.83240000000001</v>
      </c>
      <c r="O32" s="150">
        <v>-239.95079999999999</v>
      </c>
      <c r="P32" s="150">
        <v>0</v>
      </c>
      <c r="Q32" s="150">
        <v>0</v>
      </c>
      <c r="R32" s="150">
        <v>-0.51459999999999995</v>
      </c>
      <c r="S32" s="150">
        <v>0</v>
      </c>
    </row>
    <row r="33" spans="3:19" x14ac:dyDescent="0.2">
      <c r="C33" s="296">
        <v>893627</v>
      </c>
      <c r="D33" s="138" t="s">
        <v>179</v>
      </c>
      <c r="E33" s="139" t="s">
        <v>19</v>
      </c>
      <c r="F33" s="150">
        <v>0</v>
      </c>
      <c r="G33" s="150">
        <v>0</v>
      </c>
      <c r="H33" s="150">
        <v>0</v>
      </c>
      <c r="I33" s="150">
        <v>0</v>
      </c>
      <c r="J33" s="150">
        <v>0</v>
      </c>
      <c r="K33" s="150">
        <v>0</v>
      </c>
      <c r="L33" s="150">
        <v>0</v>
      </c>
      <c r="M33" s="150">
        <v>0</v>
      </c>
      <c r="N33" s="150">
        <v>0</v>
      </c>
      <c r="O33" s="150">
        <v>0</v>
      </c>
      <c r="P33" s="150">
        <v>0</v>
      </c>
      <c r="Q33" s="150">
        <v>0</v>
      </c>
      <c r="R33" s="150">
        <v>0</v>
      </c>
      <c r="S33" s="150">
        <v>0</v>
      </c>
    </row>
    <row r="34" spans="3:19" x14ac:dyDescent="0.2">
      <c r="C34" s="296">
        <v>893627</v>
      </c>
      <c r="D34" s="138" t="s">
        <v>179</v>
      </c>
      <c r="E34" s="139" t="s">
        <v>21</v>
      </c>
      <c r="F34" s="150">
        <v>0</v>
      </c>
      <c r="G34" s="150">
        <v>0</v>
      </c>
      <c r="H34" s="150">
        <v>0</v>
      </c>
      <c r="I34" s="150">
        <v>0</v>
      </c>
      <c r="J34" s="150">
        <v>0</v>
      </c>
      <c r="K34" s="150">
        <v>0</v>
      </c>
      <c r="L34" s="150">
        <v>0</v>
      </c>
      <c r="M34" s="150">
        <v>0</v>
      </c>
      <c r="N34" s="150">
        <v>0</v>
      </c>
      <c r="O34" s="150">
        <v>0</v>
      </c>
      <c r="P34" s="150">
        <v>0</v>
      </c>
      <c r="Q34" s="150">
        <v>0</v>
      </c>
      <c r="R34" s="150">
        <v>0</v>
      </c>
      <c r="S34" s="150">
        <v>0</v>
      </c>
    </row>
    <row r="35" spans="3:19" x14ac:dyDescent="0.2">
      <c r="C35" s="296">
        <v>893627</v>
      </c>
      <c r="D35" s="138" t="s">
        <v>179</v>
      </c>
      <c r="E35" s="139" t="s">
        <v>23</v>
      </c>
      <c r="F35" s="150">
        <v>0</v>
      </c>
      <c r="G35" s="150">
        <v>0</v>
      </c>
      <c r="H35" s="150">
        <v>0</v>
      </c>
      <c r="I35" s="150">
        <v>0</v>
      </c>
      <c r="J35" s="150">
        <v>0</v>
      </c>
      <c r="K35" s="150">
        <v>0</v>
      </c>
      <c r="L35" s="150">
        <v>0</v>
      </c>
      <c r="M35" s="150">
        <v>0</v>
      </c>
      <c r="N35" s="150">
        <v>0</v>
      </c>
      <c r="O35" s="150">
        <v>0</v>
      </c>
      <c r="P35" s="150">
        <v>0</v>
      </c>
      <c r="Q35" s="150">
        <v>0</v>
      </c>
      <c r="R35" s="150">
        <v>0</v>
      </c>
      <c r="S35" s="150">
        <v>0</v>
      </c>
    </row>
    <row r="36" spans="3:19" x14ac:dyDescent="0.2">
      <c r="C36" s="296">
        <v>893627</v>
      </c>
      <c r="D36" s="138" t="s">
        <v>179</v>
      </c>
      <c r="E36" s="139" t="s">
        <v>24</v>
      </c>
      <c r="F36" s="150">
        <v>0</v>
      </c>
      <c r="G36" s="150">
        <v>0</v>
      </c>
      <c r="H36" s="150">
        <v>0</v>
      </c>
      <c r="I36" s="150">
        <v>0</v>
      </c>
      <c r="J36" s="150">
        <v>0</v>
      </c>
      <c r="K36" s="150">
        <v>0</v>
      </c>
      <c r="L36" s="150">
        <v>0</v>
      </c>
      <c r="M36" s="150">
        <v>0</v>
      </c>
      <c r="N36" s="150">
        <v>0</v>
      </c>
      <c r="O36" s="150">
        <v>0</v>
      </c>
      <c r="P36" s="150">
        <v>0</v>
      </c>
      <c r="Q36" s="150">
        <v>0</v>
      </c>
      <c r="R36" s="150">
        <v>0</v>
      </c>
      <c r="S36" s="150">
        <v>0</v>
      </c>
    </row>
    <row r="37" spans="3:19" x14ac:dyDescent="0.2">
      <c r="C37" s="296">
        <v>893628</v>
      </c>
      <c r="D37" s="138" t="s">
        <v>179</v>
      </c>
      <c r="E37" s="139" t="s">
        <v>17</v>
      </c>
      <c r="F37" s="212">
        <v>1723894.2556</v>
      </c>
      <c r="G37" s="150">
        <v>1751299.6525999999</v>
      </c>
      <c r="H37" s="150">
        <v>5.8390756699999997</v>
      </c>
      <c r="I37" s="150">
        <v>-49517.4473</v>
      </c>
      <c r="J37" s="150">
        <v>21585.680499999999</v>
      </c>
      <c r="K37" s="150">
        <v>0</v>
      </c>
      <c r="L37" s="150">
        <v>0</v>
      </c>
      <c r="M37" s="150">
        <v>0</v>
      </c>
      <c r="N37" s="150">
        <v>208.78880000000001</v>
      </c>
      <c r="O37" s="150">
        <v>313.8064</v>
      </c>
      <c r="P37" s="150">
        <v>0</v>
      </c>
      <c r="Q37" s="150">
        <v>0</v>
      </c>
      <c r="R37" s="150">
        <v>3.7746</v>
      </c>
      <c r="S37" s="150">
        <v>0</v>
      </c>
    </row>
    <row r="38" spans="3:19" x14ac:dyDescent="0.2">
      <c r="C38" s="296">
        <v>893628</v>
      </c>
      <c r="D38" s="138" t="s">
        <v>179</v>
      </c>
      <c r="E38" s="139" t="s">
        <v>19</v>
      </c>
      <c r="F38" s="150">
        <v>0</v>
      </c>
      <c r="G38" s="150">
        <v>0</v>
      </c>
      <c r="H38" s="150">
        <v>0</v>
      </c>
      <c r="I38" s="150">
        <v>0</v>
      </c>
      <c r="J38" s="150">
        <v>0</v>
      </c>
      <c r="K38" s="150">
        <v>0</v>
      </c>
      <c r="L38" s="150">
        <v>0</v>
      </c>
      <c r="M38" s="150">
        <v>0</v>
      </c>
      <c r="N38" s="150">
        <v>0</v>
      </c>
      <c r="O38" s="150">
        <v>0</v>
      </c>
      <c r="P38" s="150">
        <v>0</v>
      </c>
      <c r="Q38" s="150">
        <v>0</v>
      </c>
      <c r="R38" s="150">
        <v>0</v>
      </c>
      <c r="S38" s="150">
        <v>0</v>
      </c>
    </row>
    <row r="39" spans="3:19" x14ac:dyDescent="0.2">
      <c r="C39" s="296">
        <v>893628</v>
      </c>
      <c r="D39" s="138" t="s">
        <v>179</v>
      </c>
      <c r="E39" s="139" t="s">
        <v>21</v>
      </c>
      <c r="F39" s="150">
        <v>0</v>
      </c>
      <c r="G39" s="150">
        <v>0</v>
      </c>
      <c r="H39" s="150">
        <v>0</v>
      </c>
      <c r="I39" s="150">
        <v>0</v>
      </c>
      <c r="J39" s="150">
        <v>0</v>
      </c>
      <c r="K39" s="150">
        <v>0</v>
      </c>
      <c r="L39" s="150">
        <v>0</v>
      </c>
      <c r="M39" s="150">
        <v>0</v>
      </c>
      <c r="N39" s="150">
        <v>0</v>
      </c>
      <c r="O39" s="150">
        <v>0</v>
      </c>
      <c r="P39" s="150">
        <v>0</v>
      </c>
      <c r="Q39" s="150">
        <v>0</v>
      </c>
      <c r="R39" s="150">
        <v>0</v>
      </c>
      <c r="S39" s="150">
        <v>0</v>
      </c>
    </row>
    <row r="40" spans="3:19" x14ac:dyDescent="0.2">
      <c r="C40" s="296">
        <v>893628</v>
      </c>
      <c r="D40" s="138" t="s">
        <v>179</v>
      </c>
      <c r="E40" s="139" t="s">
        <v>23</v>
      </c>
      <c r="F40" s="150">
        <v>0</v>
      </c>
      <c r="G40" s="150">
        <v>0</v>
      </c>
      <c r="H40" s="150">
        <v>0</v>
      </c>
      <c r="I40" s="150">
        <v>0</v>
      </c>
      <c r="J40" s="150">
        <v>0</v>
      </c>
      <c r="K40" s="150">
        <v>0</v>
      </c>
      <c r="L40" s="150">
        <v>0</v>
      </c>
      <c r="M40" s="150">
        <v>0</v>
      </c>
      <c r="N40" s="150">
        <v>0</v>
      </c>
      <c r="O40" s="150">
        <v>0</v>
      </c>
      <c r="P40" s="150">
        <v>0</v>
      </c>
      <c r="Q40" s="150">
        <v>0</v>
      </c>
      <c r="R40" s="150">
        <v>0</v>
      </c>
      <c r="S40" s="150">
        <v>0</v>
      </c>
    </row>
    <row r="41" spans="3:19" x14ac:dyDescent="0.2">
      <c r="C41" s="296">
        <v>893628</v>
      </c>
      <c r="D41" s="138" t="s">
        <v>179</v>
      </c>
      <c r="E41" s="139" t="s">
        <v>24</v>
      </c>
      <c r="F41" s="150">
        <v>0</v>
      </c>
      <c r="G41" s="150">
        <v>0</v>
      </c>
      <c r="H41" s="150">
        <v>0</v>
      </c>
      <c r="I41" s="150">
        <v>0</v>
      </c>
      <c r="J41" s="150">
        <v>0</v>
      </c>
      <c r="K41" s="150">
        <v>0</v>
      </c>
      <c r="L41" s="150">
        <v>0</v>
      </c>
      <c r="M41" s="150">
        <v>0</v>
      </c>
      <c r="N41" s="150">
        <v>0</v>
      </c>
      <c r="O41" s="150">
        <v>0</v>
      </c>
      <c r="P41" s="150">
        <v>0</v>
      </c>
      <c r="Q41" s="150">
        <v>0</v>
      </c>
      <c r="R41" s="150">
        <v>0</v>
      </c>
      <c r="S41" s="150">
        <v>0</v>
      </c>
    </row>
    <row r="42" spans="3:19" x14ac:dyDescent="0.2">
      <c r="C42" s="296">
        <v>893629</v>
      </c>
      <c r="D42" s="138" t="s">
        <v>179</v>
      </c>
      <c r="E42" s="139" t="s">
        <v>17</v>
      </c>
      <c r="F42" s="150">
        <v>5240.2039000000004</v>
      </c>
      <c r="G42" s="150">
        <v>11167.0479</v>
      </c>
      <c r="H42" s="150">
        <v>-37.099902010000001</v>
      </c>
      <c r="I42" s="150">
        <v>-5928.7848999999997</v>
      </c>
      <c r="J42" s="150">
        <v>-1E-4</v>
      </c>
      <c r="K42" s="150">
        <v>0</v>
      </c>
      <c r="L42" s="150">
        <v>0</v>
      </c>
      <c r="M42" s="150">
        <v>0</v>
      </c>
      <c r="N42" s="150">
        <v>0.43409999999999999</v>
      </c>
      <c r="O42" s="150">
        <v>1.5103</v>
      </c>
      <c r="P42" s="150">
        <v>0</v>
      </c>
      <c r="Q42" s="150">
        <v>0</v>
      </c>
      <c r="R42" s="150">
        <v>-3.3999999999999998E-3</v>
      </c>
      <c r="S42" s="150">
        <v>0</v>
      </c>
    </row>
    <row r="43" spans="3:19" x14ac:dyDescent="0.2">
      <c r="C43" s="296">
        <v>893629</v>
      </c>
      <c r="D43" s="138" t="s">
        <v>179</v>
      </c>
      <c r="E43" s="139" t="s">
        <v>19</v>
      </c>
      <c r="F43" s="150">
        <v>0</v>
      </c>
      <c r="G43" s="150">
        <v>0</v>
      </c>
      <c r="H43" s="150">
        <v>0</v>
      </c>
      <c r="I43" s="150">
        <v>0</v>
      </c>
      <c r="J43" s="150">
        <v>0</v>
      </c>
      <c r="K43" s="150">
        <v>0</v>
      </c>
      <c r="L43" s="150">
        <v>0</v>
      </c>
      <c r="M43" s="150">
        <v>0</v>
      </c>
      <c r="N43" s="150">
        <v>0</v>
      </c>
      <c r="O43" s="150">
        <v>0</v>
      </c>
      <c r="P43" s="150">
        <v>0</v>
      </c>
      <c r="Q43" s="150">
        <v>0</v>
      </c>
      <c r="R43" s="150">
        <v>0</v>
      </c>
      <c r="S43" s="150">
        <v>0</v>
      </c>
    </row>
    <row r="44" spans="3:19" x14ac:dyDescent="0.2">
      <c r="C44" s="296">
        <v>893629</v>
      </c>
      <c r="D44" s="138" t="s">
        <v>179</v>
      </c>
      <c r="E44" s="139" t="s">
        <v>21</v>
      </c>
      <c r="F44" s="150">
        <v>0</v>
      </c>
      <c r="G44" s="150">
        <v>0</v>
      </c>
      <c r="H44" s="150">
        <v>0</v>
      </c>
      <c r="I44" s="150">
        <v>0</v>
      </c>
      <c r="J44" s="150">
        <v>0</v>
      </c>
      <c r="K44" s="150">
        <v>0</v>
      </c>
      <c r="L44" s="150">
        <v>0</v>
      </c>
      <c r="M44" s="150">
        <v>0</v>
      </c>
      <c r="N44" s="150">
        <v>0</v>
      </c>
      <c r="O44" s="150">
        <v>0</v>
      </c>
      <c r="P44" s="150">
        <v>0</v>
      </c>
      <c r="Q44" s="150">
        <v>0</v>
      </c>
      <c r="R44" s="150">
        <v>0</v>
      </c>
      <c r="S44" s="150">
        <v>0</v>
      </c>
    </row>
    <row r="45" spans="3:19" x14ac:dyDescent="0.2">
      <c r="C45" s="296">
        <v>893629</v>
      </c>
      <c r="D45" s="138" t="s">
        <v>179</v>
      </c>
      <c r="E45" s="139" t="s">
        <v>23</v>
      </c>
      <c r="F45" s="150">
        <v>0</v>
      </c>
      <c r="G45" s="150">
        <v>0</v>
      </c>
      <c r="H45" s="150">
        <v>0</v>
      </c>
      <c r="I45" s="150">
        <v>0</v>
      </c>
      <c r="J45" s="150">
        <v>0</v>
      </c>
      <c r="K45" s="150">
        <v>0</v>
      </c>
      <c r="L45" s="150">
        <v>0</v>
      </c>
      <c r="M45" s="150">
        <v>0</v>
      </c>
      <c r="N45" s="150">
        <v>0</v>
      </c>
      <c r="O45" s="150">
        <v>0</v>
      </c>
      <c r="P45" s="150">
        <v>0</v>
      </c>
      <c r="Q45" s="150">
        <v>0</v>
      </c>
      <c r="R45" s="150">
        <v>0</v>
      </c>
      <c r="S45" s="150">
        <v>0</v>
      </c>
    </row>
    <row r="46" spans="3:19" x14ac:dyDescent="0.2">
      <c r="C46" s="296">
        <v>893629</v>
      </c>
      <c r="D46" s="138" t="s">
        <v>179</v>
      </c>
      <c r="E46" s="139" t="s">
        <v>24</v>
      </c>
      <c r="F46" s="150">
        <v>0</v>
      </c>
      <c r="G46" s="150">
        <v>0</v>
      </c>
      <c r="H46" s="150">
        <v>0</v>
      </c>
      <c r="I46" s="150">
        <v>0</v>
      </c>
      <c r="J46" s="150">
        <v>0</v>
      </c>
      <c r="K46" s="150">
        <v>0</v>
      </c>
      <c r="L46" s="150">
        <v>0</v>
      </c>
      <c r="M46" s="150">
        <v>0</v>
      </c>
      <c r="N46" s="150">
        <v>0</v>
      </c>
      <c r="O46" s="150">
        <v>0</v>
      </c>
      <c r="P46" s="150">
        <v>0</v>
      </c>
      <c r="Q46" s="150">
        <v>0</v>
      </c>
      <c r="R46" s="150">
        <v>0</v>
      </c>
      <c r="S46" s="150">
        <v>0</v>
      </c>
    </row>
    <row r="47" spans="3:19" x14ac:dyDescent="0.2">
      <c r="C47" s="296">
        <v>893630</v>
      </c>
      <c r="D47" s="138" t="s">
        <v>179</v>
      </c>
      <c r="E47" s="139" t="s">
        <v>17</v>
      </c>
      <c r="F47" s="150">
        <v>581949.28670000006</v>
      </c>
      <c r="G47" s="150">
        <v>581798.99930000002</v>
      </c>
      <c r="H47" s="150">
        <v>0</v>
      </c>
      <c r="I47" s="150">
        <v>0</v>
      </c>
      <c r="J47" s="150">
        <v>-2.0000000000000001E-4</v>
      </c>
      <c r="K47" s="150">
        <v>0</v>
      </c>
      <c r="L47" s="150">
        <v>0</v>
      </c>
      <c r="M47" s="150">
        <v>0</v>
      </c>
      <c r="N47" s="150">
        <v>43.946599999999997</v>
      </c>
      <c r="O47" s="150">
        <v>106.4513</v>
      </c>
      <c r="P47" s="150">
        <v>0</v>
      </c>
      <c r="Q47" s="150">
        <v>0</v>
      </c>
      <c r="R47" s="150">
        <v>-0.1103</v>
      </c>
      <c r="S47" s="150">
        <v>0</v>
      </c>
    </row>
    <row r="48" spans="3:19" x14ac:dyDescent="0.2">
      <c r="C48" s="296">
        <v>893630</v>
      </c>
      <c r="D48" s="138" t="s">
        <v>179</v>
      </c>
      <c r="E48" s="139" t="s">
        <v>19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150">
        <v>0</v>
      </c>
      <c r="L48" s="150">
        <v>0</v>
      </c>
      <c r="M48" s="150">
        <v>0</v>
      </c>
      <c r="N48" s="150">
        <v>0</v>
      </c>
      <c r="O48" s="150">
        <v>0</v>
      </c>
      <c r="P48" s="150">
        <v>0</v>
      </c>
      <c r="Q48" s="150">
        <v>0</v>
      </c>
      <c r="R48" s="150">
        <v>0</v>
      </c>
      <c r="S48" s="150">
        <v>0</v>
      </c>
    </row>
    <row r="49" spans="3:19" x14ac:dyDescent="0.2">
      <c r="C49" s="296">
        <v>893630</v>
      </c>
      <c r="D49" s="138" t="s">
        <v>179</v>
      </c>
      <c r="E49" s="139" t="s">
        <v>21</v>
      </c>
      <c r="F49" s="150">
        <v>0</v>
      </c>
      <c r="G49" s="150">
        <v>0</v>
      </c>
      <c r="H49" s="150">
        <v>0</v>
      </c>
      <c r="I49" s="150">
        <v>0</v>
      </c>
      <c r="J49" s="150">
        <v>0</v>
      </c>
      <c r="K49" s="150">
        <v>0</v>
      </c>
      <c r="L49" s="150">
        <v>0</v>
      </c>
      <c r="M49" s="150">
        <v>0</v>
      </c>
      <c r="N49" s="150">
        <v>0</v>
      </c>
      <c r="O49" s="150">
        <v>0</v>
      </c>
      <c r="P49" s="150">
        <v>0</v>
      </c>
      <c r="Q49" s="150">
        <v>0</v>
      </c>
      <c r="R49" s="150">
        <v>0</v>
      </c>
      <c r="S49" s="150">
        <v>0</v>
      </c>
    </row>
    <row r="50" spans="3:19" x14ac:dyDescent="0.2">
      <c r="C50" s="296">
        <v>893630</v>
      </c>
      <c r="D50" s="138" t="s">
        <v>179</v>
      </c>
      <c r="E50" s="139" t="s">
        <v>23</v>
      </c>
      <c r="F50" s="150">
        <v>0</v>
      </c>
      <c r="G50" s="150">
        <v>0</v>
      </c>
      <c r="H50" s="150">
        <v>0</v>
      </c>
      <c r="I50" s="150">
        <v>0</v>
      </c>
      <c r="J50" s="150">
        <v>0</v>
      </c>
      <c r="K50" s="150">
        <v>0</v>
      </c>
      <c r="L50" s="150">
        <v>0</v>
      </c>
      <c r="M50" s="150">
        <v>0</v>
      </c>
      <c r="N50" s="150">
        <v>0</v>
      </c>
      <c r="O50" s="150">
        <v>0</v>
      </c>
      <c r="P50" s="150">
        <v>0</v>
      </c>
      <c r="Q50" s="150">
        <v>0</v>
      </c>
      <c r="R50" s="150">
        <v>0</v>
      </c>
      <c r="S50" s="150">
        <v>0</v>
      </c>
    </row>
    <row r="51" spans="3:19" x14ac:dyDescent="0.2">
      <c r="C51" s="296">
        <v>893630</v>
      </c>
      <c r="D51" s="138" t="s">
        <v>179</v>
      </c>
      <c r="E51" s="139" t="s">
        <v>24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50">
        <v>0</v>
      </c>
      <c r="L51" s="150">
        <v>0</v>
      </c>
      <c r="M51" s="150">
        <v>0</v>
      </c>
      <c r="N51" s="150">
        <v>0</v>
      </c>
      <c r="O51" s="150">
        <v>0</v>
      </c>
      <c r="P51" s="150">
        <v>0</v>
      </c>
      <c r="Q51" s="150">
        <v>0</v>
      </c>
      <c r="R51" s="150">
        <v>0</v>
      </c>
      <c r="S51" s="150">
        <v>0</v>
      </c>
    </row>
    <row r="52" spans="3:19" x14ac:dyDescent="0.2">
      <c r="C52" s="296">
        <v>893631</v>
      </c>
      <c r="D52" s="138" t="s">
        <v>179</v>
      </c>
      <c r="E52" s="139" t="s">
        <v>17</v>
      </c>
      <c r="F52" s="150">
        <v>1E-4</v>
      </c>
      <c r="G52" s="150">
        <v>0</v>
      </c>
      <c r="H52" s="150">
        <v>0</v>
      </c>
      <c r="I52" s="150">
        <v>0</v>
      </c>
      <c r="J52" s="150">
        <v>0</v>
      </c>
      <c r="K52" s="150">
        <v>0</v>
      </c>
      <c r="L52" s="150">
        <v>0</v>
      </c>
      <c r="M52" s="150">
        <v>0</v>
      </c>
      <c r="N52" s="150">
        <v>2.0000000000000001E-4</v>
      </c>
      <c r="O52" s="150">
        <v>-1E-4</v>
      </c>
      <c r="P52" s="150">
        <v>0</v>
      </c>
      <c r="Q52" s="150">
        <v>0</v>
      </c>
      <c r="R52" s="150">
        <v>0</v>
      </c>
      <c r="S52" s="150">
        <v>0</v>
      </c>
    </row>
    <row r="53" spans="3:19" x14ac:dyDescent="0.2">
      <c r="C53" s="296">
        <v>893631</v>
      </c>
      <c r="D53" s="138" t="s">
        <v>179</v>
      </c>
      <c r="E53" s="139" t="s">
        <v>19</v>
      </c>
      <c r="F53" s="150">
        <v>0</v>
      </c>
      <c r="G53" s="150">
        <v>0</v>
      </c>
      <c r="H53" s="150">
        <v>0</v>
      </c>
      <c r="I53" s="150">
        <v>0</v>
      </c>
      <c r="J53" s="150">
        <v>0</v>
      </c>
      <c r="K53" s="150">
        <v>0</v>
      </c>
      <c r="L53" s="150">
        <v>0</v>
      </c>
      <c r="M53" s="150">
        <v>0</v>
      </c>
      <c r="N53" s="150">
        <v>0</v>
      </c>
      <c r="O53" s="150">
        <v>0</v>
      </c>
      <c r="P53" s="150">
        <v>0</v>
      </c>
      <c r="Q53" s="150">
        <v>0</v>
      </c>
      <c r="R53" s="150">
        <v>0</v>
      </c>
      <c r="S53" s="150">
        <v>0</v>
      </c>
    </row>
    <row r="54" spans="3:19" x14ac:dyDescent="0.2">
      <c r="C54" s="296">
        <v>893631</v>
      </c>
      <c r="D54" s="138" t="s">
        <v>179</v>
      </c>
      <c r="E54" s="139" t="s">
        <v>21</v>
      </c>
      <c r="F54" s="150">
        <v>0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0">
        <v>0</v>
      </c>
      <c r="M54" s="150">
        <v>0</v>
      </c>
      <c r="N54" s="150">
        <v>0</v>
      </c>
      <c r="O54" s="150">
        <v>0</v>
      </c>
      <c r="P54" s="150">
        <v>0</v>
      </c>
      <c r="Q54" s="150">
        <v>0</v>
      </c>
      <c r="R54" s="150">
        <v>0</v>
      </c>
      <c r="S54" s="150">
        <v>0</v>
      </c>
    </row>
    <row r="55" spans="3:19" x14ac:dyDescent="0.2">
      <c r="C55" s="296">
        <v>893631</v>
      </c>
      <c r="D55" s="138" t="s">
        <v>179</v>
      </c>
      <c r="E55" s="139" t="s">
        <v>23</v>
      </c>
      <c r="F55" s="150">
        <v>0</v>
      </c>
      <c r="G55" s="150">
        <v>0</v>
      </c>
      <c r="H55" s="150">
        <v>0</v>
      </c>
      <c r="I55" s="150">
        <v>0</v>
      </c>
      <c r="J55" s="150">
        <v>0</v>
      </c>
      <c r="K55" s="150">
        <v>0</v>
      </c>
      <c r="L55" s="150">
        <v>0</v>
      </c>
      <c r="M55" s="150">
        <v>0</v>
      </c>
      <c r="N55" s="150">
        <v>0</v>
      </c>
      <c r="O55" s="150">
        <v>0</v>
      </c>
      <c r="P55" s="150">
        <v>0</v>
      </c>
      <c r="Q55" s="150">
        <v>0</v>
      </c>
      <c r="R55" s="150">
        <v>0</v>
      </c>
      <c r="S55" s="150">
        <v>0</v>
      </c>
    </row>
    <row r="56" spans="3:19" x14ac:dyDescent="0.2">
      <c r="C56" s="296">
        <v>893631</v>
      </c>
      <c r="D56" s="138" t="s">
        <v>179</v>
      </c>
      <c r="E56" s="139" t="s">
        <v>24</v>
      </c>
      <c r="F56" s="150">
        <v>0</v>
      </c>
      <c r="G56" s="150">
        <v>0</v>
      </c>
      <c r="H56" s="150">
        <v>0</v>
      </c>
      <c r="I56" s="150">
        <v>0</v>
      </c>
      <c r="J56" s="150">
        <v>0</v>
      </c>
      <c r="K56" s="150">
        <v>0</v>
      </c>
      <c r="L56" s="150">
        <v>0</v>
      </c>
      <c r="M56" s="150">
        <v>0</v>
      </c>
      <c r="N56" s="150">
        <v>0</v>
      </c>
      <c r="O56" s="150">
        <v>0</v>
      </c>
      <c r="P56" s="150">
        <v>0</v>
      </c>
      <c r="Q56" s="150">
        <v>0</v>
      </c>
      <c r="R56" s="150">
        <v>0</v>
      </c>
      <c r="S56" s="150">
        <v>0</v>
      </c>
    </row>
    <row r="57" spans="3:19" x14ac:dyDescent="0.2">
      <c r="C57" s="296">
        <v>893632</v>
      </c>
      <c r="D57" s="138" t="s">
        <v>179</v>
      </c>
      <c r="E57" s="139" t="s">
        <v>17</v>
      </c>
      <c r="F57" s="150">
        <v>-2.0000000000000001E-4</v>
      </c>
      <c r="G57" s="150">
        <v>0</v>
      </c>
      <c r="H57" s="150">
        <v>0</v>
      </c>
      <c r="I57" s="150">
        <v>0</v>
      </c>
      <c r="J57" s="150">
        <v>0</v>
      </c>
      <c r="K57" s="150">
        <v>0</v>
      </c>
      <c r="L57" s="150">
        <v>0</v>
      </c>
      <c r="M57" s="150">
        <v>0</v>
      </c>
      <c r="N57" s="150">
        <v>-4.0000000000000002E-4</v>
      </c>
      <c r="O57" s="150">
        <v>2.9999999999999997E-4</v>
      </c>
      <c r="P57" s="150">
        <v>0</v>
      </c>
      <c r="Q57" s="150">
        <v>0</v>
      </c>
      <c r="R57" s="150">
        <v>-1E-4</v>
      </c>
      <c r="S57" s="150">
        <v>0</v>
      </c>
    </row>
    <row r="58" spans="3:19" x14ac:dyDescent="0.2">
      <c r="C58" s="296">
        <v>893632</v>
      </c>
      <c r="D58" s="138" t="s">
        <v>179</v>
      </c>
      <c r="E58" s="139" t="s">
        <v>19</v>
      </c>
      <c r="F58" s="150">
        <v>0</v>
      </c>
      <c r="G58" s="150">
        <v>0</v>
      </c>
      <c r="H58" s="150">
        <v>0</v>
      </c>
      <c r="I58" s="150">
        <v>0</v>
      </c>
      <c r="J58" s="150">
        <v>0</v>
      </c>
      <c r="K58" s="150">
        <v>0</v>
      </c>
      <c r="L58" s="150">
        <v>0</v>
      </c>
      <c r="M58" s="150">
        <v>0</v>
      </c>
      <c r="N58" s="150">
        <v>0</v>
      </c>
      <c r="O58" s="150">
        <v>0</v>
      </c>
      <c r="P58" s="150">
        <v>0</v>
      </c>
      <c r="Q58" s="150">
        <v>0</v>
      </c>
      <c r="R58" s="150">
        <v>0</v>
      </c>
      <c r="S58" s="150">
        <v>0</v>
      </c>
    </row>
    <row r="59" spans="3:19" x14ac:dyDescent="0.2">
      <c r="C59" s="296">
        <v>893632</v>
      </c>
      <c r="D59" s="138" t="s">
        <v>179</v>
      </c>
      <c r="E59" s="139" t="s">
        <v>21</v>
      </c>
      <c r="F59" s="150">
        <v>0</v>
      </c>
      <c r="G59" s="150">
        <v>0</v>
      </c>
      <c r="H59" s="150">
        <v>0</v>
      </c>
      <c r="I59" s="150">
        <v>0</v>
      </c>
      <c r="J59" s="150">
        <v>0</v>
      </c>
      <c r="K59" s="150">
        <v>0</v>
      </c>
      <c r="L59" s="150">
        <v>0</v>
      </c>
      <c r="M59" s="150">
        <v>0</v>
      </c>
      <c r="N59" s="150">
        <v>0</v>
      </c>
      <c r="O59" s="150">
        <v>0</v>
      </c>
      <c r="P59" s="150">
        <v>0</v>
      </c>
      <c r="Q59" s="150">
        <v>0</v>
      </c>
      <c r="R59" s="150">
        <v>0</v>
      </c>
      <c r="S59" s="150">
        <v>0</v>
      </c>
    </row>
    <row r="60" spans="3:19" x14ac:dyDescent="0.2">
      <c r="C60" s="296">
        <v>893632</v>
      </c>
      <c r="D60" s="138" t="s">
        <v>179</v>
      </c>
      <c r="E60" s="139" t="s">
        <v>23</v>
      </c>
      <c r="F60" s="150">
        <v>0</v>
      </c>
      <c r="G60" s="150">
        <v>0</v>
      </c>
      <c r="H60" s="150">
        <v>0</v>
      </c>
      <c r="I60" s="150">
        <v>0</v>
      </c>
      <c r="J60" s="150">
        <v>0</v>
      </c>
      <c r="K60" s="150">
        <v>0</v>
      </c>
      <c r="L60" s="150">
        <v>0</v>
      </c>
      <c r="M60" s="150">
        <v>0</v>
      </c>
      <c r="N60" s="150">
        <v>0</v>
      </c>
      <c r="O60" s="150">
        <v>0</v>
      </c>
      <c r="P60" s="150">
        <v>0</v>
      </c>
      <c r="Q60" s="150">
        <v>0</v>
      </c>
      <c r="R60" s="150">
        <v>0</v>
      </c>
      <c r="S60" s="150">
        <v>0</v>
      </c>
    </row>
    <row r="61" spans="3:19" x14ac:dyDescent="0.2">
      <c r="C61" s="296">
        <v>893632</v>
      </c>
      <c r="D61" s="138" t="s">
        <v>179</v>
      </c>
      <c r="E61" s="139" t="s">
        <v>24</v>
      </c>
      <c r="F61" s="150">
        <v>0</v>
      </c>
      <c r="G61" s="150">
        <v>0</v>
      </c>
      <c r="H61" s="150">
        <v>0</v>
      </c>
      <c r="I61" s="150">
        <v>0</v>
      </c>
      <c r="J61" s="150">
        <v>0</v>
      </c>
      <c r="K61" s="150">
        <v>0</v>
      </c>
      <c r="L61" s="150">
        <v>0</v>
      </c>
      <c r="M61" s="150">
        <v>0</v>
      </c>
      <c r="N61" s="150">
        <v>0</v>
      </c>
      <c r="O61" s="150">
        <v>0</v>
      </c>
      <c r="P61" s="150">
        <v>0</v>
      </c>
      <c r="Q61" s="150">
        <v>0</v>
      </c>
      <c r="R61" s="150">
        <v>0</v>
      </c>
      <c r="S61" s="150">
        <v>0</v>
      </c>
    </row>
    <row r="65" spans="3:6" x14ac:dyDescent="0.2">
      <c r="C65" s="148"/>
    </row>
    <row r="66" spans="3:6" x14ac:dyDescent="0.2">
      <c r="C66" s="148"/>
    </row>
    <row r="67" spans="3:6" x14ac:dyDescent="0.2">
      <c r="C67" s="148"/>
    </row>
    <row r="68" spans="3:6" x14ac:dyDescent="0.2">
      <c r="C68" s="148"/>
    </row>
    <row r="69" spans="3:6" x14ac:dyDescent="0.2">
      <c r="C69" s="148"/>
    </row>
    <row r="70" spans="3:6" x14ac:dyDescent="0.2">
      <c r="C70" s="148"/>
      <c r="F70" s="212"/>
    </row>
    <row r="71" spans="3:6" x14ac:dyDescent="0.2">
      <c r="C71" s="148"/>
    </row>
    <row r="72" spans="3:6" x14ac:dyDescent="0.2">
      <c r="C72" s="148"/>
    </row>
    <row r="73" spans="3:6" x14ac:dyDescent="0.2">
      <c r="C73" s="148"/>
    </row>
    <row r="74" spans="3:6" x14ac:dyDescent="0.2">
      <c r="C74" s="148"/>
    </row>
    <row r="75" spans="3:6" x14ac:dyDescent="0.2">
      <c r="C75" s="148"/>
    </row>
    <row r="76" spans="3:6" x14ac:dyDescent="0.2">
      <c r="C76" s="148"/>
    </row>
    <row r="77" spans="3:6" x14ac:dyDescent="0.2">
      <c r="C77" s="148"/>
    </row>
    <row r="78" spans="3:6" x14ac:dyDescent="0.2">
      <c r="C78" s="148"/>
    </row>
    <row r="79" spans="3:6" x14ac:dyDescent="0.2">
      <c r="C79" s="148"/>
    </row>
    <row r="80" spans="3:6" x14ac:dyDescent="0.2">
      <c r="C80" s="148"/>
    </row>
    <row r="81" spans="3:3" x14ac:dyDescent="0.2">
      <c r="C81" s="148"/>
    </row>
    <row r="82" spans="3:3" x14ac:dyDescent="0.2">
      <c r="C82" s="148"/>
    </row>
    <row r="83" spans="3:3" x14ac:dyDescent="0.2">
      <c r="C83" s="148"/>
    </row>
    <row r="84" spans="3:3" x14ac:dyDescent="0.2">
      <c r="C84" s="148"/>
    </row>
    <row r="85" spans="3:3" x14ac:dyDescent="0.2">
      <c r="C85" s="148"/>
    </row>
    <row r="86" spans="3:3" x14ac:dyDescent="0.2">
      <c r="C86" s="148"/>
    </row>
    <row r="87" spans="3:3" x14ac:dyDescent="0.2">
      <c r="C87" s="148"/>
    </row>
    <row r="88" spans="3:3" x14ac:dyDescent="0.2">
      <c r="C88" s="148"/>
    </row>
    <row r="89" spans="3:3" x14ac:dyDescent="0.2">
      <c r="C89" s="148"/>
    </row>
    <row r="90" spans="3:3" x14ac:dyDescent="0.2">
      <c r="C90" s="148"/>
    </row>
    <row r="91" spans="3:3" x14ac:dyDescent="0.2">
      <c r="C91" s="148"/>
    </row>
    <row r="92" spans="3:3" x14ac:dyDescent="0.2">
      <c r="C92" s="148"/>
    </row>
    <row r="93" spans="3:3" x14ac:dyDescent="0.2">
      <c r="C93" s="148"/>
    </row>
    <row r="94" spans="3:3" x14ac:dyDescent="0.2">
      <c r="C94" s="148"/>
    </row>
    <row r="268" spans="2:2" x14ac:dyDescent="0.2">
      <c r="B268" s="142"/>
    </row>
    <row r="306" spans="1:51" x14ac:dyDescent="0.2">
      <c r="A306" s="142"/>
    </row>
    <row r="308" spans="1:51" s="1" customFormat="1" x14ac:dyDescent="0.2">
      <c r="A308" s="134"/>
      <c r="B308" s="134"/>
      <c r="C308" s="144"/>
      <c r="D308" s="145"/>
      <c r="E308" s="139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37"/>
      <c r="AJ308" s="137"/>
      <c r="AK308" s="137"/>
      <c r="AL308" s="137"/>
      <c r="AM308" s="137"/>
      <c r="AN308" s="137"/>
      <c r="AO308" s="137"/>
      <c r="AP308" s="137"/>
      <c r="AQ308" s="137"/>
      <c r="AR308" s="137"/>
      <c r="AS308" s="137"/>
      <c r="AT308" s="137"/>
      <c r="AU308" s="137"/>
      <c r="AV308" s="137"/>
      <c r="AW308" s="137"/>
      <c r="AX308" s="137"/>
      <c r="AY308" s="137"/>
    </row>
    <row r="1516" spans="6:19" x14ac:dyDescent="0.2">
      <c r="F1516" s="211"/>
      <c r="G1516" s="211"/>
      <c r="H1516" s="211"/>
      <c r="I1516" s="211"/>
      <c r="J1516" s="211"/>
      <c r="K1516" s="211"/>
      <c r="L1516" s="211"/>
      <c r="M1516" s="211"/>
      <c r="N1516" s="211"/>
      <c r="O1516" s="211"/>
      <c r="P1516" s="211"/>
      <c r="Q1516" s="211"/>
      <c r="R1516" s="211"/>
      <c r="S1516" s="211"/>
    </row>
    <row r="1521" spans="6:19" x14ac:dyDescent="0.2">
      <c r="F1521" s="211"/>
      <c r="G1521" s="211"/>
      <c r="H1521" s="211"/>
      <c r="I1521" s="211"/>
      <c r="J1521" s="211"/>
      <c r="K1521" s="211"/>
      <c r="L1521" s="211"/>
      <c r="M1521" s="211"/>
      <c r="N1521" s="211"/>
      <c r="O1521" s="211"/>
      <c r="P1521" s="211"/>
      <c r="Q1521" s="211"/>
      <c r="R1521" s="211"/>
      <c r="S1521" s="211"/>
    </row>
  </sheetData>
  <dataConsolidate/>
  <pageMargins left="0.25" right="0.25" top="0.25" bottom="0.25" header="0.5" footer="0.5"/>
  <pageSetup paperSize="5" scale="70" orientation="landscape" r:id="rId1"/>
  <headerFooter alignWithMargins="0">
    <oddHeader xml:space="preserve">&amp;RPage &amp;P of &amp;N   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workbookViewId="0">
      <selection activeCell="G23" sqref="G23"/>
    </sheetView>
  </sheetViews>
  <sheetFormatPr defaultRowHeight="12.75" x14ac:dyDescent="0.2"/>
  <cols>
    <col min="1" max="1" width="8" style="63" customWidth="1"/>
    <col min="2" max="2" width="2.5703125" customWidth="1"/>
    <col min="3" max="3" width="29.42578125" customWidth="1"/>
    <col min="4" max="9" width="15.42578125" style="48" customWidth="1"/>
    <col min="10" max="19" width="15.42578125" customWidth="1"/>
  </cols>
  <sheetData>
    <row r="1" spans="1:26" x14ac:dyDescent="0.2">
      <c r="A1" s="411" t="s">
        <v>66</v>
      </c>
      <c r="B1" s="411"/>
      <c r="C1" s="411"/>
      <c r="D1" s="411"/>
      <c r="E1" s="411"/>
      <c r="F1" s="23"/>
      <c r="G1" s="23"/>
      <c r="H1" s="23"/>
      <c r="I1" s="23"/>
      <c r="J1" s="22"/>
      <c r="K1" s="22"/>
      <c r="L1" s="22"/>
      <c r="M1" s="22"/>
      <c r="N1" s="24"/>
      <c r="O1" s="24"/>
      <c r="P1" s="24"/>
      <c r="Q1" s="24"/>
      <c r="R1" s="24"/>
      <c r="S1" s="24"/>
      <c r="T1" s="5"/>
      <c r="U1" s="5"/>
      <c r="V1" s="5"/>
      <c r="W1" s="5"/>
      <c r="X1" s="5"/>
      <c r="Y1" s="5"/>
      <c r="Z1" s="5"/>
    </row>
    <row r="2" spans="1:26" x14ac:dyDescent="0.2">
      <c r="A2" s="411" t="s">
        <v>67</v>
      </c>
      <c r="B2" s="411"/>
      <c r="C2" s="411"/>
      <c r="D2" s="411"/>
      <c r="E2" s="411"/>
      <c r="F2" s="23"/>
      <c r="G2" s="23"/>
      <c r="H2" s="23"/>
      <c r="I2" s="23"/>
      <c r="J2" s="22"/>
      <c r="K2" s="22"/>
      <c r="L2" s="22"/>
      <c r="M2" s="22"/>
      <c r="N2" s="24"/>
      <c r="O2" s="24"/>
      <c r="P2" s="24"/>
      <c r="Q2" s="24"/>
      <c r="R2" s="24"/>
      <c r="S2" s="24"/>
      <c r="T2" s="5"/>
      <c r="U2" s="5"/>
      <c r="V2" s="5"/>
      <c r="W2" s="5"/>
      <c r="X2" s="5"/>
      <c r="Y2" s="5"/>
      <c r="Z2" s="5"/>
    </row>
    <row r="3" spans="1:26" x14ac:dyDescent="0.2">
      <c r="A3" s="411" t="s">
        <v>68</v>
      </c>
      <c r="B3" s="411"/>
      <c r="C3" s="411"/>
      <c r="D3" s="411"/>
      <c r="E3" s="411"/>
      <c r="F3" s="26"/>
      <c r="G3" s="26"/>
      <c r="H3" s="26"/>
      <c r="I3" s="26"/>
      <c r="J3" s="26"/>
      <c r="K3" s="26"/>
      <c r="L3" s="26"/>
      <c r="M3" s="26"/>
    </row>
    <row r="4" spans="1:26" x14ac:dyDescent="0.2">
      <c r="A4" s="411" t="s">
        <v>234</v>
      </c>
      <c r="B4" s="411"/>
      <c r="C4" s="411"/>
      <c r="D4" s="411"/>
      <c r="E4" s="411"/>
      <c r="F4" s="23"/>
      <c r="G4" s="23"/>
      <c r="H4" s="23"/>
      <c r="I4" s="23"/>
      <c r="J4" s="22"/>
      <c r="K4" s="22"/>
      <c r="L4" s="22"/>
      <c r="M4" s="22"/>
      <c r="N4" s="24"/>
      <c r="O4" s="24"/>
      <c r="P4" s="24"/>
      <c r="Q4" s="24"/>
      <c r="R4" s="24"/>
      <c r="S4" s="24"/>
      <c r="T4" s="5"/>
      <c r="U4" s="5"/>
      <c r="V4" s="5"/>
      <c r="W4" s="5"/>
      <c r="X4" s="5"/>
      <c r="Y4" s="5"/>
      <c r="Z4" s="5"/>
    </row>
    <row r="5" spans="1:26" x14ac:dyDescent="0.2">
      <c r="A5" s="411" t="s">
        <v>236</v>
      </c>
      <c r="B5" s="411"/>
      <c r="C5" s="411"/>
      <c r="D5" s="411"/>
      <c r="E5" s="411"/>
      <c r="F5" s="23"/>
      <c r="G5" s="23"/>
      <c r="H5" s="23"/>
      <c r="I5" s="23"/>
      <c r="J5" s="22"/>
      <c r="K5" s="22"/>
      <c r="L5" s="22"/>
      <c r="M5" s="22"/>
      <c r="N5" s="24"/>
      <c r="O5" s="24"/>
      <c r="P5" s="24"/>
      <c r="Q5" s="24"/>
      <c r="R5" s="24"/>
      <c r="S5" s="24"/>
      <c r="T5" s="5"/>
      <c r="U5" s="5"/>
      <c r="V5" s="5"/>
      <c r="W5" s="5"/>
      <c r="X5" s="5"/>
      <c r="Y5" s="5"/>
      <c r="Z5" s="5"/>
    </row>
    <row r="6" spans="1:26" x14ac:dyDescent="0.2">
      <c r="A6" s="25"/>
      <c r="B6" s="25"/>
      <c r="C6" s="25"/>
      <c r="D6" s="23"/>
      <c r="E6" s="23"/>
      <c r="F6" s="23"/>
      <c r="G6" s="23"/>
      <c r="H6" s="23"/>
      <c r="I6" s="23"/>
      <c r="J6" s="22"/>
      <c r="K6" s="22"/>
      <c r="L6" s="22"/>
      <c r="M6" s="22"/>
      <c r="N6" s="24"/>
      <c r="O6" s="24"/>
      <c r="P6" s="24"/>
      <c r="Q6" s="24"/>
      <c r="R6" s="24"/>
      <c r="S6" s="24"/>
      <c r="T6" s="5"/>
      <c r="U6" s="5"/>
      <c r="V6" s="5"/>
      <c r="W6" s="5"/>
      <c r="X6" s="5"/>
      <c r="Y6" s="5"/>
      <c r="Z6" s="5"/>
    </row>
    <row r="7" spans="1:26" x14ac:dyDescent="0.2">
      <c r="A7" s="27"/>
      <c r="B7" s="28"/>
      <c r="C7" s="28"/>
      <c r="D7" s="29"/>
      <c r="E7" s="29"/>
      <c r="F7" s="90"/>
      <c r="G7" s="90"/>
      <c r="H7" s="90"/>
      <c r="I7" s="90"/>
      <c r="J7" s="91"/>
      <c r="K7" s="91"/>
      <c r="L7" s="91"/>
      <c r="M7" s="91"/>
      <c r="N7" s="91"/>
      <c r="O7" s="91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">
      <c r="A8" s="30"/>
      <c r="B8" s="31"/>
      <c r="C8" s="32"/>
      <c r="D8" s="409" t="s">
        <v>69</v>
      </c>
      <c r="E8" s="410"/>
      <c r="F8" s="92"/>
      <c r="G8" s="93"/>
      <c r="H8" s="92"/>
      <c r="I8" s="93"/>
      <c r="J8" s="92"/>
      <c r="K8" s="92"/>
      <c r="L8" s="92"/>
      <c r="M8" s="92"/>
      <c r="N8" s="52"/>
      <c r="O8" s="52"/>
    </row>
    <row r="9" spans="1:26" x14ac:dyDescent="0.2">
      <c r="A9" s="33"/>
      <c r="B9" s="34"/>
      <c r="C9" s="35"/>
      <c r="D9" s="36" t="s">
        <v>70</v>
      </c>
      <c r="E9" s="37" t="s">
        <v>71</v>
      </c>
      <c r="F9" s="94"/>
      <c r="G9" s="94"/>
      <c r="H9" s="94"/>
      <c r="I9" s="94"/>
      <c r="J9" s="95"/>
      <c r="K9" s="94"/>
      <c r="L9" s="95"/>
      <c r="M9" s="94"/>
      <c r="N9" s="52"/>
      <c r="O9" s="52"/>
    </row>
    <row r="10" spans="1:26" x14ac:dyDescent="0.2">
      <c r="A10" s="38"/>
      <c r="B10" s="39" t="s">
        <v>72</v>
      </c>
      <c r="C10" s="35"/>
      <c r="D10" s="40"/>
      <c r="E10" s="41"/>
      <c r="F10" s="50"/>
      <c r="G10" s="50"/>
      <c r="H10" s="50"/>
      <c r="I10" s="50"/>
      <c r="J10" s="52"/>
      <c r="K10" s="52"/>
      <c r="L10" s="52"/>
      <c r="M10" s="52"/>
      <c r="N10" s="52"/>
      <c r="O10" s="52"/>
    </row>
    <row r="11" spans="1:26" x14ac:dyDescent="0.2">
      <c r="A11" s="38">
        <v>1</v>
      </c>
      <c r="B11" s="34"/>
      <c r="C11" s="42" t="s">
        <v>73</v>
      </c>
      <c r="D11" s="43">
        <f>MEH!E5+'NSS1'!E5+'NSS2'!E5</f>
        <v>0</v>
      </c>
      <c r="E11" s="44">
        <f>MEH!D5+'NSS1'!D5+'NSS2'!D5</f>
        <v>0</v>
      </c>
      <c r="F11" s="50"/>
      <c r="G11" s="50"/>
      <c r="H11" s="96"/>
      <c r="I11" s="96"/>
      <c r="J11" s="50"/>
      <c r="K11" s="50"/>
      <c r="L11" s="50"/>
      <c r="M11" s="50"/>
      <c r="N11" s="52"/>
      <c r="O11" s="52"/>
    </row>
    <row r="12" spans="1:26" x14ac:dyDescent="0.2">
      <c r="A12" s="38">
        <v>2</v>
      </c>
      <c r="B12" s="34"/>
      <c r="C12" s="42" t="s">
        <v>74</v>
      </c>
      <c r="D12" s="43"/>
      <c r="E12" s="44"/>
      <c r="F12" s="50"/>
      <c r="G12" s="50"/>
      <c r="H12" s="50"/>
      <c r="I12" s="50"/>
      <c r="J12" s="50"/>
      <c r="K12" s="50"/>
      <c r="L12" s="50"/>
      <c r="M12" s="50"/>
      <c r="N12" s="52"/>
      <c r="O12" s="52"/>
    </row>
    <row r="13" spans="1:26" x14ac:dyDescent="0.2">
      <c r="A13" s="38">
        <v>3</v>
      </c>
      <c r="B13" s="34"/>
      <c r="C13" s="42" t="s">
        <v>75</v>
      </c>
      <c r="D13" s="43">
        <f>MEH!E10+MEH!E11+MEH!E12+MEH!E19+MEH!E23+MEH!E16+'NSS1'!E10+'NSS1'!E11+'NSS1'!E12+'NSS1'!E16+'NSS1'!E19+'NSS1'!E23+'NSS2'!E10+'NSS2'!E11+'NSS2'!E12+'NSS2'!E16+'NSS2'!E19+'NSS2'!E23</f>
        <v>0</v>
      </c>
      <c r="E13" s="44">
        <f>MEH!D9+MEH!D10+MEH!D11+MEH!D12+MEH!D19+MEH!D23+MEH!D16+'NSS1'!D10+'NSS1'!D11+'NSS1'!D12+'NSS1'!D16+'NSS1'!D19+'NSS1'!D23+'NSS2'!D10+'NSS2'!D11+'NSS2'!D12+'NSS2'!D16+'NSS2'!D19+'NSS2'!D23+'NSS1'!D9+'NSS2'!D9</f>
        <v>0</v>
      </c>
      <c r="F13" s="50"/>
      <c r="G13" s="50"/>
      <c r="H13" s="96"/>
      <c r="I13" s="96"/>
      <c r="J13" s="50"/>
      <c r="K13" s="50"/>
      <c r="L13" s="50"/>
      <c r="M13" s="50"/>
      <c r="N13" s="52"/>
      <c r="O13" s="52"/>
    </row>
    <row r="14" spans="1:26" x14ac:dyDescent="0.2">
      <c r="A14" s="38">
        <v>4</v>
      </c>
      <c r="B14" s="34"/>
      <c r="C14" s="42" t="s">
        <v>76</v>
      </c>
      <c r="D14" s="43">
        <f>SUMIF(MEH!$A$1:$F$68,'[1]OA Flash '!$A14,MEH!$E$1:$E$68)+SUMIF(MEH!$H$1:$M$67,'[1]OA Flash '!$A14,MEH!$L$1:$L$67)+SUMIF(Other!$A$1:$E$21,'[1]OA Flash '!$A14,Other!$D$1:$D$21)+SUMIF('Total Financial'!$A$1:$D$73,'[1]OA Flash '!$A14,'Total Financial'!$C$1:$C$73)+SUMIF('NSS1'!$A$1:$F$68,'[1]OA Flash '!$A14,'NSS1'!$E$1:$E$68)+SUMIF('NSS1'!$H$1:$M$67,'[1]OA Flash '!$A14,'NSS1'!$L$1:$L$67)+SUMIF('NSS1'!$A$1:$F$68,'[1]OA Flash '!$A14,'NSS2'!$E$1:$E$68)+SUMIF('NSS2'!$H$1:$M$67,'[1]OA Flash '!$A14,'NSS2'!$L$1:$L$67)</f>
        <v>0</v>
      </c>
      <c r="E14" s="44">
        <f>SUMIF(MEH!$A$1:$F$68,'[1]OA Flash '!$A14,MEH!$D$1:$D$68)+SUMIF(MEH!$H$1:$M$67,'[1]OA Flash '!$A14,MEH!$K$1:$K$67)+SUMIF(Other!$A$1:$E$21,'[1]OA Flash '!$A14,Other!$E$1:$E$21)+SUMIF('Total Financial'!$A$1:$D$73,'[1]OA Flash '!$A14,'Total Financial'!$D$1:$D$73)+SUMIF('NSS1'!$A$1:$F$68,'[1]OA Flash '!$A14,'NSS1'!$D$1:$D$68)+SUMIF('NSS1'!$H$1:$M$67,'[1]OA Flash '!$A14,'NSS1'!$K$1:$K$67)+SUMIF('NSS2'!$A$1:$F$68,'[1]OA Flash '!$A14,'NSS2'!$D$1:$D$68)+SUMIF('NSS2'!$H$1:$M$67,'[1]OA Flash '!$A14,'NSS2'!$K$1:$K$67)</f>
        <v>0</v>
      </c>
      <c r="F14" s="50"/>
      <c r="G14" s="50"/>
      <c r="H14" s="96"/>
      <c r="I14" s="96"/>
      <c r="J14" s="50"/>
      <c r="K14" s="50"/>
      <c r="L14" s="50"/>
      <c r="M14" s="50"/>
      <c r="N14" s="52"/>
      <c r="O14" s="52"/>
    </row>
    <row r="15" spans="1:26" x14ac:dyDescent="0.2">
      <c r="A15" s="38">
        <v>5</v>
      </c>
      <c r="B15" s="34"/>
      <c r="C15" s="42" t="s">
        <v>77</v>
      </c>
      <c r="D15" s="43">
        <f>SUMIF(MEH!$A$1:$F$68,'[1]OA Flash '!$A15,MEH!$E$1:$E$68)+SUMIF(MEH!$H$1:$M$67,'[1]OA Flash '!$A15,MEH!$L$1:$L$67)+SUMIF(Other!$A$1:$E$21,'[1]OA Flash '!$A15,Other!$D$1:$D$21)+SUMIF('Total Financial'!$A$1:$D$73,'[1]OA Flash '!$A15,'Total Financial'!$C$1:$C$73)+SUMIF('NSS1'!$A$1:$F$68,'[1]OA Flash '!$A15,'NSS1'!$E$1:$E$68)+SUMIF('NSS1'!$H$1:$M$67,'[1]OA Flash '!$A15,'NSS1'!$L$1:$L$67)+SUMIF('NSS2'!$A$1:$F$68,'[1]OA Flash '!$A15,'NSS2'!$E$1:$E$68)+SUMIF('NSS2'!$H$1:$M$67,'[1]OA Flash '!$A15,'NSS2'!$L$1:$L$67)</f>
        <v>0</v>
      </c>
      <c r="E15" s="44">
        <f>SUMIF(MEH!$A$1:$F$68,'[1]OA Flash '!$A15,MEH!$D$1:$D$68)+SUMIF(MEH!$H$1:$M$67,'[1]OA Flash '!$A15,MEH!$K$1:$K$67)+SUMIF(Other!$A$1:$E$21,'[1]OA Flash '!$A15,Other!$E$1:$E$21)+SUMIF('Total Financial'!$A$1:$D$73,'[1]OA Flash '!$A15,'Total Financial'!$D$1:$D$73)+SUMIF('NSS1'!$A$1:$F$68,'[1]OA Flash '!$A15,'NSS1'!$D$1:$D$68)+SUMIF('NSS1'!$H$1:$M$67,'[1]OA Flash '!$A15,'NSS1'!$K$1:$K$67)+SUMIF('NSS2'!$A$1:$F$68,'[1]OA Flash '!$A15,'NSS2'!$D$1:$D$68)+SUMIF('NSS2'!$H$1:$M$67,'[1]OA Flash '!$A15,'NSS2'!$K$1:$K$67)</f>
        <v>0</v>
      </c>
      <c r="F15" s="50"/>
      <c r="G15" s="50"/>
      <c r="H15" s="96"/>
      <c r="I15" s="96"/>
      <c r="J15" s="50"/>
      <c r="K15" s="50"/>
      <c r="L15" s="50"/>
      <c r="M15" s="50"/>
      <c r="N15" s="52"/>
      <c r="O15" s="52"/>
    </row>
    <row r="16" spans="1:26" x14ac:dyDescent="0.2">
      <c r="A16" s="38"/>
      <c r="B16" s="34" t="s">
        <v>78</v>
      </c>
      <c r="C16" s="35"/>
      <c r="D16" s="45">
        <f>SUM(D11:D15)</f>
        <v>0</v>
      </c>
      <c r="E16" s="46">
        <f>SUM(E11:E15)</f>
        <v>0</v>
      </c>
      <c r="F16" s="50"/>
      <c r="G16" s="50"/>
      <c r="H16" s="50"/>
      <c r="I16" s="50"/>
      <c r="J16" s="50"/>
      <c r="K16" s="50"/>
      <c r="L16" s="50"/>
      <c r="M16" s="50"/>
      <c r="N16" s="52"/>
      <c r="O16" s="52"/>
    </row>
    <row r="17" spans="1:15" x14ac:dyDescent="0.2">
      <c r="A17" s="38"/>
      <c r="B17" s="34"/>
      <c r="C17" s="35"/>
      <c r="D17" s="43"/>
      <c r="E17" s="44"/>
      <c r="F17" s="50"/>
      <c r="G17" s="50"/>
      <c r="H17" s="50"/>
      <c r="I17" s="50"/>
      <c r="J17" s="50"/>
      <c r="K17" s="50"/>
      <c r="L17" s="50"/>
      <c r="M17" s="50"/>
      <c r="N17" s="52"/>
      <c r="O17" s="52"/>
    </row>
    <row r="18" spans="1:15" x14ac:dyDescent="0.2">
      <c r="A18" s="38"/>
      <c r="B18" s="39" t="s">
        <v>79</v>
      </c>
      <c r="C18" s="35"/>
      <c r="D18" s="43"/>
      <c r="E18" s="44"/>
      <c r="F18" s="50"/>
      <c r="G18" s="50"/>
      <c r="H18" s="50"/>
      <c r="I18" s="50"/>
      <c r="J18" s="50"/>
      <c r="K18" s="50"/>
      <c r="L18" s="50"/>
      <c r="M18" s="50"/>
      <c r="N18" s="52"/>
      <c r="O18" s="52"/>
    </row>
    <row r="19" spans="1:15" x14ac:dyDescent="0.2">
      <c r="A19" s="38">
        <v>6</v>
      </c>
      <c r="B19" s="34"/>
      <c r="C19" s="42" t="s">
        <v>73</v>
      </c>
      <c r="D19" s="43">
        <f>-MEH!L22-MEH!L5+-'NSS1'!L22-'NSS1'!L5+-'NSS2'!L22-'NSS2'!L5</f>
        <v>0</v>
      </c>
      <c r="E19" s="44">
        <f>-MEH!K22-MEH!K5+-'NSS1'!K22-'NSS1'!K5+-'NSS2'!K22-'NSS2'!K5</f>
        <v>0</v>
      </c>
      <c r="F19" s="50"/>
      <c r="G19" s="50"/>
      <c r="H19" s="97"/>
      <c r="I19" s="96"/>
      <c r="J19" s="50"/>
      <c r="K19" s="50"/>
      <c r="L19" s="50"/>
      <c r="M19" s="50"/>
      <c r="N19" s="52"/>
      <c r="O19" s="52"/>
    </row>
    <row r="20" spans="1:15" x14ac:dyDescent="0.2">
      <c r="A20" s="38">
        <v>7</v>
      </c>
      <c r="B20" s="34"/>
      <c r="C20" s="42" t="s">
        <v>74</v>
      </c>
      <c r="D20" s="43"/>
      <c r="E20" s="44"/>
      <c r="F20" s="50"/>
      <c r="G20" s="50"/>
      <c r="H20" s="50"/>
      <c r="I20" s="50"/>
      <c r="J20" s="50"/>
      <c r="K20" s="50"/>
      <c r="L20" s="50"/>
      <c r="M20" s="50"/>
      <c r="N20" s="52"/>
      <c r="O20" s="52"/>
    </row>
    <row r="21" spans="1:15" x14ac:dyDescent="0.2">
      <c r="A21" s="38">
        <v>8</v>
      </c>
      <c r="B21" s="34"/>
      <c r="C21" s="42" t="s">
        <v>75</v>
      </c>
      <c r="D21" s="43">
        <f>-MEH!L9-MEH!L10-MEH!L11-MEH!L12-MEH!L15-MEH!L18+-'NSS1'!L9-'NSS1'!L10-'NSS1'!L11-'NSS1'!L12-'NSS1'!L15-'NSS1'!L18+-'NSS2'!L9-'NSS2'!L10-'NSS2'!L11-'NSS2'!L12-'NSS2'!L15-'NSS2'!L18</f>
        <v>0</v>
      </c>
      <c r="E21" s="44">
        <f>-MEH!K9-MEH!K10-MEH!K11-MEH!K12-MEH!K15-MEH!K18+-'NSS1'!K9-'NSS1'!K10-'NSS1'!K11-'NSS1'!K12-'NSS1'!K15-'NSS1'!K18+-'NSS2'!K9-'NSS2'!K10-'NSS2'!K11-'NSS2'!K12-'NSS2'!K15-'NSS2'!K18</f>
        <v>0</v>
      </c>
      <c r="F21" s="50"/>
      <c r="G21" s="50"/>
      <c r="H21" s="96"/>
      <c r="I21" s="96"/>
      <c r="J21" s="50"/>
      <c r="K21" s="50"/>
      <c r="L21" s="50"/>
      <c r="M21" s="50"/>
      <c r="N21" s="52"/>
      <c r="O21" s="52"/>
    </row>
    <row r="22" spans="1:15" x14ac:dyDescent="0.2">
      <c r="A22" s="38">
        <v>9</v>
      </c>
      <c r="B22" s="34"/>
      <c r="C22" s="42" t="s">
        <v>76</v>
      </c>
      <c r="D22" s="43"/>
      <c r="E22" s="44"/>
      <c r="F22" s="50"/>
      <c r="G22" s="50"/>
      <c r="H22" s="50"/>
      <c r="I22" s="50"/>
      <c r="J22" s="50"/>
      <c r="K22" s="50"/>
      <c r="L22" s="50"/>
      <c r="M22" s="50"/>
      <c r="N22" s="52"/>
      <c r="O22" s="52"/>
    </row>
    <row r="23" spans="1:15" x14ac:dyDescent="0.2">
      <c r="A23" s="38">
        <v>10</v>
      </c>
      <c r="B23" s="34"/>
      <c r="C23" s="42" t="s">
        <v>80</v>
      </c>
      <c r="D23" s="294">
        <f>MEH!E21+'NSS1'!E21+'NSS2'!E21</f>
        <v>0</v>
      </c>
      <c r="E23" s="295">
        <f>MEH!D21+'NSS1'!D21+'NSS2'!D21</f>
        <v>0</v>
      </c>
      <c r="F23" s="50"/>
      <c r="G23" s="50"/>
      <c r="H23" s="96"/>
      <c r="I23" s="96"/>
      <c r="J23" s="50"/>
      <c r="K23" s="50"/>
      <c r="L23" s="50"/>
      <c r="M23" s="50"/>
      <c r="N23" s="52"/>
      <c r="O23" s="52"/>
    </row>
    <row r="24" spans="1:15" x14ac:dyDescent="0.2">
      <c r="A24" s="38"/>
      <c r="B24" s="34" t="s">
        <v>81</v>
      </c>
      <c r="C24" s="35"/>
      <c r="D24" s="45">
        <f>SUM(D19:D23)</f>
        <v>0</v>
      </c>
      <c r="E24" s="46">
        <f>SUM(E19:E23)</f>
        <v>0</v>
      </c>
      <c r="F24" s="50"/>
      <c r="G24" s="50"/>
      <c r="H24" s="50"/>
      <c r="I24" s="50"/>
      <c r="J24" s="50"/>
      <c r="K24" s="50"/>
      <c r="L24" s="50"/>
      <c r="M24" s="50"/>
      <c r="N24" s="52"/>
      <c r="O24" s="52"/>
    </row>
    <row r="25" spans="1:15" x14ac:dyDescent="0.2">
      <c r="A25" s="38"/>
      <c r="B25" s="34"/>
      <c r="C25" s="35"/>
      <c r="D25" s="43"/>
      <c r="E25" s="44"/>
      <c r="F25" s="50"/>
      <c r="G25" s="50"/>
      <c r="H25" s="50"/>
      <c r="I25" s="50"/>
      <c r="J25" s="50"/>
      <c r="K25" s="50"/>
      <c r="L25" s="50"/>
      <c r="M25" s="50"/>
      <c r="N25" s="52"/>
      <c r="O25" s="52"/>
    </row>
    <row r="26" spans="1:15" x14ac:dyDescent="0.2">
      <c r="A26" s="38"/>
      <c r="B26" s="47" t="s">
        <v>82</v>
      </c>
      <c r="C26" s="35"/>
      <c r="D26" s="43"/>
      <c r="E26" s="44"/>
      <c r="F26" s="50"/>
      <c r="G26" s="50"/>
      <c r="H26" s="50"/>
      <c r="I26" s="50"/>
      <c r="J26" s="50"/>
      <c r="K26" s="50"/>
      <c r="L26" s="50"/>
      <c r="M26" s="50"/>
      <c r="N26" s="52"/>
      <c r="O26" s="52"/>
    </row>
    <row r="27" spans="1:15" x14ac:dyDescent="0.2">
      <c r="A27" s="38">
        <v>11</v>
      </c>
      <c r="B27" s="34"/>
      <c r="C27" s="42" t="s">
        <v>83</v>
      </c>
      <c r="D27" s="43"/>
      <c r="E27" s="44"/>
      <c r="F27" s="50"/>
      <c r="G27" s="50"/>
      <c r="H27" s="50"/>
      <c r="I27" s="50"/>
      <c r="J27" s="50"/>
      <c r="K27" s="50"/>
      <c r="L27" s="50"/>
      <c r="M27" s="50"/>
      <c r="N27" s="52"/>
      <c r="O27" s="52"/>
    </row>
    <row r="28" spans="1:15" x14ac:dyDescent="0.2">
      <c r="A28" s="38">
        <v>12</v>
      </c>
      <c r="B28" s="34"/>
      <c r="C28" s="42" t="s">
        <v>84</v>
      </c>
      <c r="D28" s="43"/>
      <c r="E28" s="44"/>
      <c r="F28" s="50"/>
      <c r="G28" s="50"/>
      <c r="H28" s="50"/>
      <c r="I28" s="50"/>
      <c r="J28" s="50"/>
      <c r="K28" s="50"/>
      <c r="L28" s="50"/>
      <c r="M28" s="50"/>
      <c r="N28" s="52"/>
      <c r="O28" s="52"/>
    </row>
    <row r="29" spans="1:15" x14ac:dyDescent="0.2">
      <c r="A29" s="38"/>
      <c r="B29" s="34" t="s">
        <v>85</v>
      </c>
      <c r="C29" s="35"/>
      <c r="D29" s="45">
        <f>SUM(D27:D28)</f>
        <v>0</v>
      </c>
      <c r="E29" s="46">
        <f>SUM(E27:E28)</f>
        <v>0</v>
      </c>
      <c r="F29" s="50"/>
      <c r="G29" s="50"/>
      <c r="H29" s="50"/>
      <c r="I29" s="50"/>
      <c r="J29" s="50"/>
      <c r="K29" s="50"/>
      <c r="L29" s="50"/>
      <c r="M29" s="50"/>
      <c r="N29" s="52"/>
      <c r="O29" s="52"/>
    </row>
    <row r="30" spans="1:15" x14ac:dyDescent="0.2">
      <c r="A30" s="38"/>
      <c r="B30" s="34"/>
      <c r="C30" s="35"/>
      <c r="D30" s="43"/>
      <c r="E30" s="44"/>
      <c r="F30" s="50"/>
      <c r="G30" s="50"/>
      <c r="H30" s="50"/>
      <c r="I30" s="50"/>
      <c r="J30" s="50"/>
      <c r="K30" s="50"/>
      <c r="L30" s="50"/>
      <c r="M30" s="50"/>
      <c r="N30" s="52"/>
      <c r="O30" s="52"/>
    </row>
    <row r="31" spans="1:15" x14ac:dyDescent="0.2">
      <c r="A31" s="38"/>
      <c r="B31" s="39" t="s">
        <v>86</v>
      </c>
      <c r="C31" s="35"/>
      <c r="D31" s="43"/>
      <c r="E31" s="44"/>
      <c r="F31" s="50"/>
      <c r="G31" s="50"/>
      <c r="H31" s="50"/>
      <c r="I31" s="50"/>
      <c r="J31" s="50"/>
      <c r="K31" s="50"/>
      <c r="L31" s="50"/>
      <c r="M31" s="50"/>
      <c r="N31" s="52"/>
      <c r="O31" s="52"/>
    </row>
    <row r="32" spans="1:15" x14ac:dyDescent="0.2">
      <c r="A32" s="38">
        <v>13</v>
      </c>
      <c r="B32" s="34"/>
      <c r="C32" s="42" t="s">
        <v>87</v>
      </c>
      <c r="D32" s="43">
        <f>+MEH!E22-MEH!L21+'NSS1'!E22-'NSS1'!L21+'NSS2'!E22-'NSS2'!L21</f>
        <v>0</v>
      </c>
      <c r="E32" s="44">
        <f>+MEH!D22-MEH!K21+'NSS1'!D22-'NSS1'!K21+'NSS2'!D22-'NSS2'!K21</f>
        <v>0</v>
      </c>
      <c r="F32" s="50"/>
      <c r="G32" s="50"/>
      <c r="H32" s="96"/>
      <c r="I32" s="96"/>
      <c r="J32" s="50"/>
      <c r="K32" s="50"/>
      <c r="L32" s="50"/>
      <c r="M32" s="50"/>
      <c r="N32" s="52"/>
      <c r="O32" s="52"/>
    </row>
    <row r="33" spans="1:15" x14ac:dyDescent="0.2">
      <c r="A33" s="38">
        <v>14</v>
      </c>
      <c r="B33" s="34"/>
      <c r="C33" s="42" t="s">
        <v>88</v>
      </c>
      <c r="D33" s="43">
        <f>(SUMIF(MEH!$A$1:$F$68,'[1]OA Flash '!$A33,MEH!$E$1:$E$68))+(SUMIF('NSS1'!$A$1:$F$68,'[1]OA Flash '!$A33,'NSS1'!$E$1:$E$68))+(SUMIF('NSS2'!$A$1:$F$68,'[1]OA Flash '!$A33,'NSS2'!$E$1:$E$68))</f>
        <v>0</v>
      </c>
      <c r="E33" s="44">
        <f>(SUMIF(MEH!$A$1:$F$68,'[1]OA Flash '!$A33,MEH!$D$1:$D$68))+(SUMIF('NSS1'!$A$1:$F$68,'[1]OA Flash '!$A33,'NSS1'!$D$1:$D$68))+(SUMIF('NSS2'!$A$1:$F$68,'[1]OA Flash '!$A33,'NSS2'!$D$1:$D$68))</f>
        <v>0</v>
      </c>
      <c r="F33" s="50"/>
      <c r="G33" s="50"/>
      <c r="H33" s="96"/>
      <c r="I33" s="96"/>
      <c r="J33" s="50"/>
      <c r="K33" s="50"/>
      <c r="L33" s="50"/>
      <c r="M33" s="50"/>
      <c r="N33" s="52"/>
      <c r="O33" s="52"/>
    </row>
    <row r="34" spans="1:15" x14ac:dyDescent="0.2">
      <c r="A34" s="38">
        <v>15</v>
      </c>
      <c r="B34" s="34"/>
      <c r="C34" s="42" t="s">
        <v>89</v>
      </c>
      <c r="D34" s="43">
        <f>SUMIF(MEH!$H$1:$M$67,'[1]OA Flash '!$A34,MEH!$L$1:$L$67)+SUMIF('NSS1'!$H$1:$M$67,'[1]OA Flash '!$A34,'NSS1'!$L$1:$L$67)+SUMIF('NSS2'!$H$1:$M$67,'[1]OA Flash '!$A34,'NSS2'!$L$1:$L$67)</f>
        <v>0</v>
      </c>
      <c r="E34" s="44">
        <f>SUMIF(MEH!$H$1:$M$67,'[1]OA Flash '!$A34,MEH!$K$1:$K$67)+SUMIF('NSS1'!$H$1:$M$67,'[1]OA Flash '!$A34,'NSS1'!$K$1:$K$67)+SUMIF('NSS2'!$H$1:$M$67,'[1]OA Flash '!$A34,'NSS2'!$K$1:$K$67)</f>
        <v>0</v>
      </c>
      <c r="F34" s="50"/>
      <c r="G34" s="50"/>
      <c r="H34" s="96"/>
      <c r="I34" s="96"/>
      <c r="J34" s="50"/>
      <c r="K34" s="50"/>
      <c r="L34" s="50"/>
      <c r="M34" s="50"/>
      <c r="N34" s="52"/>
      <c r="O34" s="52"/>
    </row>
    <row r="35" spans="1:15" x14ac:dyDescent="0.2">
      <c r="A35" s="38">
        <v>16</v>
      </c>
      <c r="B35" s="34"/>
      <c r="C35" s="42" t="s">
        <v>90</v>
      </c>
      <c r="D35" s="43">
        <f>(SUMIF(MEH!$A$1:$F$68,'[1]OA Flash '!$A35,MEH!$E$1:$E$68)+(SUMIF(MEH!$H$1:$M$67,'[1]OA Flash '!$A35,MEH!$L$1:$L$67)*-1))+(SUMIF('NSS1'!$A$1:$F$68,'[1]OA Flash '!$A35,'NSS1'!$E$1:$E$68)+(SUMIF('NSS1'!$H$1:$M$67,'[1]OA Flash '!$A35,'NSS1'!$L$1:$L$67)*-1))+(SUMIF('NSS2'!$A$1:$F$68,'[1]OA Flash '!$A35,'NSS2'!$E$1:$E$68)+(SUMIF('NSS2'!$H$1:$M$67,'[1]OA Flash '!$A35,'NSS2'!$L$1:$L$67)*-1))</f>
        <v>0</v>
      </c>
      <c r="E35" s="44">
        <f>(SUMIF(MEH!$A$1:$F$68,'[1]OA Flash '!$A35,MEH!$D$1:$D$68)+(SUMIF(MEH!$H$1:$M$67,'[1]OA Flash '!$A35,MEH!$K$1:$K$67)*-1))+(SUMIF('NSS1'!$A$1:$F$68,'[1]OA Flash '!$A35,'NSS1'!$D$1:$D$68)+(SUMIF('NSS1'!$H$1:$M$67,'[1]OA Flash '!$A35,'NSS1'!$K$1:$K$67)*-1))+(SUMIF('NSS2'!$A$1:$F$68,'[1]OA Flash '!$A35,'NSS2'!$D$1:$D$68)+(SUMIF('NSS2'!$H$1:$M$67,'[1]OA Flash '!$A35,'NSS2'!$K$1:$K$67)*-1))</f>
        <v>0</v>
      </c>
      <c r="F35" s="50"/>
      <c r="G35" s="50"/>
      <c r="H35" s="96"/>
      <c r="I35" s="96"/>
      <c r="J35" s="50"/>
      <c r="K35" s="50"/>
      <c r="L35" s="50"/>
      <c r="M35" s="50"/>
      <c r="N35" s="52"/>
      <c r="O35" s="52"/>
    </row>
    <row r="36" spans="1:15" x14ac:dyDescent="0.2">
      <c r="A36" s="38"/>
      <c r="B36" s="34" t="s">
        <v>91</v>
      </c>
      <c r="C36" s="35"/>
      <c r="D36" s="45">
        <f>SUM(D32:D35)</f>
        <v>0</v>
      </c>
      <c r="E36" s="46">
        <f>SUM(E32:E35)</f>
        <v>0</v>
      </c>
      <c r="F36" s="50"/>
      <c r="G36" s="50"/>
      <c r="H36" s="50"/>
      <c r="I36" s="50"/>
      <c r="J36" s="50"/>
      <c r="K36" s="50"/>
      <c r="L36" s="50"/>
      <c r="M36" s="50"/>
      <c r="N36" s="52"/>
      <c r="O36" s="52"/>
    </row>
    <row r="37" spans="1:15" x14ac:dyDescent="0.2">
      <c r="A37" s="38"/>
      <c r="B37" s="34"/>
      <c r="C37" s="35"/>
      <c r="D37" s="43"/>
      <c r="E37" s="44"/>
      <c r="F37" s="50"/>
      <c r="G37" s="50"/>
      <c r="H37" s="50"/>
      <c r="I37" s="50"/>
      <c r="J37" s="50"/>
      <c r="K37" s="50"/>
      <c r="L37" s="50"/>
      <c r="M37" s="50"/>
      <c r="N37" s="52"/>
      <c r="O37" s="52"/>
    </row>
    <row r="38" spans="1:15" x14ac:dyDescent="0.2">
      <c r="A38" s="38"/>
      <c r="B38" s="39" t="s">
        <v>92</v>
      </c>
      <c r="C38" s="35"/>
      <c r="D38" s="43"/>
      <c r="E38" s="44"/>
      <c r="F38" s="50"/>
      <c r="G38" s="50"/>
      <c r="H38" s="50"/>
      <c r="I38" s="50"/>
      <c r="J38" s="50"/>
      <c r="K38" s="50"/>
      <c r="L38" s="50"/>
      <c r="M38" s="50"/>
      <c r="N38" s="52"/>
      <c r="O38" s="52"/>
    </row>
    <row r="39" spans="1:15" x14ac:dyDescent="0.2">
      <c r="A39" s="38">
        <v>17</v>
      </c>
      <c r="B39" s="34"/>
      <c r="C39" s="42" t="s">
        <v>93</v>
      </c>
      <c r="D39" s="43">
        <f>SUMIF(MEH!$A$1:$F$68,'[1]OA Flash '!$A39,MEH!$E$1:$E$68)+SUMIF(MEH!$H$1:$M$67,'[1]OA Flash '!$A39,MEH!$L$1:$L$67)+SUMIF(Other!$A$1:$E$21,'[1]OA Flash '!$A39,Other!$D$1:$D$21)+SUMIF('Total Financial'!$A$1:$D$73,'[1]OA Flash '!$A39,'Total Financial'!$C$1:$C$73)+SUMIF('NSS1'!$A$1:$F$68,'[1]OA Flash '!$A39,'NSS1'!$E$1:$E$68)+SUMIF('NSS1'!$H$1:$M$67,'[1]OA Flash '!$A39,'NSS1'!$L$1:$L$67)+SUMIF('NSS2'!$A$1:$F$68,'[1]OA Flash '!$A39,'NSS2'!$E$1:$E$68)+SUMIF('NSS2'!$H$1:$M$67,'[1]OA Flash '!$A39,'NSS2'!$L$1:$L$67)</f>
        <v>0</v>
      </c>
      <c r="E39" s="44">
        <f>SUMIF(MEH!$A$1:$F$68,'[1]OA Flash '!$A39,MEH!$D$1:$D$68)+SUMIF(MEH!$H$1:$M$67,'[1]OA Flash '!$A39,MEH!$K$1:$K$67)+SUMIF(Other!$A$1:$E$21,'[1]OA Flash '!$A39,Other!$E$1:$E$21)+SUMIF('Total Financial'!$A$1:$D$73,'[1]OA Flash '!$A39,'Total Financial'!$D$1:$D$73)+SUMIF('NSS1'!$A$1:$F$68,'[1]OA Flash '!$A39,'NSS1'!$D$1:$D$68)+SUMIF('NSS1'!$H$1:$M$67,'[1]OA Flash '!$A39,'NSS1'!$K$1:$K$67)+SUMIF('NSS2'!$A$1:$F$68,'[1]OA Flash '!$A39,'NSS2'!$D$1:$D$68)+SUMIF('NSS2'!$H$1:$M$67,'[1]OA Flash '!$A39,'NSS2'!$K$1:$K$67)</f>
        <v>0</v>
      </c>
      <c r="F39" s="50"/>
      <c r="G39" s="50"/>
      <c r="H39" s="96"/>
      <c r="I39" s="96"/>
      <c r="J39" s="50"/>
      <c r="K39" s="50"/>
      <c r="L39" s="50"/>
      <c r="M39" s="50"/>
      <c r="N39" s="52"/>
      <c r="O39" s="52"/>
    </row>
    <row r="40" spans="1:15" ht="22.5" customHeight="1" x14ac:dyDescent="0.2">
      <c r="A40" s="38">
        <v>18</v>
      </c>
      <c r="B40" s="34"/>
      <c r="C40" s="42" t="s">
        <v>94</v>
      </c>
      <c r="D40" s="43">
        <f>(SUMIF(MEH!$A$1:$F$68,'[1]OA Flash '!$A40,MEH!$E$1:$E$68)+SUMIF(MEH!$H$1:$M$67,'[1]OA Flash '!$A40,MEH!$L$1:$L$67)+SUMIF(Other!$A$1:$E$21,'[1]OA Flash '!$A40,Other!$E$1:$E$21)+SUMIF('Total Financial'!$A$1:$D$73,'[1]OA Flash '!$A40,'Total Financial'!$D$1:$D$73)+SUMIF('NSS1'!$A$1:$F$68,'[1]OA Flash '!$A40,'NSS1'!$E$1:$E$68)+SUMIF('NSS1'!$H$1:$M$67,'[1]OA Flash '!$A40,'NSS1'!$L$1:$L$67)+SUMIF('NSS2'!$A$1:$F$68,'[1]OA Flash '!$A40,'NSS2'!$E$1:$E$68)+SUMIF('NSS2'!$H$1:$M$67,'[1]OA Flash '!$A40,'NSS2'!$L$1:$L$67))*-1</f>
        <v>0</v>
      </c>
      <c r="E40" s="44">
        <f>(SUMIF(MEH!$A$1:$F$68,'[1]OA Flash '!$A40,MEH!$D$1:$D$68)+SUMIF(MEH!$H$1:$M$67,'[1]OA Flash '!$A40,MEH!$K$1:$K$67)+SUMIF(Other!$A$1:$E$21,'[1]OA Flash '!$A40,Other!$E$1:$E$21)+SUMIF('Total Financial'!$A$1:$D$73,'[1]OA Flash '!$A40,'Total Financial'!$D$1:$D$73)+SUMIF('NSS1'!$A$1:$F$68,'[1]OA Flash '!$A40,'NSS1'!$D$1:$D$68)+SUMIF('NSS1'!$H$1:$M$67,'[1]OA Flash '!$A40,'NSS1'!$K$1:$K$67)+SUMIF('NSS2'!$A$1:$F$68,'[1]OA Flash '!$A40,'NSS2'!$D$1:$D$68)+SUMIF('NSS2'!$H$1:$M$67,'[1]OA Flash '!$A40,'NSS2'!$K$1:$K$67))*-1</f>
        <v>0</v>
      </c>
      <c r="F40" s="50"/>
      <c r="G40" s="50"/>
      <c r="H40" s="96"/>
      <c r="I40" s="96"/>
      <c r="J40" s="50"/>
      <c r="K40" s="50"/>
      <c r="L40" s="50"/>
      <c r="M40" s="50"/>
      <c r="N40" s="52"/>
      <c r="O40" s="52"/>
    </row>
    <row r="41" spans="1:15" x14ac:dyDescent="0.2">
      <c r="A41" s="38">
        <v>19</v>
      </c>
      <c r="B41" s="34"/>
      <c r="C41" s="42" t="s">
        <v>95</v>
      </c>
      <c r="D41" s="43">
        <f>SUMIF(MEH!$A$1:$F$68,'[1]OA Flash '!$A41,MEH!$E$1:$E$68)+SUMIF(MEH!$H$1:$M$67,'[1]OA Flash '!$A41,MEH!$L$1:$L$67)+SUMIF(Other!$A$1:$E$21,'[1]OA Flash '!$A41,Other!$D$1:$D$21)+SUMIF('Total Financial'!$A$1:$D$73,'[1]OA Flash '!$A41,'Total Financial'!$C$1:$C$73)+SUMIF('NSS1'!$A$1:$F$68,'[1]OA Flash '!$A41,'NSS1'!$E$1:$E$68)+SUMIF('NSS1'!$H$1:$M$67,'[1]OA Flash '!$A41,'NSS1'!$L$1:$L$67)+SUMIF('NSS2'!$A$1:$F$68,'[1]OA Flash '!$A41,'NSS2'!$E$1:$E$68)+SUMIF('NSS2'!$H$1:$M$67,'[1]OA Flash '!$A41,'NSS2'!$L$1:$L$67)</f>
        <v>0</v>
      </c>
      <c r="E41" s="44">
        <f>SUMIF(MEH!$A$1:$F$68,'[1]OA Flash '!$A41,MEH!$D$1:$D$68)+SUMIF(MEH!$H$1:$M$67,'[1]OA Flash '!$A41,MEH!$K$1:$K$67)+SUMIF(Other!$A$1:$E$21,'[1]OA Flash '!$A41,Other!$E$1:$E$21)+SUMIF('Total Financial'!$A$1:$D$73,'[1]OA Flash '!$A41,'Total Financial'!$D$1:$D$73)+SUMIF('NSS1'!$A$1:$F$68,'[1]OA Flash '!$A41,'NSS1'!$D$1:$D$68)+SUMIF('NSS1'!$H$1:$M$67,'[1]OA Flash '!$A41,'NSS1'!$K$1:$K$67)+SUMIF('NSS2'!$A$1:$F$68,'[1]OA Flash '!$A41,'NSS2'!$D$1:$D$68)+SUMIF('NSS2'!$H$1:$M$67,'[1]OA Flash '!$A41,'NSS2'!$K$1:$K$67)</f>
        <v>0</v>
      </c>
      <c r="F41" s="50"/>
      <c r="G41" s="50"/>
      <c r="H41" s="96"/>
      <c r="I41" s="96"/>
      <c r="J41" s="50"/>
      <c r="K41" s="50"/>
      <c r="L41" s="50"/>
      <c r="M41" s="50"/>
      <c r="N41" s="52"/>
      <c r="O41" s="52"/>
    </row>
    <row r="42" spans="1:15" x14ac:dyDescent="0.2">
      <c r="A42" s="38"/>
      <c r="B42" s="34"/>
      <c r="C42" s="49" t="s">
        <v>96</v>
      </c>
      <c r="D42" s="45">
        <f>SUM(D40:D41)</f>
        <v>0</v>
      </c>
      <c r="E42" s="46">
        <f>SUM(E40:E41)</f>
        <v>0</v>
      </c>
      <c r="F42" s="50"/>
      <c r="G42" s="50"/>
      <c r="H42" s="50"/>
      <c r="I42" s="50"/>
      <c r="J42" s="50"/>
      <c r="K42" s="50"/>
      <c r="L42" s="50"/>
      <c r="M42" s="50"/>
      <c r="N42" s="52"/>
      <c r="O42" s="52"/>
    </row>
    <row r="43" spans="1:15" ht="21" customHeight="1" x14ac:dyDescent="0.2">
      <c r="A43" s="38"/>
      <c r="B43" s="34" t="s">
        <v>97</v>
      </c>
      <c r="C43" s="35"/>
      <c r="D43" s="45">
        <f>D42+D39</f>
        <v>0</v>
      </c>
      <c r="E43" s="46">
        <f>E42+E39</f>
        <v>0</v>
      </c>
      <c r="F43" s="50"/>
      <c r="G43" s="50"/>
      <c r="H43" s="50"/>
      <c r="I43" s="50"/>
      <c r="J43" s="50"/>
      <c r="K43" s="50"/>
      <c r="L43" s="50"/>
      <c r="M43" s="50"/>
      <c r="N43" s="52"/>
      <c r="O43" s="52"/>
    </row>
    <row r="44" spans="1:15" x14ac:dyDescent="0.2">
      <c r="A44" s="38"/>
      <c r="B44" s="34"/>
      <c r="C44" s="35"/>
      <c r="D44" s="43"/>
      <c r="E44" s="44"/>
      <c r="F44" s="50"/>
      <c r="G44" s="50"/>
      <c r="H44" s="50"/>
      <c r="I44" s="50"/>
      <c r="J44" s="50"/>
      <c r="K44" s="50"/>
      <c r="L44" s="50"/>
      <c r="M44" s="50"/>
      <c r="N44" s="52"/>
      <c r="O44" s="52"/>
    </row>
    <row r="45" spans="1:15" ht="11.25" customHeight="1" x14ac:dyDescent="0.2">
      <c r="A45" s="38">
        <v>20</v>
      </c>
      <c r="B45" s="39" t="s">
        <v>98</v>
      </c>
      <c r="C45" s="35"/>
      <c r="D45" s="43">
        <f>SUMIF(MEH!$A$1:$F$68,'[1]OA Flash '!$A45,MEH!$E$1:$E$68)+SUMIF(MEH!$H$1:$M$67,'[1]OA Flash '!$A45,MEH!$L$1:$L$67)+SUMIF(Other!$A$1:$E$21,'[1]OA Flash '!$A45,Other!$D$1:$D$21)+SUMIF('Total Financial'!$A$1:$D$73,'[1]OA Flash '!$A45,'Total Financial'!$C$1:$C$73)+SUMIF('NSS1'!$A$1:$F$68,'[1]OA Flash '!$A45,'NSS1'!$E$1:$E$68)+SUMIF('NSS1'!$H$1:$M$67,'[1]OA Flash '!$A45,'NSS1'!$L$1:$L$67)+SUMIF('NSS2'!$A$1:$F$68,'[1]OA Flash '!$A45,'NSS2'!$E$1:$E$68)+SUMIF('NSS2'!$H$1:$M$67,'[1]OA Flash '!$A45,'NSS2'!$L$1:$L$67)</f>
        <v>0</v>
      </c>
      <c r="E45" s="44">
        <f>SUMIF(MEH!$A$1:$F$68,'[1]OA Flash '!$A45,MEH!$D$1:$D$68)+SUMIF(MEH!$H$1:$M$67,'[1]OA Flash '!$A45,MEH!$K$1:$K$67)+SUMIF(Other!$A$1:$E$21,'[1]OA Flash '!$A45,Other!$E$1:$E$21)+SUMIF('Total Financial'!$A$1:$D$73,'[1]OA Flash '!$A45,'Total Financial'!$D$1:$D$73)+SUMIF('NSS1'!$A$1:$F$68,'[1]OA Flash '!$A45,'NSS1'!$D$1:$D$68)+SUMIF('NSS1'!$H$1:$M$67,'[1]OA Flash '!$A45,'NSS1'!$K$1:$K$67)+SUMIF('NSS2'!$A$1:$F$68,'[1]OA Flash '!$A45,'NSS2'!$D$1:$D$68)+SUMIF('NSS2'!$H$1:$M$67,'[1]OA Flash '!$A45,'NSS2'!$K$1:$K$67)</f>
        <v>0</v>
      </c>
      <c r="F45" s="50"/>
      <c r="G45" s="50"/>
      <c r="H45" s="96"/>
      <c r="I45" s="96"/>
      <c r="J45" s="50"/>
      <c r="K45" s="50"/>
      <c r="L45" s="50"/>
      <c r="M45" s="50"/>
      <c r="N45" s="52"/>
      <c r="O45" s="52"/>
    </row>
    <row r="46" spans="1:15" x14ac:dyDescent="0.2">
      <c r="A46" s="38"/>
      <c r="B46" s="39"/>
      <c r="C46" s="35"/>
      <c r="D46" s="43"/>
      <c r="E46" s="44"/>
      <c r="F46" s="50"/>
      <c r="G46" s="50"/>
      <c r="H46" s="50"/>
      <c r="I46" s="50"/>
      <c r="J46" s="50"/>
      <c r="K46" s="50"/>
      <c r="L46" s="50"/>
      <c r="M46" s="50"/>
      <c r="N46" s="52"/>
      <c r="O46" s="52"/>
    </row>
    <row r="47" spans="1:15" x14ac:dyDescent="0.2">
      <c r="A47" s="38">
        <v>21</v>
      </c>
      <c r="B47" s="39" t="s">
        <v>99</v>
      </c>
      <c r="C47" s="35"/>
      <c r="D47" s="43">
        <f>SUMIF(MEH!$A$1:$F$68,'[1]OA Flash '!$A47,MEH!$E$1:$E$68)+SUMIF(MEH!$H$1:$M$67,'[1]OA Flash '!$A47,MEH!$L$1:$L$67)+SUMIF(Other!$A$1:$E$21,'[1]OA Flash '!$A47,Other!$D$1:$D$21)+SUMIF('Total Financial'!$A$1:$D$73,'[1]OA Flash '!$A47,'Total Financial'!$C$1:$C$73)+SUMIF('NSS1'!$A$1:$F$68,'[1]OA Flash '!$A47,'NSS1'!$E$1:$E$68)+SUMIF('NSS1'!$H$1:$M$67,'[1]OA Flash '!$A47,'NSS1'!$L$1:$L$67)+SUMIF('NSS2'!$A$1:$F$68,'[1]OA Flash '!$A47,'NSS2'!$E$1:$E$68)+SUMIF('NSS2'!$H$1:$M$67,'[1]OA Flash '!$A47,'NSS2'!$L$1:$L$67)</f>
        <v>0</v>
      </c>
      <c r="E47" s="44">
        <f>SUMIF(MEH!$A$1:$F$68,'[1]OA Flash '!$A47,MEH!$D$1:$D$68)+SUMIF(MEH!$H$1:$M$67,'[1]OA Flash '!$A47,MEH!$K$1:$K$67)+SUMIF(Other!$A$1:$E$21,'[1]OA Flash '!$A47,Other!$E$1:$E$21)+SUMIF('Total Financial'!$A$1:$D$73,'[1]OA Flash '!$A47,'Total Financial'!$D$1:$D$73)+SUMIF('NSS1'!$A$1:$F$68,'[1]OA Flash '!$A47,'NSS1'!$D$1:$D$68)+SUMIF('NSS1'!$H$1:$M$67,'[1]OA Flash '!$A47,'NSS1'!$K$1:$K$67)+SUMIF('NSS2'!$A$1:$F$68,'[1]OA Flash '!$A47,'NSS2'!$D$1:$D$68)+SUMIF('NSS2'!$H$1:$M$67,'[1]OA Flash '!$A47,'NSS2'!$K$1:$K$67)</f>
        <v>0</v>
      </c>
      <c r="F47" s="50"/>
      <c r="G47" s="50"/>
      <c r="H47" s="96"/>
      <c r="I47" s="96"/>
      <c r="J47" s="50"/>
      <c r="K47" s="50"/>
      <c r="L47" s="50"/>
      <c r="M47" s="50"/>
      <c r="N47" s="52"/>
      <c r="O47" s="52"/>
    </row>
    <row r="48" spans="1:15" x14ac:dyDescent="0.2">
      <c r="A48" s="38"/>
      <c r="B48" s="34"/>
      <c r="C48" s="35"/>
      <c r="D48" s="43"/>
      <c r="E48" s="44"/>
      <c r="F48" s="50"/>
      <c r="G48" s="50"/>
      <c r="H48" s="50"/>
      <c r="I48" s="50"/>
      <c r="J48" s="50"/>
      <c r="K48" s="50"/>
      <c r="L48" s="50"/>
      <c r="M48" s="50"/>
      <c r="N48" s="52"/>
      <c r="O48" s="52"/>
    </row>
    <row r="49" spans="1:15" x14ac:dyDescent="0.2">
      <c r="A49" s="38">
        <v>22</v>
      </c>
      <c r="B49" s="39" t="s">
        <v>100</v>
      </c>
      <c r="C49" s="35"/>
      <c r="D49" s="43">
        <f>+'ENRON MIDWEST P&amp;L'!G23</f>
        <v>19168</v>
      </c>
      <c r="E49" s="44">
        <f>+'ENRON MIDWEST P&amp;L'!E23</f>
        <v>86256</v>
      </c>
      <c r="F49" s="50"/>
      <c r="G49" s="50"/>
      <c r="H49" s="96"/>
      <c r="I49" s="96"/>
      <c r="J49" s="50"/>
      <c r="K49" s="50"/>
      <c r="L49" s="50"/>
      <c r="M49" s="50"/>
      <c r="N49" s="52"/>
      <c r="O49" s="52"/>
    </row>
    <row r="50" spans="1:15" x14ac:dyDescent="0.2">
      <c r="A50" s="38"/>
      <c r="B50" s="34"/>
      <c r="C50" s="35"/>
      <c r="D50" s="43"/>
      <c r="E50" s="44"/>
      <c r="F50" s="50"/>
      <c r="G50" s="50"/>
      <c r="H50" s="50"/>
      <c r="I50" s="50"/>
      <c r="J50" s="50"/>
      <c r="K50" s="50"/>
      <c r="L50" s="50"/>
      <c r="M50" s="50"/>
      <c r="N50" s="52"/>
      <c r="O50" s="52"/>
    </row>
    <row r="51" spans="1:15" x14ac:dyDescent="0.2">
      <c r="A51" s="38">
        <v>23</v>
      </c>
      <c r="B51" s="39" t="s">
        <v>101</v>
      </c>
      <c r="C51" s="35"/>
      <c r="D51" s="43">
        <f>-D23</f>
        <v>0</v>
      </c>
      <c r="E51" s="44">
        <f>-E23</f>
        <v>0</v>
      </c>
      <c r="F51" s="50"/>
      <c r="G51" s="50"/>
      <c r="H51" s="50"/>
      <c r="I51" s="50"/>
      <c r="J51" s="50"/>
      <c r="K51" s="50"/>
      <c r="L51" s="50"/>
      <c r="M51" s="50"/>
      <c r="N51" s="52"/>
      <c r="O51" s="52"/>
    </row>
    <row r="52" spans="1:15" x14ac:dyDescent="0.2">
      <c r="A52" s="38"/>
      <c r="B52" s="34"/>
      <c r="C52" s="35"/>
      <c r="D52" s="43"/>
      <c r="E52" s="44"/>
      <c r="F52" s="50"/>
      <c r="G52" s="50"/>
      <c r="H52" s="50"/>
      <c r="I52" s="50"/>
      <c r="J52" s="50"/>
      <c r="K52" s="50"/>
      <c r="L52" s="50"/>
      <c r="M52" s="50"/>
      <c r="N52" s="52"/>
      <c r="O52" s="52"/>
    </row>
    <row r="53" spans="1:15" x14ac:dyDescent="0.2">
      <c r="A53" s="38"/>
      <c r="B53" s="39" t="s">
        <v>102</v>
      </c>
      <c r="C53" s="35"/>
      <c r="D53" s="43"/>
      <c r="E53" s="44"/>
      <c r="F53" s="50"/>
      <c r="G53" s="50"/>
      <c r="H53" s="50"/>
      <c r="I53" s="50"/>
      <c r="J53" s="50"/>
      <c r="K53" s="50"/>
      <c r="L53" s="50"/>
      <c r="M53" s="50"/>
      <c r="N53" s="52"/>
      <c r="O53" s="52"/>
    </row>
    <row r="54" spans="1:15" x14ac:dyDescent="0.2">
      <c r="A54" s="38">
        <v>24</v>
      </c>
      <c r="B54" s="34"/>
      <c r="C54" s="42" t="s">
        <v>103</v>
      </c>
      <c r="D54" s="43">
        <f>SUMIF(MEH!$A$1:$F$68,'[1]OA Flash '!$A54,MEH!$E$1:$E$68)+SUMIF(MEH!$H$1:$M$67,'[1]OA Flash '!$A54,MEH!$L$1:$L$67)+SUMIF(Other!$A$1:$E$21,'[1]OA Flash '!$A54,Other!$D$1:$D$21)+SUMIF('Total Financial'!$A$1:$D$73,'[1]OA Flash '!$A54,'Total Financial'!$C$1:$C$73)+SUMIF('NSS1'!$A$1:$F$68,'[1]OA Flash '!$A54,'NSS1'!$E$1:$E$68)+SUMIF('NSS1'!$H$1:$M$67,'[1]OA Flash '!$A54,'NSS1'!$L$1:$L$67)+SUMIF('NSS2'!$A$1:$F$68,'[1]OA Flash '!$A54,'NSS2'!$E$1:$E$68)+SUMIF('NSS2'!$H$1:$M$67,'[1]OA Flash '!$A54,'NSS2'!$L$1:$L$67)</f>
        <v>0</v>
      </c>
      <c r="E54" s="44">
        <f>+Other!E5+Other!E6+Other!E7-E51</f>
        <v>0</v>
      </c>
      <c r="F54" s="50"/>
      <c r="G54" s="50"/>
      <c r="H54" s="96"/>
      <c r="I54" s="96"/>
      <c r="J54" s="50"/>
      <c r="K54" s="50"/>
      <c r="L54" s="50"/>
      <c r="M54" s="50"/>
      <c r="N54" s="52"/>
      <c r="O54" s="52"/>
    </row>
    <row r="55" spans="1:15" x14ac:dyDescent="0.2">
      <c r="A55" s="38">
        <v>25</v>
      </c>
      <c r="B55" s="34"/>
      <c r="C55" s="42" t="s">
        <v>104</v>
      </c>
      <c r="D55" s="43">
        <f>SUMIF(MEH!$A$1:$F$68,'[1]OA Flash '!$A55,MEH!$E$1:$E$68)+SUMIF(MEH!$H$1:$M$67,'[1]OA Flash '!$A55,MEH!$L$1:$L$67)+SUMIF(Other!$A$1:$E$21,'[1]OA Flash '!$A55,Other!$D$1:$D$21)+SUMIF('Total Financial'!$A$1:$D$73,'[1]OA Flash '!$A55,'Total Financial'!$C$1:$C$73)+SUMIF('NSS1'!$A$1:$F$68,'[1]OA Flash '!$A55,'NSS1'!$E$1:$E$68)+SUMIF('NSS1'!$H$1:$M$67,'[1]OA Flash '!$A55,'NSS1'!$L$1:$L$67)+SUMIF('NSS2'!$A$1:$F$68,'[1]OA Flash '!$A55,'NSS2'!$E$1:$E$68)+SUMIF('NSS2'!$H$1:$M$67,'[1]OA Flash '!$A55,'NSS2'!$L$1:$L$67)</f>
        <v>0</v>
      </c>
      <c r="E55" s="44">
        <f>SUMIF(MEH!$A$1:$F$68,'[1]OA Flash '!$A55,MEH!$D$1:$D$68)+SUMIF(MEH!$H$1:$M$67,'[1]OA Flash '!$A55,MEH!$K$1:$K$67)+SUMIF(Other!$A$1:$E$21,'[1]OA Flash '!$A55,Other!$E$1:$E$21)+SUMIF('Total Financial'!$A$1:$D$73,'[1]OA Flash '!$A55,'Total Financial'!$D$1:$D$73)+SUMIF('NSS1'!$A$1:$F$68,'[1]OA Flash '!$A55,'NSS1'!$D$1:$D$68)+SUMIF('NSS1'!$H$1:$M$67,'[1]OA Flash '!$A55,'NSS1'!$K$1:$K$67)+SUMIF('NSS2'!$A$1:$F$68,'[1]OA Flash '!$A55,'NSS2'!$D$1:$D$68)+SUMIF('NSS2'!$H$1:$M$67,'[1]OA Flash '!$A55,'NSS2'!$K$1:$K$67)</f>
        <v>0</v>
      </c>
      <c r="F55" s="50"/>
      <c r="G55" s="50"/>
      <c r="H55" s="96"/>
      <c r="I55" s="96"/>
      <c r="J55" s="50"/>
      <c r="K55" s="50"/>
      <c r="L55" s="50"/>
      <c r="M55" s="50"/>
      <c r="N55" s="52"/>
      <c r="O55" s="52"/>
    </row>
    <row r="56" spans="1:15" x14ac:dyDescent="0.2">
      <c r="A56" s="38"/>
      <c r="B56" s="34" t="s">
        <v>105</v>
      </c>
      <c r="C56" s="35"/>
      <c r="D56" s="45">
        <f>SUM(D54:D55)</f>
        <v>0</v>
      </c>
      <c r="E56" s="46">
        <f>SUM(E54:E55)</f>
        <v>0</v>
      </c>
      <c r="F56" s="50"/>
      <c r="G56" s="50"/>
      <c r="H56" s="50"/>
      <c r="I56" s="50"/>
      <c r="J56" s="50"/>
      <c r="K56" s="50"/>
      <c r="L56" s="50"/>
      <c r="M56" s="50"/>
      <c r="N56" s="52"/>
      <c r="O56" s="52"/>
    </row>
    <row r="57" spans="1:15" x14ac:dyDescent="0.2">
      <c r="A57" s="38"/>
      <c r="B57" s="34"/>
      <c r="C57" s="35"/>
      <c r="D57" s="43"/>
      <c r="E57" s="44"/>
      <c r="F57" s="50"/>
      <c r="G57" s="50"/>
      <c r="H57" s="50"/>
      <c r="I57" s="50"/>
      <c r="J57" s="50"/>
      <c r="K57" s="50"/>
      <c r="L57" s="50"/>
      <c r="M57" s="50"/>
      <c r="N57" s="52"/>
      <c r="O57" s="52"/>
    </row>
    <row r="58" spans="1:15" x14ac:dyDescent="0.2">
      <c r="A58" s="38"/>
      <c r="B58" s="39" t="s">
        <v>106</v>
      </c>
      <c r="C58" s="35"/>
      <c r="D58" s="43"/>
      <c r="E58" s="44"/>
      <c r="F58" s="50"/>
      <c r="G58" s="50"/>
      <c r="H58" s="50"/>
      <c r="I58" s="50"/>
      <c r="J58" s="50"/>
      <c r="K58" s="50"/>
      <c r="L58" s="50"/>
      <c r="M58" s="50"/>
      <c r="N58" s="52"/>
      <c r="O58" s="52"/>
    </row>
    <row r="59" spans="1:15" x14ac:dyDescent="0.2">
      <c r="A59" s="38">
        <v>26</v>
      </c>
      <c r="B59" s="39"/>
      <c r="C59" s="42" t="s">
        <v>107</v>
      </c>
      <c r="D59" s="43">
        <f>SUMIF(MEH!$A$1:$F$68,'[1]OA Flash '!$A59,MEH!$E$1:$E$68)+SUMIF(MEH!$H$1:$M$67,'[1]OA Flash '!$A59,MEH!$L$1:$L$67)+SUMIF(Other!$A$1:$E$21,'[1]OA Flash '!$A59,Other!$D$1:$D$21)+SUMIF('Total Financial'!$A$1:$D$73,'[1]OA Flash '!$A59,'Total Financial'!$C$1:$C$73)+SUMIF('NSS1'!$A$1:$F$68,'[1]OA Flash '!$A59,'NSS1'!$E$1:$E$68)+SUMIF('NSS1'!$H$1:$M$67,'[1]OA Flash '!$A59,'NSS1'!$L$1:$L$67)+SUMIF('NSS2'!$A$1:$F$68,'[1]OA Flash '!$A59,'NSS2'!$E$1:$E$68)+SUMIF('NSS2'!$H$1:$M$67,'[1]OA Flash '!$A59,'NSS2'!$L$1:$L$67)</f>
        <v>0</v>
      </c>
      <c r="E59" s="44">
        <f>SUMIF(MEH!$A$1:$F$68,'[1]OA Flash '!$A59,MEH!$D$1:$D$68)+SUMIF(MEH!$H$1:$M$67,'[1]OA Flash '!$A59,MEH!$K$1:$K$67)+SUMIF(Other!$A$1:$E$21,'[1]OA Flash '!$A59,Other!$E$1:$E$21)+SUMIF('Total Financial'!$A$1:$D$73,'[1]OA Flash '!$A59,'Total Financial'!$D$1:$D$73)+SUMIF('NSS1'!$A$1:$F$68,'[1]OA Flash '!$A59,'NSS1'!$D$1:$D$68)+SUMIF('NSS1'!$H$1:$M$67,'[1]OA Flash '!$A59,'NSS1'!$K$1:$K$67)+SUMIF('NSS2'!$A$1:$F$68,'[1]OA Flash '!$A59,'NSS2'!$D$1:$D$68)+SUMIF('NSS2'!$H$1:$M$67,'[1]OA Flash '!$A59,'NSS2'!$K$1:$K$67)</f>
        <v>0</v>
      </c>
      <c r="F59" s="50"/>
      <c r="G59" s="50"/>
      <c r="H59" s="96"/>
      <c r="I59" s="96"/>
      <c r="J59" s="50"/>
      <c r="K59" s="50"/>
      <c r="L59" s="50"/>
      <c r="M59" s="50"/>
      <c r="N59" s="50"/>
      <c r="O59" s="50"/>
    </row>
    <row r="60" spans="1:15" x14ac:dyDescent="0.2">
      <c r="A60" s="38">
        <v>27</v>
      </c>
      <c r="B60" s="39"/>
      <c r="C60" s="42" t="s">
        <v>108</v>
      </c>
      <c r="D60" s="43">
        <f>SUMIF(MEH!$A$1:$F$68,'[1]OA Flash '!$A60,MEH!$E$1:$E$68)+SUMIF(MEH!$H$1:$M$67,'[1]OA Flash '!$A60,MEH!$L$1:$L$67)+SUMIF(Other!$A$1:$E$21,'[1]OA Flash '!$A60,Other!$D$1:$D$21)+SUMIF('Total Financial'!$A$1:$D$73,'[1]OA Flash '!$A60,'Total Financial'!$C$1:$C$73)+SUMIF('NSS1'!$A$1:$F$68,'[1]OA Flash '!$A60,'NSS1'!$E$1:$E$68)+SUMIF('NSS1'!$H$1:$M$67,'[1]OA Flash '!$A60,'NSS2'!$L$1:$L$67)+SUMIF('NSS2'!$A$1:$F$68,'[1]OA Flash '!$A60,'NSS2'!$E$1:$E$68)+SUMIF('NSS1'!$H$1:$M$67,'[1]OA Flash '!$A60,'NSS2'!$L$1:$L$67)</f>
        <v>0</v>
      </c>
      <c r="E60" s="44">
        <f>SUMIF(MEH!$A$1:$F$68,'[1]OA Flash '!$A60,MEH!$D$1:$D$68)+SUMIF(MEH!$H$1:$M$67,'[1]OA Flash '!$A60,MEH!$K$1:$K$67)+SUMIF(Other!$A$1:$E$21,'[1]OA Flash '!$A60,Other!$E$1:$E$21)+SUMIF('Total Financial'!$A$1:$D$73,'[1]OA Flash '!$A60,'Total Financial'!$D$1:$D$73)+SUMIF('NSS1'!$A$1:$F$68,'[1]OA Flash '!$A60,'NSS1'!$D$1:$D$68)+SUMIF('NSS1'!$H$1:$M$67,'[1]OA Flash '!$A60,'NSS1'!$K$1:$K$67)+SUMIF('NSS2'!$A$1:$F$68,'[1]OA Flash '!$A60,'NSS2'!$D$1:$D$68)+SUMIF('NSS2'!$H$1:$M$67,'[1]OA Flash '!$A60,'NSS2'!$K$1:$K$67)</f>
        <v>0</v>
      </c>
      <c r="F60" s="50"/>
      <c r="G60" s="50"/>
      <c r="H60" s="96"/>
      <c r="I60" s="96"/>
      <c r="J60" s="50"/>
      <c r="K60" s="50"/>
      <c r="L60" s="50"/>
      <c r="M60" s="50"/>
      <c r="N60" s="52"/>
      <c r="O60" s="52"/>
    </row>
    <row r="61" spans="1:15" x14ac:dyDescent="0.2">
      <c r="A61" s="38"/>
      <c r="B61" s="51" t="s">
        <v>109</v>
      </c>
      <c r="C61" s="35"/>
      <c r="D61" s="45">
        <f>SUM(D59:D60)</f>
        <v>0</v>
      </c>
      <c r="E61" s="46">
        <f>SUM(E59:E60)</f>
        <v>0</v>
      </c>
      <c r="F61" s="50"/>
      <c r="G61" s="50"/>
      <c r="H61" s="50"/>
      <c r="I61" s="50"/>
      <c r="J61" s="50"/>
      <c r="K61" s="50"/>
      <c r="L61" s="50"/>
      <c r="M61" s="50"/>
      <c r="N61" s="52"/>
      <c r="O61" s="52"/>
    </row>
    <row r="62" spans="1:15" x14ac:dyDescent="0.2">
      <c r="A62" s="38"/>
      <c r="B62" s="34"/>
      <c r="C62" s="35"/>
      <c r="D62" s="43"/>
      <c r="E62" s="44"/>
      <c r="F62" s="50"/>
      <c r="G62" s="50"/>
      <c r="H62" s="50"/>
      <c r="I62" s="50"/>
      <c r="J62" s="50"/>
      <c r="K62" s="50"/>
      <c r="L62" s="50"/>
      <c r="M62" s="50"/>
      <c r="N62" s="52"/>
      <c r="O62" s="52"/>
    </row>
    <row r="63" spans="1:15" x14ac:dyDescent="0.2">
      <c r="A63" s="38"/>
      <c r="B63" s="47" t="s">
        <v>82</v>
      </c>
      <c r="C63" s="35"/>
      <c r="D63" s="43"/>
      <c r="E63" s="44"/>
      <c r="F63" s="50"/>
      <c r="G63" s="50"/>
      <c r="H63" s="50"/>
      <c r="I63" s="50"/>
      <c r="J63" s="50"/>
      <c r="K63" s="50"/>
      <c r="L63" s="50"/>
      <c r="M63" s="50"/>
      <c r="N63" s="52"/>
      <c r="O63" s="52"/>
    </row>
    <row r="64" spans="1:15" x14ac:dyDescent="0.2">
      <c r="A64" s="38">
        <v>28</v>
      </c>
      <c r="B64" s="34"/>
      <c r="C64" s="42" t="s">
        <v>25</v>
      </c>
      <c r="D64" s="43">
        <f>SUMIF(MEH!$A$1:$F$68,'[1]OA Flash '!$A64,MEH!$E$1:$E$68)+SUMIF(MEH!$H$1:$M$67,'[1]OA Flash '!$A64,MEH!$L$1:$L$67)+SUMIF(Other!$A$1:$E$21,'[1]OA Flash '!$A64,Other!$D$1:$D$21)+SUMIF('Total Financial'!$A$1:$D$73,'[1]OA Flash '!$A64,'Total Financial'!$C$1:$C$73)+SUMIF('NSS1'!$A$1:$F$68,'[1]OA Flash '!$A64,'NSS1'!$E$1:$E$68)+SUMIF('NSS1'!$H$1:$M$67,'[1]OA Flash '!$A64,'NSS1'!$L$1:$L$67)+SUMIF('NSS2'!$A$1:$F$68,'[1]OA Flash '!$A64,'NSS2'!$E$1:$E$68)+SUMIF('NSS2'!$H$1:$M$67,'[1]OA Flash '!$A64,'NSS2'!$L$1:$L$67)</f>
        <v>0</v>
      </c>
      <c r="E64" s="44">
        <f>SUMIF(MEH!$A$1:$F$68,'[1]OA Flash '!$A64,MEH!$D$1:$D$68)+SUMIF(MEH!$H$1:$M$67,'[1]OA Flash '!$A64,MEH!$K$1:$K$67)+SUMIF(Other!$A$1:$E$21,'[1]OA Flash '!$A64,Other!$E$1:$E$21)+SUMIF('Total Financial'!$A$1:$D$73,'[1]OA Flash '!$A64,'Total Financial'!$D$1:$D$73)+SUMIF('NSS1'!$A$1:$F$68,'[1]OA Flash '!$A64,'NSS1'!$D$1:$D$68)+SUMIF('NSS1'!$H$1:$M$67,'[1]OA Flash '!$A64,'NSS1'!$K$1:$K$67)+SUMIF('NSS2'!$A$1:$F$68,'[1]OA Flash '!$A64,'NSS2'!$D$1:$D$68)+SUMIF('NSS2'!$H$1:$M$67,'[1]OA Flash '!$A64,'NSS2'!$K$1:$K$67)</f>
        <v>0</v>
      </c>
      <c r="F64" s="50"/>
      <c r="G64" s="50"/>
      <c r="H64" s="96"/>
      <c r="I64" s="96"/>
      <c r="J64" s="50"/>
      <c r="K64" s="50"/>
      <c r="L64" s="50"/>
      <c r="M64" s="50"/>
      <c r="N64" s="52"/>
      <c r="O64" s="52"/>
    </row>
    <row r="65" spans="1:15" x14ac:dyDescent="0.2">
      <c r="A65" s="38">
        <v>29</v>
      </c>
      <c r="B65" s="39"/>
      <c r="C65" s="42" t="s">
        <v>29</v>
      </c>
      <c r="D65" s="43">
        <f>SUMIF(MEH!$A$1:$F$68,'[1]OA Flash '!$A65,MEH!$E$1:$E$68)+SUMIF(MEH!$H$1:$M$67,'[1]OA Flash '!$A65,MEH!$L$1:$L$67)+SUMIF(Other!$A$1:$E$21,'[1]OA Flash '!$A65,Other!$D$1:$D$21)+SUMIF('Total Financial'!$A$1:$D$73,'[1]OA Flash '!$A65,'Total Financial'!$C$1:$C$73)+SUMIF('NSS1'!$A$1:$F$68,'[1]OA Flash '!$A65,'NSS1'!$E$1:$E$68)+SUMIF('NSS1'!$H$1:$M$67,'[1]OA Flash '!$A65,'NSS1'!$L$1:$L$67)+SUMIF('NSS2'!$A$1:$F$68,'[1]OA Flash '!$A65,'NSS2'!$E$1:$E$68)+SUMIF('NSS2'!$H$1:$M$67,'[1]OA Flash '!$A65,'NSS2'!$L$1:$L$67)</f>
        <v>0</v>
      </c>
      <c r="E65" s="44">
        <f>SUMIF(MEH!$A$1:$F$68,'[1]OA Flash '!$A65,MEH!$D$1:$D$68)+SUMIF(MEH!$H$1:$M$67,'[1]OA Flash '!$A65,MEH!$K$1:$K$67)+SUMIF(Other!$A$1:$E$21,'[1]OA Flash '!$A65,Other!$E$1:$E$21)+SUMIF('Total Financial'!$A$1:$D$73,'[1]OA Flash '!$A65,'Total Financial'!$D$1:$D$73)+SUMIF('NSS1'!$A$1:$F$68,'[1]OA Flash '!$A65,'NSS1'!$D$1:$D$68)+SUMIF('NSS1'!$H$1:$M$67,'[1]OA Flash '!$A65,'NSS1'!$K$1:$K$67)+SUMIF('NSS2'!$A$1:$F$68,'[1]OA Flash '!$A65,'NSS2'!$D$1:$D$68)+SUMIF('NSS2'!$H$1:$M$67,'[1]OA Flash '!$A65,'NSS2'!$K$1:$K$67)</f>
        <v>0</v>
      </c>
      <c r="F65" s="50"/>
      <c r="G65" s="50"/>
      <c r="H65" s="96"/>
      <c r="I65" s="96"/>
      <c r="J65" s="50"/>
      <c r="K65" s="50"/>
      <c r="L65" s="50"/>
      <c r="M65" s="50"/>
      <c r="N65" s="52"/>
      <c r="O65" s="52"/>
    </row>
    <row r="66" spans="1:15" x14ac:dyDescent="0.2">
      <c r="A66" s="38"/>
      <c r="B66" s="34" t="s">
        <v>110</v>
      </c>
      <c r="C66" s="35"/>
      <c r="D66" s="45">
        <f>SUM(D64:D65)</f>
        <v>0</v>
      </c>
      <c r="E66" s="46">
        <f>SUM(E64:E65)</f>
        <v>0</v>
      </c>
      <c r="F66" s="50"/>
      <c r="G66" s="50"/>
      <c r="H66" s="50"/>
      <c r="I66" s="50"/>
      <c r="J66" s="50"/>
      <c r="K66" s="50"/>
      <c r="L66" s="50"/>
      <c r="M66" s="50"/>
      <c r="N66" s="52"/>
      <c r="O66" s="52"/>
    </row>
    <row r="67" spans="1:15" x14ac:dyDescent="0.2">
      <c r="A67" s="38"/>
      <c r="B67" s="34"/>
      <c r="C67" s="35"/>
      <c r="D67" s="43"/>
      <c r="E67" s="44"/>
      <c r="F67" s="50"/>
      <c r="G67" s="96"/>
      <c r="H67" s="50"/>
      <c r="I67" s="50"/>
      <c r="J67" s="50"/>
      <c r="K67" s="50"/>
      <c r="L67" s="50"/>
      <c r="M67" s="50"/>
      <c r="N67" s="52"/>
      <c r="O67" s="52"/>
    </row>
    <row r="68" spans="1:15" x14ac:dyDescent="0.2">
      <c r="A68" s="38"/>
      <c r="B68" s="39" t="s">
        <v>111</v>
      </c>
      <c r="C68" s="35"/>
      <c r="D68" s="43"/>
      <c r="E68" s="44"/>
      <c r="F68" s="50"/>
      <c r="G68" s="50"/>
      <c r="H68" s="50"/>
      <c r="I68" s="50"/>
      <c r="J68" s="50"/>
      <c r="K68" s="50"/>
      <c r="L68" s="50"/>
      <c r="M68" s="50"/>
      <c r="N68" s="52"/>
      <c r="O68" s="52"/>
    </row>
    <row r="69" spans="1:15" x14ac:dyDescent="0.2">
      <c r="A69" s="38"/>
      <c r="B69" s="52"/>
      <c r="C69" s="53" t="s">
        <v>112</v>
      </c>
      <c r="D69" s="43"/>
      <c r="E69" s="44"/>
      <c r="F69" s="50"/>
      <c r="G69" s="50"/>
      <c r="H69" s="50"/>
      <c r="I69" s="50"/>
      <c r="J69" s="50"/>
      <c r="K69" s="50"/>
      <c r="L69" s="50"/>
      <c r="M69" s="50"/>
      <c r="N69" s="52"/>
      <c r="O69" s="52"/>
    </row>
    <row r="70" spans="1:15" x14ac:dyDescent="0.2">
      <c r="A70" s="38">
        <v>30</v>
      </c>
      <c r="B70" s="52"/>
      <c r="C70" s="53" t="s">
        <v>113</v>
      </c>
      <c r="D70" s="43">
        <f>SUMIF(MEH!$A$1:$F$68,'[1]OA Flash '!$A70,MEH!$E$1:$E$68)+SUMIF(MEH!$H$1:$M$67,'[1]OA Flash '!$A70,MEH!$L$1:$L$67)+SUMIF(Other!$A$1:$E$21,'[1]OA Flash '!$A70,Other!$D$1:$D$21)+SUMIF('Total Financial'!$A$1:$D$73,'[1]OA Flash '!$A70,'Total Financial'!$C$1:$C$73)+SUMIF('NSS1'!$A$1:$F$68,'[1]OA Flash '!$A70,'NSS1'!$E$1:$E$68)+SUMIF('NSS1'!$H$1:$M$67,'[1]OA Flash '!$A70,'NSS1'!$L$1:$L$67)+SUMIF('NSS2'!$A$1:$F$68,'[1]OA Flash '!$A70,'NSS2'!$E$1:$E$68)+SUMIF('NSS2'!$H$1:$M$67,'[1]OA Flash '!$A70,'NSS2'!$L$1:$L$67)</f>
        <v>0</v>
      </c>
      <c r="E70" s="44">
        <f>+'Total Financial'!D42+MEH!D30+'NSS1'!D30+'NSS2'!D30</f>
        <v>18770835.147</v>
      </c>
      <c r="F70" s="50"/>
      <c r="G70" s="50"/>
      <c r="H70" s="96"/>
      <c r="I70" s="96"/>
      <c r="J70" s="50"/>
      <c r="K70" s="50"/>
      <c r="L70" s="50"/>
      <c r="M70" s="50"/>
      <c r="N70" s="52"/>
      <c r="O70" s="52"/>
    </row>
    <row r="71" spans="1:15" x14ac:dyDescent="0.2">
      <c r="A71" s="38">
        <v>31</v>
      </c>
      <c r="B71" s="52"/>
      <c r="C71" s="53" t="s">
        <v>114</v>
      </c>
      <c r="D71" s="43">
        <f>SUMIF(MEH!$A$1:$F$68,'[1]OA Flash '!$A71,MEH!$E$1:$E$68)+SUMIF(MEH!$H$1:$M$67,'[1]OA Flash '!$A71,MEH!$L$1:$L$67)+SUMIF(Other!$A$1:$E$21,'[1]OA Flash '!$A71,Other!$D$1:$D$21)+SUMIF('Total Financial'!$A$1:$D$73,'[1]OA Flash '!$A71,'Total Financial'!$C$1:$C$73)+SUMIF('NSS1'!$A$1:$F$68,'[1]OA Flash '!$A71,'NSS1'!$E$1:$E$68)+SUMIF('NSS1'!$H$1:$M$67,'[1]OA Flash '!$A71,'NSS1'!$L$1:$L$67)+SUMIF('NSS2'!$A$1:$F$68,'[1]OA Flash '!$A71,'NSS2'!$E$1:$E$68)+SUMIF('NSS2'!$H$1:$M$67,'[1]OA Flash '!$A71,'NSS2'!$L$1:$L$67)</f>
        <v>0</v>
      </c>
      <c r="E71" s="44">
        <f>+'Total Financial'!D22+MEH!D31+'NSS1'!D31+'NSS2'!D31</f>
        <v>-13718357</v>
      </c>
      <c r="F71" s="50"/>
      <c r="G71" s="50"/>
      <c r="H71" s="96"/>
      <c r="I71" s="96"/>
      <c r="J71" s="50"/>
      <c r="K71" s="50"/>
      <c r="L71" s="50"/>
      <c r="M71" s="50"/>
      <c r="N71" s="52"/>
      <c r="O71" s="52"/>
    </row>
    <row r="72" spans="1:15" x14ac:dyDescent="0.2">
      <c r="A72" s="38"/>
      <c r="B72" s="52"/>
      <c r="C72" s="54" t="s">
        <v>115</v>
      </c>
      <c r="D72" s="45">
        <f>SUM(D70:D71)</f>
        <v>0</v>
      </c>
      <c r="E72" s="46">
        <f>SUM(E70:E71)</f>
        <v>5052478.1469999999</v>
      </c>
      <c r="F72" s="50"/>
      <c r="G72" s="50"/>
      <c r="H72" s="50"/>
      <c r="I72" s="50"/>
      <c r="J72" s="50"/>
      <c r="K72" s="50"/>
      <c r="L72" s="50"/>
      <c r="M72" s="50"/>
      <c r="N72" s="52"/>
      <c r="O72" s="52"/>
    </row>
    <row r="73" spans="1:15" x14ac:dyDescent="0.2">
      <c r="A73" s="38">
        <v>32</v>
      </c>
      <c r="B73" s="52"/>
      <c r="C73" s="53" t="s">
        <v>116</v>
      </c>
      <c r="D73" s="43">
        <f>SUMIF(MEH!$A$1:$F$68,'[1]OA Flash '!$A73,MEH!$E$1:$E$68)+SUMIF(MEH!$H$1:$M$67,'[1]OA Flash '!$A73,MEH!$L$1:$L$67)+SUMIF(Other!$A$1:$E$21,'[1]OA Flash '!$A73,Other!$D$1:$D$21)+SUMIF('Total Financial'!$A$1:$D$73,'[1]OA Flash '!$A73,'Total Financial'!$C$1:$C$73)+SUMIF('NSS1'!$A$1:$F$68,'[1]OA Flash '!$A73,'NSS1'!$E$1:$E$68)+SUMIF('NSS1'!$H$1:$M$67,'[1]OA Flash '!$A73,'NSS1'!$L$1:$L$67)+SUMIF('NSS2'!$A$1:$F$68,'[1]OA Flash '!$A73,'NSS2'!$E$1:$E$68)+SUMIF('NSS2'!$H$1:$M$67,'[1]OA Flash '!$A73,'NSS2'!$L$1:$L$67)</f>
        <v>0</v>
      </c>
      <c r="E73" s="44">
        <f>SUMIF(MEH!$A$1:$F$68,'[1]OA Flash '!$A73,MEH!$D$1:$D$68)+SUMIF(MEH!$H$1:$M$67,'[1]OA Flash '!$A73,MEH!$K$1:$K$67)+SUMIF(Other!$A$1:$E$21,'[1]OA Flash '!$A73,Other!$E$1:$E$21)+SUMIF('Total Financial'!$A$1:$D$73,'[1]OA Flash '!$A73,'Total Financial'!$D$1:$D$73)+SUMIF('NSS1'!$A$1:$F$68,'[1]OA Flash '!$A73,'NSS1'!$D$1:$D$68)+SUMIF('NSS1'!$H$1:$M$67,'[1]OA Flash '!$A73,'NSS1'!$K$1:$K$67)+SUMIF('NSS2'!$A$1:$F$68,'[1]OA Flash '!$A73,'NSS2'!$D$1:$D$68)+SUMIF('NSS2'!$H$1:$M$67,'[1]OA Flash '!$A73,'NSS2'!$K$1:$K$67)</f>
        <v>0</v>
      </c>
      <c r="F73" s="50"/>
      <c r="G73" s="50"/>
      <c r="H73" s="96"/>
      <c r="I73" s="96"/>
      <c r="J73" s="50"/>
      <c r="K73" s="50"/>
      <c r="L73" s="50"/>
      <c r="M73" s="50"/>
      <c r="N73" s="52"/>
      <c r="O73" s="52"/>
    </row>
    <row r="74" spans="1:15" x14ac:dyDescent="0.2">
      <c r="A74" s="38">
        <v>33</v>
      </c>
      <c r="B74" s="52"/>
      <c r="C74" s="53" t="s">
        <v>117</v>
      </c>
      <c r="D74" s="43">
        <f>SUMIF(MEH!$A$1:$F$68,'[1]OA Flash '!$A74,MEH!$E$1:$E$68)+SUMIF(MEH!$H$1:$M$67,'[1]OA Flash '!$A74,MEH!$L$1:$L$67)+SUMIF(Other!$A$1:$E$21,'[1]OA Flash '!$A74,Other!$D$1:$D$21)+SUMIF('Total Financial'!$A$1:$D$73,'[1]OA Flash '!$A74,'Total Financial'!$C$1:$C$73)+SUMIF('NSS1'!$A$1:$F$68,'[1]OA Flash '!$A74,'NSS1'!$E$1:$E$68)+SUMIF('NSS1'!$H$1:$M$67,'[1]OA Flash '!$A74,'NSS1'!$L$1:$L$67)+SUMIF('NSS2'!$A$1:$F$68,'[1]OA Flash '!$A74,'NSS2'!$E$1:$E$68)+SUMIF('NSS2'!$H$1:$M$67,'[1]OA Flash '!$A74,'NSS2'!$L$1:$L$67)</f>
        <v>0</v>
      </c>
      <c r="E74" s="44">
        <f>+'Total Financial'!D32</f>
        <v>0</v>
      </c>
      <c r="F74" s="50"/>
      <c r="G74" s="50"/>
      <c r="H74" s="96"/>
      <c r="I74" s="96"/>
      <c r="J74" s="50"/>
      <c r="K74" s="50"/>
      <c r="L74" s="50"/>
      <c r="M74" s="50"/>
      <c r="N74" s="52"/>
      <c r="O74" s="52"/>
    </row>
    <row r="75" spans="1:15" x14ac:dyDescent="0.2">
      <c r="A75" s="38">
        <v>34</v>
      </c>
      <c r="B75" s="52"/>
      <c r="C75" s="53" t="s">
        <v>41</v>
      </c>
      <c r="D75" s="43">
        <f>SUMIF(MEH!$A$1:$F$68,'[1]OA Flash '!$A75,MEH!$E$1:$E$68)+SUMIF(MEH!$H$1:$M$67,'[1]OA Flash '!$A75,MEH!$L$1:$L$67)+SUMIF(Other!$A$1:$E$21,'[1]OA Flash '!$A75,Other!$D$1:$D$21)+SUMIF('Total Financial'!$A$1:$D$73,'[1]OA Flash '!$A75,'Total Financial'!$C$1:$C$73)+SUMIF('NSS1'!$A$1:$F$68,'[1]OA Flash '!$A75,'NSS1'!$E$1:$E$68)+SUMIF('NSS1'!$H$1:$M$67,'[1]OA Flash '!$A75,'NSS1'!$L$1:$L$67)+SUMIF('NSS2'!$A$1:$F$68,'[1]OA Flash '!$A75,'NSS2'!$E$1:$E$68)+SUMIF('NSS2'!$H$1:$M$67,'[1]OA Flash '!$A75,'NSS2'!$L$1:$L$67)</f>
        <v>0</v>
      </c>
      <c r="E75" s="44">
        <f>SUMIF(MEH!$A$1:$F$68,'[1]OA Flash '!$A75,MEH!$D$1:$D$68)+SUMIF(MEH!$H$1:$M$67,'[1]OA Flash '!$A75,MEH!$K$1:$K$67)+SUMIF(Other!$A$1:$E$21,'[1]OA Flash '!$A75,Other!$E$1:$E$21)+SUMIF('Total Financial'!$A$1:$D$73,'[1]OA Flash '!$A75,'Total Financial'!$D$1:$D$73)+SUMIF('NSS1'!$A$1:$F$68,'[1]OA Flash '!$A75,'NSS1'!$D$1:$D$68)+SUMIF('NSS1'!$H$1:$M$67,'[1]OA Flash '!$A75,'NSS1'!$K$1:$K$67)+SUMIF('NSS2'!$A$1:$F$68,'[1]OA Flash '!$A75,'NSS2'!$D$1:$D$68)+SUMIF('NSS2'!$H$1:$M$67,'[1]OA Flash '!$A75,'NSS2'!$K$1:$K$67)</f>
        <v>0</v>
      </c>
      <c r="F75" s="50"/>
      <c r="G75" s="50"/>
      <c r="H75" s="96"/>
      <c r="I75" s="96"/>
      <c r="J75" s="50"/>
      <c r="K75" s="50"/>
      <c r="L75" s="50"/>
      <c r="M75" s="50"/>
      <c r="N75" s="52"/>
      <c r="O75" s="52"/>
    </row>
    <row r="76" spans="1:15" x14ac:dyDescent="0.2">
      <c r="A76" s="38">
        <v>35</v>
      </c>
      <c r="B76" s="52"/>
      <c r="C76" s="53" t="s">
        <v>30</v>
      </c>
      <c r="D76" s="43">
        <f>SUMIF(MEH!$A$1:$F$68,'[1]OA Flash '!$A76,MEH!$E$1:$E$68)+SUMIF(MEH!$H$1:$M$67,'[1]OA Flash '!$A76,MEH!$L$1:$L$67)+SUMIF(Other!$A$1:$E$21,'[1]OA Flash '!$A76,Other!$D$1:$D$21)+SUMIF('Total Financial'!$A$1:$D$73,'[1]OA Flash '!$A76,'Total Financial'!$C$1:$C$73)+SUMIF('NSS1'!$A$1:$F$68,'[1]OA Flash '!$A76,'NSS1'!$E$1:$E$68)+SUMIF('NSS1'!$H$1:$M$67,'[1]OA Flash '!$A76,'NSS1'!$L$1:$L$67)+SUMIF('NSS2'!$A$1:$F$68,'[1]OA Flash '!$A76,'NSS2'!$E$1:$E$68)+SUMIF('NSS2'!$H$1:$M$67,'[1]OA Flash '!$A76,'NSS2'!$L$1:$L$67)</f>
        <v>0</v>
      </c>
      <c r="E76" s="44">
        <f>SUMIF(MEH!$A$1:$F$68,'[1]OA Flash '!$A76,MEH!$D$1:$D$68)+SUMIF(MEH!$H$1:$M$67,'[1]OA Flash '!$A76,MEH!$K$1:$K$67)+SUMIF(Other!$A$1:$E$21,'[1]OA Flash '!$A76,Other!$E$1:$E$21)+SUMIF('Total Financial'!$A$1:$D$73,'[1]OA Flash '!$A76,'Total Financial'!$D$1:$D$73)+SUMIF('NSS1'!$A$1:$F$68,'[1]OA Flash '!$A76,'NSS1'!$D$1:$D$68)+SUMIF('NSS1'!$H$1:$M$67,'[1]OA Flash '!$A76,'NSS1'!$K$1:$K$67)+SUMIF('NSS2'!$A$1:$F$68,'[1]OA Flash '!$A76,'NSS2'!$D$1:$D$68)+SUMIF('NSS2'!$H$1:$M$67,'[1]OA Flash '!$A76,'NSS2'!$K$1:$K$67)</f>
        <v>0</v>
      </c>
      <c r="F76" s="50"/>
      <c r="G76" s="50"/>
      <c r="H76" s="96"/>
      <c r="I76" s="96"/>
      <c r="J76" s="50"/>
      <c r="K76" s="50"/>
      <c r="L76" s="50"/>
      <c r="M76" s="50"/>
      <c r="N76" s="52"/>
      <c r="O76" s="52"/>
    </row>
    <row r="77" spans="1:15" x14ac:dyDescent="0.2">
      <c r="A77" s="38">
        <v>36</v>
      </c>
      <c r="B77" s="52"/>
      <c r="C77" s="53" t="s">
        <v>118</v>
      </c>
      <c r="D77" s="43">
        <f>SUMIF(MEH!$A$1:$F$68,'[1]OA Flash '!$A77,MEH!$E$1:$E$68)+SUMIF(MEH!$H$1:$M$67,'[1]OA Flash '!$A77,MEH!$L$1:$L$67)+SUMIF(Other!$A$1:$E$21,'[1]OA Flash '!$A77,Other!$D$1:$D$21)+SUMIF('Total Financial'!$A$1:$D$73,'[1]OA Flash '!$A77,'Total Financial'!$C$1:$C$73)+SUMIF('NSS1'!$A$1:$F$68,'[1]OA Flash '!$A77,'NSS1'!$E$1:$E$68)+SUMIF('NSS1'!$H$1:$M$67,'[1]OA Flash '!$A77,'NSS1'!$L$1:$L$67)+SUMIF('NSS2'!$A$1:$F$68,'[1]OA Flash '!$A77,'NSS2'!$E$1:$E$68)+SUMIF('NSS2'!$H$1:$M$67,'[1]OA Flash '!$A77,'NSS2'!$L$1:$L$67)</f>
        <v>0</v>
      </c>
      <c r="E77" s="44">
        <f>SUMIF(MEH!$A$1:$F$68,'[1]OA Flash '!$A77,MEH!$D$1:$D$68)+SUMIF(MEH!$H$1:$M$67,'[1]OA Flash '!$A77,MEH!$K$1:$K$67)+SUMIF(Other!$A$1:$E$21,'[1]OA Flash '!$A77,Other!$E$1:$E$21)+SUMIF('Total Financial'!$A$1:$D$73,'[1]OA Flash '!$A77,'Total Financial'!$D$1:$D$73)+SUMIF('NSS1'!$A$1:$F$68,'[1]OA Flash '!$A77,'NSS1'!$D$1:$D$68)+SUMIF('NSS1'!$H$1:$M$67,'[1]OA Flash '!$A77,'NSS1'!$K$1:$K$67)+SUMIF('NSS2'!$A$1:$F$68,'[1]OA Flash '!$A77,'NSS2'!$D$1:$D$68)+SUMIF('NSS2'!$H$1:$M$67,'[1]OA Flash '!$A77,'NSS2'!$K$1:$K$67)</f>
        <v>0</v>
      </c>
      <c r="F77" s="50"/>
      <c r="G77" s="50"/>
      <c r="H77" s="96"/>
      <c r="I77" s="96"/>
      <c r="J77" s="50"/>
      <c r="K77" s="50"/>
      <c r="L77" s="50"/>
      <c r="M77" s="50"/>
      <c r="N77" s="52"/>
      <c r="O77" s="52"/>
    </row>
    <row r="78" spans="1:15" x14ac:dyDescent="0.2">
      <c r="A78" s="38">
        <v>37</v>
      </c>
      <c r="B78" s="52"/>
      <c r="C78" s="53" t="s">
        <v>119</v>
      </c>
      <c r="D78" s="43">
        <f>SUMIF(MEH!$A$1:$F$68,'[1]OA Flash '!$A78,MEH!$E$1:$E$68)+SUMIF(MEH!$H$1:$M$67,'[1]OA Flash '!$A78,MEH!$L$1:$L$67)+SUMIF(Other!$A$1:$E$21,'[1]OA Flash '!$A78,Other!$D$1:$D$21)+SUMIF('Total Financial'!$A$1:$D$73,'[1]OA Flash '!$A78,'Total Financial'!$C$1:$C$73)+SUMIF('NSS1'!$A$1:$F$68,'[1]OA Flash '!$A78,'NSS1'!$E$1:$E$68)+SUMIF('NSS1'!$H$1:$M$67,'[1]OA Flash '!$A78,'NSS1'!$L$1:$L$67)+SUMIF('NSS2'!$A$1:$F$68,'[1]OA Flash '!$A78,'NSS2'!$E$1:$E$68)+SUMIF('NSS2'!$H$1:$M$67,'[1]OA Flash '!$A78,'NSS2'!$L$1:$L$67)</f>
        <v>0</v>
      </c>
      <c r="E78" s="44">
        <f>SUMIF(MEH!$A$1:$F$68,'[1]OA Flash '!$A78,MEH!$D$1:$D$68)+SUMIF(MEH!$H$1:$M$67,'[1]OA Flash '!$A78,MEH!$K$1:$K$67)+SUMIF(Other!$A$1:$E$21,'[1]OA Flash '!$A78,Other!$E$1:$E$21)+SUMIF('Total Financial'!$A$1:$D$73,'[1]OA Flash '!$A78,'Total Financial'!$D$1:$D$73)+SUMIF('NSS1'!$A$1:$F$68,'[1]OA Flash '!$A78,'NSS1'!$D$1:$D$68)+SUMIF('NSS1'!$H$1:$M$67,'[1]OA Flash '!$A78,'NSS1'!$K$1:$K$67)+SUMIF('NSS2'!$A$1:$F$68,'[1]OA Flash '!$A78,'NSS2'!$D$1:$D$68)+SUMIF('NSS2'!$H$1:$M$67,'[1]OA Flash '!$A78,'NSS2'!$K$1:$K$67)</f>
        <v>0</v>
      </c>
      <c r="F78" s="50"/>
      <c r="G78" s="50"/>
      <c r="H78" s="96"/>
      <c r="I78" s="96"/>
      <c r="J78" s="50"/>
      <c r="K78" s="50"/>
      <c r="L78" s="50"/>
      <c r="M78" s="50"/>
      <c r="N78" s="52"/>
      <c r="O78" s="52"/>
    </row>
    <row r="79" spans="1:15" x14ac:dyDescent="0.2">
      <c r="A79" s="38">
        <v>38</v>
      </c>
      <c r="B79" s="52"/>
      <c r="C79" s="53" t="s">
        <v>120</v>
      </c>
      <c r="D79" s="43">
        <f>SUMIF(MEH!$A$1:$F$68,'[1]OA Flash '!$A79,MEH!$E$1:$E$68)+SUMIF(MEH!$H$1:$M$67,'[1]OA Flash '!$A79,MEH!$L$1:$L$67)+SUMIF(Other!$A$1:$E$21,'[1]OA Flash '!$A79,Other!$D$1:$D$21)+SUMIF('Total Financial'!$A$1:$D$73,'[1]OA Flash '!$A79,'Total Financial'!$C$1:$C$73)+SUMIF('NSS1'!$A$1:$F$68,'[1]OA Flash '!$A79,'NSS1'!$E$1:$E$68)+SUMIF('NSS1'!$H$1:$M$67,'[1]OA Flash '!$A79,'NSS1'!$L$1:$L$67)+SUMIF('NSS2'!$A$1:$F$68,'[1]OA Flash '!$A79,'NSS2'!$E$1:$E$68)+SUMIF('NSS2'!$H$1:$M$67,'[1]OA Flash '!$A79,'NSS2'!$L$1:$L$67)</f>
        <v>0</v>
      </c>
      <c r="E79" s="44">
        <f>SUMIF(MEH!$A$1:$F$68,'[1]OA Flash '!$A79,MEH!$D$1:$D$68)+SUMIF(MEH!$H$1:$M$67,'[1]OA Flash '!$A79,MEH!$K$1:$K$67)+SUMIF(Other!$A$1:$E$21,'[1]OA Flash '!$A79,Other!$E$1:$E$21)+SUMIF('Total Financial'!$A$1:$D$73,'[1]OA Flash '!$A79,'Total Financial'!$D$1:$D$73)+SUMIF('NSS1'!$A$1:$F$68,'[1]OA Flash '!$A79,'NSS1'!$D$1:$D$68)+SUMIF('NSS1'!$H$1:$M$67,'[1]OA Flash '!$A79,'NSS1'!$K$1:$K$67)+SUMIF('NSS2'!$A$1:$F$68,'[1]OA Flash '!$A79,'NSS2'!$D$1:$D$68)+SUMIF('NSS2'!$H$1:$M$67,'[1]OA Flash '!$A79,'NSS2'!$K$1:$K$67)</f>
        <v>0</v>
      </c>
      <c r="F79" s="50"/>
      <c r="G79" s="50"/>
      <c r="H79" s="96"/>
      <c r="I79" s="96"/>
      <c r="J79" s="50"/>
      <c r="K79" s="50"/>
      <c r="L79" s="50"/>
      <c r="M79" s="50"/>
      <c r="N79" s="52"/>
      <c r="O79" s="52"/>
    </row>
    <row r="80" spans="1:15" x14ac:dyDescent="0.2">
      <c r="A80" s="38">
        <v>39</v>
      </c>
      <c r="B80" s="52"/>
      <c r="C80" s="53" t="s">
        <v>121</v>
      </c>
      <c r="D80" s="43">
        <f>SUMIF(MEH!$A$1:$F$68,'[1]OA Flash '!$A80,MEH!$E$1:$E$68)+SUMIF(MEH!$H$1:$M$67,'[1]OA Flash '!$A80,MEH!$L$1:$L$67)+SUMIF(Other!$A$1:$E$21,'[1]OA Flash '!$A80,Other!$D$1:$D$21)+SUMIF('Total Financial'!$A$1:$D$73,'[1]OA Flash '!$A80,'Total Financial'!$C$1:$C$73)+SUMIF('NSS1'!$A$1:$F$68,'[1]OA Flash '!$A80,'NSS1'!$E$1:$E$68)+SUMIF('NSS1'!$H$1:$M$67,'[1]OA Flash '!$A80,'NSS1'!$L$1:$L$67)+SUMIF('NSS2'!$A$1:$F$68,'[1]OA Flash '!$A80,'NSS2'!$E$1:$E$68)+SUMIF('NSS2'!$H$1:$M$67,'[1]OA Flash '!$A80,'NSS2'!$L$1:$L$67)</f>
        <v>0</v>
      </c>
      <c r="E80" s="44">
        <f>SUMIF(MEH!$A$1:$F$68,'[1]OA Flash '!$A80,MEH!$D$1:$D$68)+SUMIF(MEH!$H$1:$M$67,'[1]OA Flash '!$A80,MEH!$K$1:$K$67)+SUMIF(Other!$A$1:$E$21,'[1]OA Flash '!$A80,Other!$E$1:$E$21)+SUMIF('Total Financial'!$A$1:$D$73,'[1]OA Flash '!$A80,'Total Financial'!$D$1:$D$73)+SUMIF('NSS1'!$A$1:$F$68,'[1]OA Flash '!$A80,'NSS1'!$D$1:$D$68)+SUMIF('NSS1'!$H$1:$M$67,'[1]OA Flash '!$A80,'NSS1'!$K$1:$K$67)+SUMIF('NSS2'!$A$1:$F$68,'[1]OA Flash '!$A80,'NSS2'!$D$1:$D$68)+SUMIF('NSS2'!$H$1:$M$67,'[1]OA Flash '!$A80,'NSS2'!$K$1:$K$67)</f>
        <v>0</v>
      </c>
      <c r="F80" s="50"/>
      <c r="G80" s="50"/>
      <c r="H80" s="96"/>
      <c r="I80" s="96"/>
      <c r="J80" s="50"/>
      <c r="K80" s="50"/>
      <c r="L80" s="50"/>
      <c r="M80" s="50"/>
      <c r="N80" s="52"/>
      <c r="O80" s="52"/>
    </row>
    <row r="81" spans="1:67" x14ac:dyDescent="0.2">
      <c r="A81" s="38">
        <v>40</v>
      </c>
      <c r="B81" s="52"/>
      <c r="C81" s="53" t="s">
        <v>122</v>
      </c>
      <c r="D81" s="43">
        <f>SUMIF(MEH!$A$1:$F$68,'[1]OA Flash '!$A81,MEH!$E$1:$E$68)+SUMIF(MEH!$H$1:$M$67,'[1]OA Flash '!$A81,MEH!$L$1:$L$67)+SUMIF(Other!$A$1:$E$21,'[1]OA Flash '!$A81,Other!$D$1:$D$21)+SUMIF('Total Financial'!$A$1:$D$73,'[1]OA Flash '!$A81,'Total Financial'!$C$1:$C$73)+SUMIF('NSS1'!$A$1:$F$68,'[1]OA Flash '!$A81,'NSS1'!$E$1:$E$68)+SUMIF('NSS1'!$H$1:$M$67,'[1]OA Flash '!$A81,'NSS1'!$L$1:$L$67)+SUMIF('NSS2'!$A$1:$F$68,'[1]OA Flash '!$A81,'NSS2'!$E$1:$E$68)+SUMIF('NSS2'!$H$1:$M$67,'[1]OA Flash '!$A81,'NSS2'!$L$1:$L$67)</f>
        <v>0</v>
      </c>
      <c r="E81" s="44">
        <f>+Other!G18</f>
        <v>-13172818.713399999</v>
      </c>
      <c r="F81" s="50"/>
      <c r="G81" s="50"/>
      <c r="H81" s="96"/>
      <c r="I81" s="96"/>
      <c r="J81" s="50"/>
      <c r="K81" s="50"/>
      <c r="L81" s="50"/>
      <c r="M81" s="50"/>
      <c r="N81" s="52"/>
      <c r="O81" s="52"/>
    </row>
    <row r="82" spans="1:67" s="61" customFormat="1" ht="20.25" customHeight="1" thickBot="1" x14ac:dyDescent="0.25">
      <c r="A82" s="55"/>
      <c r="B82" s="56"/>
      <c r="C82" s="57" t="s">
        <v>39</v>
      </c>
      <c r="D82" s="58">
        <f>D16+D24+D29+D36+D43+D45+D47+D49</f>
        <v>19168</v>
      </c>
      <c r="E82" s="59">
        <f>SUM(E72:E81)+E16+E24+E29+E36+E43+E45+E47+E49+E51+E56+E61+E66</f>
        <v>-8034084.566399999</v>
      </c>
      <c r="F82" s="98"/>
      <c r="G82" s="98"/>
      <c r="H82" s="98"/>
      <c r="I82" s="98"/>
      <c r="J82" s="98"/>
      <c r="K82" s="98"/>
      <c r="L82" s="98"/>
      <c r="M82" s="98"/>
      <c r="N82" s="99"/>
      <c r="O82" s="99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</row>
    <row r="83" spans="1:67" ht="13.5" thickTop="1" x14ac:dyDescent="0.2">
      <c r="A83" s="62"/>
      <c r="B83" s="52"/>
      <c r="F83" s="50"/>
      <c r="G83" s="50"/>
      <c r="H83" s="50"/>
      <c r="I83" s="50"/>
      <c r="J83" s="52"/>
      <c r="K83" s="52"/>
      <c r="L83" s="52"/>
      <c r="M83" s="52"/>
      <c r="N83" s="52"/>
      <c r="O83" s="52"/>
    </row>
    <row r="84" spans="1:67" x14ac:dyDescent="0.2">
      <c r="A84" s="62"/>
      <c r="B84" s="52"/>
      <c r="D84" s="100" t="s">
        <v>235</v>
      </c>
      <c r="E84" s="48">
        <f>'ENRON MIDWEST P&amp;L'!E114</f>
        <v>47332.771999998949</v>
      </c>
      <c r="F84" s="50"/>
      <c r="G84" s="50"/>
      <c r="H84" s="50"/>
      <c r="I84" s="50"/>
      <c r="J84" s="52"/>
      <c r="K84" s="52"/>
      <c r="L84" s="52"/>
      <c r="M84" s="52"/>
      <c r="N84" s="52"/>
      <c r="O84" s="52"/>
    </row>
    <row r="85" spans="1:67" x14ac:dyDescent="0.2">
      <c r="A85" s="62"/>
      <c r="B85" s="52"/>
      <c r="K85" s="101"/>
    </row>
    <row r="86" spans="1:67" x14ac:dyDescent="0.2">
      <c r="A86" s="62"/>
      <c r="B86" s="52"/>
      <c r="D86" s="48" t="s">
        <v>26</v>
      </c>
      <c r="E86" s="48">
        <f>E82-E84</f>
        <v>-8081417.3383999979</v>
      </c>
    </row>
    <row r="87" spans="1:67" x14ac:dyDescent="0.2">
      <c r="A87" s="62"/>
      <c r="B87" s="52"/>
    </row>
    <row r="88" spans="1:67" x14ac:dyDescent="0.2">
      <c r="A88" s="62"/>
      <c r="B88" s="52"/>
    </row>
    <row r="89" spans="1:67" x14ac:dyDescent="0.2">
      <c r="A89" s="62"/>
      <c r="B89" s="52"/>
    </row>
    <row r="90" spans="1:67" x14ac:dyDescent="0.2">
      <c r="A90" s="62"/>
      <c r="B90" s="52"/>
    </row>
    <row r="91" spans="1:67" x14ac:dyDescent="0.2">
      <c r="A91" s="62"/>
      <c r="B91" s="52"/>
    </row>
    <row r="92" spans="1:67" x14ac:dyDescent="0.2">
      <c r="A92" s="62"/>
      <c r="B92" s="52"/>
    </row>
    <row r="93" spans="1:67" x14ac:dyDescent="0.2">
      <c r="A93" s="62"/>
      <c r="B93" s="52"/>
    </row>
    <row r="94" spans="1:67" x14ac:dyDescent="0.2">
      <c r="A94" s="62"/>
      <c r="B94" s="52"/>
    </row>
    <row r="95" spans="1:67" x14ac:dyDescent="0.2">
      <c r="A95" s="62"/>
      <c r="B95" s="52"/>
    </row>
    <row r="96" spans="1:67" x14ac:dyDescent="0.2">
      <c r="A96" s="62"/>
      <c r="B96" s="52"/>
    </row>
    <row r="97" spans="1:2" x14ac:dyDescent="0.2">
      <c r="A97" s="62"/>
      <c r="B97" s="52"/>
    </row>
    <row r="98" spans="1:2" x14ac:dyDescent="0.2">
      <c r="A98" s="62"/>
      <c r="B98" s="52"/>
    </row>
    <row r="99" spans="1:2" x14ac:dyDescent="0.2">
      <c r="A99" s="62"/>
      <c r="B99" s="52"/>
    </row>
    <row r="100" spans="1:2" x14ac:dyDescent="0.2">
      <c r="A100" s="62"/>
      <c r="B100" s="52"/>
    </row>
    <row r="101" spans="1:2" x14ac:dyDescent="0.2">
      <c r="A101" s="62"/>
      <c r="B101" s="52"/>
    </row>
    <row r="102" spans="1:2" x14ac:dyDescent="0.2">
      <c r="A102" s="62"/>
      <c r="B102" s="52"/>
    </row>
    <row r="103" spans="1:2" x14ac:dyDescent="0.2">
      <c r="A103" s="62"/>
      <c r="B103" s="52"/>
    </row>
    <row r="104" spans="1:2" x14ac:dyDescent="0.2">
      <c r="A104" s="62"/>
      <c r="B104" s="52"/>
    </row>
    <row r="105" spans="1:2" x14ac:dyDescent="0.2">
      <c r="A105" s="62"/>
      <c r="B105" s="52"/>
    </row>
    <row r="106" spans="1:2" x14ac:dyDescent="0.2">
      <c r="A106" s="62"/>
      <c r="B106" s="52"/>
    </row>
    <row r="107" spans="1:2" x14ac:dyDescent="0.2">
      <c r="A107" s="62"/>
      <c r="B107" s="52"/>
    </row>
    <row r="108" spans="1:2" x14ac:dyDescent="0.2">
      <c r="A108" s="62"/>
      <c r="B108" s="52"/>
    </row>
    <row r="109" spans="1:2" x14ac:dyDescent="0.2">
      <c r="A109" s="62"/>
      <c r="B109" s="52"/>
    </row>
    <row r="110" spans="1:2" x14ac:dyDescent="0.2">
      <c r="A110" s="62"/>
      <c r="B110" s="52"/>
    </row>
    <row r="111" spans="1:2" x14ac:dyDescent="0.2">
      <c r="A111" s="62"/>
      <c r="B111" s="52"/>
    </row>
    <row r="112" spans="1:2" x14ac:dyDescent="0.2">
      <c r="A112" s="62"/>
      <c r="B112" s="52"/>
    </row>
    <row r="113" spans="1:2" x14ac:dyDescent="0.2">
      <c r="A113" s="62"/>
      <c r="B113" s="52"/>
    </row>
    <row r="114" spans="1:2" x14ac:dyDescent="0.2">
      <c r="A114" s="62"/>
      <c r="B114" s="52"/>
    </row>
    <row r="115" spans="1:2" x14ac:dyDescent="0.2">
      <c r="A115" s="62"/>
      <c r="B115" s="52"/>
    </row>
    <row r="116" spans="1:2" x14ac:dyDescent="0.2">
      <c r="A116" s="62"/>
      <c r="B116" s="52"/>
    </row>
    <row r="117" spans="1:2" x14ac:dyDescent="0.2">
      <c r="A117" s="62"/>
      <c r="B117" s="52"/>
    </row>
    <row r="118" spans="1:2" x14ac:dyDescent="0.2">
      <c r="A118" s="62"/>
      <c r="B118" s="52"/>
    </row>
    <row r="119" spans="1:2" x14ac:dyDescent="0.2">
      <c r="A119" s="62"/>
      <c r="B119" s="52"/>
    </row>
    <row r="120" spans="1:2" x14ac:dyDescent="0.2">
      <c r="A120" s="62"/>
      <c r="B120" s="52"/>
    </row>
    <row r="121" spans="1:2" x14ac:dyDescent="0.2">
      <c r="A121" s="62"/>
      <c r="B121" s="52"/>
    </row>
    <row r="122" spans="1:2" x14ac:dyDescent="0.2">
      <c r="A122" s="62"/>
      <c r="B122" s="52"/>
    </row>
    <row r="123" spans="1:2" x14ac:dyDescent="0.2">
      <c r="A123" s="62"/>
      <c r="B123" s="52"/>
    </row>
    <row r="124" spans="1:2" x14ac:dyDescent="0.2">
      <c r="A124" s="62"/>
      <c r="B124" s="52"/>
    </row>
    <row r="125" spans="1:2" x14ac:dyDescent="0.2">
      <c r="A125" s="62"/>
      <c r="B125" s="52"/>
    </row>
    <row r="126" spans="1:2" x14ac:dyDescent="0.2">
      <c r="A126" s="62"/>
      <c r="B126" s="52"/>
    </row>
    <row r="127" spans="1:2" x14ac:dyDescent="0.2">
      <c r="A127" s="62"/>
      <c r="B127" s="52"/>
    </row>
    <row r="128" spans="1:2" x14ac:dyDescent="0.2">
      <c r="A128" s="62"/>
      <c r="B128" s="52"/>
    </row>
    <row r="129" spans="1:2" x14ac:dyDescent="0.2">
      <c r="A129" s="62"/>
      <c r="B129" s="52"/>
    </row>
    <row r="130" spans="1:2" x14ac:dyDescent="0.2">
      <c r="A130" s="62"/>
      <c r="B130" s="52"/>
    </row>
    <row r="131" spans="1:2" x14ac:dyDescent="0.2">
      <c r="A131" s="62"/>
      <c r="B131" s="52"/>
    </row>
    <row r="132" spans="1:2" x14ac:dyDescent="0.2">
      <c r="A132" s="62"/>
      <c r="B132" s="52"/>
    </row>
    <row r="133" spans="1:2" x14ac:dyDescent="0.2">
      <c r="A133" s="62"/>
      <c r="B133" s="52"/>
    </row>
    <row r="134" spans="1:2" x14ac:dyDescent="0.2">
      <c r="A134" s="62"/>
      <c r="B134" s="52"/>
    </row>
    <row r="135" spans="1:2" x14ac:dyDescent="0.2">
      <c r="A135" s="62"/>
      <c r="B135" s="52"/>
    </row>
    <row r="136" spans="1:2" x14ac:dyDescent="0.2">
      <c r="A136" s="62"/>
      <c r="B136" s="52"/>
    </row>
    <row r="137" spans="1:2" x14ac:dyDescent="0.2">
      <c r="A137" s="62"/>
      <c r="B137" s="52"/>
    </row>
    <row r="138" spans="1:2" x14ac:dyDescent="0.2">
      <c r="A138" s="62"/>
      <c r="B138" s="52"/>
    </row>
    <row r="139" spans="1:2" x14ac:dyDescent="0.2">
      <c r="A139" s="62"/>
      <c r="B139" s="52"/>
    </row>
    <row r="140" spans="1:2" x14ac:dyDescent="0.2">
      <c r="A140" s="62"/>
      <c r="B140" s="52"/>
    </row>
    <row r="141" spans="1:2" x14ac:dyDescent="0.2">
      <c r="A141" s="62"/>
      <c r="B141" s="52"/>
    </row>
    <row r="142" spans="1:2" x14ac:dyDescent="0.2">
      <c r="A142" s="62"/>
      <c r="B142" s="52"/>
    </row>
    <row r="143" spans="1:2" x14ac:dyDescent="0.2">
      <c r="A143" s="62"/>
      <c r="B143" s="52"/>
    </row>
    <row r="144" spans="1:2" x14ac:dyDescent="0.2">
      <c r="A144" s="62"/>
      <c r="B144" s="52"/>
    </row>
    <row r="145" spans="1:2" x14ac:dyDescent="0.2">
      <c r="A145" s="62"/>
      <c r="B145" s="52"/>
    </row>
    <row r="146" spans="1:2" x14ac:dyDescent="0.2">
      <c r="A146" s="62"/>
      <c r="B146" s="52"/>
    </row>
    <row r="147" spans="1:2" x14ac:dyDescent="0.2">
      <c r="A147" s="62"/>
      <c r="B147" s="52"/>
    </row>
    <row r="148" spans="1:2" x14ac:dyDescent="0.2">
      <c r="A148" s="62"/>
      <c r="B148" s="52"/>
    </row>
    <row r="149" spans="1:2" x14ac:dyDescent="0.2">
      <c r="A149" s="62"/>
      <c r="B149" s="52"/>
    </row>
    <row r="150" spans="1:2" x14ac:dyDescent="0.2">
      <c r="A150" s="62"/>
      <c r="B150" s="52"/>
    </row>
    <row r="151" spans="1:2" x14ac:dyDescent="0.2">
      <c r="A151" s="62"/>
      <c r="B151" s="52"/>
    </row>
    <row r="152" spans="1:2" x14ac:dyDescent="0.2">
      <c r="A152" s="62"/>
      <c r="B152" s="52"/>
    </row>
    <row r="153" spans="1:2" x14ac:dyDescent="0.2">
      <c r="A153" s="62"/>
      <c r="B153" s="52"/>
    </row>
    <row r="154" spans="1:2" x14ac:dyDescent="0.2">
      <c r="A154" s="62"/>
      <c r="B154" s="52"/>
    </row>
    <row r="155" spans="1:2" x14ac:dyDescent="0.2">
      <c r="A155" s="62"/>
      <c r="B155" s="52"/>
    </row>
    <row r="156" spans="1:2" x14ac:dyDescent="0.2">
      <c r="A156" s="62"/>
      <c r="B156" s="52"/>
    </row>
    <row r="157" spans="1:2" x14ac:dyDescent="0.2">
      <c r="A157" s="62"/>
      <c r="B157" s="52"/>
    </row>
    <row r="158" spans="1:2" x14ac:dyDescent="0.2">
      <c r="A158" s="62"/>
      <c r="B158" s="52"/>
    </row>
    <row r="159" spans="1:2" x14ac:dyDescent="0.2">
      <c r="A159" s="62"/>
      <c r="B159" s="52"/>
    </row>
    <row r="160" spans="1:2" x14ac:dyDescent="0.2">
      <c r="A160" s="62"/>
      <c r="B160" s="52"/>
    </row>
    <row r="161" spans="1:2" x14ac:dyDescent="0.2">
      <c r="A161" s="62"/>
      <c r="B161" s="52"/>
    </row>
    <row r="162" spans="1:2" x14ac:dyDescent="0.2">
      <c r="A162" s="62"/>
      <c r="B162" s="52"/>
    </row>
    <row r="163" spans="1:2" x14ac:dyDescent="0.2">
      <c r="A163" s="62"/>
      <c r="B163" s="52"/>
    </row>
    <row r="164" spans="1:2" x14ac:dyDescent="0.2">
      <c r="A164" s="62"/>
      <c r="B164" s="52"/>
    </row>
    <row r="165" spans="1:2" x14ac:dyDescent="0.2">
      <c r="A165" s="62"/>
      <c r="B165" s="52"/>
    </row>
    <row r="166" spans="1:2" x14ac:dyDescent="0.2">
      <c r="A166" s="62"/>
      <c r="B166" s="52"/>
    </row>
    <row r="167" spans="1:2" x14ac:dyDescent="0.2">
      <c r="A167" s="62"/>
      <c r="B167" s="52"/>
    </row>
    <row r="168" spans="1:2" x14ac:dyDescent="0.2">
      <c r="A168" s="62"/>
      <c r="B168" s="52"/>
    </row>
    <row r="169" spans="1:2" x14ac:dyDescent="0.2">
      <c r="A169" s="62"/>
      <c r="B169" s="52"/>
    </row>
    <row r="170" spans="1:2" x14ac:dyDescent="0.2">
      <c r="A170" s="62"/>
      <c r="B170" s="52"/>
    </row>
    <row r="171" spans="1:2" x14ac:dyDescent="0.2">
      <c r="A171" s="62"/>
      <c r="B171" s="52"/>
    </row>
    <row r="172" spans="1:2" x14ac:dyDescent="0.2">
      <c r="A172" s="62"/>
      <c r="B172" s="52"/>
    </row>
    <row r="173" spans="1:2" x14ac:dyDescent="0.2">
      <c r="A173" s="62"/>
      <c r="B173" s="52"/>
    </row>
    <row r="174" spans="1:2" x14ac:dyDescent="0.2">
      <c r="A174" s="62"/>
      <c r="B174" s="52"/>
    </row>
    <row r="175" spans="1:2" x14ac:dyDescent="0.2">
      <c r="A175" s="62"/>
      <c r="B175" s="52"/>
    </row>
    <row r="176" spans="1:2" x14ac:dyDescent="0.2">
      <c r="A176" s="62"/>
      <c r="B176" s="52"/>
    </row>
    <row r="177" spans="1:2" x14ac:dyDescent="0.2">
      <c r="A177" s="62"/>
      <c r="B177" s="52"/>
    </row>
    <row r="178" spans="1:2" x14ac:dyDescent="0.2">
      <c r="A178" s="62"/>
      <c r="B178" s="52"/>
    </row>
    <row r="179" spans="1:2" x14ac:dyDescent="0.2">
      <c r="A179" s="62"/>
      <c r="B179" s="52"/>
    </row>
    <row r="180" spans="1:2" x14ac:dyDescent="0.2">
      <c r="A180" s="62"/>
      <c r="B180" s="52"/>
    </row>
    <row r="181" spans="1:2" x14ac:dyDescent="0.2">
      <c r="A181" s="62"/>
      <c r="B181" s="52"/>
    </row>
    <row r="182" spans="1:2" x14ac:dyDescent="0.2">
      <c r="A182" s="62"/>
      <c r="B182" s="52"/>
    </row>
    <row r="183" spans="1:2" x14ac:dyDescent="0.2">
      <c r="A183" s="62"/>
      <c r="B183" s="52"/>
    </row>
    <row r="184" spans="1:2" x14ac:dyDescent="0.2">
      <c r="A184" s="62"/>
      <c r="B184" s="52"/>
    </row>
    <row r="185" spans="1:2" x14ac:dyDescent="0.2">
      <c r="A185" s="62"/>
      <c r="B185" s="52"/>
    </row>
    <row r="186" spans="1:2" x14ac:dyDescent="0.2">
      <c r="A186" s="62"/>
      <c r="B186" s="52"/>
    </row>
    <row r="187" spans="1:2" x14ac:dyDescent="0.2">
      <c r="A187" s="62"/>
      <c r="B187" s="52"/>
    </row>
  </sheetData>
  <mergeCells count="6">
    <mergeCell ref="D8:E8"/>
    <mergeCell ref="A1:E1"/>
    <mergeCell ref="A2:E2"/>
    <mergeCell ref="A3:E3"/>
    <mergeCell ref="A4:E4"/>
    <mergeCell ref="A5:E5"/>
  </mergeCells>
  <pageMargins left="0.75" right="0.75" top="1" bottom="1" header="0.5" footer="0.5"/>
  <pageSetup paperSize="5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42"/>
  <sheetViews>
    <sheetView workbookViewId="0">
      <selection activeCell="F25" sqref="F25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188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189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Pages'!F2</f>
        <v>14157237.1427</v>
      </c>
      <c r="E4" s="84" t="s">
        <v>27</v>
      </c>
      <c r="F4" s="85"/>
      <c r="G4" s="86"/>
      <c r="H4" s="78"/>
    </row>
    <row r="5" spans="2:9" x14ac:dyDescent="0.2">
      <c r="B5" s="1" t="s">
        <v>190</v>
      </c>
      <c r="D5" s="237">
        <f>'Top Pages'!I2</f>
        <v>0</v>
      </c>
      <c r="E5" s="84"/>
      <c r="F5" s="85"/>
      <c r="G5" s="86"/>
      <c r="H5" s="78"/>
    </row>
    <row r="6" spans="2:9" x14ac:dyDescent="0.2">
      <c r="B6" s="1" t="s">
        <v>34</v>
      </c>
      <c r="D6" s="237">
        <f>'Top Pages'!F7</f>
        <v>151600.2089</v>
      </c>
      <c r="E6" s="84"/>
      <c r="F6" s="85"/>
      <c r="G6" s="86"/>
      <c r="H6" s="78"/>
    </row>
    <row r="7" spans="2:9" x14ac:dyDescent="0.2">
      <c r="B7" s="4" t="s">
        <v>162</v>
      </c>
      <c r="C7" s="4"/>
      <c r="D7" s="237">
        <f>'Top Pages'!F12</f>
        <v>18176.8069</v>
      </c>
      <c r="E7" s="87"/>
      <c r="F7" s="85"/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5"/>
      <c r="G9" s="82"/>
      <c r="H9" s="82"/>
    </row>
    <row r="10" spans="2:9" x14ac:dyDescent="0.2">
      <c r="B10" s="1" t="s">
        <v>37</v>
      </c>
      <c r="D10" s="237">
        <v>0</v>
      </c>
      <c r="F10" s="85"/>
      <c r="G10" s="1"/>
      <c r="H10" s="1"/>
    </row>
    <row r="11" spans="2:9" x14ac:dyDescent="0.2">
      <c r="B11" s="1" t="s">
        <v>38</v>
      </c>
      <c r="D11" s="238">
        <v>0</v>
      </c>
      <c r="F11" s="85"/>
      <c r="G11" s="1"/>
      <c r="H11" s="1"/>
    </row>
    <row r="12" spans="2:9" x14ac:dyDescent="0.2">
      <c r="D12" s="235">
        <f>SUM(D4:D11)-D5</f>
        <v>14327014.158500001</v>
      </c>
      <c r="F12" s="17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-9898865</v>
      </c>
      <c r="F15" s="17"/>
      <c r="G15" s="17"/>
      <c r="H15" s="17"/>
    </row>
    <row r="16" spans="2:9" x14ac:dyDescent="0.2">
      <c r="B16" s="1" t="s">
        <v>34</v>
      </c>
      <c r="D16" s="239">
        <v>-140563</v>
      </c>
      <c r="F16" s="17"/>
      <c r="G16" s="17"/>
      <c r="H16" s="17"/>
    </row>
    <row r="17" spans="1:8" x14ac:dyDescent="0.2">
      <c r="B17" s="4" t="s">
        <v>162</v>
      </c>
      <c r="C17" s="4"/>
      <c r="D17" s="239">
        <v>-18091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-10057519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">
        <v>347</v>
      </c>
      <c r="D24" s="230"/>
      <c r="F24" s="1"/>
      <c r="G24" s="1"/>
      <c r="H24" s="1"/>
    </row>
    <row r="25" spans="1:8" x14ac:dyDescent="0.2">
      <c r="B25" s="1" t="s">
        <v>33</v>
      </c>
      <c r="D25" s="239">
        <v>0</v>
      </c>
      <c r="E25" s="17"/>
      <c r="F25" s="82"/>
      <c r="G25" s="82"/>
      <c r="H25" s="82"/>
    </row>
    <row r="26" spans="1:8" x14ac:dyDescent="0.2">
      <c r="B26" s="1" t="s">
        <v>34</v>
      </c>
      <c r="D26" s="239">
        <v>0</v>
      </c>
    </row>
    <row r="27" spans="1:8" x14ac:dyDescent="0.2">
      <c r="B27" s="4" t="s">
        <v>162</v>
      </c>
      <c r="C27" s="4"/>
      <c r="D27" s="239">
        <v>0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0</v>
      </c>
    </row>
    <row r="34" spans="1:4" ht="14.25" x14ac:dyDescent="0.2">
      <c r="B34" s="16" t="s">
        <v>348</v>
      </c>
    </row>
    <row r="35" spans="1:4" x14ac:dyDescent="0.2">
      <c r="B35" s="1" t="s">
        <v>33</v>
      </c>
      <c r="D35" s="230">
        <f>D4-D25</f>
        <v>14157237.1427</v>
      </c>
    </row>
    <row r="36" spans="1:4" x14ac:dyDescent="0.2">
      <c r="B36" s="1" t="s">
        <v>34</v>
      </c>
      <c r="D36" s="230">
        <f>+D6-D26</f>
        <v>151600.2089</v>
      </c>
    </row>
    <row r="37" spans="1:4" x14ac:dyDescent="0.2">
      <c r="B37" s="4" t="s">
        <v>165</v>
      </c>
      <c r="C37" s="4"/>
      <c r="D37" s="230">
        <f>D7-D27</f>
        <v>18176.8069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14327014.158500001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2"/>
  <sheetViews>
    <sheetView workbookViewId="0">
      <selection activeCell="G30" sqref="G30:G31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187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Pages'!F17</f>
        <v>0</v>
      </c>
      <c r="E4" s="293" t="s">
        <v>27</v>
      </c>
      <c r="F4" s="85"/>
      <c r="G4" s="86"/>
      <c r="H4" s="78"/>
    </row>
    <row r="5" spans="2:9" x14ac:dyDescent="0.2">
      <c r="B5" s="1" t="s">
        <v>190</v>
      </c>
      <c r="D5" s="237">
        <f>'Top Pages'!I17</f>
        <v>0</v>
      </c>
      <c r="E5" s="293"/>
      <c r="F5" s="85"/>
      <c r="G5" s="86"/>
      <c r="H5" s="78"/>
    </row>
    <row r="6" spans="2:9" x14ac:dyDescent="0.2">
      <c r="B6" s="1" t="s">
        <v>34</v>
      </c>
      <c r="D6" s="237">
        <f>'Top Pages'!F22</f>
        <v>0</v>
      </c>
      <c r="E6" s="293" t="s">
        <v>27</v>
      </c>
      <c r="F6" s="85"/>
      <c r="G6" s="86"/>
      <c r="H6" s="78"/>
    </row>
    <row r="7" spans="2:9" x14ac:dyDescent="0.2">
      <c r="B7" s="4" t="s">
        <v>162</v>
      </c>
      <c r="C7" s="4"/>
      <c r="D7" s="237">
        <f>'Top Pages'!F27</f>
        <v>0</v>
      </c>
      <c r="E7" s="293" t="s">
        <v>27</v>
      </c>
      <c r="F7" s="85"/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5"/>
      <c r="G9" s="82"/>
      <c r="H9" s="82"/>
    </row>
    <row r="10" spans="2:9" x14ac:dyDescent="0.2">
      <c r="B10" s="1" t="s">
        <v>37</v>
      </c>
      <c r="D10" s="237">
        <v>0</v>
      </c>
      <c r="F10" s="85"/>
      <c r="G10" s="1"/>
      <c r="H10" s="1"/>
    </row>
    <row r="11" spans="2:9" x14ac:dyDescent="0.2">
      <c r="B11" s="1" t="s">
        <v>38</v>
      </c>
      <c r="D11" s="238">
        <v>0</v>
      </c>
      <c r="F11" s="85"/>
      <c r="G11" s="1"/>
      <c r="H11" s="1"/>
    </row>
    <row r="12" spans="2:9" x14ac:dyDescent="0.2">
      <c r="D12" s="235">
        <f>SUM(D4:D11)-D5</f>
        <v>0</v>
      </c>
      <c r="F12" s="17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0</v>
      </c>
      <c r="F15" s="17"/>
      <c r="G15" s="17"/>
      <c r="H15" s="17"/>
    </row>
    <row r="16" spans="2:9" x14ac:dyDescent="0.2">
      <c r="B16" s="1" t="s">
        <v>34</v>
      </c>
      <c r="D16" s="239">
        <v>0</v>
      </c>
      <c r="F16" s="17"/>
      <c r="G16" s="17"/>
      <c r="H16" s="17"/>
    </row>
    <row r="17" spans="1:8" x14ac:dyDescent="0.2">
      <c r="B17" s="4" t="s">
        <v>162</v>
      </c>
      <c r="C17" s="4"/>
      <c r="D17" s="239">
        <v>0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0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tr">
        <f>+'Intra-EMWNSS1'!B24</f>
        <v>Financial Liquidations - September only (Enter liquidations at end of month)</v>
      </c>
      <c r="D24" s="230"/>
      <c r="F24" s="1"/>
      <c r="G24" s="1"/>
      <c r="H24" s="1"/>
    </row>
    <row r="25" spans="1:8" x14ac:dyDescent="0.2">
      <c r="B25" s="1" t="s">
        <v>33</v>
      </c>
      <c r="D25" s="239">
        <v>0</v>
      </c>
      <c r="E25" s="17"/>
      <c r="F25" s="82"/>
      <c r="G25" s="82"/>
      <c r="H25" s="82"/>
    </row>
    <row r="26" spans="1:8" x14ac:dyDescent="0.2">
      <c r="B26" s="1" t="s">
        <v>34</v>
      </c>
      <c r="D26" s="239">
        <v>0</v>
      </c>
    </row>
    <row r="27" spans="1:8" x14ac:dyDescent="0.2">
      <c r="B27" s="4" t="s">
        <v>162</v>
      </c>
      <c r="C27" s="4"/>
      <c r="D27" s="239">
        <v>0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0</v>
      </c>
    </row>
    <row r="34" spans="1:4" ht="14.25" x14ac:dyDescent="0.2">
      <c r="B34" s="16" t="str">
        <f>+'Intra-EMWNSS1'!B34</f>
        <v>MTM Values (Oct-out)</v>
      </c>
    </row>
    <row r="35" spans="1:4" x14ac:dyDescent="0.2">
      <c r="B35" s="1" t="s">
        <v>33</v>
      </c>
      <c r="D35" s="230">
        <f>D4+-D25</f>
        <v>0</v>
      </c>
    </row>
    <row r="36" spans="1:4" x14ac:dyDescent="0.2">
      <c r="B36" s="1" t="s">
        <v>34</v>
      </c>
      <c r="D36" s="230">
        <f>+D6-D26</f>
        <v>0</v>
      </c>
    </row>
    <row r="37" spans="1:4" x14ac:dyDescent="0.2">
      <c r="B37" s="4" t="s">
        <v>165</v>
      </c>
      <c r="C37" s="4"/>
      <c r="D37" s="230">
        <f>D7-D27</f>
        <v>0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42"/>
  <sheetViews>
    <sheetView topLeftCell="A9" workbookViewId="0">
      <selection activeCell="D37" sqref="D37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186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Pages'!F32-F4-G4</f>
        <v>2036562.2423999999</v>
      </c>
      <c r="E4" s="401" t="s">
        <v>288</v>
      </c>
      <c r="F4" s="17">
        <v>1183509</v>
      </c>
      <c r="G4" s="17">
        <v>612584</v>
      </c>
      <c r="H4" s="78"/>
    </row>
    <row r="5" spans="2:9" x14ac:dyDescent="0.2">
      <c r="B5" s="1" t="s">
        <v>190</v>
      </c>
      <c r="D5" s="237">
        <f>'Top Pages'!I32-F5</f>
        <v>66475.197700000004</v>
      </c>
      <c r="E5" s="401"/>
      <c r="F5" s="17"/>
      <c r="G5" s="86"/>
      <c r="H5" s="78"/>
    </row>
    <row r="6" spans="2:9" x14ac:dyDescent="0.2">
      <c r="B6" s="1" t="s">
        <v>34</v>
      </c>
      <c r="D6" s="237">
        <f>'Top Pages'!F37-F6</f>
        <v>1820069.2556</v>
      </c>
      <c r="E6" s="401" t="s">
        <v>288</v>
      </c>
      <c r="F6" s="17">
        <v>-96175</v>
      </c>
      <c r="G6" s="86"/>
      <c r="H6" s="78"/>
    </row>
    <row r="7" spans="2:9" x14ac:dyDescent="0.2">
      <c r="B7" s="4" t="s">
        <v>162</v>
      </c>
      <c r="C7" s="4"/>
      <c r="D7" s="237">
        <f>'Top Pages'!F42</f>
        <v>5240.2039000000004</v>
      </c>
      <c r="E7" s="401" t="s">
        <v>288</v>
      </c>
      <c r="F7" s="85">
        <v>75</v>
      </c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5"/>
      <c r="G9" s="82"/>
      <c r="H9" s="82"/>
    </row>
    <row r="10" spans="2:9" x14ac:dyDescent="0.2">
      <c r="B10" s="1" t="s">
        <v>37</v>
      </c>
      <c r="D10" s="237">
        <v>0</v>
      </c>
      <c r="F10" s="85"/>
      <c r="G10" s="1"/>
      <c r="H10" s="1"/>
    </row>
    <row r="11" spans="2:9" x14ac:dyDescent="0.2">
      <c r="B11" s="1" t="s">
        <v>38</v>
      </c>
      <c r="D11" s="238">
        <v>0</v>
      </c>
      <c r="F11" s="85"/>
      <c r="G11" s="1"/>
      <c r="H11" s="1"/>
    </row>
    <row r="12" spans="2:9" x14ac:dyDescent="0.2">
      <c r="D12" s="235">
        <f>SUM(D4:D11)-D5</f>
        <v>3861871.7019000002</v>
      </c>
      <c r="F12" s="17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-1881575</v>
      </c>
      <c r="F15" s="17"/>
      <c r="G15" s="17"/>
      <c r="H15" s="17"/>
    </row>
    <row r="16" spans="2:9" x14ac:dyDescent="0.2">
      <c r="B16" s="1" t="s">
        <v>34</v>
      </c>
      <c r="D16" s="239">
        <v>-1762934</v>
      </c>
      <c r="F16" s="17"/>
      <c r="G16" s="17"/>
      <c r="H16" s="17"/>
    </row>
    <row r="17" spans="1:8" x14ac:dyDescent="0.2">
      <c r="B17" s="4" t="s">
        <v>162</v>
      </c>
      <c r="C17" s="4"/>
      <c r="D17" s="239">
        <v>-16329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-3660838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tr">
        <f>+'Intra-EMWNSS1'!B24</f>
        <v>Financial Liquidations - September only (Enter liquidations at end of month)</v>
      </c>
      <c r="D24" s="230"/>
      <c r="F24" s="1"/>
      <c r="G24" s="1"/>
      <c r="H24" s="1"/>
    </row>
    <row r="25" spans="1:8" x14ac:dyDescent="0.2">
      <c r="B25" s="1" t="s">
        <v>33</v>
      </c>
      <c r="D25" s="239">
        <v>0</v>
      </c>
      <c r="E25" s="17"/>
      <c r="F25" s="82"/>
      <c r="G25" s="82"/>
      <c r="H25" s="82"/>
    </row>
    <row r="26" spans="1:8" x14ac:dyDescent="0.2">
      <c r="B26" s="1" t="s">
        <v>34</v>
      </c>
      <c r="D26" s="239">
        <v>0</v>
      </c>
    </row>
    <row r="27" spans="1:8" x14ac:dyDescent="0.2">
      <c r="B27" s="4" t="s">
        <v>162</v>
      </c>
      <c r="C27" s="4"/>
      <c r="D27" s="239">
        <v>0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0</v>
      </c>
    </row>
    <row r="34" spans="1:4" ht="14.25" x14ac:dyDescent="0.2">
      <c r="B34" s="16" t="str">
        <f>+'Intra-EMWNSS1'!B34</f>
        <v>MTM Values (Oct-out)</v>
      </c>
    </row>
    <row r="35" spans="1:4" x14ac:dyDescent="0.2">
      <c r="B35" s="1" t="s">
        <v>33</v>
      </c>
      <c r="D35" s="230">
        <f>D4-D25</f>
        <v>2036562.2423999999</v>
      </c>
    </row>
    <row r="36" spans="1:4" x14ac:dyDescent="0.2">
      <c r="B36" s="1" t="s">
        <v>34</v>
      </c>
      <c r="D36" s="230">
        <f>+D6-D26</f>
        <v>1820069.2556</v>
      </c>
    </row>
    <row r="37" spans="1:4" x14ac:dyDescent="0.2">
      <c r="B37" s="4" t="s">
        <v>165</v>
      </c>
      <c r="C37" s="4"/>
      <c r="D37" s="230">
        <f>D7-D27</f>
        <v>5240.2039000000004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3861871.7018999998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42"/>
  <sheetViews>
    <sheetView workbookViewId="0">
      <selection activeCell="G31" sqref="G31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230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'Top Pages'!F47</f>
        <v>581949.28670000006</v>
      </c>
      <c r="E4" s="84" t="s">
        <v>27</v>
      </c>
      <c r="F4" s="85"/>
      <c r="G4" s="86"/>
      <c r="H4" s="78"/>
    </row>
    <row r="5" spans="2:9" x14ac:dyDescent="0.2">
      <c r="B5" s="1" t="s">
        <v>190</v>
      </c>
      <c r="D5" s="237">
        <f>'Top Pages'!I47</f>
        <v>0</v>
      </c>
      <c r="E5" s="84" t="s">
        <v>27</v>
      </c>
      <c r="F5" s="85"/>
      <c r="G5" s="86"/>
      <c r="H5" s="78"/>
    </row>
    <row r="6" spans="2:9" x14ac:dyDescent="0.2">
      <c r="B6" s="1" t="s">
        <v>34</v>
      </c>
      <c r="D6" s="237">
        <f>'Top Pages'!F52</f>
        <v>1E-4</v>
      </c>
      <c r="E6" s="84"/>
      <c r="F6" s="85"/>
      <c r="G6" s="86"/>
      <c r="H6" s="78"/>
    </row>
    <row r="7" spans="2:9" x14ac:dyDescent="0.2">
      <c r="B7" s="4" t="s">
        <v>162</v>
      </c>
      <c r="C7" s="4"/>
      <c r="D7" s="237">
        <f>'Top Pages'!F57</f>
        <v>-2.0000000000000001E-4</v>
      </c>
      <c r="E7" s="87"/>
      <c r="F7" s="85"/>
      <c r="G7" s="86"/>
      <c r="H7" s="78"/>
    </row>
    <row r="8" spans="2:9" x14ac:dyDescent="0.2">
      <c r="B8" s="1" t="s">
        <v>35</v>
      </c>
      <c r="D8" s="237"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v>0</v>
      </c>
      <c r="F9" s="82"/>
      <c r="G9" s="82"/>
      <c r="H9" s="82"/>
    </row>
    <row r="10" spans="2:9" x14ac:dyDescent="0.2">
      <c r="B10" s="1" t="s">
        <v>37</v>
      </c>
      <c r="D10" s="237">
        <v>0</v>
      </c>
      <c r="F10" s="1"/>
      <c r="G10" s="1"/>
      <c r="H10" s="1"/>
    </row>
    <row r="11" spans="2:9" x14ac:dyDescent="0.2">
      <c r="B11" s="1" t="s">
        <v>38</v>
      </c>
      <c r="D11" s="238">
        <v>0</v>
      </c>
      <c r="F11" s="1"/>
      <c r="G11" s="1"/>
      <c r="H11" s="1"/>
    </row>
    <row r="12" spans="2:9" x14ac:dyDescent="0.2">
      <c r="D12" s="235">
        <f>SUM(D4:D11)-D5</f>
        <v>581949.28659999999</v>
      </c>
      <c r="F12" s="1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v>-579181</v>
      </c>
      <c r="F15" s="17"/>
      <c r="G15" s="17"/>
      <c r="H15" s="17"/>
    </row>
    <row r="16" spans="2:9" x14ac:dyDescent="0.2">
      <c r="B16" s="1" t="s">
        <v>34</v>
      </c>
      <c r="D16" s="239">
        <v>0</v>
      </c>
      <c r="F16" s="17"/>
      <c r="G16" s="17"/>
      <c r="H16" s="17"/>
    </row>
    <row r="17" spans="1:8" x14ac:dyDescent="0.2">
      <c r="B17" s="4" t="s">
        <v>162</v>
      </c>
      <c r="C17" s="4"/>
      <c r="D17" s="239">
        <v>0</v>
      </c>
      <c r="F17" s="88"/>
      <c r="G17" s="88"/>
      <c r="H17" s="88"/>
    </row>
    <row r="18" spans="1:8" x14ac:dyDescent="0.2">
      <c r="B18" s="1" t="s">
        <v>35</v>
      </c>
      <c r="D18" s="239">
        <v>0</v>
      </c>
      <c r="F18" s="17"/>
      <c r="G18" s="17"/>
      <c r="H18" s="17"/>
    </row>
    <row r="19" spans="1:8" x14ac:dyDescent="0.2">
      <c r="B19" s="1" t="s">
        <v>36</v>
      </c>
      <c r="D19" s="239">
        <v>0</v>
      </c>
      <c r="F19" s="17"/>
      <c r="G19" s="1"/>
      <c r="H19" s="1"/>
    </row>
    <row r="20" spans="1:8" x14ac:dyDescent="0.2">
      <c r="B20" s="1" t="s">
        <v>37</v>
      </c>
      <c r="D20" s="239">
        <v>0</v>
      </c>
      <c r="F20" s="17"/>
      <c r="G20" s="1"/>
      <c r="H20" s="1"/>
    </row>
    <row r="21" spans="1:8" x14ac:dyDescent="0.2">
      <c r="B21" s="1" t="s">
        <v>38</v>
      </c>
      <c r="D21" s="240">
        <v>0</v>
      </c>
      <c r="F21" s="17"/>
      <c r="G21" s="1"/>
      <c r="H21" s="1"/>
    </row>
    <row r="22" spans="1:8" x14ac:dyDescent="0.2">
      <c r="A22" s="1">
        <v>31</v>
      </c>
      <c r="D22" s="235">
        <f>SUM(D15:D21)</f>
        <v>-579181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tr">
        <f>+'Intra-EMWNSS1'!B24</f>
        <v>Financial Liquidations - September only (Enter liquidations at end of month)</v>
      </c>
      <c r="D24" s="230"/>
      <c r="F24" s="1"/>
      <c r="G24" s="1"/>
      <c r="H24" s="1"/>
    </row>
    <row r="25" spans="1:8" x14ac:dyDescent="0.2">
      <c r="B25" s="1" t="s">
        <v>33</v>
      </c>
      <c r="D25" s="239">
        <v>0</v>
      </c>
      <c r="E25" s="17"/>
      <c r="F25" s="82"/>
      <c r="G25" s="82"/>
      <c r="H25" s="82"/>
    </row>
    <row r="26" spans="1:8" x14ac:dyDescent="0.2">
      <c r="B26" s="1" t="s">
        <v>34</v>
      </c>
      <c r="D26" s="239">
        <v>0</v>
      </c>
    </row>
    <row r="27" spans="1:8" x14ac:dyDescent="0.2">
      <c r="B27" s="4" t="s">
        <v>162</v>
      </c>
      <c r="C27" s="4"/>
      <c r="D27" s="239">
        <v>0</v>
      </c>
    </row>
    <row r="28" spans="1:8" x14ac:dyDescent="0.2">
      <c r="B28" s="1" t="s">
        <v>35</v>
      </c>
      <c r="D28" s="239">
        <v>0</v>
      </c>
    </row>
    <row r="29" spans="1:8" x14ac:dyDescent="0.2">
      <c r="B29" s="1" t="s">
        <v>36</v>
      </c>
      <c r="D29" s="239">
        <v>0</v>
      </c>
    </row>
    <row r="30" spans="1:8" x14ac:dyDescent="0.2">
      <c r="B30" s="1" t="s">
        <v>37</v>
      </c>
      <c r="D30" s="239">
        <v>0</v>
      </c>
    </row>
    <row r="31" spans="1:8" x14ac:dyDescent="0.2">
      <c r="B31" s="1" t="s">
        <v>38</v>
      </c>
      <c r="D31" s="240">
        <v>0</v>
      </c>
    </row>
    <row r="32" spans="1:8" x14ac:dyDescent="0.2">
      <c r="A32" s="1">
        <v>33</v>
      </c>
      <c r="D32" s="235">
        <f>SUM(D25:D31)</f>
        <v>0</v>
      </c>
    </row>
    <row r="34" spans="1:4" ht="14.25" x14ac:dyDescent="0.2">
      <c r="B34" s="16" t="str">
        <f>+'Intra-EMWNSS1'!B34</f>
        <v>MTM Values (Oct-out)</v>
      </c>
    </row>
    <row r="35" spans="1:4" x14ac:dyDescent="0.2">
      <c r="B35" s="1" t="s">
        <v>33</v>
      </c>
      <c r="D35" s="230">
        <f>D4+-D25</f>
        <v>581949.28670000006</v>
      </c>
    </row>
    <row r="36" spans="1:4" x14ac:dyDescent="0.2">
      <c r="B36" s="1" t="s">
        <v>34</v>
      </c>
      <c r="D36" s="230">
        <f>+D6-D26</f>
        <v>1E-4</v>
      </c>
    </row>
    <row r="37" spans="1:4" x14ac:dyDescent="0.2">
      <c r="B37" s="4" t="s">
        <v>165</v>
      </c>
      <c r="C37" s="4"/>
      <c r="D37" s="230">
        <f>D7-D27</f>
        <v>-2.0000000000000001E-4</v>
      </c>
    </row>
    <row r="38" spans="1:4" x14ac:dyDescent="0.2">
      <c r="B38" s="1" t="s">
        <v>35</v>
      </c>
      <c r="D38" s="230">
        <f>+D8-D28</f>
        <v>0</v>
      </c>
    </row>
    <row r="39" spans="1:4" x14ac:dyDescent="0.2">
      <c r="A39" s="1" t="s">
        <v>27</v>
      </c>
      <c r="B39" s="1" t="s">
        <v>36</v>
      </c>
      <c r="D39" s="230">
        <f>+D9-D29</f>
        <v>0</v>
      </c>
    </row>
    <row r="40" spans="1:4" x14ac:dyDescent="0.2">
      <c r="B40" s="1" t="s">
        <v>37</v>
      </c>
      <c r="D40" s="230">
        <f>+D10-D30</f>
        <v>0</v>
      </c>
    </row>
    <row r="41" spans="1:4" x14ac:dyDescent="0.2">
      <c r="B41" s="1" t="s">
        <v>38</v>
      </c>
      <c r="D41" s="241">
        <f>+D11-D31</f>
        <v>0</v>
      </c>
    </row>
    <row r="42" spans="1:4" x14ac:dyDescent="0.2">
      <c r="A42" s="1">
        <v>30</v>
      </c>
      <c r="D42" s="230">
        <f>SUM(D35:D41)</f>
        <v>581949.28659999999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workbookViewId="0">
      <selection activeCell="G31" sqref="G31"/>
    </sheetView>
  </sheetViews>
  <sheetFormatPr defaultRowHeight="12.75" x14ac:dyDescent="0.2"/>
  <cols>
    <col min="1" max="1" width="4.5703125" style="1" customWidth="1"/>
    <col min="2" max="2" width="13.7109375" style="1" customWidth="1"/>
    <col min="3" max="3" width="17.5703125" style="1" customWidth="1"/>
    <col min="4" max="4" width="13.140625" style="235" customWidth="1"/>
    <col min="5" max="5" width="12.5703125" style="1" customWidth="1"/>
    <col min="6" max="6" width="14" style="18" customWidth="1"/>
    <col min="7" max="7" width="13" style="18" customWidth="1"/>
    <col min="8" max="8" width="14.7109375" style="18" customWidth="1"/>
    <col min="9" max="9" width="10.7109375" style="1" customWidth="1"/>
    <col min="10" max="10" width="10.140625" style="1" customWidth="1"/>
    <col min="11" max="11" width="9.140625" style="1"/>
    <col min="12" max="12" width="12" style="1" customWidth="1"/>
    <col min="13" max="16384" width="9.140625" style="1"/>
  </cols>
  <sheetData>
    <row r="1" spans="2:9" ht="18.75" x14ac:dyDescent="0.3">
      <c r="B1" s="7" t="s">
        <v>181</v>
      </c>
      <c r="H1" s="8"/>
      <c r="I1" s="6"/>
    </row>
    <row r="2" spans="2:9" x14ac:dyDescent="0.2">
      <c r="D2" s="230"/>
      <c r="F2" s="2"/>
      <c r="G2" s="2"/>
      <c r="H2" s="2"/>
    </row>
    <row r="3" spans="2:9" ht="14.25" x14ac:dyDescent="0.2">
      <c r="B3" s="16" t="s">
        <v>184</v>
      </c>
      <c r="F3" s="82"/>
      <c r="G3" s="82"/>
      <c r="H3" s="82"/>
      <c r="I3" s="83"/>
    </row>
    <row r="4" spans="2:9" x14ac:dyDescent="0.2">
      <c r="B4" s="1" t="s">
        <v>33</v>
      </c>
      <c r="D4" s="236">
        <f>'Intra-EMWNSS1'!D4+'Intra-EMWNSS2'!D4+'Intra-EMWMEH'!D4+'TP-EMWNSS'!D4</f>
        <v>16775748.671799999</v>
      </c>
      <c r="E4" s="84"/>
      <c r="F4" s="85"/>
      <c r="G4" s="86"/>
      <c r="H4" s="78"/>
    </row>
    <row r="5" spans="2:9" x14ac:dyDescent="0.2">
      <c r="B5" s="1" t="s">
        <v>190</v>
      </c>
      <c r="D5" s="237">
        <f>'Intra-EMWNSS1'!D5+'Intra-EMWNSS2'!D5+'Intra-EMWMEH'!D5+'TP-EMWNSS'!D5</f>
        <v>66475.197700000004</v>
      </c>
      <c r="E5" s="84"/>
      <c r="F5" s="85"/>
      <c r="G5" s="86"/>
      <c r="H5" s="78"/>
    </row>
    <row r="6" spans="2:9" x14ac:dyDescent="0.2">
      <c r="B6" s="1" t="s">
        <v>34</v>
      </c>
      <c r="D6" s="237">
        <f>'Intra-EMWNSS1'!D6+'Intra-EMWNSS2'!D6+'Intra-EMWMEH'!D6+'TP-EMWNSS'!D6</f>
        <v>1971669.4646000001</v>
      </c>
      <c r="E6" s="84"/>
      <c r="F6" s="85"/>
      <c r="G6" s="86"/>
      <c r="H6" s="78"/>
    </row>
    <row r="7" spans="2:9" x14ac:dyDescent="0.2">
      <c r="B7" s="4" t="s">
        <v>162</v>
      </c>
      <c r="C7" s="4"/>
      <c r="D7" s="237">
        <f>'Intra-EMWNSS1'!D7+'Intra-EMWNSS2'!D7+'Intra-EMWMEH'!D7+'TP-EMWNSS'!D7</f>
        <v>23417.010600000001</v>
      </c>
      <c r="E7" s="87"/>
      <c r="F7" s="85"/>
      <c r="G7" s="86"/>
      <c r="H7" s="78"/>
    </row>
    <row r="8" spans="2:9" x14ac:dyDescent="0.2">
      <c r="B8" s="1" t="s">
        <v>35</v>
      </c>
      <c r="D8" s="237">
        <f>'Intra-EMWNSS1'!D8+'Intra-EMWNSS2'!D8+'Intra-EMWMEH'!D8+'TP-EMWNSS'!D8</f>
        <v>0</v>
      </c>
      <c r="E8" s="84"/>
      <c r="F8" s="85"/>
      <c r="G8" s="86"/>
      <c r="H8" s="78"/>
    </row>
    <row r="9" spans="2:9" x14ac:dyDescent="0.2">
      <c r="B9" s="1" t="s">
        <v>36</v>
      </c>
      <c r="D9" s="237">
        <f>'Intra-EMWNSS1'!D9+'Intra-EMWNSS2'!D9+'Intra-EMWMEH'!D9+'TP-EMWNSS'!D9</f>
        <v>0</v>
      </c>
      <c r="F9" s="82"/>
      <c r="G9" s="82"/>
      <c r="H9" s="82"/>
    </row>
    <row r="10" spans="2:9" x14ac:dyDescent="0.2">
      <c r="B10" s="1" t="s">
        <v>37</v>
      </c>
      <c r="D10" s="237">
        <f>'Intra-EMWNSS1'!D10+'Intra-EMWNSS2'!D10+'Intra-EMWMEH'!D10+'TP-EMWNSS'!D10</f>
        <v>0</v>
      </c>
      <c r="F10" s="1"/>
      <c r="G10" s="1"/>
      <c r="H10" s="1"/>
    </row>
    <row r="11" spans="2:9" x14ac:dyDescent="0.2">
      <c r="B11" s="1" t="s">
        <v>38</v>
      </c>
      <c r="D11" s="238">
        <f>'Intra-EMWNSS1'!D11+'Intra-EMWNSS2'!D11+'Intra-EMWMEH'!D11+'TP-EMWNSS'!D11</f>
        <v>0</v>
      </c>
      <c r="F11" s="1"/>
      <c r="G11" s="1"/>
      <c r="H11" s="1"/>
    </row>
    <row r="12" spans="2:9" x14ac:dyDescent="0.2">
      <c r="D12" s="235">
        <f>SUM(D4:D11)-D5</f>
        <v>18770835.147</v>
      </c>
      <c r="F12" s="1"/>
      <c r="G12" s="1"/>
      <c r="H12" s="1"/>
    </row>
    <row r="13" spans="2:9" x14ac:dyDescent="0.2">
      <c r="F13" s="1"/>
      <c r="G13" s="1"/>
      <c r="H13" s="1"/>
    </row>
    <row r="14" spans="2:9" ht="14.25" x14ac:dyDescent="0.2">
      <c r="B14" s="16" t="s">
        <v>163</v>
      </c>
      <c r="F14" s="11"/>
      <c r="G14" s="11"/>
      <c r="H14" s="11"/>
    </row>
    <row r="15" spans="2:9" x14ac:dyDescent="0.2">
      <c r="B15" s="1" t="s">
        <v>33</v>
      </c>
      <c r="D15" s="239">
        <f>'Intra-EMWNSS1'!D15+'Intra-EMWNSS2'!D15+'Intra-EMWMEH'!D15+'TP-EMWNSS'!D15</f>
        <v>-12359621</v>
      </c>
      <c r="F15" s="17"/>
      <c r="G15" s="17"/>
      <c r="H15" s="17"/>
    </row>
    <row r="16" spans="2:9" x14ac:dyDescent="0.2">
      <c r="B16" s="1" t="s">
        <v>34</v>
      </c>
      <c r="D16" s="239">
        <f>'Intra-EMWNSS1'!D16+'Intra-EMWNSS2'!D16+'Intra-EMWMEH'!D16+'TP-EMWNSS'!D16</f>
        <v>-1903497</v>
      </c>
      <c r="F16" s="17"/>
      <c r="G16" s="17"/>
      <c r="H16" s="17"/>
    </row>
    <row r="17" spans="1:8" x14ac:dyDescent="0.2">
      <c r="B17" s="4" t="s">
        <v>162</v>
      </c>
      <c r="C17" s="4"/>
      <c r="D17" s="239">
        <f>'Intra-EMWNSS1'!D17+'Intra-EMWNSS2'!D17+'Intra-EMWMEH'!D17+'TP-EMWNSS'!D17</f>
        <v>-34420</v>
      </c>
      <c r="F17" s="88"/>
      <c r="G17" s="88"/>
      <c r="H17" s="88"/>
    </row>
    <row r="18" spans="1:8" x14ac:dyDescent="0.2">
      <c r="B18" s="1" t="s">
        <v>35</v>
      </c>
      <c r="D18" s="239">
        <f>'Intra-EMWNSS1'!D18+'Intra-EMWNSS2'!D18+'Intra-EMWMEH'!D18+'TP-EMWNSS'!D18</f>
        <v>0</v>
      </c>
      <c r="F18" s="17"/>
      <c r="G18" s="17"/>
      <c r="H18" s="17"/>
    </row>
    <row r="19" spans="1:8" x14ac:dyDescent="0.2">
      <c r="B19" s="1" t="s">
        <v>36</v>
      </c>
      <c r="D19" s="239">
        <f>'Intra-EMWNSS1'!D19+'Intra-EMWNSS2'!D19+'Intra-EMWMEH'!D19+'TP-EMWNSS'!D19</f>
        <v>0</v>
      </c>
      <c r="F19" s="17"/>
      <c r="G19" s="1"/>
      <c r="H19" s="1"/>
    </row>
    <row r="20" spans="1:8" x14ac:dyDescent="0.2">
      <c r="B20" s="1" t="s">
        <v>37</v>
      </c>
      <c r="D20" s="239">
        <f>'Intra-EMWNSS1'!D20+'Intra-EMWNSS2'!D20+'Intra-EMWMEH'!D20+'TP-EMWNSS'!D20</f>
        <v>0</v>
      </c>
      <c r="F20" s="17"/>
      <c r="G20" s="1"/>
      <c r="H20" s="1"/>
    </row>
    <row r="21" spans="1:8" x14ac:dyDescent="0.2">
      <c r="B21" s="1" t="s">
        <v>38</v>
      </c>
      <c r="D21" s="240">
        <f>'Intra-EMWNSS1'!D21+'Intra-EMWNSS2'!D21+'Intra-EMWMEH'!D21+'TP-EMWNSS'!D21</f>
        <v>0</v>
      </c>
      <c r="F21" s="17"/>
      <c r="G21" s="1"/>
      <c r="H21" s="1"/>
    </row>
    <row r="22" spans="1:8" x14ac:dyDescent="0.2">
      <c r="A22" s="1">
        <v>31</v>
      </c>
      <c r="D22" s="239">
        <f>'Intra-EMWNSS1'!D22+'Intra-EMWNSS2'!D22+'Intra-EMWMEH'!D22</f>
        <v>-13718357</v>
      </c>
      <c r="F22" s="12"/>
      <c r="G22" s="1"/>
      <c r="H22" s="1"/>
    </row>
    <row r="23" spans="1:8" x14ac:dyDescent="0.2">
      <c r="F23" s="1"/>
      <c r="G23" s="1"/>
      <c r="H23" s="1"/>
    </row>
    <row r="24" spans="1:8" ht="14.25" x14ac:dyDescent="0.2">
      <c r="B24" s="16" t="s">
        <v>185</v>
      </c>
      <c r="D24" s="230"/>
      <c r="F24" s="1"/>
      <c r="G24" s="1"/>
      <c r="H24" s="1"/>
    </row>
    <row r="25" spans="1:8" x14ac:dyDescent="0.2">
      <c r="B25" s="1" t="s">
        <v>33</v>
      </c>
      <c r="D25" s="239">
        <f>'Intra-EMWNSS1'!D25+'Intra-EMWNSS2'!D25+'Intra-EMWMEH'!D25+'TP-EMWNSS'!D25</f>
        <v>0</v>
      </c>
      <c r="E25" s="17"/>
      <c r="F25" s="82"/>
      <c r="G25" s="82"/>
      <c r="H25" s="82"/>
    </row>
    <row r="26" spans="1:8" x14ac:dyDescent="0.2">
      <c r="B26" s="1" t="s">
        <v>34</v>
      </c>
      <c r="D26" s="239">
        <f>'Intra-EMWNSS1'!D26+'Intra-EMWNSS2'!D26+'Intra-EMWMEH'!D26+'TP-EMWNSS'!D26</f>
        <v>0</v>
      </c>
    </row>
    <row r="27" spans="1:8" x14ac:dyDescent="0.2">
      <c r="B27" s="4" t="s">
        <v>162</v>
      </c>
      <c r="C27" s="4"/>
      <c r="D27" s="239">
        <f>'Intra-EMWNSS1'!D27+'Intra-EMWNSS2'!D27+'Intra-EMWMEH'!D27+'TP-EMWNSS'!D27</f>
        <v>0</v>
      </c>
    </row>
    <row r="28" spans="1:8" x14ac:dyDescent="0.2">
      <c r="B28" s="1" t="s">
        <v>35</v>
      </c>
      <c r="D28" s="239">
        <f>'Intra-EMWNSS1'!D28+'Intra-EMWNSS2'!D28+'Intra-EMWMEH'!D28+'TP-EMWNSS'!D28</f>
        <v>0</v>
      </c>
    </row>
    <row r="29" spans="1:8" x14ac:dyDescent="0.2">
      <c r="B29" s="1" t="s">
        <v>36</v>
      </c>
      <c r="D29" s="239">
        <f>'Intra-EMWNSS1'!D29+'Intra-EMWNSS2'!D29+'Intra-EMWMEH'!D29+'TP-EMWNSS'!D29</f>
        <v>0</v>
      </c>
    </row>
    <row r="30" spans="1:8" x14ac:dyDescent="0.2">
      <c r="B30" s="1" t="s">
        <v>37</v>
      </c>
      <c r="D30" s="239">
        <f>'Intra-EMWNSS1'!D30+'Intra-EMWNSS2'!D30+'Intra-EMWMEH'!D30+'TP-EMWNSS'!D30</f>
        <v>0</v>
      </c>
    </row>
    <row r="31" spans="1:8" x14ac:dyDescent="0.2">
      <c r="B31" s="1" t="s">
        <v>38</v>
      </c>
      <c r="D31" s="240">
        <f>'Intra-EMWNSS1'!D31+'Intra-EMWNSS2'!D31+'Intra-EMWMEH'!D31+'TP-EMWNSS'!D31</f>
        <v>0</v>
      </c>
    </row>
    <row r="32" spans="1:8" x14ac:dyDescent="0.2">
      <c r="A32" s="1">
        <v>33</v>
      </c>
      <c r="D32" s="239">
        <f>'Intra-EMWNSS1'!D32+'Intra-EMWNSS2'!D32+'Intra-EMWMEH'!D32</f>
        <v>0</v>
      </c>
    </row>
    <row r="34" spans="1:4" ht="14.25" x14ac:dyDescent="0.2">
      <c r="B34" s="16" t="s">
        <v>164</v>
      </c>
    </row>
    <row r="35" spans="1:4" x14ac:dyDescent="0.2">
      <c r="B35" s="1" t="s">
        <v>33</v>
      </c>
      <c r="D35" s="239">
        <f>D4+-D25</f>
        <v>16775748.671799999</v>
      </c>
    </row>
    <row r="36" spans="1:4" x14ac:dyDescent="0.2">
      <c r="B36" s="1" t="s">
        <v>34</v>
      </c>
      <c r="D36" s="239">
        <f>+D6-D26</f>
        <v>1971669.4646000001</v>
      </c>
    </row>
    <row r="37" spans="1:4" x14ac:dyDescent="0.2">
      <c r="B37" s="4" t="s">
        <v>165</v>
      </c>
      <c r="C37" s="4"/>
      <c r="D37" s="239">
        <f>D7-D27</f>
        <v>23417.010600000001</v>
      </c>
    </row>
    <row r="38" spans="1:4" x14ac:dyDescent="0.2">
      <c r="B38" s="1" t="s">
        <v>35</v>
      </c>
      <c r="D38" s="239">
        <f>+D8-D28</f>
        <v>0</v>
      </c>
    </row>
    <row r="39" spans="1:4" x14ac:dyDescent="0.2">
      <c r="A39" s="1" t="s">
        <v>27</v>
      </c>
      <c r="B39" s="1" t="s">
        <v>36</v>
      </c>
      <c r="D39" s="239">
        <f>+D9-D29</f>
        <v>0</v>
      </c>
    </row>
    <row r="40" spans="1:4" x14ac:dyDescent="0.2">
      <c r="B40" s="1" t="s">
        <v>37</v>
      </c>
      <c r="D40" s="239">
        <f>+D10-D30</f>
        <v>0</v>
      </c>
    </row>
    <row r="41" spans="1:4" x14ac:dyDescent="0.2">
      <c r="B41" s="1" t="s">
        <v>38</v>
      </c>
      <c r="D41" s="240">
        <f>+D11-D31</f>
        <v>0</v>
      </c>
    </row>
    <row r="42" spans="1:4" x14ac:dyDescent="0.2">
      <c r="A42" s="1">
        <v>30</v>
      </c>
      <c r="D42" s="239">
        <f>SUM(D35:D41)</f>
        <v>18770835.147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70"/>
  <sheetViews>
    <sheetView topLeftCell="A24" zoomScale="75" workbookViewId="0">
      <selection activeCell="E60" sqref="E60"/>
    </sheetView>
  </sheetViews>
  <sheetFormatPr defaultRowHeight="12.75" x14ac:dyDescent="0.2"/>
  <cols>
    <col min="1" max="1" width="3.140625" style="1" customWidth="1"/>
    <col min="2" max="2" width="9.140625" style="1"/>
    <col min="3" max="3" width="24" style="1" customWidth="1"/>
    <col min="4" max="4" width="15" style="323" customWidth="1"/>
    <col min="5" max="5" width="15.140625" style="324" customWidth="1"/>
    <col min="6" max="6" width="9.85546875" style="213" customWidth="1"/>
    <col min="7" max="8" width="4.140625" style="1" customWidth="1"/>
    <col min="9" max="9" width="9.28515625" style="1" customWidth="1"/>
    <col min="10" max="10" width="23.5703125" style="1" customWidth="1"/>
    <col min="11" max="11" width="14.140625" style="1" customWidth="1"/>
    <col min="12" max="12" width="15.42578125" style="1" customWidth="1"/>
    <col min="13" max="13" width="10.5703125" style="1" customWidth="1"/>
    <col min="14" max="14" width="4.140625" style="1" customWidth="1"/>
    <col min="15" max="15" width="1.7109375" style="6" customWidth="1"/>
    <col min="16" max="16" width="9.140625" style="1"/>
    <col min="17" max="17" width="24.5703125" style="8" bestFit="1" customWidth="1"/>
    <col min="18" max="18" width="7.85546875" style="8" customWidth="1"/>
    <col min="19" max="19" width="14" style="8" customWidth="1"/>
    <col min="20" max="20" width="9.140625" style="8"/>
    <col min="21" max="21" width="11.5703125" style="8" customWidth="1"/>
    <col min="22" max="22" width="9.140625" style="8"/>
    <col min="23" max="23" width="9.140625" style="6"/>
    <col min="24" max="16384" width="9.140625" style="1"/>
  </cols>
  <sheetData>
    <row r="1" spans="1:23" ht="15.75" x14ac:dyDescent="0.25">
      <c r="B1" s="104" t="s">
        <v>268</v>
      </c>
      <c r="O1" s="325"/>
      <c r="Q1" s="327"/>
      <c r="R1" s="327"/>
      <c r="S1" s="327"/>
    </row>
    <row r="2" spans="1:23" ht="13.5" thickBot="1" x14ac:dyDescent="0.25">
      <c r="E2" s="329"/>
      <c r="F2" s="226"/>
      <c r="G2" s="6"/>
      <c r="H2" s="6"/>
      <c r="I2" s="6"/>
      <c r="J2" s="6"/>
      <c r="K2" s="6"/>
      <c r="L2" s="6"/>
      <c r="M2" s="330"/>
      <c r="N2" s="6"/>
    </row>
    <row r="3" spans="1:23" ht="15.75" x14ac:dyDescent="0.25">
      <c r="A3" s="331" t="s">
        <v>295</v>
      </c>
      <c r="B3" s="332"/>
      <c r="C3" s="10"/>
      <c r="D3" s="333"/>
      <c r="E3" s="334"/>
      <c r="F3" s="335"/>
      <c r="H3" s="331" t="s">
        <v>296</v>
      </c>
      <c r="I3" s="332"/>
      <c r="J3" s="10"/>
      <c r="K3" s="333"/>
      <c r="L3" s="334"/>
      <c r="M3" s="335"/>
      <c r="O3" s="336"/>
      <c r="Q3" s="337" t="s">
        <v>269</v>
      </c>
      <c r="R3" s="326"/>
      <c r="S3" s="337" t="s">
        <v>270</v>
      </c>
      <c r="T3" s="326"/>
      <c r="U3" s="338" t="s">
        <v>271</v>
      </c>
    </row>
    <row r="4" spans="1:23" x14ac:dyDescent="0.2">
      <c r="A4" s="339"/>
      <c r="B4" s="314" t="s">
        <v>272</v>
      </c>
      <c r="C4" s="12"/>
      <c r="D4" s="318"/>
      <c r="E4" s="340"/>
      <c r="F4" s="341"/>
      <c r="H4" s="339"/>
      <c r="I4" s="314" t="s">
        <v>272</v>
      </c>
      <c r="J4" s="12"/>
      <c r="K4" s="318"/>
      <c r="L4" s="340"/>
      <c r="M4" s="342"/>
      <c r="O4" s="309"/>
      <c r="Q4" s="8" t="s">
        <v>299</v>
      </c>
      <c r="S4" s="343">
        <v>5380208</v>
      </c>
      <c r="U4" s="344">
        <v>2229954</v>
      </c>
    </row>
    <row r="5" spans="1:23" x14ac:dyDescent="0.2">
      <c r="A5" s="339"/>
      <c r="B5" s="314"/>
      <c r="C5" s="345" t="s">
        <v>273</v>
      </c>
      <c r="D5" s="346">
        <v>12056312</v>
      </c>
      <c r="E5" s="347" t="s">
        <v>274</v>
      </c>
      <c r="F5" s="348">
        <v>3693788</v>
      </c>
      <c r="H5" s="339"/>
      <c r="I5" s="314"/>
      <c r="J5" s="345" t="s">
        <v>273</v>
      </c>
      <c r="K5" s="346">
        <v>0</v>
      </c>
      <c r="L5" s="347" t="s">
        <v>274</v>
      </c>
      <c r="M5" s="348">
        <v>0</v>
      </c>
      <c r="O5" s="328"/>
      <c r="Q5" s="8" t="s">
        <v>300</v>
      </c>
      <c r="S5" s="343">
        <v>5541037</v>
      </c>
      <c r="U5" s="344">
        <v>1463834</v>
      </c>
    </row>
    <row r="6" spans="1:23" x14ac:dyDescent="0.2">
      <c r="A6" s="339"/>
      <c r="B6" s="314"/>
      <c r="C6" s="345" t="s">
        <v>275</v>
      </c>
      <c r="D6" s="349">
        <v>15941190</v>
      </c>
      <c r="E6" s="347" t="s">
        <v>276</v>
      </c>
      <c r="F6" s="350">
        <v>3693788</v>
      </c>
      <c r="H6" s="351"/>
      <c r="I6" s="314"/>
      <c r="J6" s="345" t="s">
        <v>275</v>
      </c>
      <c r="K6" s="349">
        <v>0</v>
      </c>
      <c r="L6" s="347" t="s">
        <v>276</v>
      </c>
      <c r="M6" s="350">
        <v>0</v>
      </c>
      <c r="O6" s="309"/>
      <c r="Q6" s="8" t="s">
        <v>301</v>
      </c>
      <c r="S6" s="343">
        <v>6676111</v>
      </c>
      <c r="U6" s="344">
        <v>1463834</v>
      </c>
    </row>
    <row r="7" spans="1:23" x14ac:dyDescent="0.2">
      <c r="A7" s="339"/>
      <c r="B7" s="314"/>
      <c r="C7" s="12"/>
      <c r="D7" s="352">
        <f>D5-D6</f>
        <v>-3884878</v>
      </c>
      <c r="E7" s="340"/>
      <c r="F7" s="342">
        <f>-F5+F6</f>
        <v>0</v>
      </c>
      <c r="H7" s="351"/>
      <c r="I7" s="314"/>
      <c r="J7" s="12"/>
      <c r="K7" s="352">
        <f>K5-K6</f>
        <v>0</v>
      </c>
      <c r="L7" s="340"/>
      <c r="M7" s="342">
        <f>-M5+M6</f>
        <v>0</v>
      </c>
      <c r="O7" s="309"/>
      <c r="Q7" s="8" t="s">
        <v>302</v>
      </c>
      <c r="S7" s="357">
        <v>10400164</v>
      </c>
      <c r="U7" s="358">
        <v>2229954</v>
      </c>
    </row>
    <row r="8" spans="1:23" x14ac:dyDescent="0.2">
      <c r="A8" s="339"/>
      <c r="B8" s="314"/>
      <c r="C8" s="12"/>
      <c r="D8" s="352"/>
      <c r="E8" s="340"/>
      <c r="F8" s="341"/>
      <c r="H8" s="351"/>
      <c r="I8" s="314"/>
      <c r="J8" s="12"/>
      <c r="K8" s="352"/>
      <c r="L8" s="340"/>
      <c r="M8" s="342"/>
      <c r="Q8" s="1"/>
      <c r="R8" s="1"/>
      <c r="S8" s="213">
        <f>S4-S5+S6-S7</f>
        <v>-3884882</v>
      </c>
      <c r="T8" s="1"/>
      <c r="U8" s="302">
        <f>-U4+U5-U6+U7</f>
        <v>0</v>
      </c>
    </row>
    <row r="9" spans="1:23" x14ac:dyDescent="0.2">
      <c r="A9" s="339"/>
      <c r="B9" s="314" t="s">
        <v>277</v>
      </c>
      <c r="C9" s="12"/>
      <c r="D9" s="346">
        <v>0</v>
      </c>
      <c r="E9" s="340"/>
      <c r="F9" s="341"/>
      <c r="H9" s="351"/>
      <c r="I9" s="314" t="s">
        <v>277</v>
      </c>
      <c r="J9" s="12"/>
      <c r="K9" s="346">
        <v>0</v>
      </c>
      <c r="L9" s="340"/>
      <c r="M9" s="341"/>
      <c r="Q9" s="1"/>
      <c r="R9" s="1"/>
      <c r="S9" s="6"/>
      <c r="T9" s="1"/>
      <c r="U9" s="6"/>
    </row>
    <row r="10" spans="1:23" x14ac:dyDescent="0.2">
      <c r="A10" s="339"/>
      <c r="B10" s="314" t="s">
        <v>278</v>
      </c>
      <c r="C10" s="12"/>
      <c r="D10" s="346">
        <v>0</v>
      </c>
      <c r="E10" s="340"/>
      <c r="F10" s="341"/>
      <c r="H10" s="351"/>
      <c r="I10" s="314" t="s">
        <v>278</v>
      </c>
      <c r="J10" s="12"/>
      <c r="K10" s="346">
        <v>0</v>
      </c>
      <c r="L10" s="340"/>
      <c r="M10" s="341"/>
      <c r="Q10" s="359" t="s">
        <v>26</v>
      </c>
      <c r="R10" s="360"/>
      <c r="S10" s="361"/>
      <c r="T10" s="360"/>
      <c r="U10" s="362"/>
    </row>
    <row r="11" spans="1:23" x14ac:dyDescent="0.2">
      <c r="A11" s="339">
        <v>24</v>
      </c>
      <c r="B11" s="314" t="s">
        <v>279</v>
      </c>
      <c r="C11" s="12"/>
      <c r="D11" s="352">
        <f>D9-D10</f>
        <v>0</v>
      </c>
      <c r="E11" s="340"/>
      <c r="F11" s="341"/>
      <c r="H11" s="351">
        <v>24</v>
      </c>
      <c r="I11" s="314" t="s">
        <v>279</v>
      </c>
      <c r="J11" s="12"/>
      <c r="K11" s="352">
        <f>K9-K10</f>
        <v>0</v>
      </c>
      <c r="L11" s="340"/>
      <c r="M11" s="341"/>
      <c r="O11" s="325"/>
      <c r="Q11" s="363" t="s">
        <v>269</v>
      </c>
      <c r="R11" s="364"/>
      <c r="S11" s="365">
        <f>S8</f>
        <v>-3884882</v>
      </c>
      <c r="T11" s="364"/>
      <c r="U11" s="366">
        <f>U8</f>
        <v>0</v>
      </c>
    </row>
    <row r="12" spans="1:23" x14ac:dyDescent="0.2">
      <c r="A12" s="351"/>
      <c r="B12" s="314"/>
      <c r="C12" s="12"/>
      <c r="D12" s="352"/>
      <c r="E12" s="340" t="s">
        <v>27</v>
      </c>
      <c r="F12" s="341"/>
      <c r="H12" s="351"/>
      <c r="I12" s="314"/>
      <c r="J12" s="12"/>
      <c r="K12" s="352"/>
      <c r="L12" s="340" t="s">
        <v>27</v>
      </c>
      <c r="M12" s="341"/>
      <c r="O12" s="325"/>
      <c r="Q12" s="367" t="s">
        <v>291</v>
      </c>
      <c r="R12" s="368"/>
      <c r="S12" s="369">
        <f>D7</f>
        <v>-3884878</v>
      </c>
      <c r="T12" s="368"/>
      <c r="U12" s="370">
        <f>F7</f>
        <v>0</v>
      </c>
    </row>
    <row r="13" spans="1:23" x14ac:dyDescent="0.2">
      <c r="A13" s="351"/>
      <c r="B13" s="314" t="s">
        <v>280</v>
      </c>
      <c r="C13" s="12"/>
      <c r="D13" s="346">
        <v>0</v>
      </c>
      <c r="E13" s="340"/>
      <c r="F13" s="341"/>
      <c r="H13" s="351"/>
      <c r="I13" s="314" t="s">
        <v>280</v>
      </c>
      <c r="J13" s="12"/>
      <c r="K13" s="346">
        <v>0</v>
      </c>
      <c r="L13" s="340"/>
      <c r="M13" s="341"/>
      <c r="Q13" s="367"/>
      <c r="R13" s="368"/>
      <c r="S13" s="371">
        <f>+S11-S12</f>
        <v>-4</v>
      </c>
      <c r="T13" s="360"/>
      <c r="U13" s="372">
        <f>+U11-U12</f>
        <v>0</v>
      </c>
    </row>
    <row r="14" spans="1:23" x14ac:dyDescent="0.2">
      <c r="A14" s="351"/>
      <c r="B14" s="314" t="s">
        <v>281</v>
      </c>
      <c r="C14" s="12"/>
      <c r="D14" s="346">
        <v>0</v>
      </c>
      <c r="E14" s="340"/>
      <c r="F14" s="341"/>
      <c r="H14" s="351"/>
      <c r="I14" s="314" t="s">
        <v>281</v>
      </c>
      <c r="J14" s="12"/>
      <c r="K14" s="346">
        <v>0</v>
      </c>
      <c r="L14" s="340"/>
      <c r="M14" s="341"/>
      <c r="Q14" s="353"/>
      <c r="R14" s="353"/>
      <c r="S14" s="326"/>
    </row>
    <row r="15" spans="1:23" x14ac:dyDescent="0.2">
      <c r="A15" s="351">
        <v>24</v>
      </c>
      <c r="B15" s="314" t="s">
        <v>282</v>
      </c>
      <c r="C15" s="12"/>
      <c r="D15" s="352">
        <f>+D13-D14</f>
        <v>0</v>
      </c>
      <c r="E15" s="340"/>
      <c r="F15" s="341"/>
      <c r="H15" s="351">
        <v>24</v>
      </c>
      <c r="I15" s="314" t="s">
        <v>282</v>
      </c>
      <c r="J15" s="12"/>
      <c r="K15" s="352">
        <f>+K13-K14</f>
        <v>0</v>
      </c>
      <c r="L15" s="340"/>
      <c r="M15" s="341"/>
      <c r="Q15" s="337" t="s">
        <v>269</v>
      </c>
      <c r="R15" s="326"/>
      <c r="S15" s="337" t="s">
        <v>270</v>
      </c>
      <c r="T15" s="326"/>
      <c r="U15" s="338" t="s">
        <v>271</v>
      </c>
    </row>
    <row r="16" spans="1:23" x14ac:dyDescent="0.2">
      <c r="A16" s="351"/>
      <c r="B16" s="314"/>
      <c r="C16" s="12"/>
      <c r="D16" s="352"/>
      <c r="E16" s="340"/>
      <c r="F16" s="341"/>
      <c r="H16" s="351"/>
      <c r="I16" s="314"/>
      <c r="J16" s="12"/>
      <c r="K16" s="352"/>
      <c r="L16" s="340"/>
      <c r="M16" s="341"/>
      <c r="P16" s="326"/>
      <c r="Q16" s="8" t="s">
        <v>303</v>
      </c>
      <c r="S16" s="343">
        <v>0</v>
      </c>
      <c r="U16" s="344">
        <v>0</v>
      </c>
      <c r="V16" s="1"/>
      <c r="W16" s="1"/>
    </row>
    <row r="17" spans="1:23" x14ac:dyDescent="0.2">
      <c r="A17" s="351"/>
      <c r="B17" s="314" t="s">
        <v>283</v>
      </c>
      <c r="C17" s="12"/>
      <c r="D17" s="352">
        <f>F7*F17</f>
        <v>0</v>
      </c>
      <c r="E17" s="354" t="s">
        <v>28</v>
      </c>
      <c r="F17" s="355">
        <v>4.5</v>
      </c>
      <c r="H17" s="351"/>
      <c r="I17" s="314" t="s">
        <v>283</v>
      </c>
      <c r="J17" s="12"/>
      <c r="K17" s="352">
        <f>M7*M17</f>
        <v>0</v>
      </c>
      <c r="L17" s="354" t="s">
        <v>28</v>
      </c>
      <c r="M17" s="356">
        <f>F17</f>
        <v>4.5</v>
      </c>
      <c r="P17" s="326"/>
      <c r="Q17" s="8" t="s">
        <v>304</v>
      </c>
      <c r="S17" s="343">
        <v>0</v>
      </c>
      <c r="U17" s="344">
        <v>0</v>
      </c>
      <c r="V17" s="1"/>
      <c r="W17" s="1"/>
    </row>
    <row r="18" spans="1:23" x14ac:dyDescent="0.2">
      <c r="A18" s="351"/>
      <c r="B18" s="314"/>
      <c r="C18" s="12"/>
      <c r="D18" s="352"/>
      <c r="E18" s="340"/>
      <c r="F18" s="341"/>
      <c r="H18" s="351"/>
      <c r="I18" s="314"/>
      <c r="J18" s="12"/>
      <c r="K18" s="352"/>
      <c r="L18" s="340"/>
      <c r="M18" s="341"/>
      <c r="P18" s="8"/>
      <c r="Q18" s="8" t="s">
        <v>305</v>
      </c>
      <c r="S18" s="343">
        <v>0</v>
      </c>
      <c r="U18" s="344">
        <v>0</v>
      </c>
      <c r="V18" s="1"/>
      <c r="W18" s="1"/>
    </row>
    <row r="19" spans="1:23" x14ac:dyDescent="0.2">
      <c r="A19" s="351"/>
      <c r="B19" s="314" t="s">
        <v>29</v>
      </c>
      <c r="C19" s="12"/>
      <c r="D19" s="346">
        <v>0</v>
      </c>
      <c r="E19" s="340"/>
      <c r="F19" s="341"/>
      <c r="H19" s="351"/>
      <c r="I19" s="314" t="s">
        <v>29</v>
      </c>
      <c r="J19" s="12"/>
      <c r="K19" s="346">
        <v>0</v>
      </c>
      <c r="L19" s="340"/>
      <c r="M19" s="341"/>
      <c r="P19" s="8"/>
      <c r="Q19" s="8" t="s">
        <v>306</v>
      </c>
      <c r="S19" s="357">
        <v>0</v>
      </c>
      <c r="U19" s="358">
        <v>0</v>
      </c>
      <c r="V19" s="1"/>
      <c r="W19" s="1"/>
    </row>
    <row r="20" spans="1:23" x14ac:dyDescent="0.2">
      <c r="A20" s="351"/>
      <c r="B20" s="314" t="s">
        <v>284</v>
      </c>
      <c r="C20" s="12"/>
      <c r="D20" s="346">
        <v>0</v>
      </c>
      <c r="E20" s="340"/>
      <c r="F20" s="341"/>
      <c r="H20" s="351"/>
      <c r="I20" s="314" t="s">
        <v>284</v>
      </c>
      <c r="J20" s="12"/>
      <c r="K20" s="346">
        <v>0</v>
      </c>
      <c r="L20" s="340"/>
      <c r="M20" s="341"/>
      <c r="O20" s="1"/>
      <c r="P20" s="8"/>
      <c r="Q20" s="1"/>
      <c r="R20" s="1"/>
      <c r="S20" s="213">
        <f>S16-S17+S18-S19</f>
        <v>0</v>
      </c>
      <c r="T20" s="1"/>
      <c r="U20" s="302">
        <f>-U16+U17-U18+U19</f>
        <v>0</v>
      </c>
      <c r="V20" s="1"/>
      <c r="W20" s="1"/>
    </row>
    <row r="21" spans="1:23" x14ac:dyDescent="0.2">
      <c r="A21" s="351"/>
      <c r="B21" s="314" t="s">
        <v>285</v>
      </c>
      <c r="C21" s="12"/>
      <c r="D21" s="352">
        <f>D19-D20</f>
        <v>0</v>
      </c>
      <c r="E21" s="340"/>
      <c r="F21" s="341"/>
      <c r="H21" s="351"/>
      <c r="I21" s="314" t="s">
        <v>285</v>
      </c>
      <c r="J21" s="12"/>
      <c r="K21" s="352">
        <f>K19-K20</f>
        <v>0</v>
      </c>
      <c r="L21" s="340"/>
      <c r="M21" s="341"/>
      <c r="P21" s="8"/>
      <c r="Q21" s="1"/>
      <c r="R21" s="1"/>
      <c r="S21" s="6"/>
      <c r="T21" s="1"/>
      <c r="U21" s="6"/>
      <c r="V21" s="1"/>
      <c r="W21" s="1"/>
    </row>
    <row r="22" spans="1:23" x14ac:dyDescent="0.2">
      <c r="A22" s="351"/>
      <c r="B22" s="314"/>
      <c r="C22" s="12"/>
      <c r="D22" s="352"/>
      <c r="E22" s="340"/>
      <c r="F22" s="341"/>
      <c r="H22" s="351"/>
      <c r="I22" s="314"/>
      <c r="J22" s="12"/>
      <c r="K22" s="352"/>
      <c r="L22" s="340"/>
      <c r="M22" s="341"/>
      <c r="O22" s="8"/>
      <c r="P22" s="8"/>
      <c r="Q22" s="359" t="s">
        <v>26</v>
      </c>
      <c r="R22" s="360"/>
      <c r="S22" s="361"/>
      <c r="T22" s="360"/>
      <c r="U22" s="362"/>
      <c r="V22" s="1"/>
      <c r="W22" s="1"/>
    </row>
    <row r="23" spans="1:23" x14ac:dyDescent="0.2">
      <c r="A23" s="351"/>
      <c r="B23" s="314" t="s">
        <v>286</v>
      </c>
      <c r="C23" s="12"/>
      <c r="D23" s="352">
        <f>-[2]Other!E6</f>
        <v>0</v>
      </c>
      <c r="E23" s="340"/>
      <c r="F23" s="341"/>
      <c r="H23" s="351"/>
      <c r="I23" s="314" t="s">
        <v>286</v>
      </c>
      <c r="J23" s="12"/>
      <c r="K23" s="352">
        <f>+-[2]Other!E27</f>
        <v>0</v>
      </c>
      <c r="L23" s="340"/>
      <c r="M23" s="341"/>
      <c r="O23" s="302"/>
      <c r="P23" s="8"/>
      <c r="Q23" s="363" t="s">
        <v>269</v>
      </c>
      <c r="R23" s="364"/>
      <c r="S23" s="365">
        <f>S20</f>
        <v>0</v>
      </c>
      <c r="T23" s="364"/>
      <c r="U23" s="366">
        <f>U20</f>
        <v>0</v>
      </c>
      <c r="V23" s="1"/>
      <c r="W23" s="1"/>
    </row>
    <row r="24" spans="1:23" x14ac:dyDescent="0.2">
      <c r="A24" s="351"/>
      <c r="B24" s="314"/>
      <c r="C24" s="12"/>
      <c r="D24" s="352"/>
      <c r="E24" s="340"/>
      <c r="F24" s="341"/>
      <c r="H24" s="351"/>
      <c r="I24" s="314"/>
      <c r="J24" s="12"/>
      <c r="K24" s="352"/>
      <c r="L24" s="340"/>
      <c r="M24" s="341"/>
      <c r="O24" s="302"/>
      <c r="P24" s="8"/>
      <c r="Q24" s="367" t="s">
        <v>291</v>
      </c>
      <c r="R24" s="368"/>
      <c r="S24" s="369">
        <f>K7</f>
        <v>0</v>
      </c>
      <c r="T24" s="368"/>
      <c r="U24" s="370">
        <f>M7</f>
        <v>0</v>
      </c>
      <c r="V24" s="1"/>
      <c r="W24" s="1"/>
    </row>
    <row r="25" spans="1:23" x14ac:dyDescent="0.2">
      <c r="A25" s="351"/>
      <c r="B25" s="314" t="s">
        <v>287</v>
      </c>
      <c r="C25" s="12"/>
      <c r="D25" s="352">
        <f>D7+D17-D21+D23</f>
        <v>-3884878</v>
      </c>
      <c r="E25" s="340" t="s">
        <v>288</v>
      </c>
      <c r="F25" s="341"/>
      <c r="H25" s="351"/>
      <c r="I25" s="314" t="s">
        <v>287</v>
      </c>
      <c r="J25" s="12"/>
      <c r="K25" s="352">
        <f>K7+K17-K21+K23</f>
        <v>0</v>
      </c>
      <c r="L25" s="340"/>
      <c r="M25" s="341"/>
      <c r="P25" s="8"/>
      <c r="Q25" s="367"/>
      <c r="R25" s="368"/>
      <c r="S25" s="371">
        <f>+S23-S24</f>
        <v>0</v>
      </c>
      <c r="T25" s="360"/>
      <c r="U25" s="372">
        <f>+U23-U24</f>
        <v>0</v>
      </c>
      <c r="V25" s="1"/>
      <c r="W25" s="1"/>
    </row>
    <row r="26" spans="1:23" x14ac:dyDescent="0.2">
      <c r="A26" s="351">
        <v>31</v>
      </c>
      <c r="B26" s="314" t="s">
        <v>192</v>
      </c>
      <c r="C26" s="12"/>
      <c r="D26" s="346">
        <v>-540427</v>
      </c>
      <c r="F26" s="341">
        <v>0</v>
      </c>
      <c r="H26" s="351">
        <v>31</v>
      </c>
      <c r="I26" s="314" t="s">
        <v>192</v>
      </c>
      <c r="J26" s="12"/>
      <c r="K26" s="346">
        <v>0</v>
      </c>
      <c r="L26" s="340" t="s">
        <v>288</v>
      </c>
      <c r="M26" s="341">
        <v>0</v>
      </c>
      <c r="O26" s="302"/>
      <c r="P26" s="8"/>
      <c r="T26" s="6"/>
      <c r="U26" s="6"/>
      <c r="V26" s="1"/>
      <c r="W26" s="1"/>
    </row>
    <row r="27" spans="1:23" x14ac:dyDescent="0.2">
      <c r="A27" s="351"/>
      <c r="B27" s="12"/>
      <c r="C27" s="12"/>
      <c r="D27" s="322"/>
      <c r="E27" s="340"/>
      <c r="F27" s="341"/>
      <c r="H27" s="351"/>
      <c r="I27" s="12"/>
      <c r="J27" s="12"/>
      <c r="K27" s="322"/>
      <c r="L27" s="340"/>
      <c r="M27" s="341"/>
      <c r="O27" s="302"/>
      <c r="P27" s="8"/>
      <c r="Q27" s="337" t="s">
        <v>269</v>
      </c>
      <c r="R27" s="326"/>
      <c r="S27" s="337" t="s">
        <v>270</v>
      </c>
      <c r="T27" s="326"/>
      <c r="U27" s="338" t="s">
        <v>271</v>
      </c>
      <c r="V27" s="1"/>
      <c r="W27" s="1"/>
    </row>
    <row r="28" spans="1:23" x14ac:dyDescent="0.2">
      <c r="A28" s="351"/>
      <c r="B28" s="314" t="s">
        <v>289</v>
      </c>
      <c r="C28" s="12"/>
      <c r="D28" s="352">
        <v>0</v>
      </c>
      <c r="E28" s="340"/>
      <c r="F28" s="341"/>
      <c r="H28" s="351"/>
      <c r="I28" s="314" t="s">
        <v>289</v>
      </c>
      <c r="J28" s="12"/>
      <c r="K28" s="352">
        <v>0</v>
      </c>
      <c r="L28" s="340"/>
      <c r="M28" s="341"/>
      <c r="O28" s="302"/>
      <c r="P28" s="8"/>
      <c r="Q28" s="8" t="s">
        <v>307</v>
      </c>
      <c r="S28" s="343">
        <v>3065279</v>
      </c>
      <c r="U28" s="344">
        <v>631084</v>
      </c>
      <c r="V28" s="1"/>
      <c r="W28" s="1"/>
    </row>
    <row r="29" spans="1:23" x14ac:dyDescent="0.2">
      <c r="A29" s="351"/>
      <c r="B29" s="314" t="s">
        <v>290</v>
      </c>
      <c r="C29" s="12"/>
      <c r="D29" s="352">
        <v>0</v>
      </c>
      <c r="E29" s="340"/>
      <c r="F29" s="341"/>
      <c r="H29" s="351"/>
      <c r="I29" s="314" t="s">
        <v>290</v>
      </c>
      <c r="J29" s="12"/>
      <c r="K29" s="352">
        <v>0</v>
      </c>
      <c r="L29" s="340"/>
      <c r="M29" s="341"/>
      <c r="P29" s="8"/>
      <c r="Q29" s="8" t="s">
        <v>308</v>
      </c>
      <c r="S29" s="343">
        <v>6418451</v>
      </c>
      <c r="U29" s="344">
        <v>1347982</v>
      </c>
      <c r="V29" s="1"/>
      <c r="W29" s="1"/>
    </row>
    <row r="30" spans="1:23" x14ac:dyDescent="0.2">
      <c r="A30" s="351"/>
      <c r="B30" s="314" t="s">
        <v>292</v>
      </c>
      <c r="C30" s="12"/>
      <c r="D30" s="352">
        <v>0</v>
      </c>
      <c r="E30" s="340"/>
      <c r="F30" s="341"/>
      <c r="H30" s="351"/>
      <c r="I30" s="314" t="s">
        <v>292</v>
      </c>
      <c r="J30" s="12"/>
      <c r="K30" s="352">
        <v>0</v>
      </c>
      <c r="L30" s="340"/>
      <c r="M30" s="341"/>
      <c r="Q30" s="8" t="s">
        <v>309</v>
      </c>
      <c r="S30" s="343">
        <v>5037919</v>
      </c>
      <c r="U30" s="344">
        <v>1071148</v>
      </c>
    </row>
    <row r="31" spans="1:23" x14ac:dyDescent="0.2">
      <c r="A31" s="351">
        <v>30</v>
      </c>
      <c r="B31" s="314" t="s">
        <v>293</v>
      </c>
      <c r="C31" s="12"/>
      <c r="D31" s="352">
        <f>D28+D29-D30</f>
        <v>0</v>
      </c>
      <c r="E31" s="340"/>
      <c r="F31" s="341"/>
      <c r="H31" s="351">
        <v>30</v>
      </c>
      <c r="I31" s="314" t="s">
        <v>293</v>
      </c>
      <c r="J31" s="12"/>
      <c r="K31" s="352">
        <f>K28+K29-K30</f>
        <v>0</v>
      </c>
      <c r="L31" s="340"/>
      <c r="M31" s="341"/>
      <c r="Q31" s="8" t="s">
        <v>310</v>
      </c>
      <c r="S31" s="357">
        <v>1816225</v>
      </c>
      <c r="U31" s="358">
        <v>373418</v>
      </c>
    </row>
    <row r="32" spans="1:23" x14ac:dyDescent="0.2">
      <c r="A32" s="351"/>
      <c r="B32" s="314"/>
      <c r="C32" s="12"/>
      <c r="D32" s="352"/>
      <c r="E32" s="340"/>
      <c r="F32" s="341"/>
      <c r="H32" s="351"/>
      <c r="I32" s="314"/>
      <c r="J32" s="12"/>
      <c r="K32" s="352"/>
      <c r="L32" s="340"/>
      <c r="M32" s="341"/>
      <c r="Q32" s="1"/>
      <c r="R32" s="1"/>
      <c r="S32" s="213">
        <f>S28-S29+S30-S31</f>
        <v>-131478</v>
      </c>
      <c r="T32" s="1"/>
      <c r="U32" s="302">
        <f>-U28+U29-U30+U31</f>
        <v>19168</v>
      </c>
    </row>
    <row r="33" spans="1:21" x14ac:dyDescent="0.2">
      <c r="A33" s="351">
        <v>31</v>
      </c>
      <c r="B33" s="314" t="s">
        <v>294</v>
      </c>
      <c r="C33" s="12"/>
      <c r="D33" s="352">
        <v>268012</v>
      </c>
      <c r="E33" s="340"/>
      <c r="F33" s="341"/>
      <c r="H33" s="351">
        <v>31</v>
      </c>
      <c r="I33" s="314" t="s">
        <v>294</v>
      </c>
      <c r="J33" s="12"/>
      <c r="K33" s="352">
        <v>0</v>
      </c>
      <c r="L33" s="340"/>
      <c r="M33" s="341"/>
      <c r="Q33" s="1"/>
      <c r="R33" s="1"/>
      <c r="S33" s="6"/>
      <c r="T33" s="1"/>
      <c r="U33" s="6"/>
    </row>
    <row r="34" spans="1:21" x14ac:dyDescent="0.2">
      <c r="A34" s="351">
        <v>34</v>
      </c>
      <c r="B34" s="314" t="s">
        <v>7</v>
      </c>
      <c r="C34" s="12"/>
      <c r="D34" s="352">
        <v>0</v>
      </c>
      <c r="E34" s="321"/>
      <c r="F34" s="341"/>
      <c r="H34" s="351">
        <v>34</v>
      </c>
      <c r="I34" s="314" t="s">
        <v>7</v>
      </c>
      <c r="J34" s="12"/>
      <c r="K34" s="352">
        <v>0</v>
      </c>
      <c r="L34" s="321"/>
      <c r="M34" s="341"/>
      <c r="Q34" s="359" t="s">
        <v>26</v>
      </c>
      <c r="R34" s="360"/>
      <c r="S34" s="361"/>
      <c r="T34" s="360"/>
      <c r="U34" s="362"/>
    </row>
    <row r="35" spans="1:21" ht="13.5" thickBot="1" x14ac:dyDescent="0.25">
      <c r="A35" s="74">
        <v>35</v>
      </c>
      <c r="B35" s="313" t="s">
        <v>30</v>
      </c>
      <c r="C35" s="13"/>
      <c r="D35" s="310">
        <v>0</v>
      </c>
      <c r="E35" s="373"/>
      <c r="F35" s="374"/>
      <c r="H35" s="74">
        <v>35</v>
      </c>
      <c r="I35" s="313" t="s">
        <v>30</v>
      </c>
      <c r="J35" s="13"/>
      <c r="K35" s="375">
        <v>0</v>
      </c>
      <c r="L35" s="373"/>
      <c r="M35" s="374"/>
      <c r="Q35" s="363" t="s">
        <v>269</v>
      </c>
      <c r="R35" s="364"/>
      <c r="S35" s="365">
        <f>S32</f>
        <v>-131478</v>
      </c>
      <c r="T35" s="364"/>
      <c r="U35" s="366">
        <f>U32</f>
        <v>19168</v>
      </c>
    </row>
    <row r="36" spans="1:21" ht="13.5" thickBot="1" x14ac:dyDescent="0.25">
      <c r="F36" s="376"/>
      <c r="Q36" s="367" t="s">
        <v>291</v>
      </c>
      <c r="R36" s="368"/>
      <c r="S36" s="369">
        <f>D41</f>
        <v>-131479</v>
      </c>
      <c r="T36" s="368"/>
      <c r="U36" s="370">
        <f>F41</f>
        <v>19168</v>
      </c>
    </row>
    <row r="37" spans="1:21" ht="15.75" x14ac:dyDescent="0.25">
      <c r="A37" s="331" t="s">
        <v>297</v>
      </c>
      <c r="B37" s="332"/>
      <c r="C37" s="10"/>
      <c r="D37" s="333"/>
      <c r="E37" s="334"/>
      <c r="F37" s="335"/>
      <c r="H37" s="331" t="s">
        <v>298</v>
      </c>
      <c r="I37" s="332"/>
      <c r="J37" s="10"/>
      <c r="K37" s="333"/>
      <c r="L37" s="334"/>
      <c r="M37" s="335"/>
      <c r="Q37" s="367"/>
      <c r="R37" s="368"/>
      <c r="S37" s="371">
        <f>+S35-S36</f>
        <v>1</v>
      </c>
      <c r="T37" s="360"/>
      <c r="U37" s="372">
        <f>+U35-U36</f>
        <v>0</v>
      </c>
    </row>
    <row r="38" spans="1:21" x14ac:dyDescent="0.2">
      <c r="A38" s="339"/>
      <c r="B38" s="314" t="s">
        <v>272</v>
      </c>
      <c r="C38" s="12"/>
      <c r="D38" s="318"/>
      <c r="E38" s="340"/>
      <c r="F38" s="342"/>
      <c r="H38" s="339"/>
      <c r="I38" s="314" t="s">
        <v>272</v>
      </c>
      <c r="J38" s="12"/>
      <c r="K38" s="318"/>
      <c r="L38" s="340"/>
      <c r="M38" s="342"/>
    </row>
    <row r="39" spans="1:21" x14ac:dyDescent="0.2">
      <c r="A39" s="339"/>
      <c r="B39" s="314"/>
      <c r="C39" s="345" t="s">
        <v>273</v>
      </c>
      <c r="D39" s="346">
        <v>8103199</v>
      </c>
      <c r="E39" s="347" t="s">
        <v>274</v>
      </c>
      <c r="F39" s="348">
        <v>1702232</v>
      </c>
      <c r="H39" s="339"/>
      <c r="I39" s="314"/>
      <c r="J39" s="345" t="s">
        <v>273</v>
      </c>
      <c r="K39" s="346">
        <v>0</v>
      </c>
      <c r="L39" s="347" t="s">
        <v>274</v>
      </c>
      <c r="M39" s="348">
        <v>0</v>
      </c>
      <c r="Q39" s="337" t="s">
        <v>269</v>
      </c>
      <c r="R39" s="326"/>
      <c r="S39" s="337" t="s">
        <v>270</v>
      </c>
      <c r="T39" s="326"/>
      <c r="U39" s="338" t="s">
        <v>271</v>
      </c>
    </row>
    <row r="40" spans="1:21" x14ac:dyDescent="0.2">
      <c r="A40" s="339"/>
      <c r="B40" s="314"/>
      <c r="C40" s="345" t="s">
        <v>275</v>
      </c>
      <c r="D40" s="349">
        <v>8234678</v>
      </c>
      <c r="E40" s="347" t="s">
        <v>276</v>
      </c>
      <c r="F40" s="350">
        <v>1721400</v>
      </c>
      <c r="H40" s="339"/>
      <c r="I40" s="314"/>
      <c r="J40" s="345" t="s">
        <v>275</v>
      </c>
      <c r="K40" s="349">
        <v>0</v>
      </c>
      <c r="L40" s="347" t="s">
        <v>276</v>
      </c>
      <c r="M40" s="350">
        <v>0</v>
      </c>
      <c r="Q40" s="8" t="s">
        <v>311</v>
      </c>
      <c r="S40" s="343">
        <v>0</v>
      </c>
      <c r="U40" s="344">
        <v>0</v>
      </c>
    </row>
    <row r="41" spans="1:21" x14ac:dyDescent="0.2">
      <c r="A41" s="339"/>
      <c r="B41" s="314"/>
      <c r="C41" s="12"/>
      <c r="D41" s="352">
        <f>D39-D40</f>
        <v>-131479</v>
      </c>
      <c r="E41" s="340"/>
      <c r="F41" s="342">
        <f>-F39+F40</f>
        <v>19168</v>
      </c>
      <c r="H41" s="339"/>
      <c r="I41" s="314"/>
      <c r="J41" s="12"/>
      <c r="K41" s="352">
        <f>K39-K40</f>
        <v>0</v>
      </c>
      <c r="L41" s="340"/>
      <c r="M41" s="342">
        <f>-M39+M40</f>
        <v>0</v>
      </c>
      <c r="Q41" s="8" t="s">
        <v>312</v>
      </c>
      <c r="S41" s="343">
        <v>0</v>
      </c>
      <c r="U41" s="344">
        <v>0</v>
      </c>
    </row>
    <row r="42" spans="1:21" x14ac:dyDescent="0.2">
      <c r="A42" s="339"/>
      <c r="B42" s="314"/>
      <c r="C42" s="12"/>
      <c r="D42" s="352"/>
      <c r="E42" s="340"/>
      <c r="F42" s="341"/>
      <c r="H42" s="339"/>
      <c r="I42" s="314"/>
      <c r="J42" s="12"/>
      <c r="K42" s="352"/>
      <c r="L42" s="340"/>
      <c r="M42" s="341"/>
      <c r="Q42" s="8" t="s">
        <v>313</v>
      </c>
      <c r="S42" s="343">
        <v>0</v>
      </c>
      <c r="U42" s="344">
        <v>0</v>
      </c>
    </row>
    <row r="43" spans="1:21" x14ac:dyDescent="0.2">
      <c r="A43" s="339"/>
      <c r="B43" s="314" t="s">
        <v>277</v>
      </c>
      <c r="C43" s="12"/>
      <c r="D43" s="346">
        <v>0</v>
      </c>
      <c r="E43" s="340"/>
      <c r="F43" s="341"/>
      <c r="H43" s="339"/>
      <c r="I43" s="314" t="s">
        <v>277</v>
      </c>
      <c r="J43" s="12"/>
      <c r="K43" s="346">
        <v>0</v>
      </c>
      <c r="L43" s="340"/>
      <c r="M43" s="341"/>
      <c r="Q43" s="8" t="s">
        <v>314</v>
      </c>
      <c r="S43" s="357">
        <v>0</v>
      </c>
      <c r="U43" s="358">
        <v>0</v>
      </c>
    </row>
    <row r="44" spans="1:21" x14ac:dyDescent="0.2">
      <c r="A44" s="339"/>
      <c r="B44" s="314" t="s">
        <v>278</v>
      </c>
      <c r="C44" s="12"/>
      <c r="D44" s="346">
        <v>0</v>
      </c>
      <c r="E44" s="340"/>
      <c r="F44" s="341"/>
      <c r="H44" s="339"/>
      <c r="I44" s="314" t="s">
        <v>278</v>
      </c>
      <c r="J44" s="12"/>
      <c r="K44" s="346">
        <v>0</v>
      </c>
      <c r="L44" s="340"/>
      <c r="M44" s="341"/>
      <c r="Q44" s="1"/>
      <c r="R44" s="1"/>
      <c r="S44" s="213">
        <f>S40-S41+S42-S43</f>
        <v>0</v>
      </c>
      <c r="T44" s="1"/>
      <c r="U44" s="302">
        <f>-U40+U41-U42+U43</f>
        <v>0</v>
      </c>
    </row>
    <row r="45" spans="1:21" x14ac:dyDescent="0.2">
      <c r="A45" s="339">
        <v>24</v>
      </c>
      <c r="B45" s="314" t="s">
        <v>279</v>
      </c>
      <c r="C45" s="12"/>
      <c r="D45" s="352">
        <f>D43-D44</f>
        <v>0</v>
      </c>
      <c r="E45" s="340"/>
      <c r="F45" s="341"/>
      <c r="H45" s="339">
        <v>24</v>
      </c>
      <c r="I45" s="314" t="s">
        <v>279</v>
      </c>
      <c r="J45" s="12"/>
      <c r="K45" s="352">
        <f>K43-K44</f>
        <v>0</v>
      </c>
      <c r="L45" s="340"/>
      <c r="M45" s="341"/>
      <c r="Q45" s="1"/>
      <c r="R45" s="1"/>
      <c r="S45" s="6"/>
      <c r="T45" s="1"/>
      <c r="U45" s="6"/>
    </row>
    <row r="46" spans="1:21" x14ac:dyDescent="0.2">
      <c r="A46" s="339"/>
      <c r="B46" s="314"/>
      <c r="C46" s="12"/>
      <c r="D46" s="352"/>
      <c r="E46" s="340" t="s">
        <v>27</v>
      </c>
      <c r="F46" s="341"/>
      <c r="H46" s="339"/>
      <c r="I46" s="314"/>
      <c r="J46" s="12"/>
      <c r="K46" s="352"/>
      <c r="L46" s="340" t="s">
        <v>27</v>
      </c>
      <c r="M46" s="341"/>
      <c r="Q46" s="359" t="s">
        <v>26</v>
      </c>
      <c r="R46" s="360"/>
      <c r="S46" s="361"/>
      <c r="T46" s="360"/>
      <c r="U46" s="362"/>
    </row>
    <row r="47" spans="1:21" x14ac:dyDescent="0.2">
      <c r="A47" s="339"/>
      <c r="B47" s="314" t="s">
        <v>280</v>
      </c>
      <c r="C47" s="12"/>
      <c r="D47" s="346">
        <v>0</v>
      </c>
      <c r="E47" s="340"/>
      <c r="F47" s="341"/>
      <c r="H47" s="339"/>
      <c r="I47" s="314" t="s">
        <v>280</v>
      </c>
      <c r="J47" s="12"/>
      <c r="K47" s="346">
        <v>0</v>
      </c>
      <c r="L47" s="340"/>
      <c r="M47" s="341"/>
      <c r="Q47" s="363" t="s">
        <v>269</v>
      </c>
      <c r="R47" s="364"/>
      <c r="S47" s="365">
        <f>S44</f>
        <v>0</v>
      </c>
      <c r="T47" s="364"/>
      <c r="U47" s="366">
        <f>U44</f>
        <v>0</v>
      </c>
    </row>
    <row r="48" spans="1:21" x14ac:dyDescent="0.2">
      <c r="A48" s="339"/>
      <c r="B48" s="314" t="s">
        <v>281</v>
      </c>
      <c r="C48" s="12"/>
      <c r="D48" s="346">
        <v>0</v>
      </c>
      <c r="E48" s="340"/>
      <c r="F48" s="341"/>
      <c r="H48" s="339"/>
      <c r="I48" s="314" t="s">
        <v>281</v>
      </c>
      <c r="J48" s="12"/>
      <c r="K48" s="346">
        <v>0</v>
      </c>
      <c r="L48" s="340"/>
      <c r="M48" s="341"/>
      <c r="Q48" s="367" t="s">
        <v>291</v>
      </c>
      <c r="R48" s="368"/>
      <c r="S48" s="369">
        <f>K41</f>
        <v>0</v>
      </c>
      <c r="T48" s="368"/>
      <c r="U48" s="370">
        <f>M41</f>
        <v>0</v>
      </c>
    </row>
    <row r="49" spans="1:21" x14ac:dyDescent="0.2">
      <c r="A49" s="339">
        <v>24</v>
      </c>
      <c r="B49" s="314" t="s">
        <v>282</v>
      </c>
      <c r="C49" s="12"/>
      <c r="D49" s="352">
        <f>+D47-D48</f>
        <v>0</v>
      </c>
      <c r="E49" s="340"/>
      <c r="F49" s="341"/>
      <c r="H49" s="339">
        <v>24</v>
      </c>
      <c r="I49" s="314" t="s">
        <v>282</v>
      </c>
      <c r="J49" s="12"/>
      <c r="K49" s="352">
        <f>+K47-K48</f>
        <v>0</v>
      </c>
      <c r="L49" s="340"/>
      <c r="M49" s="341"/>
      <c r="Q49" s="367"/>
      <c r="R49" s="368"/>
      <c r="S49" s="371">
        <f>+S47-S48</f>
        <v>0</v>
      </c>
      <c r="T49" s="360"/>
      <c r="U49" s="372">
        <f>+U47-U48</f>
        <v>0</v>
      </c>
    </row>
    <row r="50" spans="1:21" x14ac:dyDescent="0.2">
      <c r="A50" s="339"/>
      <c r="B50" s="314"/>
      <c r="C50" s="12"/>
      <c r="D50" s="352"/>
      <c r="E50" s="340"/>
      <c r="F50" s="341"/>
      <c r="H50" s="339"/>
      <c r="I50" s="314"/>
      <c r="J50" s="12"/>
      <c r="K50" s="352"/>
      <c r="L50" s="340"/>
      <c r="M50" s="341"/>
    </row>
    <row r="51" spans="1:21" x14ac:dyDescent="0.2">
      <c r="A51" s="339"/>
      <c r="B51" s="314" t="s">
        <v>283</v>
      </c>
      <c r="C51" s="12"/>
      <c r="D51" s="352">
        <f>F41*F51</f>
        <v>86256</v>
      </c>
      <c r="E51" s="354" t="s">
        <v>28</v>
      </c>
      <c r="F51" s="355">
        <f>+F17</f>
        <v>4.5</v>
      </c>
      <c r="H51" s="339"/>
      <c r="I51" s="314" t="s">
        <v>283</v>
      </c>
      <c r="J51" s="12"/>
      <c r="K51" s="352">
        <f>M41*M51</f>
        <v>0</v>
      </c>
      <c r="L51" s="354" t="s">
        <v>28</v>
      </c>
      <c r="M51" s="356">
        <f>M17</f>
        <v>4.5</v>
      </c>
    </row>
    <row r="52" spans="1:21" x14ac:dyDescent="0.2">
      <c r="A52" s="339"/>
      <c r="B52" s="314"/>
      <c r="C52" s="12"/>
      <c r="D52" s="352"/>
      <c r="E52" s="340"/>
      <c r="F52" s="341"/>
      <c r="H52" s="339"/>
      <c r="I52" s="314"/>
      <c r="J52" s="12"/>
      <c r="K52" s="352"/>
      <c r="L52" s="340"/>
      <c r="M52" s="341"/>
      <c r="Q52" s="337" t="s">
        <v>269</v>
      </c>
      <c r="R52" s="326"/>
      <c r="S52" s="337" t="s">
        <v>270</v>
      </c>
      <c r="T52" s="326"/>
      <c r="U52" s="338" t="s">
        <v>271</v>
      </c>
    </row>
    <row r="53" spans="1:21" x14ac:dyDescent="0.2">
      <c r="A53" s="339"/>
      <c r="B53" s="314" t="s">
        <v>29</v>
      </c>
      <c r="C53" s="12"/>
      <c r="D53" s="346">
        <v>0</v>
      </c>
      <c r="E53" s="340"/>
      <c r="F53" s="341"/>
      <c r="H53" s="339"/>
      <c r="I53" s="314" t="s">
        <v>29</v>
      </c>
      <c r="J53" s="12"/>
      <c r="K53" s="346">
        <v>0</v>
      </c>
      <c r="L53" s="340"/>
      <c r="M53" s="341"/>
      <c r="Q53" s="8" t="s">
        <v>315</v>
      </c>
      <c r="S53" s="343">
        <f>S4+S16+S28+S40</f>
        <v>8445487</v>
      </c>
      <c r="U53" s="344">
        <f>U4+U16+U28+U40</f>
        <v>2861038</v>
      </c>
    </row>
    <row r="54" spans="1:21" x14ac:dyDescent="0.2">
      <c r="A54" s="339"/>
      <c r="B54" s="314" t="s">
        <v>284</v>
      </c>
      <c r="C54" s="12"/>
      <c r="D54" s="346">
        <v>0</v>
      </c>
      <c r="E54" s="340"/>
      <c r="F54" s="341"/>
      <c r="H54" s="339"/>
      <c r="I54" s="314" t="s">
        <v>284</v>
      </c>
      <c r="J54" s="12"/>
      <c r="K54" s="346">
        <v>0</v>
      </c>
      <c r="L54" s="340"/>
      <c r="M54" s="341"/>
      <c r="Q54" s="8" t="s">
        <v>316</v>
      </c>
      <c r="S54" s="343">
        <f>S5+S17+S29+S41</f>
        <v>11959488</v>
      </c>
      <c r="U54" s="344">
        <f>U5+U17+U29+U41</f>
        <v>2811816</v>
      </c>
    </row>
    <row r="55" spans="1:21" x14ac:dyDescent="0.2">
      <c r="A55" s="339"/>
      <c r="B55" s="314" t="s">
        <v>285</v>
      </c>
      <c r="C55" s="12"/>
      <c r="D55" s="352">
        <f>D53-D54</f>
        <v>0</v>
      </c>
      <c r="E55" s="340"/>
      <c r="F55" s="341"/>
      <c r="H55" s="339"/>
      <c r="I55" s="314" t="s">
        <v>285</v>
      </c>
      <c r="J55" s="12"/>
      <c r="K55" s="352">
        <f>K53-K54</f>
        <v>0</v>
      </c>
      <c r="L55" s="340"/>
      <c r="M55" s="341"/>
      <c r="Q55" s="8" t="s">
        <v>317</v>
      </c>
      <c r="S55" s="343">
        <f>S6+S18+S30+S42</f>
        <v>11714030</v>
      </c>
      <c r="U55" s="344">
        <f>U6+U18+U30+U42</f>
        <v>2534982</v>
      </c>
    </row>
    <row r="56" spans="1:21" x14ac:dyDescent="0.2">
      <c r="A56" s="339"/>
      <c r="B56" s="314"/>
      <c r="C56" s="12"/>
      <c r="D56" s="352"/>
      <c r="E56" s="340"/>
      <c r="F56" s="341"/>
      <c r="H56" s="339"/>
      <c r="I56" s="314"/>
      <c r="J56" s="12"/>
      <c r="K56" s="352"/>
      <c r="L56" s="340"/>
      <c r="M56" s="341"/>
      <c r="Q56" s="8" t="s">
        <v>318</v>
      </c>
      <c r="S56" s="357">
        <f>+S7+S19+S31+S43</f>
        <v>12216389</v>
      </c>
      <c r="U56" s="358">
        <f>U7+U19+U31+U43</f>
        <v>2603372</v>
      </c>
    </row>
    <row r="57" spans="1:21" x14ac:dyDescent="0.2">
      <c r="A57" s="339"/>
      <c r="B57" s="314" t="s">
        <v>286</v>
      </c>
      <c r="C57" s="12"/>
      <c r="D57" s="352">
        <f>-[2]Other!E20</f>
        <v>0</v>
      </c>
      <c r="E57" s="340"/>
      <c r="F57" s="341"/>
      <c r="H57" s="339"/>
      <c r="I57" s="314" t="s">
        <v>286</v>
      </c>
      <c r="J57" s="12"/>
      <c r="K57" s="352">
        <f>-[2]Other!L20</f>
        <v>0</v>
      </c>
      <c r="L57" s="340"/>
      <c r="M57" s="341"/>
      <c r="Q57" s="1"/>
      <c r="R57" s="1"/>
      <c r="S57" s="213">
        <f>S53-S54+S55-S56</f>
        <v>-4016360</v>
      </c>
      <c r="T57" s="1"/>
      <c r="U57" s="302">
        <f>-U53+U54-U55+U56</f>
        <v>19168</v>
      </c>
    </row>
    <row r="58" spans="1:21" x14ac:dyDescent="0.2">
      <c r="A58" s="339"/>
      <c r="B58" s="314"/>
      <c r="C58" s="12"/>
      <c r="D58" s="352"/>
      <c r="E58" s="340"/>
      <c r="F58" s="341"/>
      <c r="H58" s="339"/>
      <c r="I58" s="314"/>
      <c r="J58" s="12"/>
      <c r="K58" s="352"/>
      <c r="L58" s="340"/>
      <c r="M58" s="341"/>
      <c r="Q58" s="1"/>
      <c r="R58" s="1"/>
      <c r="S58" s="6"/>
      <c r="T58" s="1"/>
      <c r="U58" s="6"/>
    </row>
    <row r="59" spans="1:21" x14ac:dyDescent="0.2">
      <c r="A59" s="339"/>
      <c r="B59" s="314" t="s">
        <v>287</v>
      </c>
      <c r="C59" s="12"/>
      <c r="D59" s="352">
        <f>D41+D51-D55+D57</f>
        <v>-45223</v>
      </c>
      <c r="E59" s="340"/>
      <c r="F59" s="341"/>
      <c r="H59" s="339"/>
      <c r="I59" s="314" t="s">
        <v>287</v>
      </c>
      <c r="J59" s="12"/>
      <c r="K59" s="352">
        <f>K41+K51-K55+K57</f>
        <v>0</v>
      </c>
      <c r="L59" s="340"/>
      <c r="M59" s="341"/>
      <c r="Q59" s="359" t="s">
        <v>26</v>
      </c>
      <c r="R59" s="360"/>
      <c r="S59" s="361"/>
      <c r="T59" s="360"/>
      <c r="U59" s="362"/>
    </row>
    <row r="60" spans="1:21" x14ac:dyDescent="0.2">
      <c r="A60" s="339">
        <v>31</v>
      </c>
      <c r="B60" s="314" t="s">
        <v>192</v>
      </c>
      <c r="C60" s="12"/>
      <c r="D60" s="346">
        <v>4794</v>
      </c>
      <c r="E60" s="400" t="s">
        <v>288</v>
      </c>
      <c r="F60" s="341">
        <v>0</v>
      </c>
      <c r="H60" s="339">
        <v>31</v>
      </c>
      <c r="I60" s="314" t="s">
        <v>192</v>
      </c>
      <c r="J60" s="12"/>
      <c r="K60" s="346">
        <v>0</v>
      </c>
      <c r="L60" s="340" t="s">
        <v>288</v>
      </c>
      <c r="M60" s="341">
        <v>0</v>
      </c>
      <c r="Q60" s="363" t="s">
        <v>269</v>
      </c>
      <c r="R60" s="364"/>
      <c r="S60" s="365">
        <f>S11+S23+S35+S47</f>
        <v>-4016360</v>
      </c>
      <c r="T60" s="364"/>
      <c r="U60" s="366">
        <f>U11+U23+U35+U47</f>
        <v>19168</v>
      </c>
    </row>
    <row r="61" spans="1:21" x14ac:dyDescent="0.2">
      <c r="A61" s="339"/>
      <c r="B61" s="12"/>
      <c r="C61" s="12"/>
      <c r="D61" s="322" t="s">
        <v>27</v>
      </c>
      <c r="E61" s="340"/>
      <c r="F61" s="341"/>
      <c r="H61" s="339"/>
      <c r="I61" s="12"/>
      <c r="J61" s="12"/>
      <c r="K61" s="322"/>
      <c r="L61" s="340"/>
      <c r="M61" s="341"/>
      <c r="Q61" s="367" t="s">
        <v>291</v>
      </c>
      <c r="R61" s="368"/>
      <c r="S61" s="369">
        <f>S12+S24+S36+S48</f>
        <v>-4016357</v>
      </c>
      <c r="T61" s="368"/>
      <c r="U61" s="370">
        <f>U12+U24+U36+U48</f>
        <v>19168</v>
      </c>
    </row>
    <row r="62" spans="1:21" x14ac:dyDescent="0.2">
      <c r="A62" s="339"/>
      <c r="B62" s="314" t="s">
        <v>289</v>
      </c>
      <c r="C62" s="12"/>
      <c r="D62" s="352">
        <v>0</v>
      </c>
      <c r="E62" s="340"/>
      <c r="F62" s="341"/>
      <c r="H62" s="339"/>
      <c r="I62" s="314" t="s">
        <v>289</v>
      </c>
      <c r="J62" s="12"/>
      <c r="K62" s="352">
        <v>0</v>
      </c>
      <c r="L62" s="340"/>
      <c r="M62" s="341"/>
      <c r="Q62" s="367"/>
      <c r="R62" s="368"/>
      <c r="S62" s="371">
        <f>+S60-S61</f>
        <v>-3</v>
      </c>
      <c r="T62" s="360"/>
      <c r="U62" s="372">
        <f>+U60-U61</f>
        <v>0</v>
      </c>
    </row>
    <row r="63" spans="1:21" x14ac:dyDescent="0.2">
      <c r="A63" s="339"/>
      <c r="B63" s="314" t="s">
        <v>290</v>
      </c>
      <c r="C63" s="12"/>
      <c r="D63" s="352">
        <v>0</v>
      </c>
      <c r="E63" s="340"/>
      <c r="F63" s="341"/>
      <c r="H63" s="339"/>
      <c r="I63" s="314" t="s">
        <v>290</v>
      </c>
      <c r="J63" s="12"/>
      <c r="K63" s="352">
        <v>0</v>
      </c>
      <c r="L63" s="340"/>
      <c r="M63" s="341"/>
    </row>
    <row r="64" spans="1:21" x14ac:dyDescent="0.2">
      <c r="A64" s="339"/>
      <c r="B64" s="314" t="s">
        <v>292</v>
      </c>
      <c r="C64" s="12"/>
      <c r="D64" s="352">
        <v>0</v>
      </c>
      <c r="E64" s="340"/>
      <c r="F64" s="341"/>
      <c r="H64" s="339"/>
      <c r="I64" s="314" t="s">
        <v>292</v>
      </c>
      <c r="J64" s="12"/>
      <c r="K64" s="352">
        <v>0</v>
      </c>
      <c r="L64" s="340"/>
      <c r="M64" s="341"/>
    </row>
    <row r="65" spans="1:13" x14ac:dyDescent="0.2">
      <c r="A65" s="339">
        <v>30</v>
      </c>
      <c r="B65" s="314" t="s">
        <v>293</v>
      </c>
      <c r="C65" s="12"/>
      <c r="D65" s="352">
        <f>D62+D63-D64</f>
        <v>0</v>
      </c>
      <c r="E65" s="340"/>
      <c r="F65" s="341"/>
      <c r="H65" s="339">
        <v>30</v>
      </c>
      <c r="I65" s="314" t="s">
        <v>293</v>
      </c>
      <c r="J65" s="12"/>
      <c r="K65" s="352">
        <f>K62+K63-K64</f>
        <v>0</v>
      </c>
      <c r="L65" s="340"/>
      <c r="M65" s="341"/>
    </row>
    <row r="66" spans="1:13" x14ac:dyDescent="0.2">
      <c r="A66" s="339"/>
      <c r="B66" s="314"/>
      <c r="C66" s="12"/>
      <c r="D66" s="352"/>
      <c r="E66" s="340"/>
      <c r="F66" s="341"/>
      <c r="H66" s="339"/>
      <c r="I66" s="314"/>
      <c r="J66" s="12"/>
      <c r="K66" s="352"/>
      <c r="L66" s="340"/>
      <c r="M66" s="341"/>
    </row>
    <row r="67" spans="1:13" x14ac:dyDescent="0.2">
      <c r="A67" s="339">
        <v>31</v>
      </c>
      <c r="B67" s="314" t="s">
        <v>294</v>
      </c>
      <c r="C67" s="12"/>
      <c r="D67" s="352">
        <v>0</v>
      </c>
      <c r="E67" s="340"/>
      <c r="F67" s="341"/>
      <c r="H67" s="339">
        <v>31</v>
      </c>
      <c r="I67" s="314" t="s">
        <v>294</v>
      </c>
      <c r="J67" s="12"/>
      <c r="K67" s="352">
        <v>0</v>
      </c>
      <c r="L67" s="340"/>
      <c r="M67" s="341"/>
    </row>
    <row r="68" spans="1:13" x14ac:dyDescent="0.2">
      <c r="A68" s="339">
        <v>34</v>
      </c>
      <c r="B68" s="314" t="s">
        <v>7</v>
      </c>
      <c r="C68" s="12"/>
      <c r="D68" s="352">
        <v>0</v>
      </c>
      <c r="E68" s="321"/>
      <c r="F68" s="341"/>
      <c r="H68" s="339">
        <v>34</v>
      </c>
      <c r="I68" s="314" t="s">
        <v>7</v>
      </c>
      <c r="J68" s="12"/>
      <c r="K68" s="352">
        <v>0</v>
      </c>
      <c r="L68" s="321"/>
      <c r="M68" s="341"/>
    </row>
    <row r="69" spans="1:13" ht="13.5" thickBot="1" x14ac:dyDescent="0.25">
      <c r="A69" s="377">
        <v>35</v>
      </c>
      <c r="B69" s="313" t="s">
        <v>30</v>
      </c>
      <c r="C69" s="13"/>
      <c r="D69" s="375">
        <v>0</v>
      </c>
      <c r="E69" s="373"/>
      <c r="F69" s="374"/>
      <c r="H69" s="377">
        <v>35</v>
      </c>
      <c r="I69" s="313" t="s">
        <v>30</v>
      </c>
      <c r="J69" s="13"/>
      <c r="K69" s="375">
        <v>0</v>
      </c>
      <c r="L69" s="373"/>
      <c r="M69" s="374"/>
    </row>
    <row r="70" spans="1:13" x14ac:dyDescent="0.2">
      <c r="F70" s="228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3"/>
  <sheetViews>
    <sheetView topLeftCell="A15" workbookViewId="0">
      <selection activeCell="E44" sqref="E44"/>
    </sheetView>
  </sheetViews>
  <sheetFormatPr defaultRowHeight="12.75" x14ac:dyDescent="0.2"/>
  <cols>
    <col min="1" max="1" width="4" style="1" customWidth="1"/>
    <col min="2" max="2" width="9.140625" style="1"/>
    <col min="3" max="3" width="10.28515625" style="1" customWidth="1"/>
    <col min="4" max="4" width="23" style="3" customWidth="1"/>
    <col min="5" max="5" width="15" style="230" customWidth="1"/>
    <col min="6" max="6" width="11.28515625" style="1" customWidth="1"/>
    <col min="7" max="7" width="13.28515625" style="15" customWidth="1"/>
    <col min="8" max="8" width="9.140625" style="15"/>
    <col min="9" max="9" width="10.140625" style="15" bestFit="1" customWidth="1"/>
    <col min="10" max="10" width="9.140625" style="1"/>
    <col min="11" max="11" width="10.140625" style="15" bestFit="1" customWidth="1"/>
    <col min="12" max="12" width="9.140625" style="1"/>
    <col min="13" max="13" width="11.7109375" style="1" customWidth="1"/>
    <col min="14" max="16384" width="9.140625" style="1"/>
  </cols>
  <sheetData>
    <row r="1" spans="1:10" ht="18.75" x14ac:dyDescent="0.3">
      <c r="B1" s="7" t="s">
        <v>27</v>
      </c>
    </row>
    <row r="3" spans="1:10" ht="14.25" x14ac:dyDescent="0.2">
      <c r="B3" s="16" t="s">
        <v>31</v>
      </c>
      <c r="E3" s="231"/>
    </row>
    <row r="4" spans="1:10" x14ac:dyDescent="0.2">
      <c r="B4" s="1" t="s">
        <v>158</v>
      </c>
      <c r="E4" s="219">
        <v>0</v>
      </c>
    </row>
    <row r="5" spans="1:10" x14ac:dyDescent="0.2">
      <c r="A5" s="1">
        <v>24</v>
      </c>
      <c r="B5" s="1" t="s">
        <v>159</v>
      </c>
      <c r="E5" s="219">
        <v>0</v>
      </c>
      <c r="I5" s="290"/>
    </row>
    <row r="6" spans="1:10" x14ac:dyDescent="0.2">
      <c r="A6" s="1">
        <v>24</v>
      </c>
      <c r="B6" s="1" t="s">
        <v>177</v>
      </c>
      <c r="E6" s="219">
        <v>0</v>
      </c>
      <c r="I6" s="290"/>
    </row>
    <row r="7" spans="1:10" x14ac:dyDescent="0.2">
      <c r="A7" s="1">
        <v>24</v>
      </c>
      <c r="B7" s="1" t="s">
        <v>178</v>
      </c>
      <c r="E7" s="219">
        <v>0</v>
      </c>
      <c r="I7" s="290"/>
    </row>
    <row r="8" spans="1:10" x14ac:dyDescent="0.2">
      <c r="A8" s="1">
        <v>25</v>
      </c>
      <c r="B8" s="1" t="s">
        <v>160</v>
      </c>
      <c r="E8" s="232">
        <v>0</v>
      </c>
      <c r="G8" s="291"/>
      <c r="H8" s="291"/>
      <c r="I8" s="290"/>
    </row>
    <row r="9" spans="1:10" x14ac:dyDescent="0.2">
      <c r="A9" s="1">
        <v>25</v>
      </c>
      <c r="B9" s="1" t="s">
        <v>161</v>
      </c>
      <c r="E9" s="232">
        <v>0</v>
      </c>
      <c r="F9" s="15"/>
      <c r="G9" s="292"/>
      <c r="I9" s="290"/>
    </row>
    <row r="10" spans="1:10" ht="13.5" thickBot="1" x14ac:dyDescent="0.25">
      <c r="B10" s="1" t="s">
        <v>32</v>
      </c>
      <c r="E10" s="233">
        <f>SUM(E4:E9)</f>
        <v>0</v>
      </c>
    </row>
    <row r="11" spans="1:10" ht="13.5" thickTop="1" x14ac:dyDescent="0.2">
      <c r="E11" s="234" t="s">
        <v>27</v>
      </c>
    </row>
    <row r="12" spans="1:10" x14ac:dyDescent="0.2">
      <c r="E12" s="231"/>
    </row>
    <row r="13" spans="1:10" x14ac:dyDescent="0.2">
      <c r="A13" s="1">
        <v>34</v>
      </c>
      <c r="B13" s="1" t="s">
        <v>7</v>
      </c>
      <c r="E13" s="231">
        <v>0</v>
      </c>
    </row>
    <row r="14" spans="1:10" x14ac:dyDescent="0.2">
      <c r="A14" s="1">
        <v>35</v>
      </c>
      <c r="B14" s="1" t="s">
        <v>30</v>
      </c>
      <c r="E14" s="231">
        <v>0</v>
      </c>
      <c r="J14" s="15"/>
    </row>
    <row r="15" spans="1:10" x14ac:dyDescent="0.2">
      <c r="E15" s="231"/>
    </row>
    <row r="16" spans="1:10" x14ac:dyDescent="0.2">
      <c r="E16" s="231"/>
    </row>
    <row r="17" spans="1:13" ht="14.25" x14ac:dyDescent="0.2">
      <c r="B17" s="16" t="s">
        <v>40</v>
      </c>
      <c r="E17" s="231"/>
    </row>
    <row r="18" spans="1:13" x14ac:dyDescent="0.2">
      <c r="G18" s="289">
        <f>'Intra-EMWNSS1'!F12+'Intra-EMWNSS2'!F12+'ENRON MIDWEST P&amp;L'!E25+'ENRON MIDWEST P&amp;L'!E33+'TP-EMWNSS'!D12-'Total Financial'!F35-9289031</f>
        <v>-13172818.713399999</v>
      </c>
      <c r="H18" s="1"/>
      <c r="I18" s="15">
        <v>2000000</v>
      </c>
      <c r="J18" s="15"/>
      <c r="K18" s="15">
        <v>2000000</v>
      </c>
      <c r="M18" s="15">
        <f>G18-K18-I18</f>
        <v>-17172818.713399999</v>
      </c>
    </row>
    <row r="19" spans="1:13" x14ac:dyDescent="0.2">
      <c r="A19" s="1">
        <v>40</v>
      </c>
      <c r="B19" s="1" t="s">
        <v>231</v>
      </c>
      <c r="E19" s="230">
        <f>+I19+K19+M19-G18</f>
        <v>10288254.970719999</v>
      </c>
      <c r="F19" s="1">
        <v>-124999</v>
      </c>
      <c r="G19" s="231">
        <v>0</v>
      </c>
      <c r="H19" s="1"/>
      <c r="I19" s="15">
        <f>I18*0.125</f>
        <v>250000</v>
      </c>
      <c r="J19" s="15"/>
      <c r="K19" s="15">
        <f>K18*0.15</f>
        <v>300000</v>
      </c>
      <c r="M19" s="15">
        <f>M18*0.2</f>
        <v>-3434563.7426800001</v>
      </c>
    </row>
    <row r="20" spans="1:13" x14ac:dyDescent="0.2">
      <c r="A20" s="1">
        <v>40</v>
      </c>
      <c r="B20" s="1" t="s">
        <v>232</v>
      </c>
      <c r="E20" s="230">
        <f>-G20*0.5</f>
        <v>0</v>
      </c>
      <c r="G20" s="15">
        <f>+'Intra-EMWMEH'!F12</f>
        <v>0</v>
      </c>
    </row>
    <row r="21" spans="1:13" x14ac:dyDescent="0.2">
      <c r="A21" s="1">
        <v>40</v>
      </c>
      <c r="B21" s="1" t="s">
        <v>233</v>
      </c>
      <c r="E21" s="230">
        <v>0</v>
      </c>
      <c r="F21" s="1">
        <v>10000</v>
      </c>
    </row>
    <row r="25" spans="1:13" x14ac:dyDescent="0.2">
      <c r="B25" s="1" t="s">
        <v>238</v>
      </c>
    </row>
    <row r="26" spans="1:13" x14ac:dyDescent="0.2">
      <c r="C26" s="1" t="s">
        <v>239</v>
      </c>
      <c r="D26" s="3" t="s">
        <v>27</v>
      </c>
      <c r="E26" s="230">
        <v>0</v>
      </c>
    </row>
    <row r="27" spans="1:13" x14ac:dyDescent="0.2">
      <c r="C27" s="1" t="s">
        <v>240</v>
      </c>
      <c r="E27" s="241">
        <v>0</v>
      </c>
    </row>
    <row r="28" spans="1:13" x14ac:dyDescent="0.2">
      <c r="E28" s="230">
        <f>SUM(E26:E27)</f>
        <v>0</v>
      </c>
    </row>
    <row r="30" spans="1:13" x14ac:dyDescent="0.2">
      <c r="B30" s="1" t="s">
        <v>321</v>
      </c>
      <c r="E30" s="219">
        <f>-112205*0.875</f>
        <v>-98179.375</v>
      </c>
    </row>
    <row r="31" spans="1:13" x14ac:dyDescent="0.2">
      <c r="B31" s="1" t="s">
        <v>322</v>
      </c>
      <c r="E31" s="219">
        <v>0</v>
      </c>
    </row>
    <row r="32" spans="1:13" x14ac:dyDescent="0.2">
      <c r="B32" s="1" t="s">
        <v>323</v>
      </c>
      <c r="E32" s="219">
        <f>-160605*0.5</f>
        <v>-80302.5</v>
      </c>
    </row>
    <row r="33" spans="2:5" x14ac:dyDescent="0.2">
      <c r="B33" s="1" t="s">
        <v>324</v>
      </c>
      <c r="E33" s="219">
        <f>-2768*0.875</f>
        <v>-2422</v>
      </c>
    </row>
    <row r="35" spans="2:5" x14ac:dyDescent="0.2">
      <c r="B35" s="1" t="s">
        <v>338</v>
      </c>
      <c r="E35" s="219">
        <f>-14023*0.5</f>
        <v>-7011.5</v>
      </c>
    </row>
    <row r="36" spans="2:5" x14ac:dyDescent="0.2">
      <c r="B36" s="1" t="s">
        <v>339</v>
      </c>
      <c r="E36" s="219">
        <v>0</v>
      </c>
    </row>
    <row r="37" spans="2:5" x14ac:dyDescent="0.2">
      <c r="B37" s="1" t="s">
        <v>340</v>
      </c>
      <c r="E37" s="219">
        <v>-40151</v>
      </c>
    </row>
    <row r="38" spans="2:5" x14ac:dyDescent="0.2">
      <c r="B38" s="1" t="s">
        <v>341</v>
      </c>
      <c r="E38" s="219">
        <f>-346*0.5</f>
        <v>-173</v>
      </c>
    </row>
    <row r="40" spans="2:5" ht="13.5" thickBot="1" x14ac:dyDescent="0.25"/>
    <row r="41" spans="2:5" x14ac:dyDescent="0.2">
      <c r="D41" s="406" t="s">
        <v>344</v>
      </c>
      <c r="E41" s="407"/>
    </row>
    <row r="42" spans="2:5" x14ac:dyDescent="0.2">
      <c r="D42" s="398" t="s">
        <v>295</v>
      </c>
      <c r="E42" s="396">
        <v>-84151</v>
      </c>
    </row>
    <row r="43" spans="2:5" ht="13.5" thickBot="1" x14ac:dyDescent="0.25">
      <c r="D43" s="399" t="s">
        <v>345</v>
      </c>
      <c r="E43" s="397">
        <v>-2076</v>
      </c>
    </row>
  </sheetData>
  <mergeCells count="1">
    <mergeCell ref="D41:E41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12</vt:i4>
      </vt:variant>
    </vt:vector>
  </HeadingPairs>
  <TitlesOfParts>
    <vt:vector size="32" baseType="lpstr">
      <vt:lpstr>Input</vt:lpstr>
      <vt:lpstr>Top Pages</vt:lpstr>
      <vt:lpstr>Intra-EMWNSS1</vt:lpstr>
      <vt:lpstr>Intra-EMWNSS2</vt:lpstr>
      <vt:lpstr>Intra-EMWMEH</vt:lpstr>
      <vt:lpstr>TP-EMWNSS</vt:lpstr>
      <vt:lpstr>Total Financial</vt:lpstr>
      <vt:lpstr>Physical</vt:lpstr>
      <vt:lpstr>Other</vt:lpstr>
      <vt:lpstr>DPR</vt:lpstr>
      <vt:lpstr>Prior DPR</vt:lpstr>
      <vt:lpstr>P&amp;L Without Sharing</vt:lpstr>
      <vt:lpstr>Prior P&amp;L Without Sharing</vt:lpstr>
      <vt:lpstr>P&amp;L</vt:lpstr>
      <vt:lpstr>Prior P&amp;L</vt:lpstr>
      <vt:lpstr>ENRON MIDWEST P&amp;L</vt:lpstr>
      <vt:lpstr>NSS1</vt:lpstr>
      <vt:lpstr>NSS2</vt:lpstr>
      <vt:lpstr>MEH</vt:lpstr>
      <vt:lpstr>OA Flash</vt:lpstr>
      <vt:lpstr>eff_dt</vt:lpstr>
      <vt:lpstr>PostIDs</vt:lpstr>
      <vt:lpstr>'ENRON MIDWEST P&amp;L'!Print_Area</vt:lpstr>
      <vt:lpstr>Input!Print_Area</vt:lpstr>
      <vt:lpstr>MEH!Print_Area</vt:lpstr>
      <vt:lpstr>'OA Flash'!Print_Area</vt:lpstr>
      <vt:lpstr>Other!Print_Area</vt:lpstr>
      <vt:lpstr>'Top Pages'!Print_Area</vt:lpstr>
      <vt:lpstr>'Total Financial'!Print_Area</vt:lpstr>
      <vt:lpstr>'Top Pages'!Print_Titles</vt:lpstr>
      <vt:lpstr>PW</vt:lpstr>
      <vt:lpstr>UID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Bouvier</dc:creator>
  <cp:lastModifiedBy>Jan Havlíček</cp:lastModifiedBy>
  <cp:lastPrinted>2000-09-21T22:34:36Z</cp:lastPrinted>
  <dcterms:created xsi:type="dcterms:W3CDTF">1997-05-01T22:16:36Z</dcterms:created>
  <dcterms:modified xsi:type="dcterms:W3CDTF">2023-09-15T18:19:44Z</dcterms:modified>
</cp:coreProperties>
</file>