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0119D0-E9F7-4481-94FA-A8CE435EA28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G2" i="1" l="1"/>
  <c r="M2" i="1"/>
  <c r="B3" i="1"/>
  <c r="D3" i="1"/>
  <c r="G3" i="1"/>
  <c r="I3" i="1"/>
  <c r="M3" i="1"/>
  <c r="N3" i="1"/>
  <c r="B4" i="1"/>
  <c r="D4" i="1"/>
  <c r="G4" i="1"/>
  <c r="I4" i="1"/>
  <c r="B5" i="1"/>
  <c r="D5" i="1"/>
  <c r="G5" i="1"/>
  <c r="I5" i="1"/>
  <c r="B6" i="1"/>
  <c r="D6" i="1"/>
  <c r="G6" i="1"/>
  <c r="I6" i="1"/>
  <c r="B7" i="1"/>
  <c r="D7" i="1"/>
  <c r="G7" i="1"/>
  <c r="I7" i="1"/>
  <c r="B8" i="1"/>
  <c r="D8" i="1"/>
  <c r="G8" i="1"/>
  <c r="I8" i="1"/>
  <c r="B9" i="1"/>
  <c r="D9" i="1"/>
  <c r="G9" i="1"/>
  <c r="I9" i="1"/>
  <c r="B10" i="1"/>
  <c r="D10" i="1"/>
  <c r="G10" i="1"/>
  <c r="I10" i="1"/>
  <c r="B11" i="1"/>
  <c r="G11" i="1"/>
  <c r="B12" i="1"/>
  <c r="G12" i="1"/>
  <c r="B13" i="1"/>
  <c r="D13" i="1"/>
  <c r="G13" i="1"/>
  <c r="I13" i="1"/>
  <c r="D15" i="1"/>
  <c r="I15" i="1"/>
  <c r="K15" i="1"/>
  <c r="L15" i="1"/>
  <c r="G17" i="1"/>
  <c r="M17" i="1"/>
  <c r="B18" i="1"/>
  <c r="D18" i="1"/>
  <c r="G18" i="1"/>
  <c r="I18" i="1"/>
  <c r="M18" i="1"/>
  <c r="N18" i="1"/>
  <c r="B19" i="1"/>
  <c r="D19" i="1"/>
  <c r="G19" i="1"/>
  <c r="I19" i="1"/>
  <c r="B20" i="1"/>
  <c r="D20" i="1"/>
  <c r="G20" i="1"/>
  <c r="I20" i="1"/>
  <c r="D21" i="1"/>
  <c r="I21" i="1"/>
  <c r="B22" i="1"/>
  <c r="G22" i="1"/>
  <c r="D24" i="1"/>
  <c r="I24" i="1"/>
  <c r="D26" i="1"/>
  <c r="I26" i="1"/>
  <c r="B28" i="1"/>
  <c r="D28" i="1"/>
  <c r="I28" i="1"/>
  <c r="K28" i="1"/>
  <c r="L28" i="1"/>
  <c r="M28" i="1"/>
  <c r="M29" i="1"/>
  <c r="N29" i="1"/>
  <c r="K30" i="1"/>
  <c r="K31" i="1"/>
  <c r="K32" i="1"/>
  <c r="D36" i="1"/>
  <c r="I36" i="1"/>
  <c r="B39" i="1"/>
  <c r="D39" i="1"/>
  <c r="I39" i="1"/>
  <c r="K39" i="1"/>
  <c r="B40" i="1"/>
  <c r="D40" i="1"/>
  <c r="I40" i="1"/>
  <c r="K40" i="1"/>
</calcChain>
</file>

<file path=xl/sharedStrings.xml><?xml version="1.0" encoding="utf-8"?>
<sst xmlns="http://schemas.openxmlformats.org/spreadsheetml/2006/main" count="90" uniqueCount="34">
  <si>
    <t>Tax Summary</t>
  </si>
  <si>
    <t>Darron 1st of Month</t>
  </si>
  <si>
    <t>Salary Per Year</t>
  </si>
  <si>
    <t>Darron 15th of Month</t>
  </si>
  <si>
    <t>Gross</t>
  </si>
  <si>
    <t>Federal Witholding Tax</t>
  </si>
  <si>
    <t>Flex Dollars</t>
  </si>
  <si>
    <t>FICA</t>
  </si>
  <si>
    <t>Medical Insurance</t>
  </si>
  <si>
    <t>Medicare</t>
  </si>
  <si>
    <t>Dental Insurance</t>
  </si>
  <si>
    <t>Long Term Disability</t>
  </si>
  <si>
    <t>Life Insurance</t>
  </si>
  <si>
    <t>Life Insurance-Children</t>
  </si>
  <si>
    <t>Accidental D &amp; D</t>
  </si>
  <si>
    <t>401(k)</t>
  </si>
  <si>
    <t>SS Gross</t>
  </si>
  <si>
    <t>Med Gross</t>
  </si>
  <si>
    <t>Fed Gross</t>
  </si>
  <si>
    <t>Deducts</t>
  </si>
  <si>
    <t>Net Pay</t>
  </si>
  <si>
    <t>Kristi 1st of Month</t>
  </si>
  <si>
    <t>Kristi 15th of Month</t>
  </si>
  <si>
    <t>TRS</t>
  </si>
  <si>
    <t>TRS Insurance</t>
  </si>
  <si>
    <t>Teachers Union</t>
  </si>
  <si>
    <t>Total Gross</t>
  </si>
  <si>
    <t>Total Net</t>
  </si>
  <si>
    <t>Percent</t>
  </si>
  <si>
    <t>Body Shop</t>
  </si>
  <si>
    <t>United Way</t>
  </si>
  <si>
    <t>D</t>
  </si>
  <si>
    <t>K</t>
  </si>
  <si>
    <t>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</si>
</sst>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%"/>
  </numFmts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0" fontId="0" fillId="0" borderId="0" xfId="0" applyNumberFormat="1"/>
    <xf numFmtId="40" fontId="1" fillId="0" borderId="0" xfId="0" applyNumberFormat="1" applyFont="1" applyAlignment="1">
      <alignment horizontal="center"/>
    </xf>
    <xf numFmtId="40" fontId="0" fillId="0" borderId="1" xfId="0" applyNumberFormat="1" applyBorder="1"/>
    <xf numFmtId="40" fontId="0" fillId="0" borderId="0" xfId="0" applyNumberFormat="1" applyAlignment="1">
      <alignment horizontal="right"/>
    </xf>
    <xf numFmtId="10" fontId="0" fillId="0" borderId="0" xfId="0" applyNumberFormat="1"/>
    <xf numFmtId="40" fontId="0" fillId="0" borderId="0" xfId="0" applyNumberFormat="1" applyBorder="1"/>
    <xf numFmtId="169" fontId="0" fillId="0" borderId="0" xfId="0" applyNumberFormat="1"/>
    <xf numFmtId="40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75" workbookViewId="0">
      <selection activeCell="B2" sqref="B2"/>
    </sheetView>
  </sheetViews>
  <sheetFormatPr defaultColWidth="8.85546875" defaultRowHeight="12.75" x14ac:dyDescent="0.2"/>
  <cols>
    <col min="1" max="1" width="20.85546875" style="1" customWidth="1"/>
    <col min="2" max="2" width="9.7109375" style="1" customWidth="1"/>
    <col min="3" max="3" width="20" style="1" customWidth="1"/>
    <col min="4" max="4" width="8.7109375" style="1" customWidth="1"/>
    <col min="5" max="5" width="3.140625" style="1" customWidth="1"/>
    <col min="6" max="6" width="22" style="1" customWidth="1"/>
    <col min="7" max="7" width="9.7109375" style="1" customWidth="1"/>
    <col min="8" max="8" width="20" style="1" customWidth="1"/>
    <col min="9" max="9" width="8.7109375" style="1" customWidth="1"/>
    <col min="10" max="10" width="2" style="1" customWidth="1"/>
    <col min="11" max="16384" width="8.85546875" style="1"/>
  </cols>
  <sheetData>
    <row r="1" spans="1:14" x14ac:dyDescent="0.2">
      <c r="K1"/>
      <c r="L1"/>
      <c r="M1" s="8" t="s">
        <v>0</v>
      </c>
    </row>
    <row r="2" spans="1:14" x14ac:dyDescent="0.2">
      <c r="A2" s="2" t="s">
        <v>1</v>
      </c>
      <c r="B2" s="1">
        <v>64000</v>
      </c>
      <c r="C2" s="1" t="s">
        <v>2</v>
      </c>
      <c r="F2" s="2" t="s">
        <v>3</v>
      </c>
      <c r="G2" s="1">
        <f>+B2</f>
        <v>64000</v>
      </c>
      <c r="H2" s="1" t="s">
        <v>2</v>
      </c>
      <c r="K2"/>
      <c r="L2"/>
      <c r="M2" s="1">
        <f>B13+G13</f>
        <v>4393.34</v>
      </c>
    </row>
    <row r="3" spans="1:14" x14ac:dyDescent="0.2">
      <c r="A3" s="1" t="s">
        <v>4</v>
      </c>
      <c r="B3" s="1">
        <f>ROUND(B2/12/2,2)</f>
        <v>2666.67</v>
      </c>
      <c r="C3" s="1" t="s">
        <v>5</v>
      </c>
      <c r="D3" s="1">
        <f>ROUND(-B13*0.113982,2)</f>
        <v>-250.38</v>
      </c>
      <c r="F3" s="1" t="s">
        <v>4</v>
      </c>
      <c r="G3" s="1">
        <f>ROUND(G2/12/2,2)</f>
        <v>2666.67</v>
      </c>
      <c r="H3" s="1" t="s">
        <v>5</v>
      </c>
      <c r="I3" s="1">
        <f>ROUND(-G13*0.115721,2)</f>
        <v>-254.2</v>
      </c>
      <c r="K3"/>
      <c r="L3"/>
      <c r="M3" s="1">
        <f>(D3+I3)*-1</f>
        <v>504.58</v>
      </c>
      <c r="N3" s="7">
        <f>+M3/M2</f>
        <v>0.1148511155521767</v>
      </c>
    </row>
    <row r="4" spans="1:14" x14ac:dyDescent="0.2">
      <c r="A4" s="1" t="s">
        <v>6</v>
      </c>
      <c r="B4" s="1">
        <f>ROUND(440.66/2,2)</f>
        <v>220.33</v>
      </c>
      <c r="C4" s="1" t="s">
        <v>7</v>
      </c>
      <c r="D4" s="1">
        <f>ROUND(-B10*0.062314,2)</f>
        <v>-161.81</v>
      </c>
      <c r="F4" s="1" t="s">
        <v>6</v>
      </c>
      <c r="G4" s="1">
        <f>ROUND(440.66/2,2)</f>
        <v>220.33</v>
      </c>
      <c r="H4" s="1" t="s">
        <v>7</v>
      </c>
      <c r="I4" s="1">
        <f>ROUND(-G10*0.062299,2)</f>
        <v>-161.77000000000001</v>
      </c>
    </row>
    <row r="5" spans="1:14" x14ac:dyDescent="0.2">
      <c r="A5" s="1" t="s">
        <v>8</v>
      </c>
      <c r="B5" s="1">
        <f>ROUND(-453.4/2,2)</f>
        <v>-226.7</v>
      </c>
      <c r="C5" s="1" t="s">
        <v>9</v>
      </c>
      <c r="D5" s="1">
        <f>ROUND(-B11*0.014573,2)</f>
        <v>-37.840000000000003</v>
      </c>
      <c r="F5" s="1" t="s">
        <v>8</v>
      </c>
      <c r="G5" s="1">
        <f>ROUND(-453.4/2,2)</f>
        <v>-226.7</v>
      </c>
      <c r="H5" s="1" t="s">
        <v>9</v>
      </c>
      <c r="I5" s="1">
        <f>ROUND(-G11*0.014573,2)</f>
        <v>-37.840000000000003</v>
      </c>
    </row>
    <row r="6" spans="1:14" x14ac:dyDescent="0.2">
      <c r="A6" s="1" t="s">
        <v>10</v>
      </c>
      <c r="B6" s="1">
        <f>ROUND(-72.08/2,2)</f>
        <v>-36.04</v>
      </c>
      <c r="C6" s="1" t="s">
        <v>11</v>
      </c>
      <c r="D6" s="1">
        <f>ROUND(-13.88/2,2)</f>
        <v>-6.94</v>
      </c>
      <c r="F6" s="1" t="s">
        <v>10</v>
      </c>
      <c r="G6" s="1">
        <f>ROUND(-72.08/2,2)</f>
        <v>-36.04</v>
      </c>
      <c r="H6" s="1" t="s">
        <v>11</v>
      </c>
      <c r="I6" s="1">
        <f>ROUND(-13.88/2,2)</f>
        <v>-6.94</v>
      </c>
    </row>
    <row r="7" spans="1:14" x14ac:dyDescent="0.2">
      <c r="A7" s="1" t="s">
        <v>12</v>
      </c>
      <c r="B7" s="1">
        <f>ROUND(-25.28/2,2)+0.01</f>
        <v>-12.63</v>
      </c>
      <c r="C7" s="1" t="s">
        <v>13</v>
      </c>
      <c r="D7" s="1">
        <f>ROUND(-0.83/2,2)+0.01</f>
        <v>-0.41</v>
      </c>
      <c r="F7" s="1" t="s">
        <v>12</v>
      </c>
      <c r="G7" s="1">
        <f>ROUND(-25.28/2,2)</f>
        <v>-12.64</v>
      </c>
      <c r="H7" s="1" t="s">
        <v>13</v>
      </c>
      <c r="I7" s="1">
        <f>-0.83/2</f>
        <v>-0.41499999999999998</v>
      </c>
    </row>
    <row r="8" spans="1:14" x14ac:dyDescent="0.2">
      <c r="A8" s="1" t="s">
        <v>14</v>
      </c>
      <c r="B8" s="1">
        <f>ROUND(-16.18/2,2)+0.01</f>
        <v>-8.08</v>
      </c>
      <c r="C8" s="1" t="s">
        <v>15</v>
      </c>
      <c r="D8" s="1">
        <f>B12</f>
        <v>-400</v>
      </c>
      <c r="F8" s="1" t="s">
        <v>14</v>
      </c>
      <c r="G8" s="1">
        <f>ROUND(-16.18/2,2)</f>
        <v>-8.09</v>
      </c>
      <c r="H8" s="1" t="s">
        <v>15</v>
      </c>
      <c r="I8" s="1">
        <f>G12</f>
        <v>-400</v>
      </c>
    </row>
    <row r="9" spans="1:14" x14ac:dyDescent="0.2">
      <c r="A9" s="1" t="s">
        <v>33</v>
      </c>
      <c r="B9" s="1">
        <f>ROUND(-13.74/2,2)</f>
        <v>-6.87</v>
      </c>
      <c r="C9" s="1" t="s">
        <v>29</v>
      </c>
      <c r="D9" s="1">
        <f>ROUND(-25/2,2)</f>
        <v>-12.5</v>
      </c>
      <c r="F9" s="1" t="s">
        <v>33</v>
      </c>
      <c r="G9" s="1">
        <f>ROUND(-13.74/2,2)</f>
        <v>-6.87</v>
      </c>
      <c r="H9" s="1" t="s">
        <v>29</v>
      </c>
      <c r="I9" s="1">
        <f>ROUND(-25/2,2)</f>
        <v>-12.5</v>
      </c>
    </row>
    <row r="10" spans="1:14" x14ac:dyDescent="0.2">
      <c r="A10" s="1" t="s">
        <v>16</v>
      </c>
      <c r="B10" s="1">
        <f>SUM(B3:B9)</f>
        <v>2596.6800000000003</v>
      </c>
      <c r="C10" s="1" t="s">
        <v>30</v>
      </c>
      <c r="D10" s="1">
        <f>ROUND(-10/2,2)</f>
        <v>-5</v>
      </c>
      <c r="F10" s="1" t="s">
        <v>16</v>
      </c>
      <c r="G10" s="1">
        <f>SUM(G3:G9)</f>
        <v>2596.6600000000003</v>
      </c>
      <c r="H10" s="1" t="s">
        <v>30</v>
      </c>
      <c r="I10" s="1">
        <f>ROUND(-10/2,2)</f>
        <v>-5</v>
      </c>
    </row>
    <row r="11" spans="1:14" x14ac:dyDescent="0.2">
      <c r="A11" s="1" t="s">
        <v>17</v>
      </c>
      <c r="B11" s="1">
        <f>B10</f>
        <v>2596.6800000000003</v>
      </c>
      <c r="F11" s="1" t="s">
        <v>17</v>
      </c>
      <c r="G11" s="1">
        <f>G10</f>
        <v>2596.6600000000003</v>
      </c>
    </row>
    <row r="12" spans="1:14" x14ac:dyDescent="0.2">
      <c r="A12" s="1" t="s">
        <v>15</v>
      </c>
      <c r="B12" s="1">
        <f>ROUND((-B3*0.15*2)/2,0)</f>
        <v>-400</v>
      </c>
      <c r="F12" s="1" t="s">
        <v>15</v>
      </c>
      <c r="G12" s="1">
        <f>ROUND((-G3*0.15*2)/2,0)</f>
        <v>-400</v>
      </c>
    </row>
    <row r="13" spans="1:14" x14ac:dyDescent="0.2">
      <c r="A13" s="1" t="s">
        <v>18</v>
      </c>
      <c r="B13" s="1">
        <f>SUM(B11:B12)</f>
        <v>2196.6800000000003</v>
      </c>
      <c r="C13" s="1" t="s">
        <v>19</v>
      </c>
      <c r="D13" s="1">
        <f>SUM(D3:D10)+SUM(B4:B9)</f>
        <v>-944.87</v>
      </c>
      <c r="F13" s="1" t="s">
        <v>18</v>
      </c>
      <c r="G13" s="1">
        <f>SUM(G11:G12)</f>
        <v>2196.6600000000003</v>
      </c>
      <c r="H13" s="1" t="s">
        <v>19</v>
      </c>
      <c r="I13" s="1">
        <f>SUM(I3:I10)+SUM(G4:G9)</f>
        <v>-948.67500000000007</v>
      </c>
    </row>
    <row r="15" spans="1:14" ht="13.5" thickBot="1" x14ac:dyDescent="0.25">
      <c r="C15" s="1" t="s">
        <v>20</v>
      </c>
      <c r="D15" s="3">
        <f>B3+D13</f>
        <v>1721.8000000000002</v>
      </c>
      <c r="H15" s="1" t="s">
        <v>20</v>
      </c>
      <c r="I15" s="3">
        <f>G3+I13</f>
        <v>1717.9949999999999</v>
      </c>
      <c r="K15" s="1">
        <f>D15+I15</f>
        <v>3439.7950000000001</v>
      </c>
      <c r="L15" s="5">
        <f>K15/M2</f>
        <v>0.78295670264536776</v>
      </c>
    </row>
    <row r="16" spans="1:14" ht="13.5" thickTop="1" x14ac:dyDescent="0.2">
      <c r="M16" s="8" t="s">
        <v>0</v>
      </c>
    </row>
    <row r="17" spans="1:14" x14ac:dyDescent="0.2">
      <c r="A17" s="2" t="s">
        <v>21</v>
      </c>
      <c r="B17" s="1">
        <v>38300</v>
      </c>
      <c r="C17" s="1" t="s">
        <v>2</v>
      </c>
      <c r="F17" s="2" t="s">
        <v>22</v>
      </c>
      <c r="G17" s="1">
        <f>B17</f>
        <v>38300</v>
      </c>
      <c r="H17" s="1" t="s">
        <v>2</v>
      </c>
      <c r="K17"/>
      <c r="L17"/>
      <c r="M17" s="1">
        <f>B22+G22</f>
        <v>3191.6666666666665</v>
      </c>
    </row>
    <row r="18" spans="1:14" x14ac:dyDescent="0.2">
      <c r="A18" s="1" t="s">
        <v>4</v>
      </c>
      <c r="B18" s="1">
        <f>B17/12/2</f>
        <v>1595.8333333333333</v>
      </c>
      <c r="C18" s="1" t="s">
        <v>5</v>
      </c>
      <c r="D18" s="1">
        <f>-B22*0.10048278</f>
        <v>-160.35376974999997</v>
      </c>
      <c r="F18" s="1" t="s">
        <v>4</v>
      </c>
      <c r="G18" s="1">
        <f>G17/12/2</f>
        <v>1595.8333333333333</v>
      </c>
      <c r="H18" s="1" t="s">
        <v>5</v>
      </c>
      <c r="I18" s="1">
        <f>-G22*0.10048278</f>
        <v>-160.35376974999997</v>
      </c>
      <c r="K18"/>
      <c r="L18"/>
      <c r="M18" s="1">
        <f>(D18+I18)*-1</f>
        <v>320.70753949999994</v>
      </c>
      <c r="N18" s="7">
        <f>+M18/M17</f>
        <v>0.10048277999999998</v>
      </c>
    </row>
    <row r="19" spans="1:14" x14ac:dyDescent="0.2">
      <c r="A19" s="1" t="s">
        <v>16</v>
      </c>
      <c r="B19" s="1">
        <f>SUM(B18:B18)</f>
        <v>1595.8333333333333</v>
      </c>
      <c r="C19" s="1" t="s">
        <v>7</v>
      </c>
      <c r="D19" s="1">
        <f>-B20*0.0145</f>
        <v>-23.139583333333334</v>
      </c>
      <c r="F19" s="1" t="s">
        <v>16</v>
      </c>
      <c r="G19" s="1">
        <f>SUM(G18:G18)</f>
        <v>1595.8333333333333</v>
      </c>
      <c r="H19" s="1" t="s">
        <v>7</v>
      </c>
      <c r="I19" s="1">
        <f>-G20*0.0145</f>
        <v>-23.139583333333334</v>
      </c>
    </row>
    <row r="20" spans="1:14" x14ac:dyDescent="0.2">
      <c r="A20" s="1" t="s">
        <v>17</v>
      </c>
      <c r="B20" s="1">
        <f>B19</f>
        <v>1595.8333333333333</v>
      </c>
      <c r="C20" s="1" t="s">
        <v>23</v>
      </c>
      <c r="D20" s="1">
        <f>-B19*0.064003</f>
        <v>-102.13812083333333</v>
      </c>
      <c r="F20" s="1" t="s">
        <v>17</v>
      </c>
      <c r="G20" s="1">
        <f>G19</f>
        <v>1595.8333333333333</v>
      </c>
      <c r="H20" s="1" t="s">
        <v>23</v>
      </c>
      <c r="I20" s="1">
        <f>-G19*0.064003</f>
        <v>-102.13812083333333</v>
      </c>
    </row>
    <row r="21" spans="1:14" x14ac:dyDescent="0.2">
      <c r="A21" s="1" t="s">
        <v>15</v>
      </c>
      <c r="B21" s="1">
        <v>0</v>
      </c>
      <c r="C21" s="1" t="s">
        <v>24</v>
      </c>
      <c r="D21" s="1">
        <f>-B19*0.002502</f>
        <v>-3.9927749999999995</v>
      </c>
      <c r="F21" s="1" t="s">
        <v>15</v>
      </c>
      <c r="G21" s="1">
        <v>0</v>
      </c>
      <c r="H21" s="1" t="s">
        <v>24</v>
      </c>
      <c r="I21" s="1">
        <f>-G19*0.002502</f>
        <v>-3.9927749999999995</v>
      </c>
    </row>
    <row r="22" spans="1:14" x14ac:dyDescent="0.2">
      <c r="A22" s="1" t="s">
        <v>18</v>
      </c>
      <c r="B22" s="1">
        <f>SUM(B20:B21)</f>
        <v>1595.8333333333333</v>
      </c>
      <c r="C22" s="1" t="s">
        <v>25</v>
      </c>
      <c r="D22" s="1">
        <v>0</v>
      </c>
      <c r="F22" s="1" t="s">
        <v>18</v>
      </c>
      <c r="G22" s="1">
        <f>SUM(G20:G21)</f>
        <v>1595.8333333333333</v>
      </c>
      <c r="H22" s="1" t="s">
        <v>25</v>
      </c>
      <c r="I22" s="1">
        <v>0</v>
      </c>
    </row>
    <row r="23" spans="1:14" x14ac:dyDescent="0.2">
      <c r="C23" s="1" t="s">
        <v>12</v>
      </c>
      <c r="D23" s="1">
        <v>-0.88</v>
      </c>
      <c r="H23" s="1" t="s">
        <v>12</v>
      </c>
      <c r="I23" s="1">
        <v>-0.88</v>
      </c>
    </row>
    <row r="24" spans="1:14" x14ac:dyDescent="0.2">
      <c r="C24" s="1" t="s">
        <v>15</v>
      </c>
      <c r="D24" s="1">
        <f>B21</f>
        <v>0</v>
      </c>
      <c r="H24" s="1" t="s">
        <v>15</v>
      </c>
      <c r="I24" s="1">
        <f>G21</f>
        <v>0</v>
      </c>
    </row>
    <row r="26" spans="1:14" x14ac:dyDescent="0.2">
      <c r="C26" s="1" t="s">
        <v>19</v>
      </c>
      <c r="D26" s="1">
        <f>SUM(D18:D25)</f>
        <v>-290.50424891666665</v>
      </c>
      <c r="H26" s="1" t="s">
        <v>19</v>
      </c>
      <c r="I26" s="1">
        <f>SUM(I18:I25)</f>
        <v>-290.50424891666665</v>
      </c>
    </row>
    <row r="27" spans="1:14" x14ac:dyDescent="0.2">
      <c r="M27" s="8" t="s">
        <v>0</v>
      </c>
    </row>
    <row r="28" spans="1:14" ht="13.5" thickBot="1" x14ac:dyDescent="0.25">
      <c r="B28" s="1">
        <f>+B3+B18</f>
        <v>4262.5033333333331</v>
      </c>
      <c r="C28" s="1" t="s">
        <v>20</v>
      </c>
      <c r="D28" s="3">
        <f>B18+D26</f>
        <v>1305.3290844166665</v>
      </c>
      <c r="H28" s="1" t="s">
        <v>20</v>
      </c>
      <c r="I28" s="3">
        <f>G18+I26</f>
        <v>1305.3290844166665</v>
      </c>
      <c r="K28" s="1">
        <f>D28+I28</f>
        <v>2610.6581688333331</v>
      </c>
      <c r="L28" s="5">
        <f>K28/M17</f>
        <v>0.81796078396866834</v>
      </c>
      <c r="M28" s="1">
        <f>M2+M17</f>
        <v>7585.0066666666662</v>
      </c>
    </row>
    <row r="29" spans="1:14" ht="13.5" thickTop="1" x14ac:dyDescent="0.2">
      <c r="M29" s="1">
        <f>M3+M18</f>
        <v>825.28753949999987</v>
      </c>
      <c r="N29" s="7">
        <f>+M29/M28</f>
        <v>0.1088051172224854</v>
      </c>
    </row>
    <row r="30" spans="1:14" x14ac:dyDescent="0.2">
      <c r="I30" s="4" t="s">
        <v>26</v>
      </c>
      <c r="K30" s="1">
        <f>M2+M17</f>
        <v>7585.0066666666662</v>
      </c>
    </row>
    <row r="31" spans="1:14" x14ac:dyDescent="0.2">
      <c r="I31" s="4" t="s">
        <v>27</v>
      </c>
      <c r="K31" s="1">
        <f>K15+K28</f>
        <v>6050.4531688333336</v>
      </c>
    </row>
    <row r="32" spans="1:14" x14ac:dyDescent="0.2">
      <c r="I32" s="4" t="s">
        <v>28</v>
      </c>
      <c r="K32" s="5">
        <f>K31/K30</f>
        <v>0.79768593947621236</v>
      </c>
    </row>
    <row r="36" spans="1:11" x14ac:dyDescent="0.2">
      <c r="D36" s="6">
        <f>D15+D28</f>
        <v>3027.129084416667</v>
      </c>
      <c r="I36" s="6">
        <f>I15+I28</f>
        <v>3023.3240844166667</v>
      </c>
    </row>
    <row r="39" spans="1:11" x14ac:dyDescent="0.2">
      <c r="A39" s="4" t="s">
        <v>31</v>
      </c>
      <c r="B39" s="1">
        <f>+B3/B28</f>
        <v>0.62561124096872656</v>
      </c>
      <c r="C39" s="4" t="s">
        <v>31</v>
      </c>
      <c r="D39" s="1">
        <f>+D15/D36</f>
        <v>0.56878975160446255</v>
      </c>
      <c r="H39" s="4" t="s">
        <v>31</v>
      </c>
      <c r="I39" s="1">
        <f>+I15/I36</f>
        <v>0.56824705259194119</v>
      </c>
      <c r="K39" s="1">
        <f>+K15/K31</f>
        <v>0.56851857274407624</v>
      </c>
    </row>
    <row r="40" spans="1:11" x14ac:dyDescent="0.2">
      <c r="A40" s="4" t="s">
        <v>32</v>
      </c>
      <c r="B40" s="1">
        <f>+B18/B28</f>
        <v>0.3743887590312735</v>
      </c>
      <c r="C40" s="4" t="s">
        <v>32</v>
      </c>
      <c r="D40" s="1">
        <f>+D28/D36</f>
        <v>0.43121024839553734</v>
      </c>
      <c r="H40" s="4" t="s">
        <v>32</v>
      </c>
      <c r="I40" s="1">
        <f>+I28/I36</f>
        <v>0.43175294740805881</v>
      </c>
      <c r="K40" s="1">
        <f>+K28/K31</f>
        <v>0.4314814272559237</v>
      </c>
    </row>
  </sheetData>
  <printOptions horizontalCentered="1"/>
  <pageMargins left="0.75" right="0.75" top="1" bottom="1" header="0.5" footer="0.5"/>
  <pageSetup scale="90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2023-09-15T18:47:37Z</dcterms:created>
  <dcterms:modified xsi:type="dcterms:W3CDTF">2023-09-15T18:47:37Z</dcterms:modified>
</cp:coreProperties>
</file>