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CDCA999-9CC5-48F6-9987-B52574C6F85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2" i="1" l="1"/>
  <c r="J2" i="1"/>
  <c r="F3" i="1"/>
  <c r="J3" i="1"/>
  <c r="L3" i="1"/>
  <c r="J4" i="1"/>
  <c r="L4" i="1"/>
  <c r="F5" i="1"/>
  <c r="J5" i="1"/>
  <c r="J6" i="1"/>
  <c r="J8" i="1"/>
  <c r="F11" i="1"/>
  <c r="B12" i="1"/>
  <c r="C12" i="1"/>
  <c r="J12" i="1"/>
  <c r="F13" i="1"/>
  <c r="F14" i="1"/>
  <c r="C16" i="1"/>
  <c r="F20" i="1"/>
  <c r="F23" i="1"/>
  <c r="F24" i="1"/>
  <c r="F25" i="1"/>
  <c r="F26" i="1"/>
  <c r="F27" i="1"/>
  <c r="J27" i="1"/>
  <c r="J29" i="1"/>
  <c r="J30" i="1"/>
  <c r="J31" i="1"/>
  <c r="J32" i="1"/>
  <c r="C35" i="1"/>
  <c r="C38" i="1"/>
  <c r="F42" i="1"/>
  <c r="C43" i="1"/>
  <c r="C44" i="1"/>
  <c r="F44" i="1"/>
  <c r="J44" i="1"/>
  <c r="J45" i="1"/>
  <c r="J49" i="1"/>
  <c r="J50" i="1"/>
  <c r="J51" i="1"/>
</calcChain>
</file>

<file path=xl/sharedStrings.xml><?xml version="1.0" encoding="utf-8"?>
<sst xmlns="http://schemas.openxmlformats.org/spreadsheetml/2006/main" count="142" uniqueCount="110">
  <si>
    <t>Upgrade Carpet Pad I</t>
  </si>
  <si>
    <t>Surround Sound Pre-Wire</t>
  </si>
  <si>
    <t>Breezeway for Garage</t>
  </si>
  <si>
    <t>Marble Tub Surround/Shower Walls</t>
  </si>
  <si>
    <t>Two Piece Molding in Entry</t>
  </si>
  <si>
    <t>Ovation Plumbing Fixtures in MB</t>
  </si>
  <si>
    <t>Upgrade A Carpet</t>
  </si>
  <si>
    <t>Two Piece Molding&amp;Chair Rail-Dining</t>
  </si>
  <si>
    <t>Upgrade/Options Allowance</t>
  </si>
  <si>
    <t>Points</t>
  </si>
  <si>
    <t>Cost</t>
  </si>
  <si>
    <t>Upgrade/Options</t>
  </si>
  <si>
    <t>Allowance</t>
  </si>
  <si>
    <t>Upgrade C Carpet</t>
  </si>
  <si>
    <t>Detached Three Car Garage</t>
  </si>
  <si>
    <t>Wallpaper in Master Bath</t>
  </si>
  <si>
    <t>Direct Vent Fire Place</t>
  </si>
  <si>
    <t>Double OG Upgrade in Master Bath</t>
  </si>
  <si>
    <t>French Doors in Study</t>
  </si>
  <si>
    <t>Wall for Study</t>
  </si>
  <si>
    <t>White Appliances &amp; Gas Stove</t>
  </si>
  <si>
    <t>Premium-Corner Lot</t>
  </si>
  <si>
    <t>Upgrades &amp; Options</t>
  </si>
  <si>
    <t>Ceramic Tile in Kitchen &amp; Breakfast</t>
  </si>
  <si>
    <t>Wallpaper in Kitchen &amp; Breakfast</t>
  </si>
  <si>
    <t>Sales Price</t>
  </si>
  <si>
    <t>Loan Amount</t>
  </si>
  <si>
    <t>Interest Rate</t>
  </si>
  <si>
    <t>Term (Years)</t>
  </si>
  <si>
    <t>Taxes</t>
  </si>
  <si>
    <t>Summary Information</t>
  </si>
  <si>
    <t>Rate Before Homestead</t>
  </si>
  <si>
    <t>Rate After Homestead</t>
  </si>
  <si>
    <t>Tax Before Homestead</t>
  </si>
  <si>
    <t>Tax After Homestead</t>
  </si>
  <si>
    <t>Mud Tax</t>
  </si>
  <si>
    <t>State/County</t>
  </si>
  <si>
    <t>Cy-Fair ISD</t>
  </si>
  <si>
    <t>HOA Fee - $300/Year</t>
  </si>
  <si>
    <t>Monthly Payment</t>
  </si>
  <si>
    <t>Principal &amp; Interest</t>
  </si>
  <si>
    <t>Insurance</t>
  </si>
  <si>
    <t>PMI</t>
  </si>
  <si>
    <t>PMI Rate</t>
  </si>
  <si>
    <t>5% Down Payment</t>
  </si>
  <si>
    <t>Extra Down</t>
  </si>
  <si>
    <t>Prepaid Items</t>
  </si>
  <si>
    <t>Insurance (Months)</t>
  </si>
  <si>
    <t>Taxes (Months)</t>
  </si>
  <si>
    <t>Interest (Days)</t>
  </si>
  <si>
    <t>PMI (Months)</t>
  </si>
  <si>
    <t>HOA (Months)</t>
  </si>
  <si>
    <t>Closing Costs</t>
  </si>
  <si>
    <t>Survey</t>
  </si>
  <si>
    <t>Attorney's Fee</t>
  </si>
  <si>
    <t>Lender Inspection Fee</t>
  </si>
  <si>
    <t>Underwriting Fee</t>
  </si>
  <si>
    <t>Flood Stamp</t>
  </si>
  <si>
    <t>Lender Tax Prep Fee</t>
  </si>
  <si>
    <t>Owner's Title Policy</t>
  </si>
  <si>
    <t>Escrow Fee</t>
  </si>
  <si>
    <t>Recording Fees</t>
  </si>
  <si>
    <t>Tax Certificates</t>
  </si>
  <si>
    <t>Messenger Fees</t>
  </si>
  <si>
    <t>Maintenance Transfer Fee</t>
  </si>
  <si>
    <t>Processing Fee</t>
  </si>
  <si>
    <t>Loan Application/Credit</t>
  </si>
  <si>
    <t>Total Prepaids</t>
  </si>
  <si>
    <t>Total Closing Costs</t>
  </si>
  <si>
    <t>Total Move-In</t>
  </si>
  <si>
    <t>Loan Origination</t>
  </si>
  <si>
    <t>Proceeds from House</t>
  </si>
  <si>
    <t>Tax Refund</t>
  </si>
  <si>
    <t>Stock Options</t>
  </si>
  <si>
    <t>Dollars Available on 6/15</t>
  </si>
  <si>
    <t>Kelley Deposit</t>
  </si>
  <si>
    <t>Earnest Money</t>
  </si>
  <si>
    <t>Amount Remaining</t>
  </si>
  <si>
    <t>Garage Door Opener</t>
  </si>
  <si>
    <t>Sodded Rear Yard</t>
  </si>
  <si>
    <t>Window Treatments</t>
  </si>
  <si>
    <t>Bathroom Stuff</t>
  </si>
  <si>
    <t>Dresser in Master</t>
  </si>
  <si>
    <t>Cushions for Breakfast</t>
  </si>
  <si>
    <t>Wants After Move In</t>
  </si>
  <si>
    <t>Furniture for Carley</t>
  </si>
  <si>
    <t>*</t>
  </si>
  <si>
    <t>Title Insurance</t>
  </si>
  <si>
    <t>Accounting Adjustment</t>
  </si>
  <si>
    <t>Dresser for Christopher</t>
  </si>
  <si>
    <t>Summer Childcare</t>
  </si>
  <si>
    <t>No Rent/Savings in July</t>
  </si>
  <si>
    <t>Insurance Refund</t>
  </si>
  <si>
    <t>Sylvana-2,983 Sq Ft-Elevation A</t>
  </si>
  <si>
    <t>Total Down Payment</t>
  </si>
  <si>
    <t>Extended Concrete Patio - 100 Sq Ft</t>
  </si>
  <si>
    <t>Extra Cable and Electrical Outlet</t>
  </si>
  <si>
    <t>Extended Tile in Entry &amp; Powder Bath</t>
  </si>
  <si>
    <t>Refrigerator</t>
  </si>
  <si>
    <t>Locked In</t>
  </si>
  <si>
    <t>Vacation Fund</t>
  </si>
  <si>
    <t>Increase/(Loss) on Dell</t>
  </si>
  <si>
    <t>UT Tickets</t>
  </si>
  <si>
    <t>Dollars After 6/30</t>
  </si>
  <si>
    <t>Remaining</t>
  </si>
  <si>
    <t>Merrill Lynch Cash</t>
  </si>
  <si>
    <t>Schwab Cash</t>
  </si>
  <si>
    <t>Earnest</t>
  </si>
  <si>
    <t>Dell from Schwab via Lynch</t>
  </si>
  <si>
    <t>Cy-Fair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</si>
</sst>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_);[Red]\(#,##0.000\)"/>
    <numFmt numFmtId="167" formatCode="0.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Border="1" applyAlignment="1"/>
    <xf numFmtId="38" fontId="2" fillId="0" borderId="0" xfId="0" applyNumberFormat="1" applyFont="1" applyBorder="1" applyAlignment="1"/>
    <xf numFmtId="0" fontId="2" fillId="0" borderId="0" xfId="0" applyFont="1" applyAlignment="1"/>
    <xf numFmtId="38" fontId="2" fillId="0" borderId="0" xfId="0" applyNumberFormat="1" applyFont="1" applyAlignment="1"/>
    <xf numFmtId="40" fontId="0" fillId="0" borderId="0" xfId="0" applyNumberFormat="1"/>
    <xf numFmtId="40" fontId="0" fillId="0" borderId="1" xfId="0" applyNumberFormat="1" applyBorder="1"/>
    <xf numFmtId="167" fontId="0" fillId="0" borderId="0" xfId="0" applyNumberFormat="1"/>
    <xf numFmtId="38" fontId="0" fillId="0" borderId="0" xfId="0" applyNumberFormat="1" applyBorder="1"/>
    <xf numFmtId="38" fontId="1" fillId="0" borderId="0" xfId="0" applyNumberFormat="1" applyFont="1" applyAlignment="1">
      <alignment horizontal="center"/>
    </xf>
    <xf numFmtId="16" fontId="0" fillId="0" borderId="0" xfId="0" applyNumberFormat="1"/>
    <xf numFmtId="166" fontId="0" fillId="0" borderId="0" xfId="0" applyNumberFormat="1"/>
    <xf numFmtId="3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15" zoomScale="85" workbookViewId="0">
      <selection activeCell="F26" sqref="F26"/>
    </sheetView>
  </sheetViews>
  <sheetFormatPr defaultRowHeight="12.75" x14ac:dyDescent="0.2"/>
  <cols>
    <col min="1" max="1" width="31.5703125" bestFit="1" customWidth="1"/>
    <col min="2" max="2" width="7.140625" bestFit="1" customWidth="1"/>
    <col min="3" max="3" width="8.42578125" style="4" bestFit="1" customWidth="1"/>
    <col min="5" max="5" width="23.85546875" customWidth="1"/>
    <col min="6" max="6" width="10.5703125" bestFit="1" customWidth="1"/>
    <col min="8" max="8" width="24.85546875" bestFit="1" customWidth="1"/>
    <col min="9" max="9" width="3.140625" bestFit="1" customWidth="1"/>
    <col min="10" max="10" width="9.140625" style="4"/>
  </cols>
  <sheetData>
    <row r="1" spans="1:12" x14ac:dyDescent="0.2">
      <c r="A1" s="2" t="s">
        <v>8</v>
      </c>
      <c r="B1" s="2" t="s">
        <v>9</v>
      </c>
      <c r="C1" s="3" t="s">
        <v>10</v>
      </c>
      <c r="E1" s="18" t="s">
        <v>30</v>
      </c>
      <c r="F1" s="18"/>
      <c r="H1" s="17" t="s">
        <v>46</v>
      </c>
      <c r="I1" s="17"/>
      <c r="J1" s="17"/>
    </row>
    <row r="2" spans="1:12" s="8" customFormat="1" x14ac:dyDescent="0.2">
      <c r="A2" s="6" t="s">
        <v>23</v>
      </c>
      <c r="B2" s="6"/>
      <c r="C2" s="7">
        <v>1215</v>
      </c>
      <c r="E2" s="8" t="s">
        <v>25</v>
      </c>
      <c r="F2" s="9">
        <f>C44</f>
        <v>177803</v>
      </c>
      <c r="H2" s="8" t="s">
        <v>47</v>
      </c>
      <c r="I2" s="8">
        <v>15</v>
      </c>
      <c r="J2" s="9">
        <f>F25*I2</f>
        <v>1050</v>
      </c>
      <c r="K2" s="8" t="s">
        <v>86</v>
      </c>
      <c r="L2" s="8">
        <v>716</v>
      </c>
    </row>
    <row r="3" spans="1:12" x14ac:dyDescent="0.2">
      <c r="A3" t="s">
        <v>0</v>
      </c>
      <c r="B3">
        <v>4</v>
      </c>
      <c r="C3" s="4">
        <v>545</v>
      </c>
      <c r="E3" t="s">
        <v>44</v>
      </c>
      <c r="F3" s="4">
        <f>ROUND(F2*0.05,0)</f>
        <v>8890</v>
      </c>
      <c r="H3" t="s">
        <v>48</v>
      </c>
      <c r="I3">
        <v>3</v>
      </c>
      <c r="J3" s="4">
        <f>I3*F24</f>
        <v>1489.1001249999999</v>
      </c>
      <c r="K3" t="s">
        <v>86</v>
      </c>
      <c r="L3">
        <f>135+340+288</f>
        <v>763</v>
      </c>
    </row>
    <row r="4" spans="1:12" x14ac:dyDescent="0.2">
      <c r="A4" t="s">
        <v>1</v>
      </c>
      <c r="B4">
        <v>1</v>
      </c>
      <c r="C4" s="4">
        <v>165</v>
      </c>
      <c r="E4" t="s">
        <v>45</v>
      </c>
      <c r="F4" s="4">
        <v>13</v>
      </c>
      <c r="H4" t="s">
        <v>49</v>
      </c>
      <c r="I4">
        <v>15</v>
      </c>
      <c r="J4" s="4">
        <f>I4/360*F5*F6</f>
        <v>492.62500000000006</v>
      </c>
      <c r="K4" t="s">
        <v>86</v>
      </c>
      <c r="L4">
        <f>227+179</f>
        <v>406</v>
      </c>
    </row>
    <row r="5" spans="1:12" x14ac:dyDescent="0.2">
      <c r="A5" t="s">
        <v>24</v>
      </c>
      <c r="B5">
        <v>4</v>
      </c>
      <c r="C5" s="4">
        <v>660</v>
      </c>
      <c r="E5" t="s">
        <v>26</v>
      </c>
      <c r="F5" s="4">
        <f>F2-F3-F4</f>
        <v>168900</v>
      </c>
      <c r="H5" t="s">
        <v>50</v>
      </c>
      <c r="I5">
        <v>3</v>
      </c>
      <c r="J5" s="4">
        <f>I5*F26</f>
        <v>329.35500000000002</v>
      </c>
      <c r="K5" t="s">
        <v>86</v>
      </c>
    </row>
    <row r="6" spans="1:12" x14ac:dyDescent="0.2">
      <c r="A6" t="s">
        <v>2</v>
      </c>
      <c r="B6">
        <v>12</v>
      </c>
      <c r="C6" s="4">
        <v>2235</v>
      </c>
      <c r="E6" t="s">
        <v>27</v>
      </c>
      <c r="F6" s="12">
        <v>7.0000000000000007E-2</v>
      </c>
      <c r="H6" t="s">
        <v>51</v>
      </c>
      <c r="I6">
        <v>7</v>
      </c>
      <c r="J6" s="13">
        <f>300/12*I6</f>
        <v>175</v>
      </c>
      <c r="K6" t="s">
        <v>86</v>
      </c>
    </row>
    <row r="7" spans="1:12" x14ac:dyDescent="0.2">
      <c r="A7" t="s">
        <v>3</v>
      </c>
      <c r="B7">
        <v>2</v>
      </c>
      <c r="C7" s="4">
        <v>375</v>
      </c>
      <c r="E7" t="s">
        <v>43</v>
      </c>
      <c r="F7">
        <v>0.78</v>
      </c>
      <c r="H7" t="s">
        <v>88</v>
      </c>
      <c r="J7" s="5">
        <v>-425</v>
      </c>
      <c r="L7">
        <v>-358</v>
      </c>
    </row>
    <row r="8" spans="1:12" x14ac:dyDescent="0.2">
      <c r="A8" t="s">
        <v>4</v>
      </c>
      <c r="B8">
        <v>1</v>
      </c>
      <c r="C8" s="4">
        <v>195</v>
      </c>
      <c r="E8" t="s">
        <v>28</v>
      </c>
      <c r="F8" s="4">
        <v>30</v>
      </c>
      <c r="J8" s="4">
        <f>SUM(J2:J7)</f>
        <v>3111.080125</v>
      </c>
    </row>
    <row r="9" spans="1:12" x14ac:dyDescent="0.2">
      <c r="A9" t="s">
        <v>5</v>
      </c>
      <c r="B9">
        <v>2</v>
      </c>
      <c r="C9" s="4">
        <v>440</v>
      </c>
    </row>
    <row r="10" spans="1:12" x14ac:dyDescent="0.2">
      <c r="A10" t="s">
        <v>6</v>
      </c>
      <c r="B10">
        <v>3</v>
      </c>
      <c r="C10" s="4">
        <v>665</v>
      </c>
      <c r="E10" s="18" t="s">
        <v>29</v>
      </c>
      <c r="F10" s="18"/>
      <c r="H10" s="17" t="s">
        <v>52</v>
      </c>
      <c r="I10" s="17"/>
      <c r="J10" s="17"/>
    </row>
    <row r="11" spans="1:12" x14ac:dyDescent="0.2">
      <c r="A11" t="s">
        <v>7</v>
      </c>
      <c r="B11" s="1">
        <v>2</v>
      </c>
      <c r="C11" s="5">
        <v>565</v>
      </c>
      <c r="E11" t="s">
        <v>31</v>
      </c>
      <c r="F11" s="10">
        <f>+F20</f>
        <v>3.75</v>
      </c>
      <c r="H11" t="s">
        <v>53</v>
      </c>
      <c r="J11" s="4">
        <v>270</v>
      </c>
      <c r="K11" t="s">
        <v>86</v>
      </c>
    </row>
    <row r="12" spans="1:12" x14ac:dyDescent="0.2">
      <c r="B12">
        <f>SUM(B3:B11)</f>
        <v>31</v>
      </c>
      <c r="C12" s="4">
        <f>SUM(C2:C11)</f>
        <v>7060</v>
      </c>
      <c r="E12" t="s">
        <v>32</v>
      </c>
      <c r="F12" s="10">
        <v>3.35</v>
      </c>
      <c r="H12" t="s">
        <v>70</v>
      </c>
      <c r="J12" s="4">
        <f>ROUND(F5*0.01,0)</f>
        <v>1689</v>
      </c>
      <c r="K12" t="s">
        <v>86</v>
      </c>
      <c r="L12">
        <v>1689</v>
      </c>
    </row>
    <row r="13" spans="1:12" x14ac:dyDescent="0.2">
      <c r="E13" t="s">
        <v>33</v>
      </c>
      <c r="F13" s="4">
        <f>F11*($F$2/100)</f>
        <v>6667.6125000000002</v>
      </c>
      <c r="H13" t="s">
        <v>54</v>
      </c>
      <c r="J13" s="4">
        <v>200</v>
      </c>
      <c r="K13" t="s">
        <v>86</v>
      </c>
    </row>
    <row r="14" spans="1:12" x14ac:dyDescent="0.2">
      <c r="E14" t="s">
        <v>34</v>
      </c>
      <c r="F14" s="4">
        <f>F12*($F$2/100)</f>
        <v>5956.4004999999997</v>
      </c>
      <c r="H14" t="s">
        <v>55</v>
      </c>
      <c r="J14" s="4">
        <v>100</v>
      </c>
      <c r="K14" t="s">
        <v>86</v>
      </c>
      <c r="L14">
        <v>100</v>
      </c>
    </row>
    <row r="15" spans="1:12" x14ac:dyDescent="0.2">
      <c r="A15" s="2" t="s">
        <v>11</v>
      </c>
      <c r="C15" s="3" t="s">
        <v>10</v>
      </c>
      <c r="H15" t="s">
        <v>56</v>
      </c>
      <c r="J15" s="4">
        <v>200</v>
      </c>
      <c r="K15" t="s">
        <v>86</v>
      </c>
      <c r="L15">
        <v>200</v>
      </c>
    </row>
    <row r="16" spans="1:12" x14ac:dyDescent="0.2">
      <c r="A16" t="s">
        <v>12</v>
      </c>
      <c r="C16" s="4">
        <f>+-C12</f>
        <v>-7060</v>
      </c>
      <c r="E16" t="s">
        <v>35</v>
      </c>
      <c r="F16" s="10">
        <v>1.25</v>
      </c>
      <c r="H16" t="s">
        <v>57</v>
      </c>
      <c r="J16" s="4">
        <v>20</v>
      </c>
      <c r="K16" t="s">
        <v>86</v>
      </c>
      <c r="L16">
        <v>20</v>
      </c>
    </row>
    <row r="17" spans="1:12" x14ac:dyDescent="0.2">
      <c r="A17" s="6" t="s">
        <v>23</v>
      </c>
      <c r="C17" s="7">
        <v>1215</v>
      </c>
      <c r="E17" t="s">
        <v>36</v>
      </c>
      <c r="F17" s="10">
        <v>0.73</v>
      </c>
      <c r="H17" t="s">
        <v>58</v>
      </c>
      <c r="J17" s="4">
        <v>100</v>
      </c>
      <c r="K17" t="s">
        <v>86</v>
      </c>
      <c r="L17">
        <v>100</v>
      </c>
    </row>
    <row r="18" spans="1:12" x14ac:dyDescent="0.2">
      <c r="A18" t="s">
        <v>0</v>
      </c>
      <c r="C18" s="4">
        <v>545</v>
      </c>
      <c r="E18" t="s">
        <v>37</v>
      </c>
      <c r="F18" s="10">
        <v>1.77</v>
      </c>
      <c r="H18" t="s">
        <v>59</v>
      </c>
      <c r="J18" s="4">
        <v>1501</v>
      </c>
      <c r="K18" t="s">
        <v>86</v>
      </c>
      <c r="L18">
        <v>1656</v>
      </c>
    </row>
    <row r="19" spans="1:12" x14ac:dyDescent="0.2">
      <c r="A19" t="s">
        <v>1</v>
      </c>
      <c r="C19" s="4">
        <v>165</v>
      </c>
      <c r="E19" t="s">
        <v>38</v>
      </c>
      <c r="F19" s="11"/>
      <c r="H19" t="s">
        <v>87</v>
      </c>
      <c r="J19" s="4">
        <v>235</v>
      </c>
      <c r="K19" t="s">
        <v>86</v>
      </c>
    </row>
    <row r="20" spans="1:12" x14ac:dyDescent="0.2">
      <c r="A20" t="s">
        <v>24</v>
      </c>
      <c r="C20" s="4">
        <v>660</v>
      </c>
      <c r="F20" s="10">
        <f>SUM(F16:F19)</f>
        <v>3.75</v>
      </c>
      <c r="H20" t="s">
        <v>60</v>
      </c>
      <c r="J20" s="4">
        <v>100</v>
      </c>
      <c r="K20" t="s">
        <v>86</v>
      </c>
    </row>
    <row r="21" spans="1:12" x14ac:dyDescent="0.2">
      <c r="A21" t="s">
        <v>2</v>
      </c>
      <c r="C21" s="4">
        <v>2235</v>
      </c>
      <c r="H21" t="s">
        <v>61</v>
      </c>
      <c r="J21" s="4">
        <v>80</v>
      </c>
      <c r="K21" t="s">
        <v>86</v>
      </c>
    </row>
    <row r="22" spans="1:12" x14ac:dyDescent="0.2">
      <c r="A22" t="s">
        <v>3</v>
      </c>
      <c r="C22" s="4">
        <v>375</v>
      </c>
      <c r="E22" s="18" t="s">
        <v>39</v>
      </c>
      <c r="F22" s="18"/>
      <c r="H22" t="s">
        <v>62</v>
      </c>
      <c r="J22" s="4">
        <v>34</v>
      </c>
      <c r="K22" t="s">
        <v>86</v>
      </c>
    </row>
    <row r="23" spans="1:12" x14ac:dyDescent="0.2">
      <c r="A23" t="s">
        <v>4</v>
      </c>
      <c r="C23" s="4">
        <v>195</v>
      </c>
      <c r="E23" t="s">
        <v>40</v>
      </c>
      <c r="F23" s="10">
        <f>PMT(F6/12,F8*12,F5,0)*-1</f>
        <v>1123.6959143576394</v>
      </c>
      <c r="H23" t="s">
        <v>63</v>
      </c>
      <c r="J23" s="4">
        <v>65</v>
      </c>
      <c r="K23" t="s">
        <v>86</v>
      </c>
      <c r="L23">
        <v>65</v>
      </c>
    </row>
    <row r="24" spans="1:12" x14ac:dyDescent="0.2">
      <c r="A24" t="s">
        <v>5</v>
      </c>
      <c r="C24" s="4">
        <v>440</v>
      </c>
      <c r="E24" t="s">
        <v>29</v>
      </c>
      <c r="F24" s="10">
        <f>F14/12</f>
        <v>496.36670833333329</v>
      </c>
      <c r="H24" t="s">
        <v>64</v>
      </c>
      <c r="J24" s="4">
        <v>75</v>
      </c>
      <c r="K24" t="s">
        <v>86</v>
      </c>
    </row>
    <row r="25" spans="1:12" x14ac:dyDescent="0.2">
      <c r="A25" t="s">
        <v>13</v>
      </c>
      <c r="C25" s="4">
        <v>2225</v>
      </c>
      <c r="E25" t="s">
        <v>41</v>
      </c>
      <c r="F25" s="10">
        <f>840/12</f>
        <v>70</v>
      </c>
      <c r="H25" t="s">
        <v>65</v>
      </c>
      <c r="J25" s="4">
        <v>175</v>
      </c>
      <c r="K25" t="s">
        <v>86</v>
      </c>
      <c r="L25">
        <v>175</v>
      </c>
    </row>
    <row r="26" spans="1:12" x14ac:dyDescent="0.2">
      <c r="A26" t="s">
        <v>7</v>
      </c>
      <c r="C26" s="4">
        <v>565</v>
      </c>
      <c r="E26" t="s">
        <v>42</v>
      </c>
      <c r="F26" s="11">
        <f>(F5/100)*(F7/12)</f>
        <v>109.78500000000001</v>
      </c>
      <c r="H26" t="s">
        <v>66</v>
      </c>
      <c r="J26" s="5">
        <v>390</v>
      </c>
      <c r="K26" t="s">
        <v>86</v>
      </c>
    </row>
    <row r="27" spans="1:12" x14ac:dyDescent="0.2">
      <c r="A27" t="s">
        <v>14</v>
      </c>
      <c r="C27" s="4">
        <v>4860</v>
      </c>
      <c r="F27" s="10">
        <f>SUM(F23:F26)</f>
        <v>1799.8476226909727</v>
      </c>
      <c r="J27" s="4">
        <f>SUM(J11:J26)</f>
        <v>5234</v>
      </c>
    </row>
    <row r="28" spans="1:12" x14ac:dyDescent="0.2">
      <c r="A28" t="s">
        <v>15</v>
      </c>
      <c r="C28" s="4">
        <v>340</v>
      </c>
    </row>
    <row r="29" spans="1:12" x14ac:dyDescent="0.2">
      <c r="A29" t="s">
        <v>16</v>
      </c>
      <c r="C29" s="4">
        <v>685</v>
      </c>
      <c r="H29" t="s">
        <v>67</v>
      </c>
      <c r="J29" s="4">
        <f>J8</f>
        <v>3111.080125</v>
      </c>
    </row>
    <row r="30" spans="1:12" x14ac:dyDescent="0.2">
      <c r="A30" t="s">
        <v>17</v>
      </c>
      <c r="C30" s="4">
        <v>75</v>
      </c>
      <c r="H30" t="s">
        <v>68</v>
      </c>
      <c r="J30" s="4">
        <f>J27</f>
        <v>5234</v>
      </c>
    </row>
    <row r="31" spans="1:12" x14ac:dyDescent="0.2">
      <c r="A31" t="s">
        <v>18</v>
      </c>
      <c r="C31" s="4">
        <v>525</v>
      </c>
      <c r="H31" t="s">
        <v>94</v>
      </c>
      <c r="J31" s="5">
        <f>F3+F4</f>
        <v>8903</v>
      </c>
    </row>
    <row r="32" spans="1:12" x14ac:dyDescent="0.2">
      <c r="A32" t="s">
        <v>19</v>
      </c>
      <c r="C32" s="4">
        <v>485</v>
      </c>
      <c r="H32" t="s">
        <v>69</v>
      </c>
      <c r="J32" s="4">
        <f>SUM(J29:J31)</f>
        <v>17248.080125</v>
      </c>
    </row>
    <row r="33" spans="1:10" x14ac:dyDescent="0.2">
      <c r="A33" t="s">
        <v>97</v>
      </c>
      <c r="C33" s="4">
        <v>1058</v>
      </c>
      <c r="E33" s="18" t="s">
        <v>84</v>
      </c>
      <c r="F33" s="18"/>
    </row>
    <row r="34" spans="1:10" x14ac:dyDescent="0.2">
      <c r="A34" t="s">
        <v>20</v>
      </c>
      <c r="C34" s="13">
        <v>180</v>
      </c>
      <c r="E34" t="s">
        <v>78</v>
      </c>
      <c r="F34" s="4">
        <v>460</v>
      </c>
      <c r="H34" s="17" t="s">
        <v>74</v>
      </c>
      <c r="I34" s="17"/>
      <c r="J34" s="17"/>
    </row>
    <row r="35" spans="1:10" x14ac:dyDescent="0.2">
      <c r="A35" t="s">
        <v>96</v>
      </c>
      <c r="C35" s="13">
        <f>45+100</f>
        <v>145</v>
      </c>
      <c r="E35" t="s">
        <v>79</v>
      </c>
      <c r="F35" s="4">
        <v>485</v>
      </c>
      <c r="H35" t="s">
        <v>76</v>
      </c>
      <c r="J35" s="4">
        <v>1410</v>
      </c>
    </row>
    <row r="36" spans="1:10" x14ac:dyDescent="0.2">
      <c r="A36" t="s">
        <v>95</v>
      </c>
      <c r="C36" s="5">
        <v>400</v>
      </c>
      <c r="E36" t="s">
        <v>80</v>
      </c>
      <c r="F36" s="4">
        <v>2400</v>
      </c>
      <c r="H36" t="s">
        <v>71</v>
      </c>
      <c r="J36" s="4">
        <v>4217</v>
      </c>
    </row>
    <row r="37" spans="1:10" x14ac:dyDescent="0.2">
      <c r="E37" t="s">
        <v>81</v>
      </c>
      <c r="F37" s="4">
        <v>250</v>
      </c>
      <c r="H37" t="s">
        <v>98</v>
      </c>
      <c r="J37" s="4">
        <v>-500</v>
      </c>
    </row>
    <row r="38" spans="1:10" x14ac:dyDescent="0.2">
      <c r="C38" s="4">
        <f>SUM(C16:C37)</f>
        <v>10313</v>
      </c>
      <c r="E38" t="s">
        <v>82</v>
      </c>
      <c r="F38" s="4"/>
      <c r="H38" t="s">
        <v>102</v>
      </c>
      <c r="J38" s="4">
        <v>-468</v>
      </c>
    </row>
    <row r="39" spans="1:10" x14ac:dyDescent="0.2">
      <c r="E39" t="s">
        <v>83</v>
      </c>
      <c r="F39" s="4">
        <v>400</v>
      </c>
      <c r="H39" t="s">
        <v>92</v>
      </c>
      <c r="J39" s="13">
        <v>524</v>
      </c>
    </row>
    <row r="40" spans="1:10" x14ac:dyDescent="0.2">
      <c r="E40" t="s">
        <v>85</v>
      </c>
      <c r="F40" s="4">
        <v>1080</v>
      </c>
      <c r="H40" t="s">
        <v>101</v>
      </c>
      <c r="J40" s="4">
        <v>-502</v>
      </c>
    </row>
    <row r="41" spans="1:10" x14ac:dyDescent="0.2">
      <c r="A41" t="s">
        <v>93</v>
      </c>
      <c r="C41" s="4">
        <v>164990</v>
      </c>
      <c r="E41" t="s">
        <v>89</v>
      </c>
      <c r="F41" s="5">
        <v>600</v>
      </c>
      <c r="H41" t="s">
        <v>100</v>
      </c>
      <c r="J41" s="4">
        <v>7502</v>
      </c>
    </row>
    <row r="42" spans="1:10" x14ac:dyDescent="0.2">
      <c r="A42" t="s">
        <v>21</v>
      </c>
      <c r="C42" s="4">
        <v>2500</v>
      </c>
      <c r="F42" s="4">
        <f>SUM(F34:F41)</f>
        <v>5675</v>
      </c>
      <c r="H42" t="s">
        <v>72</v>
      </c>
      <c r="J42" s="4">
        <v>2000</v>
      </c>
    </row>
    <row r="43" spans="1:10" x14ac:dyDescent="0.2">
      <c r="A43" t="s">
        <v>22</v>
      </c>
      <c r="C43" s="5">
        <f>C38</f>
        <v>10313</v>
      </c>
      <c r="F43" s="4"/>
      <c r="H43" t="s">
        <v>73</v>
      </c>
      <c r="J43" s="5">
        <v>3445</v>
      </c>
    </row>
    <row r="44" spans="1:10" x14ac:dyDescent="0.2">
      <c r="C44" s="4">
        <f>SUM(C41:C43)</f>
        <v>177803</v>
      </c>
      <c r="E44" t="s">
        <v>104</v>
      </c>
      <c r="F44" s="4">
        <f>+J51-F42</f>
        <v>4184.9198749999996</v>
      </c>
      <c r="J44" s="4">
        <f>SUM(J35:J43)</f>
        <v>17628</v>
      </c>
    </row>
    <row r="45" spans="1:10" x14ac:dyDescent="0.2">
      <c r="F45" s="4"/>
      <c r="H45" t="s">
        <v>77</v>
      </c>
      <c r="J45" s="4">
        <f>J44-J32</f>
        <v>379.91987499999959</v>
      </c>
    </row>
    <row r="46" spans="1:10" x14ac:dyDescent="0.2">
      <c r="F46" s="4"/>
      <c r="H46" s="14" t="s">
        <v>103</v>
      </c>
      <c r="I46" s="14"/>
      <c r="J46" s="14"/>
    </row>
    <row r="47" spans="1:10" x14ac:dyDescent="0.2">
      <c r="F47" s="4"/>
      <c r="H47" t="s">
        <v>75</v>
      </c>
      <c r="J47" s="4">
        <v>1200</v>
      </c>
    </row>
    <row r="48" spans="1:10" x14ac:dyDescent="0.2">
      <c r="F48" s="4"/>
      <c r="H48" t="s">
        <v>73</v>
      </c>
      <c r="J48" s="13">
        <v>5420</v>
      </c>
    </row>
    <row r="49" spans="2:10" x14ac:dyDescent="0.2">
      <c r="F49" s="4"/>
      <c r="H49" t="s">
        <v>90</v>
      </c>
      <c r="J49" s="4">
        <f>160+30+160+30+160+30+160+30</f>
        <v>760</v>
      </c>
    </row>
    <row r="50" spans="2:10" x14ac:dyDescent="0.2">
      <c r="F50" s="4"/>
      <c r="H50" t="s">
        <v>91</v>
      </c>
      <c r="J50" s="5">
        <f>1200+900</f>
        <v>2100</v>
      </c>
    </row>
    <row r="51" spans="2:10" x14ac:dyDescent="0.2">
      <c r="J51" s="4">
        <f>SUM(J45:J50)</f>
        <v>9859.9198749999996</v>
      </c>
    </row>
    <row r="55" spans="2:10" x14ac:dyDescent="0.2">
      <c r="B55" s="15">
        <v>36273</v>
      </c>
      <c r="C55" s="16">
        <v>7.125</v>
      </c>
    </row>
    <row r="56" spans="2:10" x14ac:dyDescent="0.2">
      <c r="B56" s="15">
        <v>36276</v>
      </c>
      <c r="C56" s="16">
        <v>7.125</v>
      </c>
      <c r="E56" t="s">
        <v>105</v>
      </c>
      <c r="F56">
        <v>5910</v>
      </c>
    </row>
    <row r="57" spans="2:10" x14ac:dyDescent="0.2">
      <c r="B57" s="15">
        <v>36277</v>
      </c>
      <c r="C57" s="16">
        <v>7</v>
      </c>
      <c r="E57" t="s">
        <v>106</v>
      </c>
      <c r="F57">
        <v>4019</v>
      </c>
    </row>
    <row r="58" spans="2:10" x14ac:dyDescent="0.2">
      <c r="B58" s="15">
        <v>36278</v>
      </c>
      <c r="C58" s="16">
        <v>7</v>
      </c>
      <c r="E58" t="s">
        <v>107</v>
      </c>
      <c r="F58">
        <v>1410</v>
      </c>
    </row>
    <row r="59" spans="2:10" x14ac:dyDescent="0.2">
      <c r="B59" s="15">
        <v>36279</v>
      </c>
      <c r="C59" s="16">
        <v>7</v>
      </c>
      <c r="E59" t="s">
        <v>108</v>
      </c>
      <c r="F59">
        <v>3694</v>
      </c>
    </row>
    <row r="60" spans="2:10" x14ac:dyDescent="0.2">
      <c r="B60" s="15">
        <v>36280</v>
      </c>
      <c r="C60" s="16">
        <v>7</v>
      </c>
      <c r="D60" t="s">
        <v>99</v>
      </c>
      <c r="E60" t="s">
        <v>109</v>
      </c>
      <c r="F60">
        <v>1900</v>
      </c>
    </row>
    <row r="61" spans="2:10" x14ac:dyDescent="0.2">
      <c r="B61" s="15">
        <v>36283</v>
      </c>
      <c r="C61" s="16">
        <v>7.125</v>
      </c>
    </row>
    <row r="62" spans="2:10" x14ac:dyDescent="0.2">
      <c r="B62" s="15">
        <v>36284</v>
      </c>
      <c r="C62" s="16">
        <v>7.125</v>
      </c>
    </row>
    <row r="63" spans="2:10" x14ac:dyDescent="0.2">
      <c r="B63" s="15">
        <v>36285</v>
      </c>
      <c r="C63" s="16">
        <v>7.125</v>
      </c>
    </row>
    <row r="64" spans="2:10" x14ac:dyDescent="0.2">
      <c r="B64" s="15">
        <v>36286</v>
      </c>
      <c r="C64" s="16">
        <v>7.125</v>
      </c>
    </row>
    <row r="65" spans="2:3" x14ac:dyDescent="0.2">
      <c r="B65" s="15">
        <v>36287</v>
      </c>
      <c r="C65" s="16">
        <v>7.125</v>
      </c>
    </row>
    <row r="66" spans="2:3" x14ac:dyDescent="0.2">
      <c r="B66" s="15">
        <v>36290</v>
      </c>
      <c r="C66" s="16">
        <v>7.25</v>
      </c>
    </row>
    <row r="67" spans="2:3" x14ac:dyDescent="0.2">
      <c r="B67" s="15">
        <v>36291</v>
      </c>
      <c r="C67" s="16">
        <v>7.25</v>
      </c>
    </row>
    <row r="68" spans="2:3" x14ac:dyDescent="0.2">
      <c r="B68" s="15">
        <v>36292</v>
      </c>
      <c r="C68" s="16">
        <v>7.25</v>
      </c>
    </row>
    <row r="69" spans="2:3" x14ac:dyDescent="0.2">
      <c r="B69" s="15">
        <v>36293</v>
      </c>
      <c r="C69" s="16">
        <v>7.25</v>
      </c>
    </row>
    <row r="70" spans="2:3" x14ac:dyDescent="0.2">
      <c r="B70" s="15">
        <v>36294</v>
      </c>
      <c r="C70" s="16">
        <v>7.25</v>
      </c>
    </row>
    <row r="71" spans="2:3" x14ac:dyDescent="0.2">
      <c r="B71" s="15">
        <v>36297</v>
      </c>
      <c r="C71" s="16">
        <v>7.375</v>
      </c>
    </row>
    <row r="72" spans="2:3" x14ac:dyDescent="0.2">
      <c r="B72" s="15">
        <v>36298</v>
      </c>
      <c r="C72" s="16">
        <v>7.375</v>
      </c>
    </row>
    <row r="73" spans="2:3" x14ac:dyDescent="0.2">
      <c r="B73" s="15">
        <v>36299</v>
      </c>
      <c r="C73" s="16">
        <v>7.375</v>
      </c>
    </row>
    <row r="74" spans="2:3" x14ac:dyDescent="0.2">
      <c r="B74" s="15">
        <v>36300</v>
      </c>
      <c r="C74" s="16">
        <v>7.375</v>
      </c>
    </row>
    <row r="75" spans="2:3" x14ac:dyDescent="0.2">
      <c r="B75" s="15">
        <v>36301</v>
      </c>
      <c r="C75" s="16">
        <v>7.375</v>
      </c>
    </row>
    <row r="76" spans="2:3" x14ac:dyDescent="0.2">
      <c r="B76" s="15">
        <v>36304</v>
      </c>
      <c r="C76" s="16">
        <v>7.375</v>
      </c>
    </row>
    <row r="77" spans="2:3" x14ac:dyDescent="0.2">
      <c r="B77" s="15">
        <v>36319</v>
      </c>
      <c r="C77" s="16">
        <v>7.625</v>
      </c>
    </row>
  </sheetData>
  <mergeCells count="7">
    <mergeCell ref="H34:J34"/>
    <mergeCell ref="E33:F33"/>
    <mergeCell ref="E1:F1"/>
    <mergeCell ref="E10:F10"/>
    <mergeCell ref="E22:F22"/>
    <mergeCell ref="H1:J1"/>
    <mergeCell ref="H10:J10"/>
  </mergeCells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Jan Havlíček</cp:lastModifiedBy>
  <cp:lastPrinted>1999-02-16T22:52:52Z</cp:lastPrinted>
  <dcterms:created xsi:type="dcterms:W3CDTF">1999-02-08T15:24:43Z</dcterms:created>
  <dcterms:modified xsi:type="dcterms:W3CDTF">2023-09-15T18:59:50Z</dcterms:modified>
</cp:coreProperties>
</file>