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F8400C5-AE0F-406C-8DC0-D7D58FB3C3B7}" xr6:coauthVersionLast="47" xr6:coauthVersionMax="47" xr10:uidLastSave="{00000000-0000-0000-0000-000000000000}"/>
  <bookViews>
    <workbookView xWindow="-120" yWindow="-120" windowWidth="38640" windowHeight="15720"/>
  </bookViews>
  <sheets>
    <sheet name="EGS" sheetId="7" r:id="rId1"/>
    <sheet name="South America" sheetId="1" state="hidden" r:id="rId2"/>
    <sheet name="Caribbean" sheetId="4" state="hidden" r:id="rId3"/>
    <sheet name="Asia" sheetId="5" state="hidden" r:id="rId4"/>
    <sheet name="India" sheetId="6" state="hidden" r:id="rId5"/>
  </sheets>
  <definedNames>
    <definedName name="_xlnm.Print_Area" localSheetId="2">Caribbean!$A$1:$Q$29</definedName>
    <definedName name="_xlnm.Print_Area" localSheetId="0">EGS!$A$1:$I$68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5" l="1"/>
  <c r="C7" i="5"/>
  <c r="C9" i="5"/>
  <c r="C11" i="5"/>
  <c r="C13" i="5"/>
  <c r="D13" i="5"/>
  <c r="E13" i="5"/>
  <c r="G13" i="5"/>
  <c r="C15" i="5"/>
  <c r="D15" i="5"/>
  <c r="E15" i="5"/>
  <c r="F15" i="5"/>
  <c r="G15" i="5"/>
  <c r="H15" i="5"/>
  <c r="I15" i="5"/>
  <c r="J15" i="5"/>
  <c r="K15" i="5"/>
  <c r="C17" i="5"/>
  <c r="C18" i="5"/>
  <c r="C19" i="5"/>
  <c r="C21" i="5"/>
  <c r="D21" i="5"/>
  <c r="E21" i="5"/>
  <c r="F21" i="5"/>
  <c r="G21" i="5"/>
  <c r="H21" i="5"/>
  <c r="I21" i="5"/>
  <c r="J21" i="5"/>
  <c r="K21" i="5"/>
  <c r="A2" i="4"/>
  <c r="C7" i="4"/>
  <c r="I7" i="4"/>
  <c r="C9" i="4"/>
  <c r="I9" i="4"/>
  <c r="C11" i="4"/>
  <c r="C13" i="4"/>
  <c r="D13" i="4"/>
  <c r="E13" i="4"/>
  <c r="F13" i="4"/>
  <c r="G13" i="4"/>
  <c r="H13" i="4"/>
  <c r="I13" i="4"/>
  <c r="K13" i="4"/>
  <c r="L13" i="4"/>
  <c r="M13" i="4"/>
  <c r="N13" i="4"/>
  <c r="O13" i="4"/>
  <c r="P13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C17" i="4"/>
  <c r="C18" i="4"/>
  <c r="N18" i="4"/>
  <c r="O18" i="4"/>
  <c r="C19" i="4"/>
  <c r="H19" i="4"/>
  <c r="I19" i="4"/>
  <c r="J19" i="4"/>
  <c r="C20" i="4"/>
  <c r="C21" i="4"/>
  <c r="C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C1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G25" i="7"/>
  <c r="H25" i="7"/>
  <c r="H26" i="7"/>
  <c r="H27" i="7"/>
  <c r="H28" i="7"/>
  <c r="H29" i="7"/>
  <c r="H30" i="7"/>
  <c r="H31" i="7"/>
  <c r="G32" i="7"/>
  <c r="H32" i="7"/>
  <c r="G33" i="7"/>
  <c r="H33" i="7"/>
  <c r="H34" i="7"/>
  <c r="H35" i="7"/>
  <c r="H36" i="7"/>
  <c r="H37" i="7"/>
  <c r="H38" i="7"/>
  <c r="G39" i="7"/>
  <c r="H39" i="7"/>
  <c r="H40" i="7"/>
  <c r="D41" i="7"/>
  <c r="F41" i="7"/>
  <c r="G41" i="7"/>
  <c r="H41" i="7"/>
  <c r="D42" i="7"/>
  <c r="G42" i="7"/>
  <c r="H42" i="7"/>
  <c r="G43" i="7"/>
  <c r="H43" i="7"/>
  <c r="H44" i="7"/>
  <c r="H45" i="7"/>
  <c r="H46" i="7"/>
  <c r="H47" i="7"/>
  <c r="H48" i="7"/>
  <c r="H49" i="7"/>
  <c r="H50" i="7"/>
  <c r="H51" i="7"/>
  <c r="H52" i="7"/>
  <c r="H53" i="7"/>
  <c r="G54" i="7"/>
  <c r="H54" i="7"/>
  <c r="G55" i="7"/>
  <c r="H55" i="7"/>
  <c r="H56" i="7"/>
  <c r="H57" i="7"/>
  <c r="H58" i="7"/>
  <c r="H59" i="7"/>
  <c r="G60" i="7"/>
  <c r="H60" i="7"/>
  <c r="G61" i="7"/>
  <c r="H61" i="7"/>
  <c r="H62" i="7"/>
  <c r="H63" i="7"/>
  <c r="G64" i="7"/>
  <c r="H64" i="7"/>
  <c r="G65" i="7"/>
  <c r="H65" i="7"/>
  <c r="G66" i="7"/>
  <c r="H66" i="7"/>
  <c r="H67" i="7"/>
  <c r="D68" i="7"/>
  <c r="E68" i="7"/>
  <c r="F68" i="7"/>
  <c r="G68" i="7"/>
  <c r="H68" i="7"/>
  <c r="A2" i="6"/>
  <c r="C6" i="6"/>
  <c r="C8" i="6"/>
  <c r="C10" i="6"/>
  <c r="E10" i="6"/>
  <c r="C12" i="6"/>
  <c r="D12" i="6"/>
  <c r="E12" i="6"/>
  <c r="C14" i="6"/>
  <c r="D14" i="6"/>
  <c r="E14" i="6"/>
  <c r="D16" i="6"/>
  <c r="D20" i="6"/>
  <c r="E20" i="6"/>
  <c r="C6" i="1"/>
  <c r="C8" i="1"/>
  <c r="C10" i="1"/>
  <c r="C12" i="1"/>
  <c r="D12" i="1"/>
  <c r="E12" i="1"/>
  <c r="F12" i="1"/>
  <c r="G12" i="1"/>
  <c r="H12" i="1"/>
  <c r="I12" i="1"/>
  <c r="J12" i="1"/>
  <c r="L12" i="1"/>
  <c r="C14" i="1"/>
  <c r="D14" i="1"/>
  <c r="E14" i="1"/>
  <c r="F14" i="1"/>
  <c r="G14" i="1"/>
  <c r="H14" i="1"/>
  <c r="I14" i="1"/>
  <c r="J14" i="1"/>
  <c r="K14" i="1"/>
  <c r="L14" i="1"/>
  <c r="C16" i="1"/>
  <c r="C17" i="1"/>
  <c r="C18" i="1"/>
  <c r="C19" i="1"/>
  <c r="D21" i="1"/>
  <c r="E21" i="1"/>
  <c r="F21" i="1"/>
  <c r="G21" i="1"/>
  <c r="H21" i="1"/>
  <c r="I21" i="1"/>
  <c r="J21" i="1"/>
  <c r="K21" i="1"/>
  <c r="L21" i="1"/>
  <c r="D25" i="1"/>
  <c r="E25" i="1"/>
  <c r="F25" i="1"/>
  <c r="G25" i="1"/>
  <c r="H25" i="1"/>
  <c r="I25" i="1"/>
  <c r="J25" i="1"/>
  <c r="K25" i="1"/>
  <c r="L25" i="1"/>
  <c r="A27" i="1"/>
</calcChain>
</file>

<file path=xl/comments1.xml><?xml version="1.0" encoding="utf-8"?>
<comments xmlns="http://schemas.openxmlformats.org/spreadsheetml/2006/main">
  <authors>
    <author>atran</author>
  </authors>
  <commentList>
    <comment ref="D16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reduce by other investments
</t>
        </r>
      </text>
    </comment>
  </commentList>
</comments>
</file>

<file path=xl/sharedStrings.xml><?xml version="1.0" encoding="utf-8"?>
<sst xmlns="http://schemas.openxmlformats.org/spreadsheetml/2006/main" count="349" uniqueCount="203">
  <si>
    <t>Details/Project</t>
  </si>
  <si>
    <t>Equity</t>
  </si>
  <si>
    <t>CTA</t>
  </si>
  <si>
    <t>OCI</t>
  </si>
  <si>
    <t>Net I/C (Rec)/Pay</t>
  </si>
  <si>
    <t>TGS</t>
  </si>
  <si>
    <t>Transredes</t>
  </si>
  <si>
    <t>Cuiaba</t>
  </si>
  <si>
    <t>BBPL-TBG</t>
  </si>
  <si>
    <t>BBPL-GTB</t>
  </si>
  <si>
    <t>Elektro</t>
  </si>
  <si>
    <t>CEG-RIO</t>
  </si>
  <si>
    <t>CEG</t>
  </si>
  <si>
    <t>GasPart</t>
  </si>
  <si>
    <t>South America</t>
  </si>
  <si>
    <t>Caribbean</t>
  </si>
  <si>
    <t>BLM</t>
  </si>
  <si>
    <t>SECLP</t>
  </si>
  <si>
    <t>Corinto</t>
  </si>
  <si>
    <t>IGL</t>
  </si>
  <si>
    <t>Promigas</t>
  </si>
  <si>
    <t>Centragas</t>
  </si>
  <si>
    <t>Accroven</t>
  </si>
  <si>
    <t>EcoElectrica</t>
  </si>
  <si>
    <t>Procaribe</t>
  </si>
  <si>
    <t>Bachequero</t>
  </si>
  <si>
    <t>Calife (32T)</t>
  </si>
  <si>
    <t>Vengas (232)</t>
  </si>
  <si>
    <t>Chengdu</t>
  </si>
  <si>
    <t>Batangas</t>
  </si>
  <si>
    <t>Subic</t>
  </si>
  <si>
    <t>Guam</t>
  </si>
  <si>
    <t>SK-Enron</t>
  </si>
  <si>
    <t>Humpuss Bond</t>
  </si>
  <si>
    <t>Subic Bond</t>
  </si>
  <si>
    <t>Net NBV - South America</t>
  </si>
  <si>
    <t>Net NBV - Caribbean</t>
  </si>
  <si>
    <t>Asia</t>
  </si>
  <si>
    <t>Net NBV - Asia</t>
  </si>
  <si>
    <t>India</t>
  </si>
  <si>
    <t>DPC I &amp; II</t>
  </si>
  <si>
    <t>Gail (69F)</t>
  </si>
  <si>
    <t>Net NBV - India</t>
  </si>
  <si>
    <t>Details of NBV for South America</t>
  </si>
  <si>
    <t>Details of NBV for Caribbean</t>
  </si>
  <si>
    <t>Details of NBV for Asia</t>
  </si>
  <si>
    <t>Details of NBV for India</t>
  </si>
  <si>
    <t>Excess Costs</t>
  </si>
  <si>
    <t>Loans to JV</t>
  </si>
  <si>
    <t>Mobilized/Trapped Cash</t>
  </si>
  <si>
    <t>Basin Fund</t>
  </si>
  <si>
    <t>Advance</t>
  </si>
  <si>
    <t>Agro Bond</t>
  </si>
  <si>
    <t>Eco Preferred dividends</t>
  </si>
  <si>
    <t>PQPLLC</t>
  </si>
  <si>
    <t>SECLP 35% on Ventane</t>
  </si>
  <si>
    <t>Minority Interest (only Elektro)</t>
  </si>
  <si>
    <t>Promigas in Condor</t>
  </si>
  <si>
    <t>March NBV (B)</t>
  </si>
  <si>
    <t>Difference between (A) and (B)</t>
  </si>
  <si>
    <t>Adjusted NBV</t>
  </si>
  <si>
    <t>June 2001</t>
  </si>
  <si>
    <t>ELEKT4</t>
  </si>
  <si>
    <t>TGS4</t>
  </si>
  <si>
    <t>TSREDS4</t>
  </si>
  <si>
    <t>CUIABA4</t>
  </si>
  <si>
    <t>TBG4</t>
  </si>
  <si>
    <t>GTB4</t>
  </si>
  <si>
    <t>RIOGAS4</t>
  </si>
  <si>
    <t>CEG4</t>
  </si>
  <si>
    <t>GASPAR4</t>
  </si>
  <si>
    <t>GUATM4</t>
  </si>
  <si>
    <t>BLMCN4</t>
  </si>
  <si>
    <t>SMTEN4</t>
  </si>
  <si>
    <t>JAMAC4</t>
  </si>
  <si>
    <t>NICAR4</t>
  </si>
  <si>
    <t>CNTRG4</t>
  </si>
  <si>
    <t>PROMG4</t>
  </si>
  <si>
    <t>ECOEL4</t>
  </si>
  <si>
    <t>BACHQ4</t>
  </si>
  <si>
    <t>232&amp;1366</t>
  </si>
  <si>
    <t>32T</t>
  </si>
  <si>
    <t>PUROT4</t>
  </si>
  <si>
    <t>ACCRO4</t>
  </si>
  <si>
    <t>for Cuiaba</t>
  </si>
  <si>
    <t>KOREA4</t>
  </si>
  <si>
    <t>SEGUAM4</t>
  </si>
  <si>
    <t>EPPC Invmt</t>
  </si>
  <si>
    <t>In Uncon Subs</t>
  </si>
  <si>
    <t>449</t>
  </si>
  <si>
    <t>CHGDU4</t>
  </si>
  <si>
    <t>DPCOPS4</t>
  </si>
  <si>
    <t>Use May number for DPC</t>
  </si>
  <si>
    <t>May NBV</t>
  </si>
  <si>
    <t>Please add any new or missing investments at the bottom of the list.</t>
  </si>
  <si>
    <t>Investment Name</t>
  </si>
  <si>
    <t>Investment Leg Name</t>
  </si>
  <si>
    <t>Q2-2001 Net Book Value / Cost Basis</t>
  </si>
  <si>
    <t>Accro</t>
  </si>
  <si>
    <t>Adrian Resources</t>
  </si>
  <si>
    <t>Advance Agro Bond</t>
  </si>
  <si>
    <t>Bachaquero</t>
  </si>
  <si>
    <t>Bachaquero Debt</t>
  </si>
  <si>
    <t>Bachaquero Equity</t>
  </si>
  <si>
    <t>Batangas Power Corp.</t>
  </si>
  <si>
    <t>Batangas Equity</t>
  </si>
  <si>
    <t>Batangas Debt</t>
  </si>
  <si>
    <t>BBPL - Debt</t>
  </si>
  <si>
    <t>BBPL - Equity</t>
  </si>
  <si>
    <t>CALIFE</t>
  </si>
  <si>
    <t>CEG-Companhia Estaudal De Gas</t>
  </si>
  <si>
    <t>Carribean Basin Power Fund</t>
  </si>
  <si>
    <t>Cuiaba - Integrated - Equity</t>
  </si>
  <si>
    <t>Cuiaba - EPE Power Plant - Equity</t>
  </si>
  <si>
    <t>Dabhol Power Company ("DPC")</t>
  </si>
  <si>
    <t>Dabhol Power Company (DPC) - Phase I</t>
  </si>
  <si>
    <t>EcoElectrica, L.P.</t>
  </si>
  <si>
    <t>EcoElectrica Wk Capital Loan</t>
  </si>
  <si>
    <t>EcoElectrica Sub Debt</t>
  </si>
  <si>
    <t>EcoElectrica Equity</t>
  </si>
  <si>
    <t>Elektro Eletricidade E Servicos SA ("Elektro")</t>
  </si>
  <si>
    <t>Elektro Eletricidade E Servicos SA (Elektro)</t>
  </si>
  <si>
    <t>Bahia Las Minas</t>
  </si>
  <si>
    <t>Gas Authority of India Ltd. (GAIL)</t>
  </si>
  <si>
    <t>Gaspart</t>
  </si>
  <si>
    <t>Haina Generation Company(CDE)</t>
  </si>
  <si>
    <t>Haina Note</t>
  </si>
  <si>
    <t>Hainan Meinan Power Company</t>
  </si>
  <si>
    <t>Industrial Gases Limited</t>
  </si>
  <si>
    <t>Nigeria Barges (National Electric Power Authority)</t>
  </si>
  <si>
    <t>BargeCo</t>
  </si>
  <si>
    <t>PQPL LLC</t>
  </si>
  <si>
    <t>PQPL - Equity</t>
  </si>
  <si>
    <t>Piti Power Guam</t>
  </si>
  <si>
    <t>ProCaribe LPG Terminal</t>
  </si>
  <si>
    <t>Pro Caribe LPG Terminal - Equity</t>
  </si>
  <si>
    <t>Promigas S.A., E.S.P.</t>
  </si>
  <si>
    <t>Promigas (Common Stock)</t>
  </si>
  <si>
    <t>RioGas Companhia Estaudal De Gas Rio</t>
  </si>
  <si>
    <t>Sichuan Jialing Power (Eclipse)</t>
  </si>
  <si>
    <t>Smith / Enron Cogeneration L.P.</t>
  </si>
  <si>
    <t>Smith / Enron Cogeneration L.P. - Debt</t>
  </si>
  <si>
    <t>Smith / Enron Cogeneration L.P. - Equity</t>
  </si>
  <si>
    <t>Subic Power Corp.</t>
  </si>
  <si>
    <t>Subic Bay Equity</t>
  </si>
  <si>
    <t>Subic Bay Debt</t>
  </si>
  <si>
    <t>TGS-Transportadora De Gas Del Sur</t>
  </si>
  <si>
    <t>Vengas (Industrias Ventane)</t>
  </si>
  <si>
    <t>Vengas</t>
  </si>
  <si>
    <t>Grand Total</t>
  </si>
  <si>
    <t>Not part of EGA</t>
  </si>
  <si>
    <t>Explanation of Changes to Cost Basis</t>
  </si>
  <si>
    <t>Enron Global Services</t>
  </si>
  <si>
    <t>PortRAC Input for Q3-2001</t>
  </si>
  <si>
    <t>Please call Adam Watts - x58894 with any questions.</t>
  </si>
  <si>
    <t>Q2-2001 Cash Flow *</t>
  </si>
  <si>
    <t>* Cashflow represents net of any equity injection or contribution and net income and fees from projects.  Equity injection would be outflow and income would be inflow.</t>
  </si>
  <si>
    <t>Q3-2001 Cash Flow *</t>
  </si>
  <si>
    <t>Q3-2001 Net Book Value / Cost Basis</t>
  </si>
  <si>
    <t>Q2 vs Q3 Cost Basis Changes</t>
  </si>
  <si>
    <t>EGS</t>
  </si>
  <si>
    <t>Azurix</t>
  </si>
  <si>
    <t>Azurix Buenos Aires</t>
  </si>
  <si>
    <t>Azurix Buenos Aires - Debt</t>
  </si>
  <si>
    <t>Azurix Buenos Aires - Equity</t>
  </si>
  <si>
    <t>Azurix Cancun</t>
  </si>
  <si>
    <t>Azurix Cancun - Debt</t>
  </si>
  <si>
    <t>Azurix Cancun - Equity</t>
  </si>
  <si>
    <t>Azurix Ecopreneur</t>
  </si>
  <si>
    <t>Azurix Geoplan/Brasil</t>
  </si>
  <si>
    <t>Azurix Geoplan/Brasil - Debt</t>
  </si>
  <si>
    <t>Azurix Geoplan/Brasil - Equity</t>
  </si>
  <si>
    <t>Azurix Industrials</t>
  </si>
  <si>
    <t>Azurix Lurgi Bamag</t>
  </si>
  <si>
    <t>Azurix Lurgi Bamag - Equity</t>
  </si>
  <si>
    <t>Azurix Madera</t>
  </si>
  <si>
    <t>Azurix Madera Water Bank</t>
  </si>
  <si>
    <t>Azurix Mendoza S.A.</t>
  </si>
  <si>
    <t>Azurix Mexico City</t>
  </si>
  <si>
    <t>Azurix Mexico City - Equity</t>
  </si>
  <si>
    <t>Azurix North America</t>
  </si>
  <si>
    <t>Azurix North America - Debt</t>
  </si>
  <si>
    <t>Azurix North America - Equity</t>
  </si>
  <si>
    <t>Wessex Water Ltd</t>
  </si>
  <si>
    <t>Wessex Water Ltd - Debt</t>
  </si>
  <si>
    <t>Wessex Water Ltd - Equity</t>
  </si>
  <si>
    <t>Azurix Mendoza</t>
  </si>
  <si>
    <t>BU</t>
  </si>
  <si>
    <t>Bahia Las Minas (Empresa De Generacion Electrica )</t>
  </si>
  <si>
    <t>CEG RIO (RioGas-Companhia Estaudal De Gas Rio)</t>
  </si>
  <si>
    <t>Corinto (Empresa Energetica Corinto, LTD.)</t>
  </si>
  <si>
    <t>Bolivia-To-Brazil Pipeline (BBPL - TBG)</t>
  </si>
  <si>
    <t>Bolivia-To-Brazil Pipeline (BBPL - GTB)</t>
  </si>
  <si>
    <t>sold</t>
  </si>
  <si>
    <t>relating to earnings/dividends</t>
  </si>
  <si>
    <t>relating to consolidation of one Cuiaba entity</t>
  </si>
  <si>
    <t>paid</t>
  </si>
  <si>
    <t>Increased in AR on billing costs</t>
  </si>
  <si>
    <t>*Cashflow represents net of any equity injection or contribution and net income and fees from projects.  Equity injection would be outflow and income would be inflow.</t>
  </si>
  <si>
    <t>Equity Injections/loans to project</t>
  </si>
  <si>
    <t>relating to earnings/intercompany billing</t>
  </si>
  <si>
    <t>relating to discount amortization</t>
  </si>
  <si>
    <t>relating to discount amortization/principal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</si>
</sst>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8"/>
      <name val="Arial"/>
    </font>
    <font>
      <b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3" fontId="0" fillId="0" borderId="0" xfId="0" applyNumberFormat="1"/>
    <xf numFmtId="38" fontId="0" fillId="0" borderId="0" xfId="0" applyNumberFormat="1"/>
    <xf numFmtId="38" fontId="0" fillId="0" borderId="1" xfId="0" applyNumberFormat="1" applyBorder="1"/>
    <xf numFmtId="3" fontId="2" fillId="0" borderId="0" xfId="0" applyNumberFormat="1" applyFont="1"/>
    <xf numFmtId="3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Alignment="1">
      <alignment horizontal="center"/>
    </xf>
    <xf numFmtId="38" fontId="2" fillId="0" borderId="0" xfId="0" applyNumberFormat="1" applyFont="1"/>
    <xf numFmtId="38" fontId="0" fillId="0" borderId="2" xfId="0" applyNumberFormat="1" applyBorder="1"/>
    <xf numFmtId="0" fontId="4" fillId="0" borderId="0" xfId="0" applyFont="1"/>
    <xf numFmtId="0" fontId="3" fillId="0" borderId="0" xfId="0" quotePrefix="1" applyFont="1"/>
    <xf numFmtId="38" fontId="3" fillId="0" borderId="2" xfId="0" applyNumberFormat="1" applyFont="1" applyBorder="1" applyAlignment="1">
      <alignment horizontal="center"/>
    </xf>
    <xf numFmtId="38" fontId="3" fillId="0" borderId="2" xfId="0" quotePrefix="1" applyNumberFormat="1" applyFont="1" applyBorder="1" applyAlignment="1">
      <alignment horizontal="center"/>
    </xf>
    <xf numFmtId="0" fontId="0" fillId="2" borderId="0" xfId="0" applyFill="1"/>
    <xf numFmtId="0" fontId="0" fillId="0" borderId="0" xfId="0" applyFill="1"/>
    <xf numFmtId="0" fontId="7" fillId="0" borderId="0" xfId="0" applyFont="1"/>
    <xf numFmtId="0" fontId="8" fillId="3" borderId="3" xfId="0" applyFont="1" applyFill="1" applyBorder="1" applyAlignment="1">
      <alignment horizontal="center" wrapText="1"/>
    </xf>
    <xf numFmtId="0" fontId="8" fillId="0" borderId="4" xfId="0" applyFont="1" applyFill="1" applyBorder="1" applyAlignment="1">
      <alignment horizontal="left" wrapText="1"/>
    </xf>
    <xf numFmtId="164" fontId="8" fillId="0" borderId="4" xfId="1" applyNumberFormat="1" applyFont="1" applyFill="1" applyBorder="1" applyAlignment="1">
      <alignment horizontal="right" wrapText="1"/>
    </xf>
    <xf numFmtId="164" fontId="8" fillId="0" borderId="5" xfId="1" applyNumberFormat="1" applyFont="1" applyFill="1" applyBorder="1" applyAlignment="1">
      <alignment horizontal="right" wrapText="1"/>
    </xf>
    <xf numFmtId="0" fontId="9" fillId="0" borderId="6" xfId="0" applyFont="1" applyFill="1" applyBorder="1" applyAlignment="1">
      <alignment horizontal="left" wrapText="1"/>
    </xf>
    <xf numFmtId="38" fontId="0" fillId="4" borderId="0" xfId="0" applyNumberFormat="1" applyFill="1"/>
    <xf numFmtId="38" fontId="0" fillId="0" borderId="0" xfId="0" applyNumberFormat="1" applyFill="1"/>
    <xf numFmtId="41" fontId="0" fillId="0" borderId="0" xfId="0" applyNumberFormat="1"/>
    <xf numFmtId="0" fontId="9" fillId="0" borderId="0" xfId="0" applyFont="1" applyFill="1" applyBorder="1" applyAlignment="1">
      <alignment horizontal="left"/>
    </xf>
    <xf numFmtId="14" fontId="0" fillId="0" borderId="0" xfId="0" applyNumberFormat="1"/>
    <xf numFmtId="0" fontId="0" fillId="0" borderId="0" xfId="0" applyAlignment="1">
      <alignment wrapText="1"/>
    </xf>
    <xf numFmtId="164" fontId="8" fillId="0" borderId="7" xfId="1" applyNumberFormat="1" applyFont="1" applyFill="1" applyBorder="1" applyAlignment="1">
      <alignment horizontal="right" wrapText="1"/>
    </xf>
  </cellXfs>
  <cellStyles count="2">
    <cellStyle name="Comma" xfId="1" builtinId="3"/>
    <cellStyle name="Normal" xfId="0" builtinId="0"/>
  </cellStyles>
  <dxfs count="1"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35"/>
  <sheetViews>
    <sheetView tabSelected="1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D21" sqref="D21"/>
    </sheetView>
  </sheetViews>
  <sheetFormatPr defaultColWidth="45.5703125" defaultRowHeight="12.75" x14ac:dyDescent="0.2"/>
  <cols>
    <col min="1" max="1" width="9.140625" customWidth="1"/>
    <col min="2" max="2" width="47.28515625" hidden="1" customWidth="1"/>
    <col min="3" max="3" width="35.85546875" customWidth="1"/>
    <col min="4" max="4" width="14.85546875" bestFit="1" customWidth="1"/>
    <col min="5" max="5" width="15.85546875" customWidth="1"/>
    <col min="6" max="6" width="15.5703125" customWidth="1"/>
    <col min="7" max="7" width="15.7109375" customWidth="1"/>
    <col min="8" max="8" width="16" customWidth="1"/>
    <col min="9" max="9" width="54" style="29" customWidth="1"/>
    <col min="10" max="10" width="24.7109375" customWidth="1"/>
  </cols>
  <sheetData>
    <row r="1" spans="1:9" x14ac:dyDescent="0.2">
      <c r="A1" t="s">
        <v>152</v>
      </c>
      <c r="C1" t="str">
        <f ca="1">CELL("filename",A1)</f>
        <v>G:\Common\jvm\REPORTNG\EGA Regions\2001\RAC\[EGS Q3-2001 Accounting Request.xls]EGS</v>
      </c>
    </row>
    <row r="2" spans="1:9" x14ac:dyDescent="0.2">
      <c r="A2" s="16" t="s">
        <v>153</v>
      </c>
    </row>
    <row r="3" spans="1:9" x14ac:dyDescent="0.2">
      <c r="A3" s="17"/>
    </row>
    <row r="4" spans="1:9" x14ac:dyDescent="0.2">
      <c r="A4" t="s">
        <v>154</v>
      </c>
    </row>
    <row r="5" spans="1:9" x14ac:dyDescent="0.2">
      <c r="A5" s="18" t="s">
        <v>94</v>
      </c>
      <c r="G5" s="17"/>
    </row>
    <row r="6" spans="1:9" x14ac:dyDescent="0.2">
      <c r="B6" s="18"/>
    </row>
    <row r="7" spans="1:9" x14ac:dyDescent="0.2">
      <c r="D7" s="28">
        <v>37072</v>
      </c>
      <c r="E7" s="28">
        <v>37072</v>
      </c>
      <c r="F7" s="28">
        <v>37164</v>
      </c>
      <c r="G7" s="28">
        <v>37164</v>
      </c>
    </row>
    <row r="8" spans="1:9" ht="38.25" x14ac:dyDescent="0.2">
      <c r="A8" s="19" t="s">
        <v>187</v>
      </c>
      <c r="B8" s="19" t="s">
        <v>95</v>
      </c>
      <c r="C8" s="19" t="s">
        <v>96</v>
      </c>
      <c r="D8" s="19" t="s">
        <v>155</v>
      </c>
      <c r="E8" s="19" t="s">
        <v>97</v>
      </c>
      <c r="F8" s="19" t="s">
        <v>157</v>
      </c>
      <c r="G8" s="19" t="s">
        <v>158</v>
      </c>
      <c r="H8" s="19" t="s">
        <v>159</v>
      </c>
      <c r="I8" s="19" t="s">
        <v>151</v>
      </c>
    </row>
    <row r="9" spans="1:9" x14ac:dyDescent="0.2">
      <c r="A9" s="20" t="s">
        <v>161</v>
      </c>
      <c r="B9" s="20" t="s">
        <v>162</v>
      </c>
      <c r="C9" s="20" t="s">
        <v>163</v>
      </c>
      <c r="D9" s="21">
        <v>0</v>
      </c>
      <c r="E9" s="21">
        <v>0</v>
      </c>
      <c r="F9" s="21"/>
      <c r="G9" s="21"/>
      <c r="H9" s="21">
        <f t="shared" ref="H9:H24" si="0">G9-E9</f>
        <v>0</v>
      </c>
      <c r="I9" s="21"/>
    </row>
    <row r="10" spans="1:9" x14ac:dyDescent="0.2">
      <c r="A10" s="20" t="s">
        <v>161</v>
      </c>
      <c r="B10" s="20" t="s">
        <v>162</v>
      </c>
      <c r="C10" s="20" t="s">
        <v>164</v>
      </c>
      <c r="D10" s="21">
        <v>0</v>
      </c>
      <c r="E10" s="21">
        <v>0</v>
      </c>
      <c r="F10" s="21"/>
      <c r="G10" s="21"/>
      <c r="H10" s="21">
        <f t="shared" si="0"/>
        <v>0</v>
      </c>
      <c r="I10" s="21"/>
    </row>
    <row r="11" spans="1:9" x14ac:dyDescent="0.2">
      <c r="A11" s="20" t="s">
        <v>161</v>
      </c>
      <c r="B11" s="20" t="s">
        <v>165</v>
      </c>
      <c r="C11" s="20" t="s">
        <v>166</v>
      </c>
      <c r="D11" s="21">
        <v>0</v>
      </c>
      <c r="E11" s="21">
        <v>0</v>
      </c>
      <c r="F11" s="21"/>
      <c r="G11" s="21"/>
      <c r="H11" s="21">
        <f t="shared" si="0"/>
        <v>0</v>
      </c>
      <c r="I11" s="21"/>
    </row>
    <row r="12" spans="1:9" x14ac:dyDescent="0.2">
      <c r="A12" s="20" t="s">
        <v>161</v>
      </c>
      <c r="B12" s="20" t="s">
        <v>165</v>
      </c>
      <c r="C12" s="20" t="s">
        <v>167</v>
      </c>
      <c r="D12" s="21">
        <v>0</v>
      </c>
      <c r="E12" s="21">
        <v>0</v>
      </c>
      <c r="F12" s="21"/>
      <c r="G12" s="21"/>
      <c r="H12" s="21">
        <f t="shared" si="0"/>
        <v>0</v>
      </c>
      <c r="I12" s="21"/>
    </row>
    <row r="13" spans="1:9" x14ac:dyDescent="0.2">
      <c r="A13" s="20" t="s">
        <v>161</v>
      </c>
      <c r="B13" s="20" t="s">
        <v>168</v>
      </c>
      <c r="C13" s="20" t="s">
        <v>168</v>
      </c>
      <c r="D13" s="21">
        <v>0</v>
      </c>
      <c r="E13" s="21">
        <v>0</v>
      </c>
      <c r="F13" s="21"/>
      <c r="G13" s="21"/>
      <c r="H13" s="21">
        <f t="shared" si="0"/>
        <v>0</v>
      </c>
      <c r="I13" s="21"/>
    </row>
    <row r="14" spans="1:9" x14ac:dyDescent="0.2">
      <c r="A14" s="20" t="s">
        <v>161</v>
      </c>
      <c r="B14" s="20" t="s">
        <v>169</v>
      </c>
      <c r="C14" s="20" t="s">
        <v>170</v>
      </c>
      <c r="D14" s="21">
        <v>0</v>
      </c>
      <c r="E14" s="21">
        <v>0</v>
      </c>
      <c r="F14" s="21"/>
      <c r="G14" s="21"/>
      <c r="H14" s="21">
        <f t="shared" si="0"/>
        <v>0</v>
      </c>
      <c r="I14" s="21"/>
    </row>
    <row r="15" spans="1:9" x14ac:dyDescent="0.2">
      <c r="A15" s="20" t="s">
        <v>161</v>
      </c>
      <c r="B15" s="20" t="s">
        <v>169</v>
      </c>
      <c r="C15" s="20" t="s">
        <v>171</v>
      </c>
      <c r="D15" s="21">
        <v>0</v>
      </c>
      <c r="E15" s="21">
        <v>0</v>
      </c>
      <c r="F15" s="21"/>
      <c r="G15" s="21"/>
      <c r="H15" s="21">
        <f t="shared" si="0"/>
        <v>0</v>
      </c>
      <c r="I15" s="21"/>
    </row>
    <row r="16" spans="1:9" x14ac:dyDescent="0.2">
      <c r="A16" s="20" t="s">
        <v>161</v>
      </c>
      <c r="B16" s="20" t="s">
        <v>172</v>
      </c>
      <c r="C16" s="20" t="s">
        <v>172</v>
      </c>
      <c r="D16" s="21">
        <v>0</v>
      </c>
      <c r="E16" s="21">
        <v>0</v>
      </c>
      <c r="F16" s="21"/>
      <c r="G16" s="21"/>
      <c r="H16" s="21">
        <f t="shared" si="0"/>
        <v>0</v>
      </c>
      <c r="I16" s="21"/>
    </row>
    <row r="17" spans="1:9" x14ac:dyDescent="0.2">
      <c r="A17" s="20" t="s">
        <v>161</v>
      </c>
      <c r="B17" s="20" t="s">
        <v>173</v>
      </c>
      <c r="C17" s="20" t="s">
        <v>174</v>
      </c>
      <c r="D17" s="21">
        <v>0</v>
      </c>
      <c r="E17" s="21">
        <v>0</v>
      </c>
      <c r="F17" s="21"/>
      <c r="G17" s="21"/>
      <c r="H17" s="21">
        <f t="shared" si="0"/>
        <v>0</v>
      </c>
      <c r="I17" s="21"/>
    </row>
    <row r="18" spans="1:9" x14ac:dyDescent="0.2">
      <c r="A18" s="20" t="s">
        <v>161</v>
      </c>
      <c r="B18" s="20" t="s">
        <v>175</v>
      </c>
      <c r="C18" s="20" t="s">
        <v>176</v>
      </c>
      <c r="D18" s="21">
        <v>0</v>
      </c>
      <c r="E18" s="21">
        <v>0</v>
      </c>
      <c r="F18" s="21"/>
      <c r="G18" s="21"/>
      <c r="H18" s="21">
        <f t="shared" si="0"/>
        <v>0</v>
      </c>
      <c r="I18" s="21"/>
    </row>
    <row r="19" spans="1:9" x14ac:dyDescent="0.2">
      <c r="A19" s="20" t="s">
        <v>161</v>
      </c>
      <c r="B19" s="20" t="s">
        <v>177</v>
      </c>
      <c r="C19" s="20" t="s">
        <v>186</v>
      </c>
      <c r="D19" s="21">
        <v>0</v>
      </c>
      <c r="E19" s="21">
        <v>0</v>
      </c>
      <c r="F19" s="21"/>
      <c r="G19" s="21"/>
      <c r="H19" s="21">
        <f t="shared" si="0"/>
        <v>0</v>
      </c>
      <c r="I19" s="21"/>
    </row>
    <row r="20" spans="1:9" x14ac:dyDescent="0.2">
      <c r="A20" s="20" t="s">
        <v>161</v>
      </c>
      <c r="B20" s="20" t="s">
        <v>178</v>
      </c>
      <c r="C20" s="20" t="s">
        <v>179</v>
      </c>
      <c r="D20" s="21">
        <v>0</v>
      </c>
      <c r="E20" s="21">
        <v>0</v>
      </c>
      <c r="F20" s="21"/>
      <c r="G20" s="21"/>
      <c r="H20" s="21">
        <f t="shared" si="0"/>
        <v>0</v>
      </c>
      <c r="I20" s="21"/>
    </row>
    <row r="21" spans="1:9" x14ac:dyDescent="0.2">
      <c r="A21" s="20" t="s">
        <v>161</v>
      </c>
      <c r="B21" s="20" t="s">
        <v>180</v>
      </c>
      <c r="C21" s="20" t="s">
        <v>181</v>
      </c>
      <c r="D21" s="21">
        <v>0</v>
      </c>
      <c r="E21" s="21">
        <v>0</v>
      </c>
      <c r="F21" s="21"/>
      <c r="G21" s="21"/>
      <c r="H21" s="21">
        <f t="shared" si="0"/>
        <v>0</v>
      </c>
      <c r="I21" s="21"/>
    </row>
    <row r="22" spans="1:9" x14ac:dyDescent="0.2">
      <c r="A22" s="20" t="s">
        <v>161</v>
      </c>
      <c r="B22" s="20" t="s">
        <v>180</v>
      </c>
      <c r="C22" s="20" t="s">
        <v>182</v>
      </c>
      <c r="D22" s="21">
        <v>0</v>
      </c>
      <c r="E22" s="21">
        <v>0</v>
      </c>
      <c r="F22" s="21"/>
      <c r="G22" s="21"/>
      <c r="H22" s="21">
        <f t="shared" si="0"/>
        <v>0</v>
      </c>
      <c r="I22" s="21"/>
    </row>
    <row r="23" spans="1:9" ht="10.5" customHeight="1" x14ac:dyDescent="0.2">
      <c r="A23" s="20" t="s">
        <v>161</v>
      </c>
      <c r="B23" s="20" t="s">
        <v>183</v>
      </c>
      <c r="C23" s="20" t="s">
        <v>184</v>
      </c>
      <c r="D23" s="21">
        <v>0</v>
      </c>
      <c r="E23" s="21">
        <v>0</v>
      </c>
      <c r="F23" s="21"/>
      <c r="G23" s="21"/>
      <c r="H23" s="21">
        <f t="shared" si="0"/>
        <v>0</v>
      </c>
      <c r="I23" s="21"/>
    </row>
    <row r="24" spans="1:9" hidden="1" x14ac:dyDescent="0.2">
      <c r="A24" s="20" t="s">
        <v>161</v>
      </c>
      <c r="B24" s="20" t="s">
        <v>183</v>
      </c>
      <c r="C24" s="20" t="s">
        <v>185</v>
      </c>
      <c r="D24" s="21">
        <v>0</v>
      </c>
      <c r="E24" s="21">
        <v>0</v>
      </c>
      <c r="F24" s="21"/>
      <c r="G24" s="21"/>
      <c r="H24" s="21">
        <f t="shared" si="0"/>
        <v>0</v>
      </c>
      <c r="I24" s="21"/>
    </row>
    <row r="25" spans="1:9" ht="15" customHeight="1" x14ac:dyDescent="0.2">
      <c r="A25" s="20" t="s">
        <v>160</v>
      </c>
      <c r="B25" s="20" t="s">
        <v>22</v>
      </c>
      <c r="C25" s="20" t="s">
        <v>98</v>
      </c>
      <c r="D25" s="21">
        <v>-20829000</v>
      </c>
      <c r="E25" s="21">
        <v>48933000</v>
      </c>
      <c r="F25" s="21">
        <v>-2100000</v>
      </c>
      <c r="G25" s="21">
        <f>51861106+165900+0</f>
        <v>52027006</v>
      </c>
      <c r="H25" s="21">
        <f>G25-E25</f>
        <v>3094006</v>
      </c>
      <c r="I25" s="21" t="s">
        <v>199</v>
      </c>
    </row>
    <row r="26" spans="1:9" x14ac:dyDescent="0.2">
      <c r="A26" s="20" t="s">
        <v>160</v>
      </c>
      <c r="B26" s="20" t="s">
        <v>99</v>
      </c>
      <c r="C26" s="20" t="s">
        <v>99</v>
      </c>
      <c r="D26" s="21" t="s">
        <v>150</v>
      </c>
      <c r="E26" s="21"/>
      <c r="F26" s="21">
        <v>0</v>
      </c>
      <c r="G26" s="21">
        <v>0</v>
      </c>
      <c r="H26" s="21">
        <f t="shared" ref="H26:H68" si="1">G26-E26</f>
        <v>0</v>
      </c>
      <c r="I26" s="21"/>
    </row>
    <row r="27" spans="1:9" x14ac:dyDescent="0.2">
      <c r="A27" s="20" t="s">
        <v>160</v>
      </c>
      <c r="B27" s="20" t="s">
        <v>100</v>
      </c>
      <c r="C27" s="20" t="s">
        <v>100</v>
      </c>
      <c r="D27" s="21">
        <v>0</v>
      </c>
      <c r="E27" s="21">
        <v>4372000</v>
      </c>
      <c r="F27" s="21">
        <v>209267</v>
      </c>
      <c r="G27" s="21">
        <v>2511000</v>
      </c>
      <c r="H27" s="21">
        <f t="shared" si="1"/>
        <v>-1861000</v>
      </c>
      <c r="I27" s="21" t="s">
        <v>202</v>
      </c>
    </row>
    <row r="28" spans="1:9" x14ac:dyDescent="0.2">
      <c r="A28" s="20" t="s">
        <v>160</v>
      </c>
      <c r="B28" s="20" t="s">
        <v>101</v>
      </c>
      <c r="C28" s="20" t="s">
        <v>102</v>
      </c>
      <c r="D28" s="21">
        <v>0</v>
      </c>
      <c r="E28" s="21">
        <v>2473851</v>
      </c>
      <c r="F28" s="21">
        <v>0</v>
      </c>
      <c r="G28" s="21">
        <v>1951945</v>
      </c>
      <c r="H28" s="21">
        <f t="shared" si="1"/>
        <v>-521906</v>
      </c>
      <c r="I28" s="21"/>
    </row>
    <row r="29" spans="1:9" x14ac:dyDescent="0.2">
      <c r="A29" s="20" t="s">
        <v>160</v>
      </c>
      <c r="B29" s="20" t="s">
        <v>101</v>
      </c>
      <c r="C29" s="20" t="s">
        <v>103</v>
      </c>
      <c r="D29" s="21">
        <v>0</v>
      </c>
      <c r="E29" s="21">
        <v>2600000</v>
      </c>
      <c r="F29" s="21">
        <v>0</v>
      </c>
      <c r="G29" s="21">
        <v>0</v>
      </c>
      <c r="H29" s="21">
        <f t="shared" si="1"/>
        <v>-2600000</v>
      </c>
      <c r="I29" s="21" t="s">
        <v>193</v>
      </c>
    </row>
    <row r="30" spans="1:9" x14ac:dyDescent="0.2">
      <c r="A30" s="20" t="s">
        <v>160</v>
      </c>
      <c r="B30" s="20" t="s">
        <v>188</v>
      </c>
      <c r="C30" s="20" t="s">
        <v>122</v>
      </c>
      <c r="D30" s="21">
        <v>2100000</v>
      </c>
      <c r="E30" s="21">
        <v>109792000</v>
      </c>
      <c r="F30" s="21">
        <v>-200000</v>
      </c>
      <c r="G30" s="21">
        <v>103714281</v>
      </c>
      <c r="H30" s="21">
        <f t="shared" si="1"/>
        <v>-6077719</v>
      </c>
      <c r="I30" s="21" t="s">
        <v>200</v>
      </c>
    </row>
    <row r="31" spans="1:9" x14ac:dyDescent="0.2">
      <c r="A31" s="20" t="s">
        <v>160</v>
      </c>
      <c r="B31" s="20" t="s">
        <v>104</v>
      </c>
      <c r="C31" s="20" t="s">
        <v>106</v>
      </c>
      <c r="D31" s="21">
        <v>76500</v>
      </c>
      <c r="E31" s="21">
        <v>2767311</v>
      </c>
      <c r="F31" s="21">
        <v>76500</v>
      </c>
      <c r="G31" s="21">
        <v>2001000</v>
      </c>
      <c r="H31" s="21">
        <f t="shared" si="1"/>
        <v>-766311</v>
      </c>
      <c r="I31" s="21"/>
    </row>
    <row r="32" spans="1:9" x14ac:dyDescent="0.2">
      <c r="A32" s="20" t="s">
        <v>160</v>
      </c>
      <c r="B32" s="20" t="s">
        <v>104</v>
      </c>
      <c r="C32" s="20" t="s">
        <v>105</v>
      </c>
      <c r="D32" s="21">
        <v>0</v>
      </c>
      <c r="E32" s="21">
        <v>47463689</v>
      </c>
      <c r="F32" s="21">
        <v>2300000</v>
      </c>
      <c r="G32" s="21">
        <f>51506000-2001000</f>
        <v>49505000</v>
      </c>
      <c r="H32" s="21">
        <f t="shared" si="1"/>
        <v>2041311</v>
      </c>
      <c r="I32" s="21" t="s">
        <v>200</v>
      </c>
    </row>
    <row r="33" spans="1:9" x14ac:dyDescent="0.2">
      <c r="A33" s="20" t="s">
        <v>160</v>
      </c>
      <c r="B33" s="20" t="s">
        <v>191</v>
      </c>
      <c r="C33" s="20" t="s">
        <v>107</v>
      </c>
      <c r="D33" s="21">
        <v>0</v>
      </c>
      <c r="E33" s="21">
        <v>31627000</v>
      </c>
      <c r="F33" s="21">
        <v>0</v>
      </c>
      <c r="G33" s="21">
        <f>27795139+515</f>
        <v>27795654</v>
      </c>
      <c r="H33" s="21">
        <f t="shared" si="1"/>
        <v>-3831346</v>
      </c>
      <c r="I33" s="21"/>
    </row>
    <row r="34" spans="1:9" x14ac:dyDescent="0.2">
      <c r="A34" s="20" t="s">
        <v>160</v>
      </c>
      <c r="B34" s="20" t="s">
        <v>192</v>
      </c>
      <c r="C34" s="20" t="s">
        <v>108</v>
      </c>
      <c r="D34" s="21">
        <v>-200000</v>
      </c>
      <c r="E34" s="21">
        <v>9569000</v>
      </c>
      <c r="F34" s="21">
        <v>-500000</v>
      </c>
      <c r="G34" s="21">
        <v>13690034</v>
      </c>
      <c r="H34" s="21">
        <f t="shared" si="1"/>
        <v>4121034</v>
      </c>
      <c r="I34" s="21" t="s">
        <v>200</v>
      </c>
    </row>
    <row r="35" spans="1:9" x14ac:dyDescent="0.2">
      <c r="A35" s="20" t="s">
        <v>160</v>
      </c>
      <c r="B35" s="20" t="s">
        <v>109</v>
      </c>
      <c r="C35" s="20" t="s">
        <v>109</v>
      </c>
      <c r="D35" s="21">
        <v>200000</v>
      </c>
      <c r="E35" s="21">
        <v>36701000</v>
      </c>
      <c r="F35" s="21">
        <v>100000</v>
      </c>
      <c r="G35" s="21">
        <v>35781894</v>
      </c>
      <c r="H35" s="21">
        <f t="shared" si="1"/>
        <v>-919106</v>
      </c>
      <c r="I35" s="21" t="s">
        <v>200</v>
      </c>
    </row>
    <row r="36" spans="1:9" x14ac:dyDescent="0.2">
      <c r="A36" s="20" t="s">
        <v>160</v>
      </c>
      <c r="B36" s="20" t="s">
        <v>111</v>
      </c>
      <c r="C36" s="20" t="s">
        <v>111</v>
      </c>
      <c r="D36" s="21">
        <v>0</v>
      </c>
      <c r="E36" s="21">
        <v>5779000</v>
      </c>
      <c r="F36" s="21">
        <v>5628</v>
      </c>
      <c r="G36" s="21">
        <v>5784628</v>
      </c>
      <c r="H36" s="21">
        <f t="shared" si="1"/>
        <v>5628</v>
      </c>
      <c r="I36" s="21" t="s">
        <v>200</v>
      </c>
    </row>
    <row r="37" spans="1:9" x14ac:dyDescent="0.2">
      <c r="A37" s="20" t="s">
        <v>160</v>
      </c>
      <c r="B37" s="20" t="s">
        <v>189</v>
      </c>
      <c r="C37" s="20" t="s">
        <v>138</v>
      </c>
      <c r="D37" s="21">
        <v>0</v>
      </c>
      <c r="E37" s="21">
        <v>70175000</v>
      </c>
      <c r="F37" s="21">
        <v>58856</v>
      </c>
      <c r="G37" s="21">
        <v>70233856</v>
      </c>
      <c r="H37" s="21">
        <f t="shared" si="1"/>
        <v>58856</v>
      </c>
      <c r="I37" s="21" t="s">
        <v>200</v>
      </c>
    </row>
    <row r="38" spans="1:9" x14ac:dyDescent="0.2">
      <c r="A38" s="20" t="s">
        <v>160</v>
      </c>
      <c r="B38" s="20" t="s">
        <v>110</v>
      </c>
      <c r="C38" s="20" t="s">
        <v>110</v>
      </c>
      <c r="D38" s="21">
        <v>-2100000</v>
      </c>
      <c r="E38" s="21">
        <v>199417000</v>
      </c>
      <c r="F38" s="21">
        <v>1218358</v>
      </c>
      <c r="G38" s="21">
        <v>200635358</v>
      </c>
      <c r="H38" s="21">
        <f t="shared" si="1"/>
        <v>1218358</v>
      </c>
      <c r="I38" s="21" t="s">
        <v>200</v>
      </c>
    </row>
    <row r="39" spans="1:9" x14ac:dyDescent="0.2">
      <c r="A39" s="20" t="s">
        <v>160</v>
      </c>
      <c r="B39" s="20" t="s">
        <v>21</v>
      </c>
      <c r="C39" s="20" t="s">
        <v>21</v>
      </c>
      <c r="D39" s="21">
        <v>1400000</v>
      </c>
      <c r="E39" s="21">
        <v>-1575000</v>
      </c>
      <c r="F39" s="21">
        <v>1000000</v>
      </c>
      <c r="G39" s="21">
        <f>34489513+4381000+118000-41399000</f>
        <v>-2410487</v>
      </c>
      <c r="H39" s="21">
        <f t="shared" si="1"/>
        <v>-835487</v>
      </c>
      <c r="I39" s="21" t="s">
        <v>194</v>
      </c>
    </row>
    <row r="40" spans="1:9" x14ac:dyDescent="0.2">
      <c r="A40" s="20" t="s">
        <v>160</v>
      </c>
      <c r="B40" s="20" t="s">
        <v>190</v>
      </c>
      <c r="C40" s="20" t="s">
        <v>18</v>
      </c>
      <c r="D40" s="21">
        <v>100000</v>
      </c>
      <c r="E40" s="21">
        <v>5159000</v>
      </c>
      <c r="F40" s="21">
        <v>200000</v>
      </c>
      <c r="G40" s="21">
        <v>4879501</v>
      </c>
      <c r="H40" s="21">
        <f t="shared" si="1"/>
        <v>-279499</v>
      </c>
      <c r="I40" s="21" t="s">
        <v>200</v>
      </c>
    </row>
    <row r="41" spans="1:9" x14ac:dyDescent="0.2">
      <c r="A41" s="20" t="s">
        <v>160</v>
      </c>
      <c r="B41" s="20" t="s">
        <v>112</v>
      </c>
      <c r="C41" s="20" t="s">
        <v>113</v>
      </c>
      <c r="D41" s="21">
        <f>-42537000-900000</f>
        <v>-43437000</v>
      </c>
      <c r="E41" s="21">
        <v>535009000</v>
      </c>
      <c r="F41" s="21">
        <f>3700000-13200000</f>
        <v>-9500000</v>
      </c>
      <c r="G41" s="21">
        <f>487164959+16000000+46103000</f>
        <v>549267959</v>
      </c>
      <c r="H41" s="21">
        <f t="shared" si="1"/>
        <v>14258959</v>
      </c>
      <c r="I41" s="21" t="s">
        <v>195</v>
      </c>
    </row>
    <row r="42" spans="1:9" x14ac:dyDescent="0.2">
      <c r="A42" s="20" t="s">
        <v>160</v>
      </c>
      <c r="B42" s="20" t="s">
        <v>114</v>
      </c>
      <c r="C42" s="20" t="s">
        <v>115</v>
      </c>
      <c r="D42" s="21">
        <f>-30422000+10000000</f>
        <v>-20422000</v>
      </c>
      <c r="E42" s="21">
        <v>872508000</v>
      </c>
      <c r="F42" s="21">
        <v>-11500000</v>
      </c>
      <c r="G42" s="21">
        <f>799186427+67942000+4384000</f>
        <v>871512427</v>
      </c>
      <c r="H42" s="21">
        <f t="shared" si="1"/>
        <v>-995573</v>
      </c>
      <c r="I42" s="21" t="s">
        <v>200</v>
      </c>
    </row>
    <row r="43" spans="1:9" x14ac:dyDescent="0.2">
      <c r="A43" s="20" t="s">
        <v>160</v>
      </c>
      <c r="B43" s="20" t="s">
        <v>116</v>
      </c>
      <c r="C43" s="20" t="s">
        <v>119</v>
      </c>
      <c r="D43" s="21">
        <v>200000</v>
      </c>
      <c r="E43" s="21">
        <v>117039000</v>
      </c>
      <c r="F43" s="21">
        <v>3000000</v>
      </c>
      <c r="G43" s="21">
        <f>102394239+20556000+611000+2151000-6000000</f>
        <v>119712239</v>
      </c>
      <c r="H43" s="21">
        <f t="shared" si="1"/>
        <v>2673239</v>
      </c>
      <c r="I43" s="21" t="s">
        <v>200</v>
      </c>
    </row>
    <row r="44" spans="1:9" x14ac:dyDescent="0.2">
      <c r="A44" s="20" t="s">
        <v>160</v>
      </c>
      <c r="B44" s="20" t="s">
        <v>116</v>
      </c>
      <c r="C44" s="20" t="s">
        <v>118</v>
      </c>
      <c r="D44" s="21">
        <v>500000</v>
      </c>
      <c r="E44" s="21">
        <v>18164000</v>
      </c>
      <c r="F44" s="21">
        <v>500000</v>
      </c>
      <c r="G44" s="21">
        <v>18895000</v>
      </c>
      <c r="H44" s="21">
        <f t="shared" si="1"/>
        <v>731000</v>
      </c>
      <c r="I44" s="21"/>
    </row>
    <row r="45" spans="1:9" x14ac:dyDescent="0.2">
      <c r="A45" s="20" t="s">
        <v>160</v>
      </c>
      <c r="B45" s="20" t="s">
        <v>116</v>
      </c>
      <c r="C45" s="20" t="s">
        <v>117</v>
      </c>
      <c r="D45" s="21">
        <v>240000</v>
      </c>
      <c r="E45" s="21">
        <v>10114000</v>
      </c>
      <c r="F45" s="21">
        <v>0</v>
      </c>
      <c r="G45" s="21">
        <v>0</v>
      </c>
      <c r="H45" s="21">
        <f t="shared" si="1"/>
        <v>-10114000</v>
      </c>
      <c r="I45" s="21" t="s">
        <v>196</v>
      </c>
    </row>
    <row r="46" spans="1:9" ht="25.5" x14ac:dyDescent="0.2">
      <c r="A46" s="20" t="s">
        <v>160</v>
      </c>
      <c r="B46" s="20" t="s">
        <v>120</v>
      </c>
      <c r="C46" s="20" t="s">
        <v>121</v>
      </c>
      <c r="D46" s="21">
        <v>-9000000</v>
      </c>
      <c r="E46" s="21">
        <v>2025838000</v>
      </c>
      <c r="F46" s="21">
        <v>-1800000</v>
      </c>
      <c r="G46" s="21">
        <v>2017066461</v>
      </c>
      <c r="H46" s="21">
        <f t="shared" si="1"/>
        <v>-8771539</v>
      </c>
      <c r="I46" s="21" t="s">
        <v>200</v>
      </c>
    </row>
    <row r="47" spans="1:9" x14ac:dyDescent="0.2">
      <c r="A47" s="20" t="s">
        <v>160</v>
      </c>
      <c r="B47" s="20" t="s">
        <v>123</v>
      </c>
      <c r="C47" s="20" t="s">
        <v>123</v>
      </c>
      <c r="D47" s="21">
        <v>0</v>
      </c>
      <c r="E47" s="21">
        <v>69891000</v>
      </c>
      <c r="F47" s="21">
        <v>0</v>
      </c>
      <c r="G47" s="21">
        <v>69890657</v>
      </c>
      <c r="H47" s="21">
        <f t="shared" si="1"/>
        <v>-343</v>
      </c>
      <c r="I47" s="21"/>
    </row>
    <row r="48" spans="1:9" x14ac:dyDescent="0.2">
      <c r="A48" s="20" t="s">
        <v>160</v>
      </c>
      <c r="B48" s="20" t="s">
        <v>124</v>
      </c>
      <c r="C48" s="20" t="s">
        <v>124</v>
      </c>
      <c r="D48" s="21">
        <v>0</v>
      </c>
      <c r="E48" s="21">
        <v>193730000</v>
      </c>
      <c r="F48" s="21">
        <v>1085757</v>
      </c>
      <c r="G48" s="21">
        <v>194815757</v>
      </c>
      <c r="H48" s="21">
        <f t="shared" si="1"/>
        <v>1085757</v>
      </c>
      <c r="I48" s="21" t="s">
        <v>200</v>
      </c>
    </row>
    <row r="49" spans="1:9" x14ac:dyDescent="0.2">
      <c r="A49" s="20" t="s">
        <v>160</v>
      </c>
      <c r="B49" s="20" t="s">
        <v>125</v>
      </c>
      <c r="C49" s="20" t="s">
        <v>126</v>
      </c>
      <c r="D49" s="21">
        <v>405000</v>
      </c>
      <c r="E49" s="21">
        <v>18000000</v>
      </c>
      <c r="F49" s="21">
        <v>405000</v>
      </c>
      <c r="G49" s="21">
        <v>18000000</v>
      </c>
      <c r="H49" s="21">
        <f t="shared" si="1"/>
        <v>0</v>
      </c>
      <c r="I49" s="21"/>
    </row>
    <row r="50" spans="1:9" x14ac:dyDescent="0.2">
      <c r="A50" s="20" t="s">
        <v>160</v>
      </c>
      <c r="B50" s="20" t="s">
        <v>127</v>
      </c>
      <c r="C50" s="20" t="s">
        <v>127</v>
      </c>
      <c r="D50" s="21">
        <v>0</v>
      </c>
      <c r="E50" s="21"/>
      <c r="F50" s="21">
        <v>0</v>
      </c>
      <c r="G50" s="21">
        <v>0</v>
      </c>
      <c r="H50" s="21">
        <f t="shared" si="1"/>
        <v>0</v>
      </c>
      <c r="I50" s="21"/>
    </row>
    <row r="51" spans="1:9" x14ac:dyDescent="0.2">
      <c r="A51" s="20" t="s">
        <v>160</v>
      </c>
      <c r="B51" s="20" t="s">
        <v>33</v>
      </c>
      <c r="C51" s="20" t="s">
        <v>33</v>
      </c>
      <c r="D51" s="21">
        <v>0</v>
      </c>
      <c r="E51" s="21">
        <v>16015000</v>
      </c>
      <c r="F51" s="21">
        <v>640163</v>
      </c>
      <c r="G51" s="21">
        <v>18472000</v>
      </c>
      <c r="H51" s="21">
        <f t="shared" si="1"/>
        <v>2457000</v>
      </c>
      <c r="I51" s="21" t="s">
        <v>201</v>
      </c>
    </row>
    <row r="52" spans="1:9" x14ac:dyDescent="0.2">
      <c r="A52" s="20" t="s">
        <v>160</v>
      </c>
      <c r="B52" s="20" t="s">
        <v>128</v>
      </c>
      <c r="C52" s="20" t="s">
        <v>128</v>
      </c>
      <c r="D52" s="21">
        <v>500000</v>
      </c>
      <c r="E52" s="21">
        <v>29599000</v>
      </c>
      <c r="F52" s="21">
        <v>500000</v>
      </c>
      <c r="G52" s="21">
        <v>29362384</v>
      </c>
      <c r="H52" s="21">
        <f t="shared" si="1"/>
        <v>-236616</v>
      </c>
      <c r="I52" s="21" t="s">
        <v>200</v>
      </c>
    </row>
    <row r="53" spans="1:9" x14ac:dyDescent="0.2">
      <c r="A53" s="20" t="s">
        <v>160</v>
      </c>
      <c r="B53" s="20" t="s">
        <v>129</v>
      </c>
      <c r="C53" s="20" t="s">
        <v>130</v>
      </c>
      <c r="D53" s="21">
        <v>0</v>
      </c>
      <c r="E53" s="21"/>
      <c r="F53" s="21">
        <v>0</v>
      </c>
      <c r="G53" s="21">
        <v>0</v>
      </c>
      <c r="H53" s="21">
        <f t="shared" si="1"/>
        <v>0</v>
      </c>
      <c r="I53" s="21"/>
    </row>
    <row r="54" spans="1:9" x14ac:dyDescent="0.2">
      <c r="A54" s="20" t="s">
        <v>160</v>
      </c>
      <c r="B54" s="20" t="s">
        <v>133</v>
      </c>
      <c r="C54" s="20" t="s">
        <v>133</v>
      </c>
      <c r="D54" s="21">
        <v>300000</v>
      </c>
      <c r="E54" s="21">
        <v>20345000</v>
      </c>
      <c r="F54" s="21">
        <v>-200000</v>
      </c>
      <c r="G54" s="21">
        <f>19151718+974000+1246000-2156000</f>
        <v>19215718</v>
      </c>
      <c r="H54" s="21">
        <f t="shared" si="1"/>
        <v>-1129282</v>
      </c>
      <c r="I54" s="21" t="s">
        <v>200</v>
      </c>
    </row>
    <row r="55" spans="1:9" x14ac:dyDescent="0.2">
      <c r="A55" s="20" t="s">
        <v>160</v>
      </c>
      <c r="B55" s="20" t="s">
        <v>131</v>
      </c>
      <c r="C55" s="20" t="s">
        <v>132</v>
      </c>
      <c r="D55" s="21">
        <v>2700000</v>
      </c>
      <c r="E55" s="21">
        <v>41311000</v>
      </c>
      <c r="F55" s="21">
        <v>1100000</v>
      </c>
      <c r="G55" s="21">
        <f>38845827+2773000</f>
        <v>41618827</v>
      </c>
      <c r="H55" s="21">
        <f t="shared" si="1"/>
        <v>307827</v>
      </c>
      <c r="I55" s="21" t="s">
        <v>200</v>
      </c>
    </row>
    <row r="56" spans="1:9" x14ac:dyDescent="0.2">
      <c r="A56" s="20" t="s">
        <v>160</v>
      </c>
      <c r="B56" s="20" t="s">
        <v>134</v>
      </c>
      <c r="C56" s="20" t="s">
        <v>135</v>
      </c>
      <c r="D56" s="21">
        <v>-200000</v>
      </c>
      <c r="E56" s="21">
        <v>5789000</v>
      </c>
      <c r="F56" s="21">
        <v>-300000</v>
      </c>
      <c r="G56" s="21">
        <v>5179490</v>
      </c>
      <c r="H56" s="21">
        <f t="shared" si="1"/>
        <v>-609510</v>
      </c>
      <c r="I56" s="21" t="s">
        <v>200</v>
      </c>
    </row>
    <row r="57" spans="1:9" x14ac:dyDescent="0.2">
      <c r="A57" s="20" t="s">
        <v>160</v>
      </c>
      <c r="B57" s="20" t="s">
        <v>136</v>
      </c>
      <c r="C57" s="20" t="s">
        <v>137</v>
      </c>
      <c r="D57" s="21">
        <v>6200000</v>
      </c>
      <c r="E57" s="21">
        <v>157455000</v>
      </c>
      <c r="F57" s="21">
        <v>3600000</v>
      </c>
      <c r="G57" s="21">
        <v>164711505</v>
      </c>
      <c r="H57" s="21">
        <f t="shared" si="1"/>
        <v>7256505</v>
      </c>
      <c r="I57" s="21" t="s">
        <v>194</v>
      </c>
    </row>
    <row r="58" spans="1:9" x14ac:dyDescent="0.2">
      <c r="A58" s="20" t="s">
        <v>160</v>
      </c>
      <c r="B58" s="20" t="s">
        <v>139</v>
      </c>
      <c r="C58" s="20" t="s">
        <v>139</v>
      </c>
      <c r="D58" s="21">
        <v>2300000</v>
      </c>
      <c r="E58" s="21">
        <v>66472000</v>
      </c>
      <c r="F58" s="21">
        <v>2500000</v>
      </c>
      <c r="G58" s="21">
        <v>69773530</v>
      </c>
      <c r="H58" s="21">
        <f t="shared" si="1"/>
        <v>3301530</v>
      </c>
      <c r="I58" s="21" t="s">
        <v>194</v>
      </c>
    </row>
    <row r="59" spans="1:9" x14ac:dyDescent="0.2">
      <c r="A59" s="20" t="s">
        <v>160</v>
      </c>
      <c r="B59" s="20" t="s">
        <v>32</v>
      </c>
      <c r="C59" s="20" t="s">
        <v>32</v>
      </c>
      <c r="D59" s="21">
        <v>3200000</v>
      </c>
      <c r="E59" s="21">
        <v>296963000</v>
      </c>
      <c r="F59" s="21">
        <v>-200000</v>
      </c>
      <c r="G59" s="21">
        <v>295709811</v>
      </c>
      <c r="H59" s="21">
        <f t="shared" si="1"/>
        <v>-1253189</v>
      </c>
      <c r="I59" s="21" t="s">
        <v>200</v>
      </c>
    </row>
    <row r="60" spans="1:9" x14ac:dyDescent="0.2">
      <c r="A60" s="20" t="s">
        <v>160</v>
      </c>
      <c r="B60" s="20" t="s">
        <v>140</v>
      </c>
      <c r="C60" s="20" t="s">
        <v>141</v>
      </c>
      <c r="D60" s="21">
        <v>700000</v>
      </c>
      <c r="E60" s="21">
        <v>36405000</v>
      </c>
      <c r="F60" s="21">
        <v>700000</v>
      </c>
      <c r="G60" s="21">
        <f>32951000+9968000</f>
        <v>42919000</v>
      </c>
      <c r="H60" s="21">
        <f t="shared" si="1"/>
        <v>6514000</v>
      </c>
      <c r="I60" s="21" t="s">
        <v>197</v>
      </c>
    </row>
    <row r="61" spans="1:9" x14ac:dyDescent="0.2">
      <c r="A61" s="20" t="s">
        <v>160</v>
      </c>
      <c r="B61" s="20" t="s">
        <v>140</v>
      </c>
      <c r="C61" s="20" t="s">
        <v>142</v>
      </c>
      <c r="D61" s="21">
        <v>2200000</v>
      </c>
      <c r="E61" s="21">
        <v>65048000</v>
      </c>
      <c r="F61" s="21">
        <v>3400000</v>
      </c>
      <c r="G61" s="21">
        <f>58978542+10328000</f>
        <v>69306542</v>
      </c>
      <c r="H61" s="21">
        <f t="shared" si="1"/>
        <v>4258542</v>
      </c>
      <c r="I61" s="21" t="s">
        <v>200</v>
      </c>
    </row>
    <row r="62" spans="1:9" x14ac:dyDescent="0.2">
      <c r="A62" s="20" t="s">
        <v>160</v>
      </c>
      <c r="B62" s="20" t="s">
        <v>34</v>
      </c>
      <c r="C62" s="20" t="s">
        <v>34</v>
      </c>
      <c r="D62" s="21">
        <v>0</v>
      </c>
      <c r="E62" s="21">
        <v>3028000</v>
      </c>
      <c r="F62" s="21">
        <v>95766</v>
      </c>
      <c r="G62" s="21">
        <v>2823000</v>
      </c>
      <c r="H62" s="21">
        <f t="shared" si="1"/>
        <v>-205000</v>
      </c>
      <c r="I62" s="21" t="s">
        <v>202</v>
      </c>
    </row>
    <row r="63" spans="1:9" x14ac:dyDescent="0.2">
      <c r="A63" s="20" t="s">
        <v>160</v>
      </c>
      <c r="B63" s="20" t="s">
        <v>143</v>
      </c>
      <c r="C63" s="20" t="s">
        <v>145</v>
      </c>
      <c r="D63" s="21">
        <v>800000</v>
      </c>
      <c r="E63" s="21">
        <v>4293145</v>
      </c>
      <c r="F63" s="21">
        <v>800000</v>
      </c>
      <c r="G63" s="21">
        <v>4357000</v>
      </c>
      <c r="H63" s="21">
        <f t="shared" si="1"/>
        <v>63855</v>
      </c>
      <c r="I63" s="21"/>
    </row>
    <row r="64" spans="1:9" x14ac:dyDescent="0.2">
      <c r="A64" s="20" t="s">
        <v>160</v>
      </c>
      <c r="B64" s="20" t="s">
        <v>143</v>
      </c>
      <c r="C64" s="20" t="s">
        <v>144</v>
      </c>
      <c r="D64" s="21">
        <v>1100000</v>
      </c>
      <c r="E64" s="21">
        <v>26446855</v>
      </c>
      <c r="F64" s="21">
        <v>1000000</v>
      </c>
      <c r="G64" s="21">
        <f>31525000-4357000</f>
        <v>27168000</v>
      </c>
      <c r="H64" s="21">
        <f t="shared" si="1"/>
        <v>721145</v>
      </c>
      <c r="I64" s="21" t="s">
        <v>200</v>
      </c>
    </row>
    <row r="65" spans="1:9" x14ac:dyDescent="0.2">
      <c r="A65" s="20" t="s">
        <v>160</v>
      </c>
      <c r="B65" s="20" t="s">
        <v>146</v>
      </c>
      <c r="C65" s="20" t="s">
        <v>146</v>
      </c>
      <c r="D65" s="21">
        <v>10100000</v>
      </c>
      <c r="E65" s="21">
        <v>450532000</v>
      </c>
      <c r="F65" s="21">
        <v>10800000</v>
      </c>
      <c r="G65" s="21">
        <f>436620678+11000000</f>
        <v>447620678</v>
      </c>
      <c r="H65" s="21">
        <f t="shared" si="1"/>
        <v>-2911322</v>
      </c>
      <c r="I65" s="21" t="s">
        <v>194</v>
      </c>
    </row>
    <row r="66" spans="1:9" x14ac:dyDescent="0.2">
      <c r="A66" s="20" t="s">
        <v>160</v>
      </c>
      <c r="B66" s="20" t="s">
        <v>6</v>
      </c>
      <c r="C66" s="20" t="s">
        <v>6</v>
      </c>
      <c r="D66" s="21">
        <v>-900000</v>
      </c>
      <c r="E66" s="21">
        <v>145568000</v>
      </c>
      <c r="F66" s="21">
        <v>1100000</v>
      </c>
      <c r="G66" s="21">
        <f>146819665+1547</f>
        <v>146821212</v>
      </c>
      <c r="H66" s="21">
        <f t="shared" si="1"/>
        <v>1253212</v>
      </c>
      <c r="I66" s="21" t="s">
        <v>200</v>
      </c>
    </row>
    <row r="67" spans="1:9" x14ac:dyDescent="0.2">
      <c r="A67" s="20" t="s">
        <v>160</v>
      </c>
      <c r="B67" s="20" t="s">
        <v>147</v>
      </c>
      <c r="C67" s="20" t="s">
        <v>148</v>
      </c>
      <c r="D67" s="22">
        <v>4100000</v>
      </c>
      <c r="E67" s="22">
        <v>141568000</v>
      </c>
      <c r="F67" s="22">
        <v>4000000</v>
      </c>
      <c r="G67" s="22">
        <v>150956045</v>
      </c>
      <c r="H67" s="22">
        <f t="shared" si="1"/>
        <v>9388045</v>
      </c>
      <c r="I67" s="21" t="s">
        <v>200</v>
      </c>
    </row>
    <row r="68" spans="1:9" x14ac:dyDescent="0.2">
      <c r="C68" s="23" t="s">
        <v>149</v>
      </c>
      <c r="D68" s="30">
        <f>SUM(D25:D67)</f>
        <v>-57666500</v>
      </c>
      <c r="E68" s="30">
        <f>SUM(E25:E67)</f>
        <v>5942384851</v>
      </c>
      <c r="F68" s="30">
        <f>SUM(F25:F67)</f>
        <v>14095295</v>
      </c>
      <c r="G68" s="30">
        <f>SUM(G25:G67)</f>
        <v>5963275912</v>
      </c>
      <c r="H68" s="30">
        <f t="shared" si="1"/>
        <v>20891061</v>
      </c>
      <c r="I68" s="21"/>
    </row>
    <row r="69" spans="1:9" x14ac:dyDescent="0.2">
      <c r="F69" s="26"/>
      <c r="G69" s="26"/>
    </row>
    <row r="70" spans="1:9" x14ac:dyDescent="0.2">
      <c r="A70" s="27" t="s">
        <v>198</v>
      </c>
      <c r="B70" s="27" t="s">
        <v>156</v>
      </c>
      <c r="F70" s="26"/>
      <c r="G70" s="26"/>
    </row>
    <row r="71" spans="1:9" x14ac:dyDescent="0.2">
      <c r="F71" s="26"/>
      <c r="G71" s="26"/>
    </row>
    <row r="72" spans="1:9" x14ac:dyDescent="0.2">
      <c r="F72" s="26"/>
      <c r="G72" s="26"/>
    </row>
    <row r="73" spans="1:9" x14ac:dyDescent="0.2">
      <c r="F73" s="26"/>
      <c r="G73" s="26"/>
    </row>
    <row r="74" spans="1:9" x14ac:dyDescent="0.2">
      <c r="F74" s="26"/>
      <c r="G74" s="26"/>
    </row>
    <row r="75" spans="1:9" x14ac:dyDescent="0.2">
      <c r="F75" s="26"/>
      <c r="G75" s="26"/>
    </row>
    <row r="76" spans="1:9" x14ac:dyDescent="0.2">
      <c r="F76" s="26"/>
      <c r="G76" s="26"/>
    </row>
    <row r="77" spans="1:9" x14ac:dyDescent="0.2">
      <c r="F77" s="26"/>
      <c r="G77" s="26"/>
    </row>
    <row r="78" spans="1:9" x14ac:dyDescent="0.2">
      <c r="F78" s="26"/>
      <c r="G78" s="26"/>
    </row>
    <row r="79" spans="1:9" x14ac:dyDescent="0.2">
      <c r="F79" s="26"/>
      <c r="G79" s="26"/>
    </row>
    <row r="80" spans="1:9" x14ac:dyDescent="0.2">
      <c r="F80" s="26"/>
      <c r="G80" s="26"/>
    </row>
    <row r="81" spans="6:7" x14ac:dyDescent="0.2">
      <c r="F81" s="26"/>
      <c r="G81" s="26"/>
    </row>
    <row r="82" spans="6:7" x14ac:dyDescent="0.2">
      <c r="F82" s="26"/>
      <c r="G82" s="26"/>
    </row>
    <row r="83" spans="6:7" x14ac:dyDescent="0.2">
      <c r="F83" s="26"/>
      <c r="G83" s="26"/>
    </row>
    <row r="84" spans="6:7" x14ac:dyDescent="0.2">
      <c r="F84" s="26"/>
      <c r="G84" s="26"/>
    </row>
    <row r="85" spans="6:7" x14ac:dyDescent="0.2">
      <c r="F85" s="26"/>
      <c r="G85" s="26"/>
    </row>
    <row r="86" spans="6:7" x14ac:dyDescent="0.2">
      <c r="F86" s="26"/>
      <c r="G86" s="26"/>
    </row>
    <row r="87" spans="6:7" x14ac:dyDescent="0.2">
      <c r="F87" s="26"/>
      <c r="G87" s="26"/>
    </row>
    <row r="88" spans="6:7" x14ac:dyDescent="0.2">
      <c r="F88" s="26"/>
      <c r="G88" s="26"/>
    </row>
    <row r="89" spans="6:7" x14ac:dyDescent="0.2">
      <c r="F89" s="26"/>
      <c r="G89" s="26"/>
    </row>
    <row r="90" spans="6:7" x14ac:dyDescent="0.2">
      <c r="F90" s="26"/>
      <c r="G90" s="26"/>
    </row>
    <row r="91" spans="6:7" x14ac:dyDescent="0.2">
      <c r="F91" s="26"/>
      <c r="G91" s="26"/>
    </row>
    <row r="92" spans="6:7" x14ac:dyDescent="0.2">
      <c r="F92" s="26"/>
      <c r="G92" s="26"/>
    </row>
    <row r="93" spans="6:7" x14ac:dyDescent="0.2">
      <c r="F93" s="26"/>
      <c r="G93" s="26"/>
    </row>
    <row r="94" spans="6:7" x14ac:dyDescent="0.2">
      <c r="F94" s="26"/>
      <c r="G94" s="26"/>
    </row>
    <row r="95" spans="6:7" x14ac:dyDescent="0.2">
      <c r="F95" s="26"/>
      <c r="G95" s="26"/>
    </row>
    <row r="96" spans="6:7" x14ac:dyDescent="0.2">
      <c r="F96" s="26"/>
      <c r="G96" s="26"/>
    </row>
    <row r="97" spans="6:7" x14ac:dyDescent="0.2">
      <c r="F97" s="26"/>
      <c r="G97" s="26"/>
    </row>
    <row r="98" spans="6:7" x14ac:dyDescent="0.2">
      <c r="F98" s="26"/>
      <c r="G98" s="26"/>
    </row>
    <row r="99" spans="6:7" x14ac:dyDescent="0.2">
      <c r="F99" s="26"/>
      <c r="G99" s="26"/>
    </row>
    <row r="100" spans="6:7" x14ac:dyDescent="0.2">
      <c r="F100" s="26"/>
      <c r="G100" s="26"/>
    </row>
    <row r="101" spans="6:7" x14ac:dyDescent="0.2">
      <c r="F101" s="26"/>
      <c r="G101" s="26"/>
    </row>
    <row r="102" spans="6:7" x14ac:dyDescent="0.2">
      <c r="F102" s="26"/>
      <c r="G102" s="26"/>
    </row>
    <row r="103" spans="6:7" x14ac:dyDescent="0.2">
      <c r="F103" s="26"/>
      <c r="G103" s="26"/>
    </row>
    <row r="104" spans="6:7" x14ac:dyDescent="0.2">
      <c r="F104" s="26"/>
      <c r="G104" s="26"/>
    </row>
    <row r="105" spans="6:7" x14ac:dyDescent="0.2">
      <c r="F105" s="26"/>
      <c r="G105" s="26"/>
    </row>
    <row r="106" spans="6:7" x14ac:dyDescent="0.2">
      <c r="F106" s="26"/>
      <c r="G106" s="26"/>
    </row>
    <row r="107" spans="6:7" x14ac:dyDescent="0.2">
      <c r="F107" s="26"/>
      <c r="G107" s="26"/>
    </row>
    <row r="108" spans="6:7" x14ac:dyDescent="0.2">
      <c r="F108" s="26"/>
      <c r="G108" s="26"/>
    </row>
    <row r="109" spans="6:7" x14ac:dyDescent="0.2">
      <c r="F109" s="26"/>
      <c r="G109" s="26"/>
    </row>
    <row r="110" spans="6:7" x14ac:dyDescent="0.2">
      <c r="F110" s="26"/>
      <c r="G110" s="26"/>
    </row>
    <row r="111" spans="6:7" x14ac:dyDescent="0.2">
      <c r="F111" s="26"/>
      <c r="G111" s="26"/>
    </row>
    <row r="112" spans="6:7" x14ac:dyDescent="0.2">
      <c r="F112" s="26"/>
      <c r="G112" s="26"/>
    </row>
    <row r="113" spans="6:7" x14ac:dyDescent="0.2">
      <c r="F113" s="26"/>
      <c r="G113" s="26"/>
    </row>
    <row r="114" spans="6:7" x14ac:dyDescent="0.2">
      <c r="F114" s="26"/>
      <c r="G114" s="26"/>
    </row>
    <row r="115" spans="6:7" x14ac:dyDescent="0.2">
      <c r="F115" s="26"/>
      <c r="G115" s="26"/>
    </row>
    <row r="116" spans="6:7" x14ac:dyDescent="0.2">
      <c r="F116" s="26"/>
      <c r="G116" s="26"/>
    </row>
    <row r="117" spans="6:7" x14ac:dyDescent="0.2">
      <c r="F117" s="26"/>
      <c r="G117" s="26"/>
    </row>
    <row r="118" spans="6:7" x14ac:dyDescent="0.2">
      <c r="F118" s="26"/>
      <c r="G118" s="26"/>
    </row>
    <row r="119" spans="6:7" x14ac:dyDescent="0.2">
      <c r="F119" s="26"/>
      <c r="G119" s="26"/>
    </row>
    <row r="120" spans="6:7" x14ac:dyDescent="0.2">
      <c r="F120" s="26"/>
      <c r="G120" s="26"/>
    </row>
    <row r="121" spans="6:7" x14ac:dyDescent="0.2">
      <c r="F121" s="26"/>
      <c r="G121" s="26"/>
    </row>
    <row r="122" spans="6:7" x14ac:dyDescent="0.2">
      <c r="F122" s="26"/>
      <c r="G122" s="26"/>
    </row>
    <row r="123" spans="6:7" x14ac:dyDescent="0.2">
      <c r="F123" s="26"/>
      <c r="G123" s="26"/>
    </row>
    <row r="124" spans="6:7" x14ac:dyDescent="0.2">
      <c r="F124" s="26"/>
      <c r="G124" s="26"/>
    </row>
    <row r="125" spans="6:7" x14ac:dyDescent="0.2">
      <c r="F125" s="26"/>
      <c r="G125" s="26"/>
    </row>
    <row r="126" spans="6:7" x14ac:dyDescent="0.2">
      <c r="F126" s="26"/>
      <c r="G126" s="26"/>
    </row>
    <row r="127" spans="6:7" x14ac:dyDescent="0.2">
      <c r="F127" s="26"/>
      <c r="G127" s="26"/>
    </row>
    <row r="128" spans="6:7" x14ac:dyDescent="0.2">
      <c r="F128" s="26"/>
      <c r="G128" s="26"/>
    </row>
    <row r="129" spans="6:7" x14ac:dyDescent="0.2">
      <c r="F129" s="26"/>
      <c r="G129" s="26"/>
    </row>
    <row r="130" spans="6:7" x14ac:dyDescent="0.2">
      <c r="F130" s="26"/>
      <c r="G130" s="26"/>
    </row>
    <row r="131" spans="6:7" x14ac:dyDescent="0.2">
      <c r="F131" s="26"/>
      <c r="G131" s="26"/>
    </row>
    <row r="132" spans="6:7" x14ac:dyDescent="0.2">
      <c r="F132" s="26"/>
      <c r="G132" s="26"/>
    </row>
    <row r="133" spans="6:7" x14ac:dyDescent="0.2">
      <c r="F133" s="26"/>
      <c r="G133" s="26"/>
    </row>
    <row r="134" spans="6:7" x14ac:dyDescent="0.2">
      <c r="F134" s="26"/>
      <c r="G134" s="26"/>
    </row>
    <row r="135" spans="6:7" x14ac:dyDescent="0.2">
      <c r="F135" s="26"/>
      <c r="G135" s="26"/>
    </row>
  </sheetData>
  <phoneticPr fontId="0" type="noConversion"/>
  <conditionalFormatting sqref="F9:G67">
    <cfRule type="expression" dxfId="0" priority="1" stopIfTrue="1">
      <formula>ISBLANK(F9)</formula>
    </cfRule>
  </conditionalFormatting>
  <printOptions horizontalCentered="1"/>
  <pageMargins left="0.38" right="0.24" top="0.5" bottom="0.5" header="0.5" footer="0.5"/>
  <pageSetup scale="5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29"/>
  <sheetViews>
    <sheetView workbookViewId="0">
      <selection activeCell="D12" sqref="D12"/>
    </sheetView>
  </sheetViews>
  <sheetFormatPr defaultRowHeight="12.75" x14ac:dyDescent="0.2"/>
  <cols>
    <col min="1" max="1" width="24" bestFit="1" customWidth="1"/>
    <col min="2" max="2" width="9.140625" style="1"/>
    <col min="3" max="3" width="14.7109375" style="2" bestFit="1" customWidth="1"/>
    <col min="4" max="5" width="11.85546875" style="2" bestFit="1" customWidth="1"/>
    <col min="6" max="6" width="13.42578125" style="2" bestFit="1" customWidth="1"/>
    <col min="7" max="7" width="11.85546875" style="2" bestFit="1" customWidth="1"/>
    <col min="8" max="8" width="14" style="2" bestFit="1" customWidth="1"/>
    <col min="9" max="9" width="17.7109375" style="2" bestFit="1" customWidth="1"/>
    <col min="10" max="10" width="11.85546875" style="2" bestFit="1" customWidth="1"/>
    <col min="11" max="12" width="12.28515625" style="2" bestFit="1" customWidth="1"/>
    <col min="13" max="13" width="10.7109375" style="2" bestFit="1" customWidth="1"/>
    <col min="14" max="14" width="11.7109375" style="2" bestFit="1" customWidth="1"/>
    <col min="15" max="15" width="9.7109375" style="2" bestFit="1" customWidth="1"/>
    <col min="16" max="16" width="10.85546875" bestFit="1" customWidth="1"/>
    <col min="17" max="17" width="19.5703125" bestFit="1" customWidth="1"/>
  </cols>
  <sheetData>
    <row r="1" spans="1:33" x14ac:dyDescent="0.2">
      <c r="A1" s="7" t="s">
        <v>43</v>
      </c>
    </row>
    <row r="2" spans="1:33" x14ac:dyDescent="0.2">
      <c r="A2" s="13" t="s">
        <v>61</v>
      </c>
    </row>
    <row r="3" spans="1:33" x14ac:dyDescent="0.2">
      <c r="D3" s="14" t="s">
        <v>63</v>
      </c>
      <c r="E3" s="14" t="s">
        <v>64</v>
      </c>
      <c r="F3" s="14" t="s">
        <v>65</v>
      </c>
      <c r="G3" s="14" t="s">
        <v>66</v>
      </c>
      <c r="H3" s="14" t="s">
        <v>67</v>
      </c>
      <c r="I3" s="14" t="s">
        <v>62</v>
      </c>
      <c r="J3" s="14" t="s">
        <v>68</v>
      </c>
      <c r="K3" s="14" t="s">
        <v>69</v>
      </c>
      <c r="L3" s="14" t="s">
        <v>70</v>
      </c>
    </row>
    <row r="4" spans="1:33" x14ac:dyDescent="0.2">
      <c r="A4" s="7" t="s">
        <v>0</v>
      </c>
      <c r="C4" s="8" t="s">
        <v>14</v>
      </c>
      <c r="D4" s="5" t="s">
        <v>5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s="5" t="s">
        <v>13</v>
      </c>
      <c r="M4" s="5"/>
      <c r="N4" s="5"/>
      <c r="O4" s="5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  <row r="6" spans="1:33" x14ac:dyDescent="0.2">
      <c r="A6" t="s">
        <v>1</v>
      </c>
      <c r="C6" s="2">
        <f>SUM(D6:L6)</f>
        <v>904786900</v>
      </c>
      <c r="D6" s="2">
        <v>454858978</v>
      </c>
      <c r="E6" s="2">
        <v>143800505</v>
      </c>
      <c r="F6" s="2">
        <v>295436680</v>
      </c>
      <c r="G6" s="2">
        <v>2524016</v>
      </c>
      <c r="H6" s="2">
        <v>26872519</v>
      </c>
      <c r="I6" s="2">
        <v>-57774487</v>
      </c>
      <c r="J6" s="2">
        <v>32522849</v>
      </c>
      <c r="K6" s="2">
        <v>96347728</v>
      </c>
      <c r="L6" s="2">
        <v>-89801888</v>
      </c>
    </row>
    <row r="8" spans="1:33" x14ac:dyDescent="0.2">
      <c r="A8" t="s">
        <v>2</v>
      </c>
      <c r="C8" s="2">
        <f>SUM(D8:L8)</f>
        <v>912445876</v>
      </c>
      <c r="D8" s="2">
        <v>-15661</v>
      </c>
      <c r="E8" s="2">
        <v>0</v>
      </c>
      <c r="F8" s="2">
        <v>0</v>
      </c>
      <c r="G8" s="2">
        <v>0</v>
      </c>
      <c r="H8" s="2">
        <v>0</v>
      </c>
      <c r="I8" s="2">
        <v>689627526</v>
      </c>
      <c r="J8" s="2">
        <v>37592000</v>
      </c>
      <c r="K8" s="2">
        <v>103129000</v>
      </c>
      <c r="L8" s="2">
        <v>82113011</v>
      </c>
    </row>
    <row r="10" spans="1:33" x14ac:dyDescent="0.2">
      <c r="A10" t="s">
        <v>3</v>
      </c>
      <c r="C10" s="2">
        <f>SUM(D10:L10)</f>
        <v>1820000</v>
      </c>
      <c r="D10" s="2">
        <v>1820000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2" spans="1:33" x14ac:dyDescent="0.2">
      <c r="A12" t="s">
        <v>4</v>
      </c>
      <c r="C12" s="2">
        <f>SUM(D12:L12)</f>
        <v>1279197366</v>
      </c>
      <c r="D12" s="2">
        <f>1919269+1572281-12203681-6618347-2721533</f>
        <v>-18052011</v>
      </c>
      <c r="E12" s="2">
        <f>-738015+1068343-307264</f>
        <v>23064</v>
      </c>
      <c r="F12" s="2">
        <f>44226981+10916837+30174839+82106454-157558</f>
        <v>167267553</v>
      </c>
      <c r="G12" s="2">
        <f>6365398+18421795</f>
        <v>24787193</v>
      </c>
      <c r="H12" s="2">
        <f>-21512990+8497763</f>
        <v>-13015227</v>
      </c>
      <c r="I12" s="2">
        <f>17034727+2273418+850055029+39815652+9512381</f>
        <v>918691207</v>
      </c>
      <c r="J12" s="2">
        <f>-43530+60440</f>
        <v>16910</v>
      </c>
      <c r="K12" s="2">
        <v>-60354</v>
      </c>
      <c r="L12" s="2">
        <f>1709948+3952916+193876167</f>
        <v>199539031</v>
      </c>
    </row>
    <row r="14" spans="1:33" ht="13.5" thickBot="1" x14ac:dyDescent="0.25">
      <c r="A14" s="7" t="s">
        <v>35</v>
      </c>
      <c r="C14" s="3">
        <f>SUM(C6:C12)</f>
        <v>3098250142</v>
      </c>
      <c r="D14" s="3">
        <f>SUM(D6:D12)</f>
        <v>438611306</v>
      </c>
      <c r="E14" s="3">
        <f t="shared" ref="E14:L14" si="0">SUM(E6:E12)</f>
        <v>143823569</v>
      </c>
      <c r="F14" s="3">
        <f t="shared" si="0"/>
        <v>462704233</v>
      </c>
      <c r="G14" s="3">
        <f t="shared" si="0"/>
        <v>27311209</v>
      </c>
      <c r="H14" s="3">
        <f t="shared" si="0"/>
        <v>13857292</v>
      </c>
      <c r="I14" s="3">
        <f t="shared" si="0"/>
        <v>1550544246</v>
      </c>
      <c r="J14" s="3">
        <f t="shared" si="0"/>
        <v>70131759</v>
      </c>
      <c r="K14" s="3">
        <f t="shared" si="0"/>
        <v>199416374</v>
      </c>
      <c r="L14" s="3">
        <f t="shared" si="0"/>
        <v>191850154</v>
      </c>
    </row>
    <row r="15" spans="1:33" ht="13.5" thickTop="1" x14ac:dyDescent="0.2"/>
    <row r="16" spans="1:33" x14ac:dyDescent="0.2">
      <c r="A16" t="s">
        <v>47</v>
      </c>
      <c r="C16" s="2">
        <f>SUM(D16:L16)</f>
        <v>9565000</v>
      </c>
      <c r="D16" s="2">
        <v>11974000</v>
      </c>
      <c r="E16" s="2">
        <v>0</v>
      </c>
      <c r="F16" s="2">
        <v>0</v>
      </c>
      <c r="G16" s="2">
        <v>-3662000</v>
      </c>
      <c r="H16" s="2">
        <v>1253000</v>
      </c>
      <c r="I16" s="2">
        <v>0</v>
      </c>
      <c r="J16" s="2">
        <v>0</v>
      </c>
      <c r="K16" s="2">
        <v>0</v>
      </c>
      <c r="L16" s="2">
        <v>0</v>
      </c>
    </row>
    <row r="17" spans="1:12" x14ac:dyDescent="0.2">
      <c r="A17" t="s">
        <v>48</v>
      </c>
      <c r="C17" s="2">
        <f>SUM(D17:L17)</f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</row>
    <row r="18" spans="1:12" x14ac:dyDescent="0.2">
      <c r="A18" t="s">
        <v>49</v>
      </c>
      <c r="C18" s="2">
        <f>SUM(D18:L18)</f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</row>
    <row r="19" spans="1:12" x14ac:dyDescent="0.2">
      <c r="A19" t="s">
        <v>56</v>
      </c>
      <c r="C19" s="2">
        <f>SUM(D19:L19)</f>
        <v>480026916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480026916</v>
      </c>
      <c r="J19" s="2">
        <v>0</v>
      </c>
      <c r="K19" s="2">
        <v>0</v>
      </c>
      <c r="L19" s="2">
        <v>0</v>
      </c>
    </row>
    <row r="20" spans="1:12" x14ac:dyDescent="0.2">
      <c r="D20" s="11"/>
      <c r="E20" s="11"/>
      <c r="F20" s="11"/>
      <c r="G20" s="11"/>
      <c r="H20" s="11"/>
      <c r="I20" s="11"/>
      <c r="J20" s="11"/>
      <c r="K20" s="11"/>
      <c r="L20" s="11"/>
    </row>
    <row r="21" spans="1:12" x14ac:dyDescent="0.2">
      <c r="A21" t="s">
        <v>60</v>
      </c>
      <c r="D21" s="24">
        <f>SUM(D14:D20)</f>
        <v>450585306</v>
      </c>
      <c r="E21" s="24">
        <f t="shared" ref="E21:L21" si="1">SUM(E14:E20)</f>
        <v>143823569</v>
      </c>
      <c r="F21" s="2">
        <f t="shared" si="1"/>
        <v>462704233</v>
      </c>
      <c r="G21" s="2">
        <f t="shared" si="1"/>
        <v>23649209</v>
      </c>
      <c r="H21" s="24">
        <f t="shared" si="1"/>
        <v>15110292</v>
      </c>
      <c r="I21" s="24">
        <f t="shared" si="1"/>
        <v>2030571162</v>
      </c>
      <c r="J21" s="24">
        <f t="shared" si="1"/>
        <v>70131759</v>
      </c>
      <c r="K21" s="24">
        <f t="shared" si="1"/>
        <v>199416374</v>
      </c>
      <c r="L21" s="24">
        <f t="shared" si="1"/>
        <v>191850154</v>
      </c>
    </row>
    <row r="23" spans="1:12" hidden="1" x14ac:dyDescent="0.2">
      <c r="A23" t="s">
        <v>58</v>
      </c>
      <c r="D23" s="2">
        <v>446500000</v>
      </c>
      <c r="E23" s="2">
        <v>138200000</v>
      </c>
      <c r="F23" s="2">
        <v>414600000</v>
      </c>
    </row>
    <row r="24" spans="1:12" hidden="1" x14ac:dyDescent="0.2"/>
    <row r="25" spans="1:12" hidden="1" x14ac:dyDescent="0.2">
      <c r="A25" t="s">
        <v>59</v>
      </c>
      <c r="D25" s="2" t="e">
        <f>+#REF!-D23</f>
        <v>#REF!</v>
      </c>
      <c r="E25" s="2" t="e">
        <f>+#REF!-E23</f>
        <v>#REF!</v>
      </c>
      <c r="F25" s="2" t="e">
        <f>+#REF!-F23</f>
        <v>#REF!</v>
      </c>
      <c r="G25" s="2" t="e">
        <f>+#REF!-G23</f>
        <v>#REF!</v>
      </c>
      <c r="H25" s="2" t="e">
        <f>+#REF!-H23</f>
        <v>#REF!</v>
      </c>
      <c r="I25" s="2" t="e">
        <f>+#REF!-I23</f>
        <v>#REF!</v>
      </c>
      <c r="J25" s="2" t="e">
        <f>+#REF!-J23</f>
        <v>#REF!</v>
      </c>
      <c r="K25" s="2" t="e">
        <f>+#REF!-K23</f>
        <v>#REF!</v>
      </c>
      <c r="L25" s="2" t="e">
        <f>+#REF!-L23</f>
        <v>#REF!</v>
      </c>
    </row>
    <row r="27" spans="1:12" x14ac:dyDescent="0.2">
      <c r="A27" s="12" t="str">
        <f ca="1">CELL("filename",A1)</f>
        <v>G:\Common\jvm\REPORTNG\EGA Regions\2001\RAC\[EGS Q3-2001 Accounting Request.xls]South America</v>
      </c>
      <c r="F27" s="2" t="s">
        <v>84</v>
      </c>
    </row>
    <row r="29" spans="1:12" x14ac:dyDescent="0.2">
      <c r="A29" t="s">
        <v>93</v>
      </c>
      <c r="D29" s="2">
        <v>446882469</v>
      </c>
      <c r="E29" s="2">
        <v>137422000</v>
      </c>
      <c r="F29" s="24">
        <v>536920000</v>
      </c>
      <c r="G29" s="24">
        <v>31627000</v>
      </c>
      <c r="H29" s="2">
        <v>15433000</v>
      </c>
      <c r="I29" s="2">
        <v>1997879000</v>
      </c>
      <c r="J29" s="2">
        <v>70636000</v>
      </c>
      <c r="K29" s="2">
        <v>202469000</v>
      </c>
      <c r="L29" s="25">
        <v>216556000</v>
      </c>
    </row>
  </sheetData>
  <phoneticPr fontId="0" type="noConversion"/>
  <pageMargins left="0.75" right="0.75" top="1" bottom="1" header="0.5" footer="0.5"/>
  <pageSetup scale="7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5"/>
  <sheetViews>
    <sheetView workbookViewId="0">
      <pane xSplit="2" ySplit="6" topLeftCell="C7" activePane="bottomRight" state="frozen"/>
      <selection activeCell="J31" sqref="J31"/>
      <selection pane="topRight" activeCell="J31" sqref="J31"/>
      <selection pane="bottomLeft" activeCell="J31" sqref="J31"/>
      <selection pane="bottomRight" activeCell="E23" sqref="E23"/>
    </sheetView>
  </sheetViews>
  <sheetFormatPr defaultRowHeight="12.75" x14ac:dyDescent="0.2"/>
  <cols>
    <col min="1" max="1" width="24" bestFit="1" customWidth="1"/>
    <col min="2" max="2" width="9.140625" style="1"/>
    <col min="3" max="3" width="14.7109375" style="2" bestFit="1" customWidth="1"/>
    <col min="4" max="6" width="11.85546875" style="2" bestFit="1" customWidth="1"/>
    <col min="7" max="7" width="10.85546875" style="2" bestFit="1" customWidth="1"/>
    <col min="8" max="8" width="11.85546875" style="2" bestFit="1" customWidth="1"/>
    <col min="9" max="9" width="14" style="2" bestFit="1" customWidth="1"/>
    <col min="10" max="10" width="11.85546875" style="2" bestFit="1" customWidth="1"/>
    <col min="11" max="11" width="12.28515625" style="2" bestFit="1" customWidth="1"/>
    <col min="12" max="12" width="11.28515625" style="2" bestFit="1" customWidth="1"/>
    <col min="13" max="13" width="10.85546875" style="2" bestFit="1" customWidth="1"/>
    <col min="14" max="14" width="12.28515625" style="2" bestFit="1" customWidth="1"/>
    <col min="15" max="15" width="10.7109375" style="2" bestFit="1" customWidth="1"/>
    <col min="16" max="16" width="11" style="2" bestFit="1" customWidth="1"/>
    <col min="17" max="17" width="10.42578125" style="2" customWidth="1"/>
    <col min="18" max="24" width="9.140625" style="2"/>
  </cols>
  <sheetData>
    <row r="1" spans="1:17" x14ac:dyDescent="0.2">
      <c r="A1" s="7" t="s">
        <v>44</v>
      </c>
    </row>
    <row r="2" spans="1:17" x14ac:dyDescent="0.2">
      <c r="A2" s="7" t="str">
        <f>+'South America'!A2</f>
        <v>June 2001</v>
      </c>
    </row>
    <row r="4" spans="1:17" x14ac:dyDescent="0.2">
      <c r="D4" s="14" t="s">
        <v>72</v>
      </c>
      <c r="E4" s="14" t="s">
        <v>71</v>
      </c>
      <c r="F4" s="14" t="s">
        <v>73</v>
      </c>
      <c r="G4" s="14" t="s">
        <v>75</v>
      </c>
      <c r="H4" s="14" t="s">
        <v>74</v>
      </c>
      <c r="I4" s="15" t="s">
        <v>80</v>
      </c>
      <c r="J4" s="15" t="s">
        <v>81</v>
      </c>
      <c r="K4" s="14" t="s">
        <v>77</v>
      </c>
      <c r="L4" s="14" t="s">
        <v>76</v>
      </c>
      <c r="M4" s="14" t="s">
        <v>83</v>
      </c>
      <c r="N4" s="14" t="s">
        <v>78</v>
      </c>
      <c r="O4" s="14" t="s">
        <v>82</v>
      </c>
      <c r="P4" s="14" t="s">
        <v>79</v>
      </c>
      <c r="Q4" s="5" t="s">
        <v>15</v>
      </c>
    </row>
    <row r="5" spans="1:17" x14ac:dyDescent="0.2">
      <c r="A5" s="7" t="s">
        <v>0</v>
      </c>
      <c r="C5" s="8" t="s">
        <v>15</v>
      </c>
      <c r="D5" s="5" t="s">
        <v>16</v>
      </c>
      <c r="E5" s="5" t="s">
        <v>54</v>
      </c>
      <c r="F5" s="5" t="s">
        <v>17</v>
      </c>
      <c r="G5" s="5" t="s">
        <v>18</v>
      </c>
      <c r="H5" s="5" t="s">
        <v>19</v>
      </c>
      <c r="I5" s="9" t="s">
        <v>27</v>
      </c>
      <c r="J5" s="9" t="s">
        <v>26</v>
      </c>
      <c r="K5" s="5" t="s">
        <v>20</v>
      </c>
      <c r="L5" s="5" t="s">
        <v>21</v>
      </c>
      <c r="M5" s="9" t="s">
        <v>22</v>
      </c>
      <c r="N5" s="9" t="s">
        <v>23</v>
      </c>
      <c r="O5" s="9" t="s">
        <v>24</v>
      </c>
      <c r="P5" s="9" t="s">
        <v>25</v>
      </c>
      <c r="Q5" s="5" t="s">
        <v>50</v>
      </c>
    </row>
    <row r="7" spans="1:17" x14ac:dyDescent="0.2">
      <c r="A7" t="s">
        <v>1</v>
      </c>
      <c r="C7" s="2">
        <f>SUM(D7:Q7)</f>
        <v>667361878</v>
      </c>
      <c r="D7" s="2">
        <v>41276506</v>
      </c>
      <c r="E7" s="2">
        <v>34050565</v>
      </c>
      <c r="F7" s="2">
        <v>38935913</v>
      </c>
      <c r="G7" s="2">
        <v>5043884</v>
      </c>
      <c r="H7" s="2">
        <v>28985592</v>
      </c>
      <c r="I7" s="2">
        <f>143932328-1516376</f>
        <v>142415952</v>
      </c>
      <c r="J7" s="2">
        <v>31810110</v>
      </c>
      <c r="K7" s="2">
        <v>58921592</v>
      </c>
      <c r="L7" s="2">
        <v>41009485</v>
      </c>
      <c r="M7" s="2">
        <v>2235644</v>
      </c>
      <c r="N7" s="2">
        <v>236223571</v>
      </c>
      <c r="O7" s="2">
        <v>-2850452</v>
      </c>
      <c r="P7" s="2">
        <v>3524516</v>
      </c>
      <c r="Q7" s="2">
        <v>5779000</v>
      </c>
    </row>
    <row r="9" spans="1:17" x14ac:dyDescent="0.2">
      <c r="A9" t="s">
        <v>2</v>
      </c>
      <c r="C9" s="2">
        <f>SUM(D9:Q9)</f>
        <v>100828268</v>
      </c>
      <c r="D9" s="2">
        <v>0</v>
      </c>
      <c r="E9" s="2">
        <v>-65202</v>
      </c>
      <c r="F9" s="2">
        <v>0</v>
      </c>
      <c r="G9" s="2">
        <v>0</v>
      </c>
      <c r="H9" s="2">
        <v>8203060</v>
      </c>
      <c r="I9" s="2">
        <f>91138410+1552000</f>
        <v>92690410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</row>
    <row r="11" spans="1:17" x14ac:dyDescent="0.2">
      <c r="A11" t="s">
        <v>3</v>
      </c>
      <c r="C11" s="2">
        <f>SUM(D11:Q11)</f>
        <v>11534417</v>
      </c>
      <c r="D11" s="2">
        <v>0</v>
      </c>
      <c r="E11" s="2">
        <v>0</v>
      </c>
      <c r="F11" s="2">
        <v>728691</v>
      </c>
      <c r="G11" s="2">
        <v>0</v>
      </c>
      <c r="H11" s="2">
        <v>0</v>
      </c>
      <c r="I11" s="2">
        <v>510083</v>
      </c>
      <c r="J11" s="2">
        <v>0</v>
      </c>
      <c r="K11" s="2">
        <v>0</v>
      </c>
      <c r="L11" s="2">
        <v>0</v>
      </c>
      <c r="M11" s="2">
        <v>0</v>
      </c>
      <c r="N11" s="2">
        <v>10295643</v>
      </c>
      <c r="O11" s="2">
        <v>0</v>
      </c>
      <c r="P11" s="2">
        <v>0</v>
      </c>
      <c r="Q11" s="2">
        <v>0</v>
      </c>
    </row>
    <row r="13" spans="1:17" x14ac:dyDescent="0.2">
      <c r="A13" t="s">
        <v>4</v>
      </c>
      <c r="C13" s="2">
        <f>SUM(D13:Q13)</f>
        <v>-159620663</v>
      </c>
      <c r="D13" s="2">
        <f>61797661+5905791</f>
        <v>67703452</v>
      </c>
      <c r="E13" s="2">
        <f>5334889-17681467+8888157-2836246</f>
        <v>-6294667</v>
      </c>
      <c r="F13" s="2">
        <f>8710-862886</f>
        <v>-854176</v>
      </c>
      <c r="G13" s="2">
        <f>-39828</f>
        <v>-39828</v>
      </c>
      <c r="H13" s="2">
        <f>-473048-9718977</f>
        <v>-10192025</v>
      </c>
      <c r="I13" s="2">
        <f>-48053702+2669570-31810516</f>
        <v>-77194648</v>
      </c>
      <c r="J13" s="2">
        <v>4890791</v>
      </c>
      <c r="K13" s="2">
        <f>-9488280-42929243</f>
        <v>-52417523</v>
      </c>
      <c r="L13" s="2">
        <f>-17909980+23159684-12204959</f>
        <v>-6955255</v>
      </c>
      <c r="M13" s="2">
        <f>170622+4431292+43784094-3347995</f>
        <v>45038013</v>
      </c>
      <c r="N13" s="2">
        <f>143932-156445-130880766</f>
        <v>-130893279</v>
      </c>
      <c r="O13" s="2">
        <f>8871544-886140+653743</f>
        <v>8639147</v>
      </c>
      <c r="P13" s="2">
        <f>-1420277+224+369388</f>
        <v>-1050665</v>
      </c>
      <c r="Q13" s="2">
        <v>0</v>
      </c>
    </row>
    <row r="15" spans="1:17" ht="13.5" thickBot="1" x14ac:dyDescent="0.25">
      <c r="A15" s="7" t="s">
        <v>36</v>
      </c>
      <c r="C15" s="3">
        <f t="shared" ref="C15:Q15" si="0">SUM(C7:C13)</f>
        <v>620103900</v>
      </c>
      <c r="D15" s="3">
        <f t="shared" si="0"/>
        <v>108979958</v>
      </c>
      <c r="E15" s="3">
        <f t="shared" si="0"/>
        <v>27690696</v>
      </c>
      <c r="F15" s="3">
        <f t="shared" si="0"/>
        <v>38810428</v>
      </c>
      <c r="G15" s="3">
        <f t="shared" si="0"/>
        <v>5004056</v>
      </c>
      <c r="H15" s="3">
        <f t="shared" si="0"/>
        <v>26996627</v>
      </c>
      <c r="I15" s="3">
        <f t="shared" si="0"/>
        <v>158421797</v>
      </c>
      <c r="J15" s="3">
        <f t="shared" si="0"/>
        <v>36700901</v>
      </c>
      <c r="K15" s="3">
        <f t="shared" si="0"/>
        <v>6504069</v>
      </c>
      <c r="L15" s="3">
        <f t="shared" si="0"/>
        <v>34054230</v>
      </c>
      <c r="M15" s="3">
        <f t="shared" si="0"/>
        <v>47273657</v>
      </c>
      <c r="N15" s="3">
        <f t="shared" si="0"/>
        <v>115625935</v>
      </c>
      <c r="O15" s="3">
        <f t="shared" si="0"/>
        <v>5788695</v>
      </c>
      <c r="P15" s="3">
        <f t="shared" si="0"/>
        <v>2473851</v>
      </c>
      <c r="Q15" s="3">
        <f t="shared" si="0"/>
        <v>5779000</v>
      </c>
    </row>
    <row r="16" spans="1:17" ht="13.5" thickTop="1" x14ac:dyDescent="0.2"/>
    <row r="17" spans="1:17" x14ac:dyDescent="0.2">
      <c r="A17" t="s">
        <v>47</v>
      </c>
      <c r="C17" s="2">
        <f t="shared" ref="C17:C22" si="1">SUM(D17:Q17)</f>
        <v>21157000</v>
      </c>
      <c r="D17" s="2">
        <v>0</v>
      </c>
      <c r="E17" s="2">
        <v>2853000</v>
      </c>
      <c r="F17" s="2">
        <v>8571000</v>
      </c>
      <c r="G17" s="2">
        <v>156000</v>
      </c>
      <c r="H17" s="2">
        <v>0</v>
      </c>
      <c r="I17" s="2">
        <v>0</v>
      </c>
      <c r="J17" s="2">
        <v>0</v>
      </c>
      <c r="K17" s="2">
        <v>0</v>
      </c>
      <c r="L17" s="2">
        <v>4489000</v>
      </c>
      <c r="M17" s="2">
        <v>0</v>
      </c>
      <c r="N17" s="2">
        <v>5088000</v>
      </c>
      <c r="O17" s="2">
        <v>0</v>
      </c>
      <c r="P17" s="2">
        <v>0</v>
      </c>
      <c r="Q17" s="2">
        <v>0</v>
      </c>
    </row>
    <row r="18" spans="1:17" x14ac:dyDescent="0.2">
      <c r="A18" t="s">
        <v>48</v>
      </c>
      <c r="C18" s="2">
        <f t="shared" si="1"/>
        <v>36405000</v>
      </c>
      <c r="D18" s="2">
        <v>0</v>
      </c>
      <c r="E18" s="2">
        <v>0</v>
      </c>
      <c r="F18" s="2">
        <v>36405000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f>28279000-28279000</f>
        <v>0</v>
      </c>
      <c r="O18" s="2">
        <f>8522000-8522000</f>
        <v>0</v>
      </c>
      <c r="P18" s="2">
        <v>0</v>
      </c>
      <c r="Q18" s="2">
        <v>0</v>
      </c>
    </row>
    <row r="19" spans="1:17" x14ac:dyDescent="0.2">
      <c r="A19" t="s">
        <v>49</v>
      </c>
      <c r="C19" s="2">
        <f t="shared" si="1"/>
        <v>-40082000</v>
      </c>
      <c r="D19" s="2">
        <v>0</v>
      </c>
      <c r="E19" s="2">
        <v>0</v>
      </c>
      <c r="F19" s="2">
        <v>0</v>
      </c>
      <c r="G19" s="2">
        <v>0</v>
      </c>
      <c r="H19" s="2">
        <f>-4402000+4402000</f>
        <v>0</v>
      </c>
      <c r="I19" s="2">
        <f>-41710000+41710000</f>
        <v>0</v>
      </c>
      <c r="J19" s="2">
        <f>-535000+535000</f>
        <v>0</v>
      </c>
      <c r="K19" s="2">
        <v>0</v>
      </c>
      <c r="L19" s="2">
        <v>-40082000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 x14ac:dyDescent="0.2">
      <c r="A20" t="s">
        <v>55</v>
      </c>
      <c r="C20" s="2">
        <f t="shared" si="1"/>
        <v>0</v>
      </c>
      <c r="D20" s="2">
        <v>0</v>
      </c>
      <c r="E20" s="2">
        <v>0</v>
      </c>
      <c r="F20" s="2">
        <v>16824047</v>
      </c>
      <c r="G20" s="2">
        <v>0</v>
      </c>
      <c r="H20" s="2">
        <v>0</v>
      </c>
      <c r="I20" s="2">
        <v>-16824047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1:17" x14ac:dyDescent="0.2">
      <c r="A21" t="s">
        <v>57</v>
      </c>
      <c r="C21" s="2">
        <f t="shared" si="1"/>
        <v>160517130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160517130</v>
      </c>
    </row>
    <row r="22" spans="1:17" x14ac:dyDescent="0.2">
      <c r="A22" t="s">
        <v>53</v>
      </c>
      <c r="C22" s="11">
        <f t="shared" si="1"/>
        <v>105000000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105000000</v>
      </c>
      <c r="O22" s="11">
        <v>0</v>
      </c>
      <c r="P22" s="11">
        <v>0</v>
      </c>
      <c r="Q22" s="11">
        <v>0</v>
      </c>
    </row>
    <row r="23" spans="1:17" x14ac:dyDescent="0.2">
      <c r="C23" s="2">
        <f>SUM(C15:C22)</f>
        <v>903101030</v>
      </c>
      <c r="D23" s="24">
        <f>SUM(D15:D22)</f>
        <v>108979958</v>
      </c>
      <c r="E23" s="24">
        <f t="shared" ref="E23:Q23" si="2">SUM(E15:E22)</f>
        <v>30543696</v>
      </c>
      <c r="F23" s="24">
        <f t="shared" si="2"/>
        <v>100610475</v>
      </c>
      <c r="G23" s="24">
        <f t="shared" si="2"/>
        <v>5160056</v>
      </c>
      <c r="H23" s="24">
        <f t="shared" si="2"/>
        <v>26996627</v>
      </c>
      <c r="I23" s="24">
        <f t="shared" si="2"/>
        <v>141597750</v>
      </c>
      <c r="J23" s="24">
        <f t="shared" si="2"/>
        <v>36700901</v>
      </c>
      <c r="K23" s="25">
        <f t="shared" si="2"/>
        <v>167021199</v>
      </c>
      <c r="L23" s="2">
        <f t="shared" si="2"/>
        <v>-1538770</v>
      </c>
      <c r="M23" s="24">
        <f t="shared" si="2"/>
        <v>47273657</v>
      </c>
      <c r="N23" s="24">
        <f t="shared" si="2"/>
        <v>225713935</v>
      </c>
      <c r="O23" s="24">
        <f t="shared" si="2"/>
        <v>5788695</v>
      </c>
      <c r="P23" s="24">
        <f t="shared" si="2"/>
        <v>2473851</v>
      </c>
      <c r="Q23" s="24">
        <f t="shared" si="2"/>
        <v>5779000</v>
      </c>
    </row>
    <row r="25" spans="1:17" x14ac:dyDescent="0.2">
      <c r="A25" t="s">
        <v>93</v>
      </c>
      <c r="D25" s="2">
        <v>106402000</v>
      </c>
      <c r="E25" s="2">
        <v>25224000</v>
      </c>
      <c r="F25" s="2">
        <v>100317000</v>
      </c>
      <c r="G25" s="2">
        <v>3561000</v>
      </c>
      <c r="H25" s="2">
        <v>29476000</v>
      </c>
      <c r="I25" s="2">
        <v>143035000</v>
      </c>
      <c r="J25" s="2">
        <v>31253000</v>
      </c>
      <c r="K25" s="24">
        <v>158706000</v>
      </c>
      <c r="L25" s="24">
        <v>1437000</v>
      </c>
      <c r="M25" s="2">
        <v>40314000</v>
      </c>
      <c r="N25" s="2">
        <v>224343000</v>
      </c>
      <c r="O25" s="2">
        <v>5929000</v>
      </c>
      <c r="P25" s="2">
        <v>2600000</v>
      </c>
      <c r="Q25" s="2">
        <v>5779000</v>
      </c>
    </row>
  </sheetData>
  <phoneticPr fontId="0" type="noConversion"/>
  <printOptions horizontalCentered="1"/>
  <pageMargins left="0.5" right="0.5" top="1" bottom="0.75" header="0.5" footer="0.5"/>
  <pageSetup scale="6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4"/>
  <sheetViews>
    <sheetView workbookViewId="0">
      <selection activeCell="J31" sqref="J31"/>
    </sheetView>
  </sheetViews>
  <sheetFormatPr defaultRowHeight="12.75" x14ac:dyDescent="0.2"/>
  <cols>
    <col min="1" max="1" width="24" bestFit="1" customWidth="1"/>
    <col min="2" max="2" width="9.140625" style="1"/>
    <col min="3" max="3" width="14.5703125" style="2" bestFit="1" customWidth="1"/>
    <col min="4" max="5" width="11.7109375" style="2" bestFit="1" customWidth="1"/>
    <col min="6" max="6" width="13.140625" style="2" customWidth="1"/>
    <col min="7" max="7" width="10.7109375" style="2" bestFit="1" customWidth="1"/>
    <col min="8" max="8" width="11.7109375" style="2" bestFit="1" customWidth="1"/>
    <col min="9" max="9" width="13.85546875" style="2" bestFit="1" customWidth="1"/>
    <col min="10" max="10" width="11.140625" style="2" customWidth="1"/>
    <col min="11" max="12" width="11.7109375" style="2" bestFit="1" customWidth="1"/>
    <col min="13" max="14" width="10.7109375" style="2" bestFit="1" customWidth="1"/>
    <col min="15" max="15" width="11.7109375" bestFit="1" customWidth="1"/>
    <col min="16" max="16" width="9.7109375" bestFit="1" customWidth="1"/>
    <col min="17" max="17" width="10.85546875" bestFit="1" customWidth="1"/>
    <col min="18" max="18" width="19.5703125" bestFit="1" customWidth="1"/>
  </cols>
  <sheetData>
    <row r="1" spans="1:18" x14ac:dyDescent="0.2">
      <c r="A1" s="7" t="s">
        <v>45</v>
      </c>
    </row>
    <row r="2" spans="1:18" x14ac:dyDescent="0.2">
      <c r="A2" s="7" t="str">
        <f>+Caribbean!A2</f>
        <v>June 2001</v>
      </c>
    </row>
    <row r="3" spans="1:18" x14ac:dyDescent="0.2">
      <c r="F3" s="8" t="s">
        <v>87</v>
      </c>
    </row>
    <row r="4" spans="1:18" x14ac:dyDescent="0.2">
      <c r="D4" s="14" t="s">
        <v>90</v>
      </c>
      <c r="E4" s="15" t="s">
        <v>89</v>
      </c>
      <c r="F4" s="14" t="s">
        <v>88</v>
      </c>
      <c r="G4" s="14" t="s">
        <v>86</v>
      </c>
      <c r="H4" s="14" t="s">
        <v>85</v>
      </c>
      <c r="I4" s="14"/>
      <c r="J4" s="5" t="s">
        <v>51</v>
      </c>
    </row>
    <row r="5" spans="1:18" x14ac:dyDescent="0.2">
      <c r="A5" s="7" t="s">
        <v>0</v>
      </c>
      <c r="C5" s="8" t="s">
        <v>37</v>
      </c>
      <c r="D5" s="5" t="s">
        <v>28</v>
      </c>
      <c r="E5" s="5" t="s">
        <v>29</v>
      </c>
      <c r="F5" s="5" t="s">
        <v>30</v>
      </c>
      <c r="G5" s="5" t="s">
        <v>31</v>
      </c>
      <c r="H5" s="5" t="s">
        <v>32</v>
      </c>
      <c r="I5" s="9" t="s">
        <v>33</v>
      </c>
      <c r="J5" s="9" t="s">
        <v>52</v>
      </c>
      <c r="K5" s="9" t="s">
        <v>34</v>
      </c>
      <c r="N5" s="10"/>
      <c r="O5" s="4"/>
      <c r="P5" s="4"/>
      <c r="Q5" s="4"/>
      <c r="R5" s="1"/>
    </row>
    <row r="6" spans="1:18" x14ac:dyDescent="0.2">
      <c r="O6" s="1"/>
      <c r="P6" s="1"/>
      <c r="Q6" s="1"/>
      <c r="R6" s="1"/>
    </row>
    <row r="7" spans="1:18" x14ac:dyDescent="0.2">
      <c r="A7" t="s">
        <v>1</v>
      </c>
      <c r="C7" s="2">
        <f>SUM(D7:K7)</f>
        <v>421497683</v>
      </c>
      <c r="D7" s="2">
        <v>65800564</v>
      </c>
      <c r="E7" s="2">
        <v>44095744</v>
      </c>
      <c r="F7" s="2">
        <v>20465729</v>
      </c>
      <c r="G7" s="2">
        <v>22816920</v>
      </c>
      <c r="H7" s="2">
        <v>268318726</v>
      </c>
      <c r="O7" s="1"/>
      <c r="P7" s="1"/>
      <c r="Q7" s="1"/>
      <c r="R7" s="1"/>
    </row>
    <row r="8" spans="1:18" x14ac:dyDescent="0.2">
      <c r="O8" s="1"/>
      <c r="P8" s="1"/>
      <c r="Q8" s="1"/>
      <c r="R8" s="1"/>
    </row>
    <row r="9" spans="1:18" x14ac:dyDescent="0.2">
      <c r="A9" t="s">
        <v>2</v>
      </c>
      <c r="C9" s="2">
        <f>SUM(D9:K9)</f>
        <v>26777564</v>
      </c>
      <c r="D9" s="2">
        <v>-35436</v>
      </c>
      <c r="E9" s="2">
        <v>0</v>
      </c>
      <c r="F9" s="2">
        <v>0</v>
      </c>
      <c r="G9" s="2">
        <v>0</v>
      </c>
      <c r="H9" s="2">
        <v>26813000</v>
      </c>
      <c r="I9" s="2">
        <v>0</v>
      </c>
      <c r="J9" s="2">
        <v>0</v>
      </c>
      <c r="K9" s="2">
        <v>0</v>
      </c>
      <c r="O9" s="1"/>
      <c r="P9" s="1"/>
      <c r="Q9" s="1"/>
      <c r="R9" s="1"/>
    </row>
    <row r="10" spans="1:18" x14ac:dyDescent="0.2">
      <c r="O10" s="1"/>
      <c r="P10" s="1"/>
      <c r="Q10" s="1"/>
      <c r="R10" s="1"/>
    </row>
    <row r="11" spans="1:18" x14ac:dyDescent="0.2">
      <c r="A11" t="s">
        <v>3</v>
      </c>
      <c r="C11" s="2">
        <f>SUM(D11:K11)</f>
        <v>3100500</v>
      </c>
      <c r="D11" s="2">
        <v>0</v>
      </c>
      <c r="E11" s="2">
        <v>0</v>
      </c>
      <c r="F11" s="2">
        <v>0</v>
      </c>
      <c r="G11" s="2">
        <v>3100500</v>
      </c>
      <c r="H11" s="2">
        <v>0</v>
      </c>
      <c r="O11" s="1"/>
      <c r="P11" s="1"/>
      <c r="Q11" s="1"/>
      <c r="R11" s="1"/>
    </row>
    <row r="12" spans="1:18" x14ac:dyDescent="0.2">
      <c r="O12" s="1"/>
      <c r="P12" s="1"/>
      <c r="Q12" s="1"/>
      <c r="R12" s="1"/>
    </row>
    <row r="13" spans="1:18" x14ac:dyDescent="0.2">
      <c r="A13" t="s">
        <v>4</v>
      </c>
      <c r="C13" s="2">
        <f>SUM(D13:K13)</f>
        <v>-15510132</v>
      </c>
      <c r="D13" s="2">
        <f>62059874+615615-530102-60626010</f>
        <v>1519377</v>
      </c>
      <c r="E13" s="2">
        <f>2847355-172167-10255301</f>
        <v>-7580113</v>
      </c>
      <c r="F13" s="2">
        <v>0</v>
      </c>
      <c r="G13" s="2">
        <f>17751312-27200708</f>
        <v>-9449396</v>
      </c>
      <c r="H13" s="2">
        <v>0</v>
      </c>
      <c r="I13" s="2">
        <v>0</v>
      </c>
      <c r="J13" s="2">
        <v>0</v>
      </c>
      <c r="K13" s="2">
        <v>0</v>
      </c>
      <c r="O13" s="1"/>
      <c r="P13" s="1"/>
      <c r="Q13" s="1"/>
      <c r="R13" s="1"/>
    </row>
    <row r="14" spans="1:18" x14ac:dyDescent="0.2">
      <c r="O14" s="1"/>
      <c r="P14" s="1"/>
      <c r="Q14" s="1"/>
      <c r="R14" s="1"/>
    </row>
    <row r="15" spans="1:18" ht="13.5" thickBot="1" x14ac:dyDescent="0.25">
      <c r="A15" s="7" t="s">
        <v>38</v>
      </c>
      <c r="C15" s="3">
        <f t="shared" ref="C15:K15" si="0">SUM(C7:C13)</f>
        <v>435865615</v>
      </c>
      <c r="D15" s="3">
        <f t="shared" si="0"/>
        <v>67284505</v>
      </c>
      <c r="E15" s="3">
        <f t="shared" si="0"/>
        <v>36515631</v>
      </c>
      <c r="F15" s="3">
        <f t="shared" si="0"/>
        <v>20465729</v>
      </c>
      <c r="G15" s="3">
        <f t="shared" si="0"/>
        <v>16468024</v>
      </c>
      <c r="H15" s="3">
        <f t="shared" si="0"/>
        <v>295131726</v>
      </c>
      <c r="I15" s="3">
        <f t="shared" si="0"/>
        <v>0</v>
      </c>
      <c r="J15" s="3">
        <f t="shared" si="0"/>
        <v>0</v>
      </c>
      <c r="K15" s="3">
        <f t="shared" si="0"/>
        <v>0</v>
      </c>
    </row>
    <row r="16" spans="1:18" ht="13.5" thickTop="1" x14ac:dyDescent="0.2"/>
    <row r="17" spans="1:11" x14ac:dyDescent="0.2">
      <c r="A17" t="s">
        <v>47</v>
      </c>
      <c r="C17" s="2">
        <f>SUM(D17:K17)</f>
        <v>20425000</v>
      </c>
      <c r="D17" s="2">
        <v>0</v>
      </c>
      <c r="E17" s="2">
        <v>7753000</v>
      </c>
      <c r="F17" s="2">
        <v>9193000</v>
      </c>
      <c r="G17" s="2">
        <v>991000</v>
      </c>
      <c r="H17" s="2">
        <v>2488000</v>
      </c>
      <c r="I17" s="2">
        <v>0</v>
      </c>
      <c r="J17" s="2">
        <v>0</v>
      </c>
      <c r="K17" s="2">
        <v>0</v>
      </c>
    </row>
    <row r="18" spans="1:11" x14ac:dyDescent="0.2">
      <c r="A18" t="s">
        <v>48</v>
      </c>
      <c r="C18" s="2">
        <f>SUM(D18:K18)</f>
        <v>4261000</v>
      </c>
      <c r="D18" s="2">
        <v>0</v>
      </c>
      <c r="E18" s="2">
        <v>0</v>
      </c>
      <c r="F18" s="2">
        <v>4261000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</row>
    <row r="19" spans="1:11" x14ac:dyDescent="0.2">
      <c r="A19" t="s">
        <v>49</v>
      </c>
      <c r="C19" s="2">
        <f>SUM(D19:K19)</f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</row>
    <row r="20" spans="1:11" x14ac:dyDescent="0.2">
      <c r="C20" s="11"/>
      <c r="D20" s="11"/>
      <c r="E20" s="11"/>
      <c r="F20" s="11"/>
      <c r="G20" s="11"/>
      <c r="H20" s="11"/>
      <c r="I20" s="11"/>
      <c r="J20" s="11"/>
      <c r="K20" s="11"/>
    </row>
    <row r="21" spans="1:11" x14ac:dyDescent="0.2">
      <c r="C21" s="2">
        <f>SUM(C15:C20)</f>
        <v>460551615</v>
      </c>
      <c r="D21" s="24">
        <f>SUM(D15:D20)</f>
        <v>67284505</v>
      </c>
      <c r="E21" s="2">
        <f t="shared" ref="E21:K21" si="1">SUM(E15:E20)</f>
        <v>44268631</v>
      </c>
      <c r="F21" s="24">
        <f t="shared" si="1"/>
        <v>33919729</v>
      </c>
      <c r="G21" s="2">
        <f t="shared" si="1"/>
        <v>17459024</v>
      </c>
      <c r="H21" s="24">
        <f t="shared" si="1"/>
        <v>297619726</v>
      </c>
      <c r="I21" s="2">
        <f t="shared" si="1"/>
        <v>0</v>
      </c>
      <c r="J21" s="2">
        <f t="shared" si="1"/>
        <v>0</v>
      </c>
      <c r="K21" s="2">
        <f t="shared" si="1"/>
        <v>0</v>
      </c>
    </row>
    <row r="24" spans="1:11" x14ac:dyDescent="0.2">
      <c r="A24" t="s">
        <v>93</v>
      </c>
      <c r="D24" s="2">
        <v>63241000</v>
      </c>
      <c r="E24" s="24">
        <v>50733000</v>
      </c>
      <c r="F24" s="2">
        <v>29996000</v>
      </c>
      <c r="G24" s="24">
        <v>19464000</v>
      </c>
      <c r="H24" s="2">
        <v>296618000</v>
      </c>
      <c r="I24" s="24">
        <v>18022000</v>
      </c>
      <c r="J24" s="24">
        <v>3178000</v>
      </c>
      <c r="K24" s="24">
        <v>3046000</v>
      </c>
    </row>
  </sheetData>
  <phoneticPr fontId="0" type="noConversion"/>
  <pageMargins left="0.75" right="0.75" top="1" bottom="1" header="0.5" footer="0.5"/>
  <pageSetup scale="8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23"/>
  <sheetViews>
    <sheetView workbookViewId="0">
      <selection activeCell="C9" sqref="C9"/>
    </sheetView>
  </sheetViews>
  <sheetFormatPr defaultRowHeight="12.75" x14ac:dyDescent="0.2"/>
  <cols>
    <col min="1" max="1" width="24" bestFit="1" customWidth="1"/>
    <col min="2" max="2" width="9.140625" style="1"/>
    <col min="3" max="3" width="14.5703125" style="2" bestFit="1" customWidth="1"/>
    <col min="4" max="5" width="11.7109375" style="2" bestFit="1" customWidth="1"/>
    <col min="6" max="6" width="11.7109375" style="1" bestFit="1" customWidth="1"/>
    <col min="7" max="7" width="10.7109375" style="1" bestFit="1" customWidth="1"/>
    <col min="8" max="8" width="11.7109375" style="1" bestFit="1" customWidth="1"/>
    <col min="9" max="9" width="13.85546875" style="1" bestFit="1" customWidth="1"/>
    <col min="10" max="10" width="17.5703125" style="1" bestFit="1" customWidth="1"/>
    <col min="11" max="12" width="11.7109375" style="1" bestFit="1" customWidth="1"/>
    <col min="13" max="13" width="10.7109375" style="1" bestFit="1" customWidth="1"/>
    <col min="14" max="14" width="10.7109375" bestFit="1" customWidth="1"/>
    <col min="15" max="15" width="11.7109375" bestFit="1" customWidth="1"/>
    <col min="16" max="16" width="9.7109375" bestFit="1" customWidth="1"/>
    <col min="17" max="17" width="10.85546875" bestFit="1" customWidth="1"/>
    <col min="18" max="18" width="19.5703125" bestFit="1" customWidth="1"/>
  </cols>
  <sheetData>
    <row r="1" spans="1:11" x14ac:dyDescent="0.2">
      <c r="A1" s="7" t="s">
        <v>46</v>
      </c>
    </row>
    <row r="2" spans="1:11" x14ac:dyDescent="0.2">
      <c r="A2" s="7" t="str">
        <f>+Asia!A2</f>
        <v>June 2001</v>
      </c>
    </row>
    <row r="3" spans="1:11" x14ac:dyDescent="0.2">
      <c r="D3" s="8" t="s">
        <v>91</v>
      </c>
    </row>
    <row r="4" spans="1:11" x14ac:dyDescent="0.2">
      <c r="A4" s="7" t="s">
        <v>0</v>
      </c>
      <c r="C4" s="8" t="s">
        <v>39</v>
      </c>
      <c r="D4" s="5" t="s">
        <v>40</v>
      </c>
      <c r="E4" s="5" t="s">
        <v>41</v>
      </c>
      <c r="F4"/>
      <c r="G4"/>
      <c r="H4"/>
      <c r="I4"/>
      <c r="J4"/>
      <c r="K4"/>
    </row>
    <row r="5" spans="1:11" x14ac:dyDescent="0.2">
      <c r="F5"/>
      <c r="G5"/>
      <c r="H5"/>
      <c r="I5"/>
      <c r="J5"/>
      <c r="K5"/>
    </row>
    <row r="6" spans="1:11" x14ac:dyDescent="0.2">
      <c r="A6" t="s">
        <v>1</v>
      </c>
      <c r="C6" s="2">
        <f>SUM(D6:E6)</f>
        <v>571660763</v>
      </c>
      <c r="D6" s="2">
        <v>598491256</v>
      </c>
      <c r="E6" s="2">
        <v>-26830493</v>
      </c>
      <c r="F6"/>
      <c r="G6"/>
      <c r="H6"/>
      <c r="I6"/>
      <c r="J6"/>
      <c r="K6"/>
    </row>
    <row r="7" spans="1:11" x14ac:dyDescent="0.2">
      <c r="F7"/>
      <c r="G7"/>
      <c r="H7"/>
      <c r="I7"/>
      <c r="J7"/>
      <c r="K7"/>
    </row>
    <row r="8" spans="1:11" x14ac:dyDescent="0.2">
      <c r="A8" t="s">
        <v>2</v>
      </c>
      <c r="C8" s="2">
        <f>SUM(D8:E8)</f>
        <v>0</v>
      </c>
      <c r="D8" s="2">
        <v>0</v>
      </c>
      <c r="E8" s="2">
        <v>0</v>
      </c>
      <c r="F8"/>
      <c r="G8"/>
      <c r="H8"/>
      <c r="I8"/>
      <c r="J8"/>
      <c r="K8"/>
    </row>
    <row r="9" spans="1:11" x14ac:dyDescent="0.2">
      <c r="F9"/>
      <c r="G9"/>
      <c r="H9"/>
      <c r="I9"/>
      <c r="J9"/>
      <c r="K9"/>
    </row>
    <row r="10" spans="1:11" x14ac:dyDescent="0.2">
      <c r="A10" t="s">
        <v>3</v>
      </c>
      <c r="C10" s="2">
        <f>SUM(D10:E10)</f>
        <v>24155157</v>
      </c>
      <c r="D10" s="2">
        <v>898000</v>
      </c>
      <c r="E10" s="2">
        <f>46514314-23257157</f>
        <v>23257157</v>
      </c>
      <c r="F10"/>
      <c r="G10"/>
      <c r="H10"/>
      <c r="I10"/>
      <c r="J10"/>
      <c r="K10"/>
    </row>
    <row r="11" spans="1:11" x14ac:dyDescent="0.2">
      <c r="F11"/>
      <c r="G11"/>
      <c r="H11"/>
      <c r="I11"/>
      <c r="J11"/>
      <c r="K11"/>
    </row>
    <row r="12" spans="1:11" x14ac:dyDescent="0.2">
      <c r="A12" t="s">
        <v>4</v>
      </c>
      <c r="C12" s="2">
        <f>SUM(D12:E12)</f>
        <v>257092254</v>
      </c>
      <c r="D12" s="2">
        <f>140855882+347708+42964050+1075022</f>
        <v>185242662</v>
      </c>
      <c r="E12" s="2">
        <f>71849592</f>
        <v>71849592</v>
      </c>
      <c r="F12"/>
      <c r="G12"/>
      <c r="H12"/>
      <c r="I12"/>
      <c r="J12"/>
      <c r="K12"/>
    </row>
    <row r="13" spans="1:11" x14ac:dyDescent="0.2">
      <c r="F13"/>
      <c r="G13"/>
      <c r="H13"/>
      <c r="I13"/>
      <c r="J13"/>
      <c r="K13"/>
    </row>
    <row r="14" spans="1:11" ht="13.5" thickBot="1" x14ac:dyDescent="0.25">
      <c r="A14" s="7" t="s">
        <v>42</v>
      </c>
      <c r="C14" s="3">
        <f>SUM(C6:C12)</f>
        <v>852908174</v>
      </c>
      <c r="D14" s="3">
        <f>SUM(D6:D12)</f>
        <v>784631918</v>
      </c>
      <c r="E14" s="3">
        <f>SUM(E6:E12)</f>
        <v>68276256</v>
      </c>
      <c r="F14"/>
      <c r="G14"/>
      <c r="H14"/>
      <c r="I14"/>
      <c r="J14"/>
      <c r="K14"/>
    </row>
    <row r="15" spans="1:11" ht="13.5" thickTop="1" x14ac:dyDescent="0.2"/>
    <row r="16" spans="1:11" x14ac:dyDescent="0.2">
      <c r="A16" t="s">
        <v>47</v>
      </c>
      <c r="D16" s="2">
        <f>141935000-73060209</f>
        <v>68874791</v>
      </c>
      <c r="E16" s="2">
        <v>0</v>
      </c>
    </row>
    <row r="17" spans="1:5" x14ac:dyDescent="0.2">
      <c r="A17" t="s">
        <v>48</v>
      </c>
      <c r="D17" s="2">
        <v>0</v>
      </c>
      <c r="E17" s="2">
        <v>0</v>
      </c>
    </row>
    <row r="18" spans="1:5" x14ac:dyDescent="0.2">
      <c r="A18" t="s">
        <v>49</v>
      </c>
      <c r="D18" s="2">
        <v>0</v>
      </c>
      <c r="E18" s="2">
        <v>0</v>
      </c>
    </row>
    <row r="19" spans="1:5" x14ac:dyDescent="0.2">
      <c r="D19" s="11"/>
      <c r="E19" s="11"/>
    </row>
    <row r="20" spans="1:5" x14ac:dyDescent="0.2">
      <c r="D20" s="2">
        <f>SUM(D14:D19)</f>
        <v>853506709</v>
      </c>
      <c r="E20" s="24">
        <f>SUM(E14:E19)</f>
        <v>68276256</v>
      </c>
    </row>
    <row r="22" spans="1:5" x14ac:dyDescent="0.2">
      <c r="D22" s="2" t="s">
        <v>92</v>
      </c>
    </row>
    <row r="23" spans="1:5" x14ac:dyDescent="0.2">
      <c r="A23" t="s">
        <v>93</v>
      </c>
      <c r="D23" s="24">
        <v>848931000</v>
      </c>
      <c r="E23" s="25">
        <v>69890000</v>
      </c>
    </row>
  </sheetData>
  <phoneticPr fontId="0" type="noConversion"/>
  <pageMargins left="0.75" right="0.75" top="1" bottom="1" header="0.5" footer="0.5"/>
  <pageSetup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EGS</vt:lpstr>
      <vt:lpstr>South America</vt:lpstr>
      <vt:lpstr>Caribbean</vt:lpstr>
      <vt:lpstr>Asia</vt:lpstr>
      <vt:lpstr>India</vt:lpstr>
      <vt:lpstr>Caribbean!Print_Area</vt:lpstr>
      <vt:lpstr>EGS!Print_Area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ibarake</dc:creator>
  <cp:lastModifiedBy>Jan Havlíček</cp:lastModifiedBy>
  <cp:lastPrinted>2001-10-03T22:07:13Z</cp:lastPrinted>
  <dcterms:created xsi:type="dcterms:W3CDTF">2001-07-05T14:10:01Z</dcterms:created>
  <dcterms:modified xsi:type="dcterms:W3CDTF">2023-09-15T19:07:45Z</dcterms:modified>
</cp:coreProperties>
</file>