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EAEE0FF-39FD-4ADE-8111-316F2197279D}" xr6:coauthVersionLast="47" xr6:coauthVersionMax="47" xr10:uidLastSave="{00000000-0000-0000-0000-000000000000}"/>
  <bookViews>
    <workbookView xWindow="-120" yWindow="-120" windowWidth="38640" windowHeight="15720"/>
  </bookViews>
  <sheets>
    <sheet name="Sources and Uses of Cash" sheetId="2" r:id="rId1"/>
    <sheet name="Detail 2001" sheetId="8" r:id="rId2"/>
    <sheet name="Detail 2000" sheetId="1" r:id="rId3"/>
    <sheet name="Detail 1999" sheetId="4" r:id="rId4"/>
    <sheet name="Detail 1998" sheetId="5" r:id="rId5"/>
    <sheet name="Detail 1997" sheetId="6" r:id="rId6"/>
    <sheet name="Detail 1996" sheetId="7" r:id="rId7"/>
    <sheet name="Sheet3" sheetId="3" r:id="rId8"/>
  </sheets>
  <calcPr calcId="0"/>
</workbook>
</file>

<file path=xl/calcChain.xml><?xml version="1.0" encoding="utf-8"?>
<calcChain xmlns="http://schemas.openxmlformats.org/spreadsheetml/2006/main">
  <c r="C9" i="7" l="1"/>
  <c r="D9" i="7"/>
  <c r="E9" i="7"/>
  <c r="F9" i="7"/>
  <c r="G9" i="7"/>
  <c r="H9" i="7"/>
  <c r="I9" i="7"/>
  <c r="J9" i="7"/>
  <c r="K9" i="7"/>
  <c r="L9" i="7"/>
  <c r="M9" i="7"/>
  <c r="N9" i="7"/>
  <c r="C12" i="7"/>
  <c r="D12" i="7"/>
  <c r="E12" i="7"/>
  <c r="F12" i="7"/>
  <c r="G12" i="7"/>
  <c r="H12" i="7"/>
  <c r="I12" i="7"/>
  <c r="J12" i="7"/>
  <c r="K12" i="7"/>
  <c r="L12" i="7"/>
  <c r="M12" i="7"/>
  <c r="C16" i="7"/>
  <c r="D16" i="7"/>
  <c r="E16" i="7"/>
  <c r="F16" i="7"/>
  <c r="G16" i="7"/>
  <c r="H16" i="7"/>
  <c r="I16" i="7"/>
  <c r="J16" i="7"/>
  <c r="K16" i="7"/>
  <c r="L16" i="7"/>
  <c r="M16" i="7"/>
  <c r="N16" i="7"/>
  <c r="C17" i="7"/>
  <c r="D17" i="7"/>
  <c r="E17" i="7"/>
  <c r="F17" i="7"/>
  <c r="G17" i="7"/>
  <c r="H17" i="7"/>
  <c r="I17" i="7"/>
  <c r="J17" i="7"/>
  <c r="K17" i="7"/>
  <c r="L17" i="7"/>
  <c r="M17" i="7"/>
  <c r="N17" i="7"/>
  <c r="C18" i="7"/>
  <c r="D18" i="7"/>
  <c r="E18" i="7"/>
  <c r="F18" i="7"/>
  <c r="G18" i="7"/>
  <c r="H18" i="7"/>
  <c r="I18" i="7"/>
  <c r="J18" i="7"/>
  <c r="K18" i="7"/>
  <c r="L18" i="7"/>
  <c r="M18" i="7"/>
  <c r="N18" i="7"/>
  <c r="C28" i="7"/>
  <c r="D28" i="7"/>
  <c r="E28" i="7"/>
  <c r="F28" i="7"/>
  <c r="G28" i="7"/>
  <c r="H28" i="7"/>
  <c r="I28" i="7"/>
  <c r="J28" i="7"/>
  <c r="K28" i="7"/>
  <c r="L28" i="7"/>
  <c r="M28" i="7"/>
  <c r="N28" i="7"/>
  <c r="C7" i="6"/>
  <c r="J7" i="6"/>
  <c r="K7" i="6"/>
  <c r="L7" i="6"/>
  <c r="M7" i="6"/>
  <c r="C9" i="6"/>
  <c r="D9" i="6"/>
  <c r="E9" i="6"/>
  <c r="F9" i="6"/>
  <c r="G9" i="6"/>
  <c r="H9" i="6"/>
  <c r="I9" i="6"/>
  <c r="J9" i="6"/>
  <c r="K9" i="6"/>
  <c r="L9" i="6"/>
  <c r="M9" i="6"/>
  <c r="N9" i="6"/>
  <c r="C12" i="6"/>
  <c r="D12" i="6"/>
  <c r="E12" i="6"/>
  <c r="F12" i="6"/>
  <c r="G12" i="6"/>
  <c r="H12" i="6"/>
  <c r="I12" i="6"/>
  <c r="J12" i="6"/>
  <c r="K12" i="6"/>
  <c r="L12" i="6"/>
  <c r="M12" i="6"/>
  <c r="L15" i="6"/>
  <c r="M15" i="6"/>
  <c r="C16" i="6"/>
  <c r="D16" i="6"/>
  <c r="E16" i="6"/>
  <c r="F16" i="6"/>
  <c r="G16" i="6"/>
  <c r="H16" i="6"/>
  <c r="I16" i="6"/>
  <c r="J16" i="6"/>
  <c r="K16" i="6"/>
  <c r="L16" i="6"/>
  <c r="M16" i="6"/>
  <c r="N16" i="6"/>
  <c r="C17" i="6"/>
  <c r="D17" i="6"/>
  <c r="E17" i="6"/>
  <c r="F17" i="6"/>
  <c r="G17" i="6"/>
  <c r="H17" i="6"/>
  <c r="I17" i="6"/>
  <c r="J17" i="6"/>
  <c r="K17" i="6"/>
  <c r="L17" i="6"/>
  <c r="M17" i="6"/>
  <c r="N17" i="6"/>
  <c r="C18" i="6"/>
  <c r="D18" i="6"/>
  <c r="E18" i="6"/>
  <c r="F18" i="6"/>
  <c r="G18" i="6"/>
  <c r="H18" i="6"/>
  <c r="I18" i="6"/>
  <c r="J18" i="6"/>
  <c r="K18" i="6"/>
  <c r="L18" i="6"/>
  <c r="M18" i="6"/>
  <c r="N18" i="6"/>
  <c r="L27" i="6"/>
  <c r="M27" i="6"/>
  <c r="C29" i="6"/>
  <c r="D29" i="6"/>
  <c r="E29" i="6"/>
  <c r="F29" i="6"/>
  <c r="G29" i="6"/>
  <c r="H29" i="6"/>
  <c r="I29" i="6"/>
  <c r="J29" i="6"/>
  <c r="K29" i="6"/>
  <c r="L29" i="6"/>
  <c r="M29" i="6"/>
  <c r="N29" i="6"/>
  <c r="C7" i="5"/>
  <c r="E7" i="5"/>
  <c r="I7" i="5"/>
  <c r="C9" i="5"/>
  <c r="D9" i="5"/>
  <c r="E9" i="5"/>
  <c r="F9" i="5"/>
  <c r="G9" i="5"/>
  <c r="H9" i="5"/>
  <c r="I9" i="5"/>
  <c r="J9" i="5"/>
  <c r="K9" i="5"/>
  <c r="L9" i="5"/>
  <c r="M9" i="5"/>
  <c r="N9" i="5"/>
  <c r="C12" i="5"/>
  <c r="E12" i="5"/>
  <c r="F12" i="5"/>
  <c r="G12" i="5"/>
  <c r="H12" i="5"/>
  <c r="I12" i="5"/>
  <c r="J12" i="5"/>
  <c r="K12" i="5"/>
  <c r="L12" i="5"/>
  <c r="M12" i="5"/>
  <c r="E14" i="5"/>
  <c r="C15" i="5"/>
  <c r="D15" i="5"/>
  <c r="E15" i="5"/>
  <c r="F15" i="5"/>
  <c r="G15" i="5"/>
  <c r="H15" i="5"/>
  <c r="I15" i="5"/>
  <c r="J15" i="5"/>
  <c r="K15" i="5"/>
  <c r="L15" i="5"/>
  <c r="M15" i="5"/>
  <c r="N15" i="5"/>
  <c r="C16" i="5"/>
  <c r="D16" i="5"/>
  <c r="E16" i="5"/>
  <c r="F16" i="5"/>
  <c r="G16" i="5"/>
  <c r="H16" i="5"/>
  <c r="I16" i="5"/>
  <c r="J16" i="5"/>
  <c r="K16" i="5"/>
  <c r="L16" i="5"/>
  <c r="M16" i="5"/>
  <c r="N16" i="5"/>
  <c r="C17" i="5"/>
  <c r="D17" i="5"/>
  <c r="E17" i="5"/>
  <c r="F17" i="5"/>
  <c r="G17" i="5"/>
  <c r="H17" i="5"/>
  <c r="I17" i="5"/>
  <c r="J17" i="5"/>
  <c r="K17" i="5"/>
  <c r="L17" i="5"/>
  <c r="M17" i="5"/>
  <c r="N17" i="5"/>
  <c r="C27" i="5"/>
  <c r="D27" i="5"/>
  <c r="E27" i="5"/>
  <c r="F27" i="5"/>
  <c r="G27" i="5"/>
  <c r="H27" i="5"/>
  <c r="I27" i="5"/>
  <c r="J27" i="5"/>
  <c r="K27" i="5"/>
  <c r="L27" i="5"/>
  <c r="M27" i="5"/>
  <c r="N27" i="5"/>
  <c r="I7" i="4"/>
  <c r="C9" i="4"/>
  <c r="D9" i="4"/>
  <c r="E9" i="4"/>
  <c r="F9" i="4"/>
  <c r="G9" i="4"/>
  <c r="H9" i="4"/>
  <c r="I9" i="4"/>
  <c r="J9" i="4"/>
  <c r="K9" i="4"/>
  <c r="L9" i="4"/>
  <c r="M9" i="4"/>
  <c r="N9" i="4"/>
  <c r="C12" i="4"/>
  <c r="D12" i="4"/>
  <c r="E12" i="4"/>
  <c r="F12" i="4"/>
  <c r="G12" i="4"/>
  <c r="H12" i="4"/>
  <c r="I12" i="4"/>
  <c r="J12" i="4"/>
  <c r="K12" i="4"/>
  <c r="L12" i="4"/>
  <c r="M12" i="4"/>
  <c r="I13" i="4"/>
  <c r="C14" i="4"/>
  <c r="D14" i="4"/>
  <c r="E14" i="4"/>
  <c r="F14" i="4"/>
  <c r="G14" i="4"/>
  <c r="H14" i="4"/>
  <c r="I14" i="4"/>
  <c r="J14" i="4"/>
  <c r="K14" i="4"/>
  <c r="L14" i="4"/>
  <c r="M14" i="4"/>
  <c r="N14" i="4"/>
  <c r="C15" i="4"/>
  <c r="D15" i="4"/>
  <c r="E15" i="4"/>
  <c r="F15" i="4"/>
  <c r="G15" i="4"/>
  <c r="H15" i="4"/>
  <c r="I15" i="4"/>
  <c r="J15" i="4"/>
  <c r="K15" i="4"/>
  <c r="L15" i="4"/>
  <c r="M15" i="4"/>
  <c r="N15" i="4"/>
  <c r="C26" i="4"/>
  <c r="D26" i="4"/>
  <c r="E26" i="4"/>
  <c r="F26" i="4"/>
  <c r="G26" i="4"/>
  <c r="H26" i="4"/>
  <c r="I26" i="4"/>
  <c r="J26" i="4"/>
  <c r="K26" i="4"/>
  <c r="L26" i="4"/>
  <c r="M26" i="4"/>
  <c r="N26" i="4"/>
  <c r="C9" i="1"/>
  <c r="D9" i="1"/>
  <c r="E9" i="1"/>
  <c r="F9" i="1"/>
  <c r="G9" i="1"/>
  <c r="H9" i="1"/>
  <c r="I9" i="1"/>
  <c r="J9" i="1"/>
  <c r="K9" i="1"/>
  <c r="L9" i="1"/>
  <c r="M9" i="1"/>
  <c r="N9" i="1"/>
  <c r="C12" i="1"/>
  <c r="D12" i="1"/>
  <c r="E12" i="1"/>
  <c r="F12" i="1"/>
  <c r="G12" i="1"/>
  <c r="H12" i="1"/>
  <c r="I12" i="1"/>
  <c r="J12" i="1"/>
  <c r="C14" i="1"/>
  <c r="D14" i="1"/>
  <c r="E14" i="1"/>
  <c r="F14" i="1"/>
  <c r="G14" i="1"/>
  <c r="H14" i="1"/>
  <c r="I14" i="1"/>
  <c r="J14" i="1"/>
  <c r="K14" i="1"/>
  <c r="L14" i="1"/>
  <c r="M14" i="1"/>
  <c r="N14" i="1"/>
  <c r="C15" i="1"/>
  <c r="D15" i="1"/>
  <c r="E15" i="1"/>
  <c r="F15" i="1"/>
  <c r="G15" i="1"/>
  <c r="H15" i="1"/>
  <c r="I15" i="1"/>
  <c r="J15" i="1"/>
  <c r="K15" i="1"/>
  <c r="L15" i="1"/>
  <c r="M15" i="1"/>
  <c r="N15" i="1"/>
  <c r="C26" i="1"/>
  <c r="D26" i="1"/>
  <c r="E26" i="1"/>
  <c r="F26" i="1"/>
  <c r="G26" i="1"/>
  <c r="H26" i="1"/>
  <c r="I26" i="1"/>
  <c r="J26" i="1"/>
  <c r="K26" i="1"/>
  <c r="L26" i="1"/>
  <c r="M26" i="1"/>
  <c r="N26" i="1"/>
  <c r="C9" i="8"/>
  <c r="D9" i="8"/>
  <c r="E9" i="8"/>
  <c r="F9" i="8"/>
  <c r="G9" i="8"/>
  <c r="H9" i="8"/>
  <c r="I9" i="8"/>
  <c r="J9" i="8"/>
  <c r="K9" i="8"/>
  <c r="L9" i="8"/>
  <c r="M9" i="8"/>
  <c r="N9" i="8"/>
  <c r="D11" i="8"/>
  <c r="C12" i="8"/>
  <c r="D12" i="8"/>
  <c r="E12" i="8"/>
  <c r="F12" i="8"/>
  <c r="G12" i="8"/>
  <c r="H12" i="8"/>
  <c r="I12" i="8"/>
  <c r="J12" i="8"/>
  <c r="C14" i="8"/>
  <c r="D14" i="8"/>
  <c r="E14" i="8"/>
  <c r="F14" i="8"/>
  <c r="G14" i="8"/>
  <c r="H14" i="8"/>
  <c r="I14" i="8"/>
  <c r="J14" i="8"/>
  <c r="K14" i="8"/>
  <c r="L14" i="8"/>
  <c r="M14" i="8"/>
  <c r="N14" i="8"/>
  <c r="C15" i="8"/>
  <c r="D15" i="8"/>
  <c r="E15" i="8"/>
  <c r="F15" i="8"/>
  <c r="G15" i="8"/>
  <c r="H15" i="8"/>
  <c r="I15" i="8"/>
  <c r="J15" i="8"/>
  <c r="K15" i="8"/>
  <c r="L15" i="8"/>
  <c r="M15" i="8"/>
  <c r="N15" i="8"/>
  <c r="C16" i="8"/>
  <c r="C18" i="8"/>
  <c r="C19" i="8"/>
  <c r="D20" i="8"/>
  <c r="D21" i="8"/>
  <c r="C26" i="8"/>
  <c r="D26" i="8"/>
  <c r="E26" i="8"/>
  <c r="F26" i="8"/>
  <c r="G26" i="8"/>
  <c r="H26" i="8"/>
  <c r="I26" i="8"/>
  <c r="J26" i="8"/>
  <c r="K26" i="8"/>
  <c r="L26" i="8"/>
  <c r="M26" i="8"/>
  <c r="N26" i="8"/>
  <c r="B6" i="2"/>
  <c r="C6" i="2"/>
  <c r="D6" i="2"/>
  <c r="E6" i="2"/>
  <c r="F6" i="2"/>
  <c r="G6" i="2"/>
  <c r="H6" i="2"/>
  <c r="I6" i="2"/>
  <c r="J6" i="2"/>
  <c r="K6" i="2"/>
  <c r="L6" i="2"/>
  <c r="M6" i="2"/>
  <c r="N6" i="2"/>
  <c r="B7" i="2"/>
  <c r="C7" i="2"/>
  <c r="D7" i="2"/>
  <c r="E7" i="2"/>
  <c r="F7" i="2"/>
  <c r="G7" i="2"/>
  <c r="H7" i="2"/>
  <c r="I7" i="2"/>
  <c r="J7" i="2"/>
  <c r="K7" i="2"/>
  <c r="L7" i="2"/>
  <c r="M7" i="2"/>
  <c r="B8" i="2"/>
  <c r="C8" i="2"/>
  <c r="D8" i="2"/>
  <c r="E8" i="2"/>
  <c r="F8" i="2"/>
  <c r="G8" i="2"/>
  <c r="H8" i="2"/>
  <c r="I8" i="2"/>
  <c r="J8" i="2"/>
  <c r="K8" i="2"/>
  <c r="L8" i="2"/>
  <c r="M8" i="2"/>
  <c r="N8" i="2"/>
  <c r="B9" i="2"/>
  <c r="C9" i="2"/>
  <c r="D9" i="2"/>
  <c r="E9" i="2"/>
  <c r="F9" i="2"/>
  <c r="G9" i="2"/>
  <c r="H9" i="2"/>
  <c r="I9" i="2"/>
  <c r="J9" i="2"/>
  <c r="K9" i="2"/>
  <c r="L9" i="2"/>
  <c r="M9" i="2"/>
  <c r="N9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B34" i="2"/>
  <c r="C34" i="2"/>
  <c r="D34" i="2"/>
  <c r="E34" i="2"/>
  <c r="F34" i="2"/>
  <c r="G34" i="2"/>
  <c r="H34" i="2"/>
  <c r="I34" i="2"/>
  <c r="J34" i="2"/>
  <c r="K34" i="2"/>
  <c r="L34" i="2"/>
  <c r="M34" i="2"/>
  <c r="N34" i="2"/>
  <c r="B39" i="2"/>
  <c r="C39" i="2"/>
  <c r="D39" i="2"/>
  <c r="E39" i="2"/>
  <c r="F39" i="2"/>
  <c r="G39" i="2"/>
  <c r="H39" i="2"/>
  <c r="I39" i="2"/>
  <c r="J39" i="2"/>
  <c r="K39" i="2"/>
  <c r="L39" i="2"/>
  <c r="M39" i="2"/>
  <c r="N39" i="2"/>
  <c r="B40" i="2"/>
  <c r="C40" i="2"/>
  <c r="D40" i="2"/>
  <c r="E40" i="2"/>
  <c r="F40" i="2"/>
  <c r="G40" i="2"/>
  <c r="H40" i="2"/>
  <c r="I40" i="2"/>
  <c r="J40" i="2"/>
  <c r="K40" i="2"/>
  <c r="L40" i="2"/>
  <c r="M40" i="2"/>
  <c r="N40" i="2"/>
  <c r="B41" i="2"/>
  <c r="C41" i="2"/>
  <c r="D41" i="2"/>
  <c r="E41" i="2"/>
  <c r="F41" i="2"/>
  <c r="G41" i="2"/>
  <c r="H41" i="2"/>
  <c r="I41" i="2"/>
  <c r="J41" i="2"/>
  <c r="K41" i="2"/>
  <c r="L41" i="2"/>
  <c r="M41" i="2"/>
  <c r="N41" i="2"/>
  <c r="B42" i="2"/>
  <c r="C42" i="2"/>
  <c r="D42" i="2"/>
  <c r="E42" i="2"/>
  <c r="F42" i="2"/>
  <c r="G42" i="2"/>
  <c r="H42" i="2"/>
  <c r="I42" i="2"/>
  <c r="J42" i="2"/>
  <c r="K42" i="2"/>
  <c r="L42" i="2"/>
  <c r="M42" i="2"/>
  <c r="N42" i="2"/>
  <c r="B45" i="2"/>
  <c r="C45" i="2"/>
  <c r="D45" i="2"/>
  <c r="E45" i="2"/>
  <c r="F45" i="2"/>
  <c r="G45" i="2"/>
  <c r="H45" i="2"/>
  <c r="I45" i="2"/>
  <c r="J45" i="2"/>
  <c r="K45" i="2"/>
  <c r="L45" i="2"/>
  <c r="M45" i="2"/>
  <c r="N45" i="2"/>
  <c r="B49" i="2"/>
  <c r="C49" i="2"/>
  <c r="D49" i="2"/>
  <c r="E49" i="2"/>
  <c r="F49" i="2"/>
  <c r="G49" i="2"/>
  <c r="H49" i="2"/>
  <c r="I49" i="2"/>
  <c r="J49" i="2"/>
  <c r="K49" i="2"/>
  <c r="L49" i="2"/>
  <c r="M49" i="2"/>
  <c r="N49" i="2"/>
  <c r="B50" i="2"/>
  <c r="C50" i="2"/>
  <c r="D50" i="2"/>
  <c r="E50" i="2"/>
  <c r="F50" i="2"/>
  <c r="G50" i="2"/>
  <c r="H50" i="2"/>
  <c r="I50" i="2"/>
  <c r="J50" i="2"/>
  <c r="K50" i="2"/>
  <c r="L50" i="2"/>
  <c r="M50" i="2"/>
  <c r="N50" i="2"/>
  <c r="B51" i="2"/>
  <c r="C51" i="2"/>
  <c r="D51" i="2"/>
  <c r="E51" i="2"/>
  <c r="F51" i="2"/>
  <c r="G51" i="2"/>
  <c r="H51" i="2"/>
  <c r="I51" i="2"/>
  <c r="J51" i="2"/>
  <c r="K51" i="2"/>
  <c r="L51" i="2"/>
  <c r="M51" i="2"/>
  <c r="N51" i="2"/>
  <c r="B52" i="2"/>
  <c r="C52" i="2"/>
  <c r="D52" i="2"/>
  <c r="E52" i="2"/>
  <c r="F52" i="2"/>
  <c r="G52" i="2"/>
  <c r="H52" i="2"/>
  <c r="I52" i="2"/>
  <c r="J52" i="2"/>
  <c r="K52" i="2"/>
  <c r="L52" i="2"/>
  <c r="M52" i="2"/>
  <c r="N52" i="2"/>
  <c r="B55" i="2"/>
  <c r="C55" i="2"/>
  <c r="D55" i="2"/>
  <c r="E55" i="2"/>
  <c r="F55" i="2"/>
  <c r="G55" i="2"/>
  <c r="H55" i="2"/>
  <c r="I55" i="2"/>
  <c r="J55" i="2"/>
  <c r="K55" i="2"/>
  <c r="L55" i="2"/>
  <c r="M55" i="2"/>
  <c r="N55" i="2"/>
  <c r="B59" i="2"/>
  <c r="C59" i="2"/>
  <c r="D59" i="2"/>
  <c r="E59" i="2"/>
  <c r="F59" i="2"/>
  <c r="G59" i="2"/>
  <c r="H59" i="2"/>
  <c r="I59" i="2"/>
  <c r="J59" i="2"/>
  <c r="K59" i="2"/>
  <c r="L59" i="2"/>
  <c r="M59" i="2"/>
  <c r="N59" i="2"/>
  <c r="B60" i="2"/>
  <c r="D60" i="2"/>
  <c r="E60" i="2"/>
  <c r="F60" i="2"/>
  <c r="G60" i="2"/>
  <c r="H60" i="2"/>
  <c r="I60" i="2"/>
  <c r="J60" i="2"/>
  <c r="K60" i="2"/>
  <c r="L60" i="2"/>
  <c r="M60" i="2"/>
  <c r="N60" i="2"/>
  <c r="B61" i="2"/>
  <c r="C61" i="2"/>
  <c r="D61" i="2"/>
  <c r="E61" i="2"/>
  <c r="F61" i="2"/>
  <c r="G61" i="2"/>
  <c r="H61" i="2"/>
  <c r="I61" i="2"/>
  <c r="J61" i="2"/>
  <c r="K61" i="2"/>
  <c r="L61" i="2"/>
  <c r="M61" i="2"/>
  <c r="N61" i="2"/>
  <c r="B62" i="2"/>
  <c r="C62" i="2"/>
  <c r="D62" i="2"/>
  <c r="E62" i="2"/>
  <c r="F62" i="2"/>
  <c r="G62" i="2"/>
  <c r="H62" i="2"/>
  <c r="I62" i="2"/>
  <c r="J62" i="2"/>
  <c r="K62" i="2"/>
  <c r="L62" i="2"/>
  <c r="M62" i="2"/>
  <c r="N62" i="2"/>
  <c r="B65" i="2"/>
  <c r="C65" i="2"/>
  <c r="D65" i="2"/>
  <c r="E65" i="2"/>
  <c r="F65" i="2"/>
  <c r="G65" i="2"/>
  <c r="H65" i="2"/>
  <c r="I65" i="2"/>
  <c r="J65" i="2"/>
  <c r="K65" i="2"/>
  <c r="L65" i="2"/>
  <c r="M65" i="2"/>
  <c r="N65" i="2"/>
</calcChain>
</file>

<file path=xl/sharedStrings.xml><?xml version="1.0" encoding="utf-8"?>
<sst xmlns="http://schemas.openxmlformats.org/spreadsheetml/2006/main" count="167" uniqueCount="44">
  <si>
    <t>Cashin (Out)</t>
  </si>
  <si>
    <t>Loss (Gain) on Cashin</t>
  </si>
  <si>
    <t>Purchases</t>
  </si>
  <si>
    <t>Sales</t>
  </si>
  <si>
    <t>Imbalance</t>
  </si>
  <si>
    <t>Accrue Current Month</t>
  </si>
  <si>
    <t>Chg in imb pay/rec</t>
  </si>
  <si>
    <t xml:space="preserve">Adjusted for </t>
  </si>
  <si>
    <t>Prior Month estimate</t>
  </si>
  <si>
    <t xml:space="preserve">   Total Adjustments</t>
  </si>
  <si>
    <t>Workorder Gas</t>
  </si>
  <si>
    <t>Expensed Fuel Gas</t>
  </si>
  <si>
    <t>Total Encroachment 1174</t>
  </si>
  <si>
    <t>Imbalance Encroachment</t>
  </si>
  <si>
    <t>Pre-PRA Fuel</t>
  </si>
  <si>
    <t>Northern Natural Gas</t>
  </si>
  <si>
    <t>Detail of Cash reconciled to Encroachment</t>
  </si>
  <si>
    <t>System (Sources) Uses of Cash</t>
  </si>
  <si>
    <t>Imbalance Cash(in) out</t>
  </si>
  <si>
    <t>Capital and Expense Gas</t>
  </si>
  <si>
    <t>Purchases from Prior month</t>
  </si>
  <si>
    <t>Total 2000</t>
  </si>
  <si>
    <t>(Sources) Uses</t>
  </si>
  <si>
    <t>Total 1999</t>
  </si>
  <si>
    <t>Actual cash</t>
  </si>
  <si>
    <t>Suspense Retained</t>
  </si>
  <si>
    <t>Base Assumptions for Cash Schedule</t>
  </si>
  <si>
    <t>Imbalance Cash:</t>
  </si>
  <si>
    <t>Imbalance Cashin and outs are in the month of imbalance invoice or month imbalance was cleared from Statement.</t>
  </si>
  <si>
    <t>Purchases:</t>
  </si>
  <si>
    <t>Purchases are accrued and assumed paid in the next month.</t>
  </si>
  <si>
    <t>Sales:</t>
  </si>
  <si>
    <t>Cash from sales are received in the month invoiced which is in the next month.</t>
  </si>
  <si>
    <t>Capital and Expense Gas:</t>
  </si>
  <si>
    <t>While expense gas is not a source of cash, it is budgeted somewhere else and needs to be backed out here.</t>
  </si>
  <si>
    <t>Total 1998</t>
  </si>
  <si>
    <t>Post-PRA</t>
  </si>
  <si>
    <t>Reverse Pre636 cash activity</t>
  </si>
  <si>
    <t>Total 1997</t>
  </si>
  <si>
    <t>Capital and pre-PRA losses</t>
  </si>
  <si>
    <t xml:space="preserve">Expensed </t>
  </si>
  <si>
    <t>Total 1996</t>
  </si>
  <si>
    <t>Total 2001</t>
  </si>
  <si>
    <t>Projected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</si>
</sst>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&quot;$&quot;* #,##0_);_(&quot;$&quot;* \(#,##0\);_(&quot;$&quot;* &quot;-&quot;??_);_(@_)"/>
    <numFmt numFmtId="167" formatCode="_(* #,##0_);_(* \(#,##0\);_(* &quot;-&quot;??_);_(@_)"/>
  </numFmts>
  <fonts count="3" x14ac:knownFonts="1">
    <font>
      <sz val="10"/>
      <name val="Arial"/>
    </font>
    <font>
      <sz val="10"/>
      <name val="Arial"/>
    </font>
    <font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0">
    <xf numFmtId="0" fontId="0" fillId="0" borderId="0" xfId="0"/>
    <xf numFmtId="17" fontId="0" fillId="0" borderId="0" xfId="0" applyNumberFormat="1"/>
    <xf numFmtId="165" fontId="0" fillId="0" borderId="0" xfId="2" applyNumberFormat="1" applyFont="1"/>
    <xf numFmtId="165" fontId="0" fillId="0" borderId="1" xfId="2" applyNumberFormat="1" applyFont="1" applyBorder="1"/>
    <xf numFmtId="165" fontId="0" fillId="0" borderId="0" xfId="0" applyNumberFormat="1"/>
    <xf numFmtId="0" fontId="0" fillId="0" borderId="0" xfId="0" applyAlignment="1">
      <alignment horizontal="center"/>
    </xf>
    <xf numFmtId="17" fontId="0" fillId="0" borderId="0" xfId="0" applyNumberFormat="1" applyAlignment="1">
      <alignment horizontal="center"/>
    </xf>
    <xf numFmtId="165" fontId="0" fillId="0" borderId="2" xfId="2" applyNumberFormat="1" applyFont="1" applyBorder="1"/>
    <xf numFmtId="165" fontId="0" fillId="0" borderId="2" xfId="0" applyNumberFormat="1" applyBorder="1"/>
    <xf numFmtId="0" fontId="0" fillId="0" borderId="2" xfId="0" applyBorder="1"/>
    <xf numFmtId="165" fontId="1" fillId="0" borderId="0" xfId="2" applyNumberFormat="1"/>
    <xf numFmtId="165" fontId="1" fillId="0" borderId="1" xfId="2" applyNumberFormat="1" applyBorder="1"/>
    <xf numFmtId="165" fontId="1" fillId="0" borderId="2" xfId="2" applyNumberFormat="1" applyBorder="1"/>
    <xf numFmtId="0" fontId="2" fillId="0" borderId="0" xfId="0" applyFont="1" applyAlignment="1">
      <alignment horizontal="center"/>
    </xf>
    <xf numFmtId="17" fontId="2" fillId="0" borderId="0" xfId="0" applyNumberFormat="1" applyFont="1" applyAlignment="1">
      <alignment horizontal="center"/>
    </xf>
    <xf numFmtId="165" fontId="0" fillId="0" borderId="1" xfId="0" applyNumberFormat="1" applyBorder="1"/>
    <xf numFmtId="17" fontId="2" fillId="0" borderId="0" xfId="2" applyNumberFormat="1" applyFont="1" applyAlignment="1">
      <alignment horizontal="center"/>
    </xf>
    <xf numFmtId="0" fontId="2" fillId="0" borderId="0" xfId="0" applyFont="1"/>
    <xf numFmtId="0" fontId="0" fillId="0" borderId="0" xfId="0" applyAlignment="1">
      <alignment horizontal="right"/>
    </xf>
    <xf numFmtId="167" fontId="0" fillId="0" borderId="2" xfId="1" applyNumberFormat="1" applyFont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4:P72"/>
  <sheetViews>
    <sheetView tabSelected="1" workbookViewId="0">
      <pane ySplit="2115" topLeftCell="A3" activePane="bottomLeft"/>
      <selection activeCell="C8" sqref="C8"/>
      <selection pane="bottomLeft" activeCell="D7" sqref="D7"/>
    </sheetView>
  </sheetViews>
  <sheetFormatPr defaultRowHeight="12.75" x14ac:dyDescent="0.2"/>
  <cols>
    <col min="1" max="1" width="28.7109375" customWidth="1"/>
    <col min="2" max="2" width="19.28515625" customWidth="1"/>
    <col min="3" max="3" width="13.85546875" bestFit="1" customWidth="1"/>
    <col min="4" max="4" width="14" customWidth="1"/>
    <col min="5" max="5" width="11.5703125" customWidth="1"/>
    <col min="6" max="6" width="14.42578125" bestFit="1" customWidth="1"/>
    <col min="7" max="9" width="14.42578125" customWidth="1"/>
    <col min="10" max="10" width="12.28515625" bestFit="1" customWidth="1"/>
    <col min="11" max="11" width="11.85546875" bestFit="1" customWidth="1"/>
    <col min="12" max="12" width="12.85546875" bestFit="1" customWidth="1"/>
    <col min="13" max="13" width="12.28515625" bestFit="1" customWidth="1"/>
    <col min="14" max="14" width="12.85546875" bestFit="1" customWidth="1"/>
  </cols>
  <sheetData>
    <row r="4" spans="1:16" x14ac:dyDescent="0.2">
      <c r="A4" t="s">
        <v>17</v>
      </c>
      <c r="B4" s="13" t="s">
        <v>42</v>
      </c>
      <c r="C4" s="14">
        <v>36892</v>
      </c>
      <c r="D4" s="14">
        <v>36923</v>
      </c>
      <c r="E4" s="14">
        <v>36951</v>
      </c>
      <c r="F4" s="14">
        <v>36982</v>
      </c>
      <c r="G4" s="14">
        <v>37012</v>
      </c>
      <c r="H4" s="14">
        <v>37043</v>
      </c>
      <c r="I4" s="14">
        <v>37073</v>
      </c>
      <c r="J4" s="14">
        <v>37104</v>
      </c>
      <c r="K4" s="14">
        <v>37135</v>
      </c>
      <c r="L4" s="14">
        <v>37165</v>
      </c>
      <c r="M4" s="14">
        <v>37196</v>
      </c>
      <c r="N4" s="14">
        <v>37226</v>
      </c>
      <c r="O4" s="1"/>
      <c r="P4" s="1"/>
    </row>
    <row r="6" spans="1:16" x14ac:dyDescent="0.2">
      <c r="A6" t="s">
        <v>18</v>
      </c>
      <c r="B6" s="4">
        <f>SUM(C6:N6)</f>
        <v>-4403836.4800000004</v>
      </c>
      <c r="C6" s="2">
        <f>-'Detail 2001'!C9</f>
        <v>-18170993.48</v>
      </c>
      <c r="D6" s="2">
        <f>-'Detail 2001'!D9</f>
        <v>13767157</v>
      </c>
      <c r="E6" s="2">
        <f>-'Detail 2001'!E9</f>
        <v>0</v>
      </c>
      <c r="F6" s="2">
        <f>-'Detail 2001'!F9</f>
        <v>0</v>
      </c>
      <c r="G6" s="2">
        <f>-'Detail 2001'!G9</f>
        <v>0</v>
      </c>
      <c r="H6" s="2">
        <f>-'Detail 2001'!H9</f>
        <v>0</v>
      </c>
      <c r="I6" s="2">
        <f>-'Detail 2001'!I9</f>
        <v>0</v>
      </c>
      <c r="J6" s="2">
        <f>-'Detail 2001'!J9</f>
        <v>0</v>
      </c>
      <c r="K6" s="2">
        <f>-'Detail 2001'!K9</f>
        <v>0</v>
      </c>
      <c r="L6" s="2">
        <f>-'Detail 2001'!L9</f>
        <v>0</v>
      </c>
      <c r="M6" s="2">
        <f>-'Detail 2001'!M9</f>
        <v>0</v>
      </c>
      <c r="N6" s="2">
        <f>-'Detail 2001'!N9</f>
        <v>0</v>
      </c>
      <c r="O6" s="2"/>
      <c r="P6" s="2"/>
    </row>
    <row r="7" spans="1:16" x14ac:dyDescent="0.2">
      <c r="A7" t="s">
        <v>20</v>
      </c>
      <c r="B7" s="4">
        <f>SUM(C7:N7)</f>
        <v>56027454</v>
      </c>
      <c r="C7" s="2">
        <f>+'Detail 2000'!N19</f>
        <v>18632704</v>
      </c>
      <c r="D7" s="2">
        <f>+'Detail 2001'!C19</f>
        <v>37394750</v>
      </c>
      <c r="E7" s="2">
        <f>+'Detail 2001'!D19</f>
        <v>0</v>
      </c>
      <c r="F7" s="2">
        <f>+'Detail 2001'!E19</f>
        <v>0</v>
      </c>
      <c r="G7" s="2">
        <f>+'Detail 2001'!F19</f>
        <v>0</v>
      </c>
      <c r="H7" s="2">
        <f>+'Detail 2001'!G19</f>
        <v>0</v>
      </c>
      <c r="I7" s="2">
        <f>+'Detail 2001'!H19</f>
        <v>0</v>
      </c>
      <c r="J7" s="2">
        <f>+'Detail 2001'!I19</f>
        <v>0</v>
      </c>
      <c r="K7" s="2">
        <f>+'Detail 2001'!J19</f>
        <v>0</v>
      </c>
      <c r="L7" s="2">
        <f>+'Detail 2001'!K19</f>
        <v>0</v>
      </c>
      <c r="M7" s="2">
        <f>+'Detail 2001'!L19</f>
        <v>0</v>
      </c>
      <c r="N7" s="2"/>
    </row>
    <row r="8" spans="1:16" x14ac:dyDescent="0.2">
      <c r="A8" t="s">
        <v>3</v>
      </c>
      <c r="B8" s="4">
        <f>SUM(C8:N8)</f>
        <v>-1917881.36</v>
      </c>
      <c r="C8" s="2">
        <f>+'Detail 2001'!C20+'Detail 2001'!C21</f>
        <v>-958940.68</v>
      </c>
      <c r="D8" s="2">
        <f>+'Detail 2001'!D20+'Detail 2001'!D21</f>
        <v>-958940.68</v>
      </c>
      <c r="E8" s="2">
        <f>+'Detail 2001'!E20+'Detail 2001'!E21</f>
        <v>0</v>
      </c>
      <c r="F8" s="2">
        <f>+'Detail 2001'!F20+'Detail 2001'!F21</f>
        <v>0</v>
      </c>
      <c r="G8" s="2">
        <f>+'Detail 2001'!G20+'Detail 2001'!G21</f>
        <v>0</v>
      </c>
      <c r="H8" s="2">
        <f>+'Detail 2001'!H20+'Detail 2001'!H21</f>
        <v>0</v>
      </c>
      <c r="I8" s="2">
        <f>+'Detail 2001'!I20+'Detail 2001'!I21</f>
        <v>0</v>
      </c>
      <c r="J8" s="2">
        <f>+'Detail 2001'!J20+'Detail 2001'!J21</f>
        <v>0</v>
      </c>
      <c r="K8" s="2">
        <f>+'Detail 2001'!K20+'Detail 2001'!K21</f>
        <v>0</v>
      </c>
      <c r="L8" s="2">
        <f>+'Detail 2001'!L20+'Detail 2001'!L21</f>
        <v>0</v>
      </c>
      <c r="M8" s="2">
        <f>+'Detail 2001'!M20+'Detail 2001'!M21</f>
        <v>0</v>
      </c>
      <c r="N8" s="2">
        <f>+'Detail 2001'!N20+'Detail 2001'!N21</f>
        <v>0</v>
      </c>
    </row>
    <row r="9" spans="1:16" x14ac:dyDescent="0.2">
      <c r="A9" t="s">
        <v>19</v>
      </c>
      <c r="B9" s="4">
        <f>SUM(C9:N9)</f>
        <v>0</v>
      </c>
      <c r="C9" s="2">
        <f>+'Detail 2001'!C22+'Detail 2001'!C23</f>
        <v>0</v>
      </c>
      <c r="D9" s="2">
        <f>+'Detail 2001'!D22+'Detail 2001'!D23</f>
        <v>0</v>
      </c>
      <c r="E9" s="2">
        <f>+'Detail 2001'!E22+'Detail 2001'!E23</f>
        <v>0</v>
      </c>
      <c r="F9" s="2">
        <f>+'Detail 2001'!F22+'Detail 2001'!F23</f>
        <v>0</v>
      </c>
      <c r="G9" s="2">
        <f>+'Detail 2001'!G22+'Detail 2001'!G23</f>
        <v>0</v>
      </c>
      <c r="H9" s="2">
        <f>+'Detail 2001'!H22+'Detail 2001'!H23</f>
        <v>0</v>
      </c>
      <c r="I9" s="2">
        <f>+'Detail 2001'!I22+'Detail 2001'!I23</f>
        <v>0</v>
      </c>
      <c r="J9" s="2">
        <f>+'Detail 2001'!J22+'Detail 2001'!J23</f>
        <v>0</v>
      </c>
      <c r="K9" s="2">
        <f>+'Detail 2001'!K22+'Detail 2001'!K23</f>
        <v>0</v>
      </c>
      <c r="L9" s="2">
        <f>+'Detail 2001'!L22+'Detail 2001'!L23</f>
        <v>0</v>
      </c>
      <c r="M9" s="2">
        <f>+'Detail 2001'!M22+'Detail 2001'!M23</f>
        <v>0</v>
      </c>
      <c r="N9" s="2">
        <f>+'Detail 2001'!N22+'Detail 2001'!N23</f>
        <v>0</v>
      </c>
    </row>
    <row r="10" spans="1:16" x14ac:dyDescent="0.2"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</row>
    <row r="11" spans="1:16" x14ac:dyDescent="0.2"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</row>
    <row r="12" spans="1:16" ht="13.5" thickBot="1" x14ac:dyDescent="0.25">
      <c r="A12" t="s">
        <v>22</v>
      </c>
      <c r="B12" s="15">
        <f t="shared" ref="B12:N12" si="0">SUM(B6:B11)</f>
        <v>49705736.159999996</v>
      </c>
      <c r="C12" s="3">
        <f t="shared" si="0"/>
        <v>-497230.1600000005</v>
      </c>
      <c r="D12" s="3">
        <f t="shared" si="0"/>
        <v>50202966.32</v>
      </c>
      <c r="E12" s="3">
        <f t="shared" si="0"/>
        <v>0</v>
      </c>
      <c r="F12" s="3">
        <f t="shared" si="0"/>
        <v>0</v>
      </c>
      <c r="G12" s="3">
        <f t="shared" si="0"/>
        <v>0</v>
      </c>
      <c r="H12" s="3">
        <f t="shared" si="0"/>
        <v>0</v>
      </c>
      <c r="I12" s="3">
        <f t="shared" si="0"/>
        <v>0</v>
      </c>
      <c r="J12" s="3">
        <f t="shared" si="0"/>
        <v>0</v>
      </c>
      <c r="K12" s="3">
        <f t="shared" si="0"/>
        <v>0</v>
      </c>
      <c r="L12" s="3">
        <f t="shared" si="0"/>
        <v>0</v>
      </c>
      <c r="M12" s="3">
        <f t="shared" si="0"/>
        <v>0</v>
      </c>
      <c r="N12" s="3">
        <f t="shared" si="0"/>
        <v>0</v>
      </c>
    </row>
    <row r="13" spans="1:16" ht="13.5" thickTop="1" x14ac:dyDescent="0.2"/>
    <row r="15" spans="1:16" x14ac:dyDescent="0.2">
      <c r="A15" t="s">
        <v>17</v>
      </c>
      <c r="B15" s="13" t="s">
        <v>21</v>
      </c>
      <c r="C15" s="14">
        <v>36526</v>
      </c>
      <c r="D15" s="14">
        <v>36557</v>
      </c>
      <c r="E15" s="14">
        <v>36586</v>
      </c>
      <c r="F15" s="14">
        <v>36617</v>
      </c>
      <c r="G15" s="14">
        <v>36647</v>
      </c>
      <c r="H15" s="14">
        <v>36678</v>
      </c>
      <c r="I15" s="14">
        <v>36708</v>
      </c>
      <c r="J15" s="14">
        <v>36739</v>
      </c>
      <c r="K15" s="14">
        <v>36770</v>
      </c>
      <c r="L15" s="14">
        <v>36800</v>
      </c>
      <c r="M15" s="14">
        <v>36831</v>
      </c>
      <c r="N15" s="14">
        <v>36861</v>
      </c>
      <c r="O15" s="1"/>
      <c r="P15" s="1"/>
    </row>
    <row r="17" spans="1:16" x14ac:dyDescent="0.2">
      <c r="A17" t="s">
        <v>18</v>
      </c>
      <c r="B17" s="4">
        <f>SUM(C17:N17)</f>
        <v>-61457059.940000013</v>
      </c>
      <c r="C17" s="2">
        <f>-'Detail 2000'!C9</f>
        <v>-2448537.81</v>
      </c>
      <c r="D17" s="2">
        <f>-'Detail 2000'!D9</f>
        <v>-3838279</v>
      </c>
      <c r="E17" s="2">
        <f>-'Detail 2000'!E9</f>
        <v>-48323.340000000004</v>
      </c>
      <c r="F17" s="2">
        <f>-'Detail 2000'!F9</f>
        <v>-813370.58</v>
      </c>
      <c r="G17" s="2">
        <f>-'Detail 2000'!G9</f>
        <v>-9201306.3300000001</v>
      </c>
      <c r="H17" s="2">
        <f>-'Detail 2000'!H9</f>
        <v>-7919882.9900000002</v>
      </c>
      <c r="I17" s="2">
        <f>-'Detail 2000'!I9</f>
        <v>-6531885.75</v>
      </c>
      <c r="J17" s="2">
        <f>-'Detail 2000'!J9</f>
        <v>-4216804.93</v>
      </c>
      <c r="K17" s="2">
        <f>-'Detail 2000'!K9</f>
        <v>-5446201.29</v>
      </c>
      <c r="L17" s="2">
        <f>-'Detail 2000'!L9</f>
        <v>-11411293.270000001</v>
      </c>
      <c r="M17" s="2">
        <f>-'Detail 2000'!M9</f>
        <v>5081324.6900000004</v>
      </c>
      <c r="N17" s="2">
        <f>-'Detail 2000'!N9</f>
        <v>-14662499.34</v>
      </c>
      <c r="O17" s="2"/>
      <c r="P17" s="2"/>
    </row>
    <row r="18" spans="1:16" x14ac:dyDescent="0.2">
      <c r="A18" t="s">
        <v>20</v>
      </c>
      <c r="B18" s="4">
        <f>SUM(C18:N18)</f>
        <v>67653689</v>
      </c>
      <c r="C18" s="2">
        <f>+'Detail 1999'!N19</f>
        <v>2909366</v>
      </c>
      <c r="D18" s="2">
        <f>+'Detail 2000'!C19</f>
        <v>3038550</v>
      </c>
      <c r="E18" s="2">
        <f>+'Detail 2000'!D19</f>
        <v>8806039</v>
      </c>
      <c r="F18" s="2">
        <f>+'Detail 2000'!E19</f>
        <v>1175909</v>
      </c>
      <c r="G18" s="2">
        <f>+'Detail 2000'!F19</f>
        <v>366696</v>
      </c>
      <c r="H18" s="2">
        <f>+'Detail 2000'!G19</f>
        <v>2200719</v>
      </c>
      <c r="I18" s="2">
        <f>+'Detail 2000'!H19</f>
        <v>9887943</v>
      </c>
      <c r="J18" s="2">
        <f>+'Detail 2000'!I19</f>
        <v>16062423</v>
      </c>
      <c r="K18" s="2">
        <f>+'Detail 2000'!J19</f>
        <v>145806</v>
      </c>
      <c r="L18" s="2">
        <f>+'Detail 2000'!K19</f>
        <v>0</v>
      </c>
      <c r="M18" s="2">
        <f>+'Detail 2000'!L19</f>
        <v>15600170</v>
      </c>
      <c r="N18" s="2">
        <f>+'Detail 2000'!M19</f>
        <v>7460068</v>
      </c>
    </row>
    <row r="19" spans="1:16" x14ac:dyDescent="0.2">
      <c r="A19" t="s">
        <v>3</v>
      </c>
      <c r="B19" s="4">
        <f>SUM(C19:N19)</f>
        <v>-4617076</v>
      </c>
      <c r="C19" s="2">
        <f>+'Detail 2000'!C20+'Detail 2000'!C21</f>
        <v>-212815</v>
      </c>
      <c r="D19" s="2">
        <f>+'Detail 2000'!D20+'Detail 2000'!D21</f>
        <v>-268523</v>
      </c>
      <c r="E19" s="2">
        <f>+'Detail 2000'!E20+'Detail 2000'!E21</f>
        <v>-309998</v>
      </c>
      <c r="F19" s="2">
        <f>+'Detail 2000'!F20+'Detail 2000'!F21</f>
        <v>-300763</v>
      </c>
      <c r="G19" s="2">
        <f>+'Detail 2000'!G20+'Detail 2000'!G21</f>
        <v>-431907</v>
      </c>
      <c r="H19" s="2">
        <f>+'Detail 2000'!H20+'Detail 2000'!H21</f>
        <v>-452605</v>
      </c>
      <c r="I19" s="2">
        <f>+'Detail 2000'!I20+'Detail 2000'!I21</f>
        <v>-549238</v>
      </c>
      <c r="J19" s="2">
        <f>+'Detail 2000'!J20+'Detail 2000'!J21</f>
        <v>-325829</v>
      </c>
      <c r="K19" s="2">
        <f>+'Detail 2000'!K20+'Detail 2000'!K21</f>
        <v>-335205</v>
      </c>
      <c r="L19" s="2">
        <f>+'Detail 2000'!L20+'Detail 2000'!L21</f>
        <v>-589727</v>
      </c>
      <c r="M19" s="2">
        <f>+'Detail 2000'!M20+'Detail 2000'!M21</f>
        <v>-392463</v>
      </c>
      <c r="N19" s="2">
        <f>+'Detail 2000'!N20+'Detail 2000'!N21</f>
        <v>-448003</v>
      </c>
    </row>
    <row r="20" spans="1:16" x14ac:dyDescent="0.2">
      <c r="A20" t="s">
        <v>19</v>
      </c>
      <c r="B20" s="4">
        <f>SUM(C20:N20)</f>
        <v>-491168</v>
      </c>
      <c r="C20" s="2">
        <f>+'Detail 2000'!C22+'Detail 2000'!C23</f>
        <v>-3169</v>
      </c>
      <c r="D20" s="2">
        <f>+'Detail 2000'!D22+'Detail 2000'!D23</f>
        <v>-34954</v>
      </c>
      <c r="E20" s="2">
        <f>+'Detail 2000'!E22+'Detail 2000'!E23</f>
        <v>-26778</v>
      </c>
      <c r="F20" s="2">
        <f>+'Detail 2000'!F22+'Detail 2000'!F23</f>
        <v>-26214</v>
      </c>
      <c r="G20" s="2">
        <f>+'Detail 2000'!G22+'Detail 2000'!G23</f>
        <v>35262</v>
      </c>
      <c r="H20" s="2">
        <f>+'Detail 2000'!H22+'Detail 2000'!H23</f>
        <v>-8281</v>
      </c>
      <c r="I20" s="2">
        <f>+'Detail 2000'!I22+'Detail 2000'!I23</f>
        <v>119008</v>
      </c>
      <c r="J20" s="2">
        <f>+'Detail 2000'!J22+'Detail 2000'!J23</f>
        <v>-84297</v>
      </c>
      <c r="K20" s="2">
        <f>+'Detail 2000'!K22+'Detail 2000'!K23</f>
        <v>-42038</v>
      </c>
      <c r="L20" s="2">
        <f>+'Detail 2000'!L22+'Detail 2000'!L23</f>
        <v>-135015</v>
      </c>
      <c r="M20" s="2">
        <f>+'Detail 2000'!M22+'Detail 2000'!M23</f>
        <v>-199123</v>
      </c>
      <c r="N20" s="2">
        <f>+'Detail 2000'!N22+'Detail 2000'!N23</f>
        <v>-85569</v>
      </c>
    </row>
    <row r="21" spans="1:16" x14ac:dyDescent="0.2"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  <row r="22" spans="1:16" x14ac:dyDescent="0.2"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</row>
    <row r="23" spans="1:16" ht="13.5" thickBot="1" x14ac:dyDescent="0.25">
      <c r="A23" t="s">
        <v>22</v>
      </c>
      <c r="B23" s="15">
        <f>SUM(B17:B22)</f>
        <v>1088385.0599999875</v>
      </c>
      <c r="C23" s="3">
        <f>SUM(C17:C22)</f>
        <v>244844.18999999994</v>
      </c>
      <c r="D23" s="3">
        <f>SUM(D17:D22)</f>
        <v>-1103206</v>
      </c>
      <c r="E23" s="3">
        <f t="shared" ref="E23:N23" si="1">SUM(E17:E22)</f>
        <v>8420939.6600000001</v>
      </c>
      <c r="F23" s="3">
        <f t="shared" si="1"/>
        <v>35561.420000000042</v>
      </c>
      <c r="G23" s="3">
        <f t="shared" si="1"/>
        <v>-9231255.3300000001</v>
      </c>
      <c r="H23" s="3">
        <f t="shared" si="1"/>
        <v>-6180049.9900000002</v>
      </c>
      <c r="I23" s="3">
        <f t="shared" si="1"/>
        <v>2925827.25</v>
      </c>
      <c r="J23" s="3">
        <f t="shared" si="1"/>
        <v>11435492.07</v>
      </c>
      <c r="K23" s="3">
        <f t="shared" si="1"/>
        <v>-5677638.29</v>
      </c>
      <c r="L23" s="3">
        <f t="shared" si="1"/>
        <v>-12136035.270000001</v>
      </c>
      <c r="M23" s="3">
        <f t="shared" si="1"/>
        <v>20089908.690000001</v>
      </c>
      <c r="N23" s="3">
        <f t="shared" si="1"/>
        <v>-7736003.3399999999</v>
      </c>
    </row>
    <row r="24" spans="1:16" ht="13.5" thickTop="1" x14ac:dyDescent="0.2">
      <c r="C24" s="2"/>
      <c r="D24" s="2"/>
      <c r="E24" s="2"/>
      <c r="F24" s="2"/>
      <c r="G24" s="2"/>
      <c r="H24" s="2"/>
      <c r="I24" s="2"/>
      <c r="J24" s="2"/>
      <c r="K24" s="2"/>
    </row>
    <row r="25" spans="1:16" x14ac:dyDescent="0.2">
      <c r="C25" s="2"/>
      <c r="D25" s="2"/>
      <c r="E25" s="2"/>
      <c r="F25" s="2"/>
      <c r="G25" s="2"/>
      <c r="H25" s="2"/>
      <c r="I25" s="2"/>
      <c r="J25" s="2"/>
      <c r="K25" s="2"/>
    </row>
    <row r="26" spans="1:16" x14ac:dyDescent="0.2">
      <c r="A26" t="s">
        <v>17</v>
      </c>
      <c r="B26" s="13" t="s">
        <v>23</v>
      </c>
      <c r="C26" s="16">
        <v>36161</v>
      </c>
      <c r="D26" s="16">
        <v>36192</v>
      </c>
      <c r="E26" s="16">
        <v>36220</v>
      </c>
      <c r="F26" s="16">
        <v>36251</v>
      </c>
      <c r="G26" s="16">
        <v>36281</v>
      </c>
      <c r="H26" s="16">
        <v>36312</v>
      </c>
      <c r="I26" s="16">
        <v>36342</v>
      </c>
      <c r="J26" s="16">
        <v>36373</v>
      </c>
      <c r="K26" s="16">
        <v>36404</v>
      </c>
      <c r="L26" s="16">
        <v>36434</v>
      </c>
      <c r="M26" s="16">
        <v>36465</v>
      </c>
      <c r="N26" s="16">
        <v>36495</v>
      </c>
    </row>
    <row r="27" spans="1:16" x14ac:dyDescent="0.2">
      <c r="C27" s="2"/>
      <c r="D27" s="2"/>
      <c r="E27" s="2"/>
      <c r="F27" s="2"/>
      <c r="G27" s="2"/>
      <c r="H27" s="2"/>
      <c r="I27" s="2"/>
      <c r="J27" s="2"/>
      <c r="K27" s="2"/>
    </row>
    <row r="28" spans="1:16" x14ac:dyDescent="0.2">
      <c r="A28" t="s">
        <v>18</v>
      </c>
      <c r="B28" s="4">
        <f>SUM(C28:N28)</f>
        <v>-5333012.9000000004</v>
      </c>
      <c r="C28" s="2">
        <f>-'Detail 1999'!C9</f>
        <v>1685599.03</v>
      </c>
      <c r="D28" s="2">
        <f>-'Detail 1999'!D9</f>
        <v>-1891422.5</v>
      </c>
      <c r="E28" s="2">
        <f>-'Detail 1999'!E9</f>
        <v>810396.43</v>
      </c>
      <c r="F28" s="2">
        <f>-'Detail 1999'!F9</f>
        <v>-480291.32</v>
      </c>
      <c r="G28" s="2">
        <f>-'Detail 1999'!G9</f>
        <v>-648763.77</v>
      </c>
      <c r="H28" s="2">
        <f>-'Detail 1999'!H9</f>
        <v>1807127.3900000001</v>
      </c>
      <c r="I28" s="2">
        <f>-'Detail 1999'!I9</f>
        <v>210894.46</v>
      </c>
      <c r="J28" s="2">
        <f>-'Detail 1999'!J9</f>
        <v>-2530242.61</v>
      </c>
      <c r="K28" s="2">
        <f>-'Detail 1999'!K9</f>
        <v>-2195761.2599999998</v>
      </c>
      <c r="L28" s="2">
        <f>-'Detail 1999'!L9</f>
        <v>-2338580.6800000002</v>
      </c>
      <c r="M28" s="2">
        <f>-'Detail 1999'!M9</f>
        <v>-3575459.59</v>
      </c>
      <c r="N28" s="2">
        <f>-'Detail 1999'!N9</f>
        <v>3813491.52</v>
      </c>
      <c r="O28" s="2"/>
    </row>
    <row r="29" spans="1:16" x14ac:dyDescent="0.2">
      <c r="A29" t="s">
        <v>20</v>
      </c>
      <c r="B29" s="4">
        <f>SUM(C29:N29)</f>
        <v>14979797</v>
      </c>
      <c r="C29" s="2">
        <f>+'Detail 1999'!D19</f>
        <v>0</v>
      </c>
      <c r="D29" s="2">
        <f>+'Detail 1999'!E19</f>
        <v>0</v>
      </c>
      <c r="E29" s="2">
        <f>+'Detail 1999'!F19</f>
        <v>0</v>
      </c>
      <c r="F29" s="2">
        <f>+'Detail 1999'!G19</f>
        <v>0</v>
      </c>
      <c r="G29" s="2">
        <f>+'Detail 1999'!H19</f>
        <v>0</v>
      </c>
      <c r="H29" s="2">
        <f>+'Detail 1999'!I19</f>
        <v>0</v>
      </c>
      <c r="I29" s="2">
        <f>+'Detail 1999'!J19</f>
        <v>443505</v>
      </c>
      <c r="J29" s="2">
        <f>+'Detail 1999'!K19</f>
        <v>2505370</v>
      </c>
      <c r="K29" s="2">
        <f>+'Detail 1999'!L19</f>
        <v>-5344</v>
      </c>
      <c r="L29" s="2">
        <f>+'Detail 1999'!M19</f>
        <v>9126900</v>
      </c>
      <c r="M29" s="2">
        <f>+'Detail 1999'!N19</f>
        <v>2909366</v>
      </c>
      <c r="N29" s="2">
        <f>+'Detail 1999'!O19</f>
        <v>0</v>
      </c>
    </row>
    <row r="30" spans="1:16" x14ac:dyDescent="0.2">
      <c r="A30" t="s">
        <v>3</v>
      </c>
      <c r="B30" s="4">
        <f>SUM(C30:N30)</f>
        <v>-4852752</v>
      </c>
      <c r="C30" s="2">
        <f>+'Detail 1999'!C20+'Detail 1999'!C21</f>
        <v>-284715</v>
      </c>
      <c r="D30" s="2">
        <f>+'Detail 1999'!D20+'Detail 1999'!D21</f>
        <v>-242096</v>
      </c>
      <c r="E30" s="2">
        <f>+'Detail 1999'!E20+'Detail 1999'!E21</f>
        <v>-638869</v>
      </c>
      <c r="F30" s="2">
        <f>+'Detail 1999'!F20+'Detail 1999'!F21</f>
        <v>-1836238</v>
      </c>
      <c r="G30" s="2">
        <f>+'Detail 1999'!G20+'Detail 1999'!G21</f>
        <v>-244225</v>
      </c>
      <c r="H30" s="2">
        <f>+'Detail 1999'!H20+'Detail 1999'!H21</f>
        <v>-531295</v>
      </c>
      <c r="I30" s="2">
        <f>+'Detail 1999'!I20+'Detail 1999'!I21</f>
        <v>58800</v>
      </c>
      <c r="J30" s="2">
        <f>+'Detail 1999'!J20+'Detail 1999'!J21</f>
        <v>-193070</v>
      </c>
      <c r="K30" s="2">
        <f>+'Detail 1999'!K20+'Detail 1999'!K21</f>
        <v>-257635</v>
      </c>
      <c r="L30" s="2">
        <f>+'Detail 1999'!L20+'Detail 1999'!L21</f>
        <v>-233133</v>
      </c>
      <c r="M30" s="2">
        <f>+'Detail 1999'!M20+'Detail 1999'!M21</f>
        <v>-231519</v>
      </c>
      <c r="N30" s="2">
        <f>+'Detail 1999'!N20+'Detail 1999'!N21</f>
        <v>-218757</v>
      </c>
    </row>
    <row r="31" spans="1:16" x14ac:dyDescent="0.2">
      <c r="A31" t="s">
        <v>19</v>
      </c>
      <c r="B31" s="4">
        <f>SUM(C31:N31)</f>
        <v>-781289</v>
      </c>
      <c r="C31" s="2">
        <f>+'Detail 1999'!C22+'Detail 1999'!C23+'Detail 1999'!C24</f>
        <v>-2308</v>
      </c>
      <c r="D31" s="2">
        <f>+'Detail 1999'!D22+'Detail 1999'!D23+'Detail 1999'!D24</f>
        <v>-74361</v>
      </c>
      <c r="E31" s="2">
        <f>+'Detail 1999'!E22+'Detail 1999'!E23+'Detail 1999'!E24</f>
        <v>-896</v>
      </c>
      <c r="F31" s="2">
        <f>+'Detail 1999'!F22+'Detail 1999'!F23+'Detail 1999'!F24</f>
        <v>-353</v>
      </c>
      <c r="G31" s="2">
        <f>+'Detail 1999'!G22+'Detail 1999'!G23+'Detail 1999'!G24</f>
        <v>36741</v>
      </c>
      <c r="H31" s="2">
        <f>+'Detail 1999'!H22+'Detail 1999'!H23+'Detail 1999'!H24</f>
        <v>-10897</v>
      </c>
      <c r="I31" s="2">
        <f>+'Detail 1999'!I22+'Detail 1999'!I23+'Detail 1999'!I24</f>
        <v>-18029</v>
      </c>
      <c r="J31" s="2">
        <f>+'Detail 1999'!J22+'Detail 1999'!J23+'Detail 1999'!J24</f>
        <v>-47503</v>
      </c>
      <c r="K31" s="2">
        <f>+'Detail 1999'!K22+'Detail 1999'!K23+'Detail 1999'!K24</f>
        <v>-21075</v>
      </c>
      <c r="L31" s="2">
        <f>+'Detail 1999'!L22+'Detail 1999'!L23+'Detail 1999'!L24</f>
        <v>-28916</v>
      </c>
      <c r="M31" s="2">
        <f>+'Detail 1999'!M22+'Detail 1999'!M23+'Detail 1999'!M24</f>
        <v>-468389</v>
      </c>
      <c r="N31" s="2">
        <f>+'Detail 1999'!N22+'Detail 1999'!N23+'Detail 1999'!N24</f>
        <v>-145303</v>
      </c>
    </row>
    <row r="32" spans="1:16" x14ac:dyDescent="0.2">
      <c r="C32" s="2"/>
      <c r="D32" s="2"/>
      <c r="E32" s="2"/>
      <c r="F32" s="2"/>
      <c r="G32" s="2"/>
      <c r="H32" s="2"/>
      <c r="I32" s="2"/>
      <c r="J32" s="2"/>
      <c r="K32" s="2"/>
    </row>
    <row r="34" spans="1:15" ht="13.5" thickBot="1" x14ac:dyDescent="0.25">
      <c r="A34" t="s">
        <v>22</v>
      </c>
      <c r="B34" s="15">
        <f>SUM(B28:B33)</f>
        <v>4012743.0999999996</v>
      </c>
      <c r="C34" s="15">
        <f t="shared" ref="C34:N34" si="2">SUM(C28:C33)</f>
        <v>1398576.03</v>
      </c>
      <c r="D34" s="15">
        <f t="shared" si="2"/>
        <v>-2207879.5</v>
      </c>
      <c r="E34" s="15">
        <f t="shared" si="2"/>
        <v>170631.43000000005</v>
      </c>
      <c r="F34" s="15">
        <f t="shared" si="2"/>
        <v>-2316882.3199999998</v>
      </c>
      <c r="G34" s="15">
        <f t="shared" si="2"/>
        <v>-856247.77</v>
      </c>
      <c r="H34" s="15">
        <f t="shared" si="2"/>
        <v>1264935.3900000001</v>
      </c>
      <c r="I34" s="15">
        <f t="shared" si="2"/>
        <v>695170.46</v>
      </c>
      <c r="J34" s="15">
        <f t="shared" si="2"/>
        <v>-265445.60999999987</v>
      </c>
      <c r="K34" s="15">
        <f t="shared" si="2"/>
        <v>-2479815.2599999998</v>
      </c>
      <c r="L34" s="15">
        <f t="shared" si="2"/>
        <v>6526270.3200000003</v>
      </c>
      <c r="M34" s="15">
        <f t="shared" si="2"/>
        <v>-1366001.5899999999</v>
      </c>
      <c r="N34" s="15">
        <f t="shared" si="2"/>
        <v>3449431.52</v>
      </c>
    </row>
    <row r="35" spans="1:15" ht="13.5" thickTop="1" x14ac:dyDescent="0.2"/>
    <row r="37" spans="1:15" x14ac:dyDescent="0.2">
      <c r="A37" t="s">
        <v>17</v>
      </c>
      <c r="B37" s="13" t="s">
        <v>35</v>
      </c>
      <c r="C37" s="14">
        <v>35796</v>
      </c>
      <c r="D37" s="14">
        <v>35827</v>
      </c>
      <c r="E37" s="14">
        <v>35855</v>
      </c>
      <c r="F37" s="14">
        <v>35886</v>
      </c>
      <c r="G37" s="14">
        <v>35916</v>
      </c>
      <c r="H37" s="14">
        <v>35947</v>
      </c>
      <c r="I37" s="14">
        <v>35977</v>
      </c>
      <c r="J37" s="14">
        <v>36008</v>
      </c>
      <c r="K37" s="14">
        <v>36039</v>
      </c>
      <c r="L37" s="14">
        <v>36069</v>
      </c>
      <c r="M37" s="14">
        <v>36100</v>
      </c>
      <c r="N37" s="14">
        <v>36130</v>
      </c>
    </row>
    <row r="39" spans="1:15" x14ac:dyDescent="0.2">
      <c r="A39" t="s">
        <v>18</v>
      </c>
      <c r="B39" s="4">
        <f>SUM(C39:N39)</f>
        <v>1814146.0999999996</v>
      </c>
      <c r="C39" s="2">
        <f>-'Detail 1998'!C9</f>
        <v>752431.77</v>
      </c>
      <c r="D39" s="2">
        <f>-'Detail 1998'!D9</f>
        <v>193961.45</v>
      </c>
      <c r="E39" s="2">
        <f>-'Detail 1998'!E9</f>
        <v>1365703.39</v>
      </c>
      <c r="F39" s="2">
        <f>-'Detail 1998'!F9</f>
        <v>3146902.15</v>
      </c>
      <c r="G39" s="2">
        <f>-'Detail 1998'!G9</f>
        <v>-1876146.74</v>
      </c>
      <c r="H39" s="2">
        <f>-'Detail 1998'!H9</f>
        <v>1197914.68</v>
      </c>
      <c r="I39" s="2">
        <f>-'Detail 1998'!I9</f>
        <v>-771912.87999999989</v>
      </c>
      <c r="J39" s="2">
        <f>-'Detail 1998'!J9</f>
        <v>90311.59</v>
      </c>
      <c r="K39" s="2">
        <f>-'Detail 1998'!K9</f>
        <v>1657400.04</v>
      </c>
      <c r="L39" s="2">
        <f>-'Detail 1998'!L9</f>
        <v>-4515908.21</v>
      </c>
      <c r="M39" s="2">
        <f>-'Detail 1998'!M9</f>
        <v>-3386154.79</v>
      </c>
      <c r="N39" s="2">
        <f>-'Detail 1998'!N9</f>
        <v>3959643.6500000004</v>
      </c>
      <c r="O39" s="2"/>
    </row>
    <row r="40" spans="1:15" x14ac:dyDescent="0.2">
      <c r="A40" t="s">
        <v>20</v>
      </c>
      <c r="B40" s="4">
        <f>SUM(C40:N40)</f>
        <v>4113577</v>
      </c>
      <c r="C40" s="2">
        <f>+'Detail 1997'!N21</f>
        <v>-832519</v>
      </c>
      <c r="D40" s="2">
        <f>+'Detail 1998'!C20</f>
        <v>978892</v>
      </c>
      <c r="E40" s="2">
        <f>+'Detail 1998'!D20</f>
        <v>49844</v>
      </c>
      <c r="F40" s="2">
        <f>+'Detail 1998'!E20</f>
        <v>29865</v>
      </c>
      <c r="G40" s="2">
        <f>+'Detail 1998'!F20</f>
        <v>51448</v>
      </c>
      <c r="H40" s="2">
        <f>+'Detail 1998'!G20</f>
        <v>10336</v>
      </c>
      <c r="I40" s="2">
        <f>+'Detail 1998'!H20</f>
        <v>7381</v>
      </c>
      <c r="J40" s="2">
        <f>+'Detail 1998'!I20</f>
        <v>12838</v>
      </c>
      <c r="K40" s="2">
        <f>+'Detail 1998'!J20</f>
        <v>12408</v>
      </c>
      <c r="L40" s="2">
        <f>+'Detail 1998'!K20</f>
        <v>1115055</v>
      </c>
      <c r="M40" s="2">
        <f>+'Detail 1998'!L20</f>
        <v>2272631</v>
      </c>
      <c r="N40" s="2">
        <f>+'Detail 1998'!M20</f>
        <v>405398</v>
      </c>
      <c r="O40" s="2"/>
    </row>
    <row r="41" spans="1:15" x14ac:dyDescent="0.2">
      <c r="A41" t="s">
        <v>3</v>
      </c>
      <c r="B41" s="4">
        <f>SUM(C41:N41)</f>
        <v>-6651110</v>
      </c>
      <c r="C41" s="2">
        <f>+'Detail 1998'!C21+'Detail 1998'!C22</f>
        <v>-254772</v>
      </c>
      <c r="D41" s="2">
        <f>+'Detail 1998'!D21+'Detail 1998'!D22</f>
        <v>-454855</v>
      </c>
      <c r="E41" s="2">
        <f>+'Detail 1998'!E21+'Detail 1998'!E22</f>
        <v>-2532982</v>
      </c>
      <c r="F41" s="2">
        <f>+'Detail 1998'!F21+'Detail 1998'!F22</f>
        <v>-540885</v>
      </c>
      <c r="G41" s="2">
        <f>+'Detail 1998'!G21+'Detail 1998'!G22</f>
        <v>-661211</v>
      </c>
      <c r="H41" s="2">
        <f>+'Detail 1998'!H21+'Detail 1998'!H22</f>
        <v>-378543</v>
      </c>
      <c r="I41" s="2">
        <f>+'Detail 1998'!I21+'Detail 1998'!I22</f>
        <v>-370863</v>
      </c>
      <c r="J41" s="2">
        <f>+'Detail 1998'!J21+'Detail 1998'!J22</f>
        <v>-364531</v>
      </c>
      <c r="K41" s="2">
        <f>+'Detail 1998'!K21+'Detail 1998'!K22</f>
        <v>-226711</v>
      </c>
      <c r="L41" s="2">
        <f>+'Detail 1998'!L21+'Detail 1998'!L22</f>
        <v>-173380</v>
      </c>
      <c r="M41" s="2">
        <f>+'Detail 1998'!M21+'Detail 1998'!M22</f>
        <v>-331627</v>
      </c>
      <c r="N41" s="2">
        <f>+'Detail 1998'!N21+'Detail 1998'!N22</f>
        <v>-360750</v>
      </c>
      <c r="O41" s="2"/>
    </row>
    <row r="42" spans="1:15" x14ac:dyDescent="0.2">
      <c r="A42" t="s">
        <v>19</v>
      </c>
      <c r="B42" s="4">
        <f>SUM(C42:N42)</f>
        <v>-613077</v>
      </c>
      <c r="C42" s="2">
        <f>+'Detail 1998'!C23+'Detail 1998'!D24+'Detail 1998'!D25</f>
        <v>-191624</v>
      </c>
      <c r="D42" s="2">
        <f>+'Detail 1998'!D23+'Detail 1998'!E24+'Detail 1998'!E25</f>
        <v>3655</v>
      </c>
      <c r="E42" s="2">
        <f>+'Detail 1998'!E23+'Detail 1998'!F24+'Detail 1998'!F25</f>
        <v>-2636</v>
      </c>
      <c r="F42" s="2">
        <f>+'Detail 1998'!F23+'Detail 1998'!G24+'Detail 1998'!G25</f>
        <v>65720</v>
      </c>
      <c r="G42" s="2">
        <f>+'Detail 1998'!G23+'Detail 1998'!H24+'Detail 1998'!H25</f>
        <v>-27720</v>
      </c>
      <c r="H42" s="2">
        <f>+'Detail 1998'!H23+'Detail 1998'!I24+'Detail 1998'!I25</f>
        <v>-13780</v>
      </c>
      <c r="I42" s="2">
        <f>+'Detail 1998'!I23+'Detail 1998'!J24+'Detail 1998'!J25</f>
        <v>-98910</v>
      </c>
      <c r="J42" s="2">
        <f>+'Detail 1998'!J23+'Detail 1998'!K24+'Detail 1998'!K25</f>
        <v>-88925</v>
      </c>
      <c r="K42" s="2">
        <f>+'Detail 1998'!K23+'Detail 1998'!L24+'Detail 1998'!L25</f>
        <v>-77648</v>
      </c>
      <c r="L42" s="2">
        <f>+'Detail 1998'!L23+'Detail 1998'!M24+'Detail 1998'!M25</f>
        <v>74</v>
      </c>
      <c r="M42" s="2">
        <f>+'Detail 1998'!M23+'Detail 1998'!N24+'Detail 1998'!N25</f>
        <v>-126245</v>
      </c>
      <c r="N42" s="2">
        <f>+'Detail 1998'!N23+'Detail 1998'!O24+'Detail 1998'!O25</f>
        <v>-55038</v>
      </c>
      <c r="O42" s="2"/>
    </row>
    <row r="45" spans="1:15" ht="13.5" thickBot="1" x14ac:dyDescent="0.25">
      <c r="A45" t="s">
        <v>22</v>
      </c>
      <c r="B45" s="15">
        <f>SUM(B39:B44)</f>
        <v>-1336463.9000000004</v>
      </c>
      <c r="C45" s="15">
        <f t="shared" ref="C45:N45" si="3">SUM(C39:C44)</f>
        <v>-526483.23</v>
      </c>
      <c r="D45" s="15">
        <f t="shared" si="3"/>
        <v>721653.45</v>
      </c>
      <c r="E45" s="15">
        <f t="shared" si="3"/>
        <v>-1120070.6100000001</v>
      </c>
      <c r="F45" s="15">
        <f t="shared" si="3"/>
        <v>2701602.15</v>
      </c>
      <c r="G45" s="15">
        <f t="shared" si="3"/>
        <v>-2513629.7400000002</v>
      </c>
      <c r="H45" s="15">
        <f t="shared" si="3"/>
        <v>815927.67999999993</v>
      </c>
      <c r="I45" s="15">
        <f t="shared" si="3"/>
        <v>-1234304.8799999999</v>
      </c>
      <c r="J45" s="15">
        <f t="shared" si="3"/>
        <v>-350306.41000000003</v>
      </c>
      <c r="K45" s="15">
        <f t="shared" si="3"/>
        <v>1365449.04</v>
      </c>
      <c r="L45" s="15">
        <f t="shared" si="3"/>
        <v>-3574159.21</v>
      </c>
      <c r="M45" s="15">
        <f t="shared" si="3"/>
        <v>-1571395.79</v>
      </c>
      <c r="N45" s="15">
        <f t="shared" si="3"/>
        <v>3949253.6500000004</v>
      </c>
    </row>
    <row r="46" spans="1:15" ht="13.5" thickTop="1" x14ac:dyDescent="0.2"/>
    <row r="47" spans="1:15" x14ac:dyDescent="0.2">
      <c r="A47" t="s">
        <v>17</v>
      </c>
      <c r="B47" s="13" t="s">
        <v>38</v>
      </c>
      <c r="C47" s="14">
        <v>35431</v>
      </c>
      <c r="D47" s="14">
        <v>35462</v>
      </c>
      <c r="E47" s="14">
        <v>35490</v>
      </c>
      <c r="F47" s="14">
        <v>35521</v>
      </c>
      <c r="G47" s="14">
        <v>35551</v>
      </c>
      <c r="H47" s="14">
        <v>35582</v>
      </c>
      <c r="I47" s="14">
        <v>35612</v>
      </c>
      <c r="J47" s="14">
        <v>35643</v>
      </c>
      <c r="K47" s="14">
        <v>35674</v>
      </c>
      <c r="L47" s="14">
        <v>35704</v>
      </c>
      <c r="M47" s="14">
        <v>35735</v>
      </c>
      <c r="N47" s="14">
        <v>35765</v>
      </c>
    </row>
    <row r="49" spans="1:15" x14ac:dyDescent="0.2">
      <c r="A49" t="s">
        <v>18</v>
      </c>
      <c r="B49" s="4">
        <f>SUM(C49:N49)</f>
        <v>14209214.35</v>
      </c>
      <c r="C49" s="2">
        <f>-'Detail 1997'!C9</f>
        <v>1288388.44</v>
      </c>
      <c r="D49" s="2">
        <f>-'Detail 1997'!D9</f>
        <v>1630479.58</v>
      </c>
      <c r="E49" s="2">
        <f>-'Detail 1997'!E9</f>
        <v>2579677.48</v>
      </c>
      <c r="F49" s="2">
        <f>-'Detail 1997'!F9</f>
        <v>147005.01</v>
      </c>
      <c r="G49" s="2">
        <f>-'Detail 1997'!G9</f>
        <v>333672.92</v>
      </c>
      <c r="H49" s="2">
        <f>-'Detail 1997'!H9</f>
        <v>-229046.16</v>
      </c>
      <c r="I49" s="2">
        <f>-'Detail 1997'!I9</f>
        <v>1486826.18</v>
      </c>
      <c r="J49" s="2">
        <f>-'Detail 1997'!J9</f>
        <v>977285.25</v>
      </c>
      <c r="K49" s="2">
        <f>-'Detail 1997'!K9</f>
        <v>2442931.3199999998</v>
      </c>
      <c r="L49" s="2">
        <f>-'Detail 1997'!L9</f>
        <v>-1960619.06</v>
      </c>
      <c r="M49" s="2">
        <f>-'Detail 1997'!M9</f>
        <v>2295838.7200000002</v>
      </c>
      <c r="N49" s="2">
        <f>-'Detail 1997'!N9</f>
        <v>3216774.67</v>
      </c>
      <c r="O49" s="2"/>
    </row>
    <row r="50" spans="1:15" x14ac:dyDescent="0.2">
      <c r="A50" t="s">
        <v>20</v>
      </c>
      <c r="B50" s="4">
        <f>SUM(C50:N50)</f>
        <v>14372308</v>
      </c>
      <c r="C50" s="2">
        <f>+'Detail 1996'!N21</f>
        <v>6418005</v>
      </c>
      <c r="D50" s="2">
        <f>+'Detail 1997'!C21</f>
        <v>96111</v>
      </c>
      <c r="E50" s="2">
        <f>+'Detail 1997'!D21</f>
        <v>68976</v>
      </c>
      <c r="F50" s="2">
        <f>+'Detail 1997'!E21</f>
        <v>112683</v>
      </c>
      <c r="G50" s="2">
        <f>+'Detail 1997'!F21</f>
        <v>-1616</v>
      </c>
      <c r="H50" s="2">
        <f>+'Detail 1997'!G21</f>
        <v>32640</v>
      </c>
      <c r="I50" s="2">
        <f>+'Detail 1997'!H21</f>
        <v>-2561</v>
      </c>
      <c r="J50" s="2">
        <f>+'Detail 1997'!I21</f>
        <v>0</v>
      </c>
      <c r="K50" s="2">
        <f>+'Detail 1997'!J21</f>
        <v>840789</v>
      </c>
      <c r="L50" s="2">
        <f>+'Detail 1997'!K21</f>
        <v>2891085</v>
      </c>
      <c r="M50" s="2">
        <f>+'Detail 1997'!L21</f>
        <v>3922520</v>
      </c>
      <c r="N50" s="2">
        <f>+'Detail 1997'!M21</f>
        <v>-6324</v>
      </c>
      <c r="O50" s="2"/>
    </row>
    <row r="51" spans="1:15" x14ac:dyDescent="0.2">
      <c r="A51" t="s">
        <v>3</v>
      </c>
      <c r="B51" s="4">
        <f>SUM(C51:N51)</f>
        <v>-5756475</v>
      </c>
      <c r="C51" s="2">
        <f>+'Detail 1997'!C22+'Detail 1997'!C23</f>
        <v>-178622</v>
      </c>
      <c r="D51" s="2">
        <f>+'Detail 1997'!D22+'Detail 1997'!D23</f>
        <v>-416053</v>
      </c>
      <c r="E51" s="2">
        <f>+'Detail 1997'!E22+'Detail 1997'!E23</f>
        <v>-660192</v>
      </c>
      <c r="F51" s="2">
        <f>+'Detail 1997'!F22+'Detail 1997'!F23</f>
        <v>-662300</v>
      </c>
      <c r="G51" s="2">
        <f>+'Detail 1997'!G22+'Detail 1997'!G23</f>
        <v>-460134</v>
      </c>
      <c r="H51" s="2">
        <f>+'Detail 1997'!H22+'Detail 1997'!H23</f>
        <v>-279402</v>
      </c>
      <c r="I51" s="2">
        <f>+'Detail 1997'!I22+'Detail 1997'!I23</f>
        <v>-490942</v>
      </c>
      <c r="J51" s="2">
        <f>+'Detail 1997'!J22+'Detail 1997'!J23</f>
        <v>-391789</v>
      </c>
      <c r="K51" s="2">
        <f>+'Detail 1997'!K22+'Detail 1997'!K23</f>
        <v>-626092</v>
      </c>
      <c r="L51" s="2">
        <f>+'Detail 1997'!L22+'Detail 1997'!L23</f>
        <v>-507607</v>
      </c>
      <c r="M51" s="2">
        <f>+'Detail 1997'!M22+'Detail 1997'!M23</f>
        <v>-553258</v>
      </c>
      <c r="N51" s="2">
        <f>+'Detail 1997'!N22+'Detail 1997'!N23</f>
        <v>-530084</v>
      </c>
      <c r="O51" s="2"/>
    </row>
    <row r="52" spans="1:15" x14ac:dyDescent="0.2">
      <c r="A52" t="s">
        <v>39</v>
      </c>
      <c r="B52" s="4">
        <f>SUM(C52:N52)</f>
        <v>-12851411</v>
      </c>
      <c r="C52" s="2">
        <f>+'Detail 1997'!C24+'Detail 1997'!C25+'Detail 1997'!C26+'Detail 1997'!C27</f>
        <v>-5239331</v>
      </c>
      <c r="D52" s="2">
        <f>+'Detail 1997'!D24+'Detail 1997'!D25+'Detail 1997'!D26+'Detail 1997'!D27</f>
        <v>-4347096</v>
      </c>
      <c r="E52" s="2">
        <f>+'Detail 1997'!E24+'Detail 1997'!E25+'Detail 1997'!E26+'Detail 1997'!E27</f>
        <v>-2256061</v>
      </c>
      <c r="F52" s="2">
        <f>+'Detail 1997'!F24+'Detail 1997'!F25+'Detail 1997'!F26+'Detail 1997'!F27</f>
        <v>-5506686</v>
      </c>
      <c r="G52" s="2">
        <f>+'Detail 1997'!G24+'Detail 1997'!G25+'Detail 1997'!G26+'Detail 1997'!G27</f>
        <v>1029493</v>
      </c>
      <c r="H52" s="2">
        <f>+'Detail 1997'!H24+'Detail 1997'!H25+'Detail 1997'!H26+'Detail 1997'!H27</f>
        <v>-178981</v>
      </c>
      <c r="I52" s="2">
        <f>+'Detail 1997'!I24+'Detail 1997'!I25+'Detail 1997'!I26+'Detail 1997'!I27</f>
        <v>1483775</v>
      </c>
      <c r="J52" s="2">
        <f>+'Detail 1997'!J24+'Detail 1997'!J25+'Detail 1997'!J26+'Detail 1997'!J27</f>
        <v>276497</v>
      </c>
      <c r="K52" s="2">
        <f>+'Detail 1997'!K24+'Detail 1997'!K25+'Detail 1997'!K26+'Detail 1997'!K27</f>
        <v>1101431</v>
      </c>
      <c r="L52" s="2">
        <f>+'Detail 1997'!L24+'Detail 1997'!L25+'Detail 1997'!L26+'Detail 1997'!L27</f>
        <v>1899129</v>
      </c>
      <c r="M52" s="2">
        <f>+'Detail 1997'!M24+'Detail 1997'!M25+'Detail 1997'!M26+'Detail 1997'!M27</f>
        <v>-5367458</v>
      </c>
      <c r="N52" s="2">
        <f>+'Detail 1997'!N24+'Detail 1997'!N25+'Detail 1997'!N26+'Detail 1997'!N27</f>
        <v>4253877</v>
      </c>
      <c r="O52" s="2"/>
    </row>
    <row r="55" spans="1:15" ht="13.5" thickBot="1" x14ac:dyDescent="0.25">
      <c r="A55" t="s">
        <v>22</v>
      </c>
      <c r="B55" s="15">
        <f t="shared" ref="B55:N55" si="4">SUM(B49:B54)</f>
        <v>9973636.3500000015</v>
      </c>
      <c r="C55" s="15">
        <f t="shared" si="4"/>
        <v>2288440.4399999995</v>
      </c>
      <c r="D55" s="15">
        <f t="shared" si="4"/>
        <v>-3036558.42</v>
      </c>
      <c r="E55" s="15">
        <f t="shared" si="4"/>
        <v>-267599.52</v>
      </c>
      <c r="F55" s="15">
        <f t="shared" si="4"/>
        <v>-5909297.9900000002</v>
      </c>
      <c r="G55" s="15">
        <f t="shared" si="4"/>
        <v>901415.91999999993</v>
      </c>
      <c r="H55" s="15">
        <f t="shared" si="4"/>
        <v>-654789.16</v>
      </c>
      <c r="I55" s="15">
        <f t="shared" si="4"/>
        <v>2477098.1799999997</v>
      </c>
      <c r="J55" s="15">
        <f t="shared" si="4"/>
        <v>861993.25</v>
      </c>
      <c r="K55" s="15">
        <f t="shared" si="4"/>
        <v>3759059.32</v>
      </c>
      <c r="L55" s="15">
        <f t="shared" si="4"/>
        <v>2321987.94</v>
      </c>
      <c r="M55" s="15">
        <f t="shared" si="4"/>
        <v>297642.72000000067</v>
      </c>
      <c r="N55" s="15">
        <f t="shared" si="4"/>
        <v>6934243.6699999999</v>
      </c>
    </row>
    <row r="56" spans="1:15" ht="13.5" thickTop="1" x14ac:dyDescent="0.2"/>
    <row r="57" spans="1:15" x14ac:dyDescent="0.2">
      <c r="A57" t="s">
        <v>17</v>
      </c>
      <c r="B57" s="13" t="s">
        <v>41</v>
      </c>
      <c r="C57" s="14">
        <v>35065</v>
      </c>
      <c r="D57" s="14">
        <v>35096</v>
      </c>
      <c r="E57" s="14">
        <v>35125</v>
      </c>
      <c r="F57" s="14">
        <v>35156</v>
      </c>
      <c r="G57" s="14">
        <v>35186</v>
      </c>
      <c r="H57" s="14">
        <v>35217</v>
      </c>
      <c r="I57" s="14">
        <v>35247</v>
      </c>
      <c r="J57" s="14">
        <v>35278</v>
      </c>
      <c r="K57" s="14">
        <v>35309</v>
      </c>
      <c r="L57" s="14">
        <v>35339</v>
      </c>
      <c r="M57" s="14">
        <v>35370</v>
      </c>
      <c r="N57" s="14">
        <v>35400</v>
      </c>
    </row>
    <row r="59" spans="1:15" x14ac:dyDescent="0.2">
      <c r="A59" t="s">
        <v>18</v>
      </c>
      <c r="B59" s="4">
        <f>SUM(C59:N59)</f>
        <v>20000382.93</v>
      </c>
      <c r="C59" s="2">
        <f>-'Detail 1996'!C9</f>
        <v>-1174209.98</v>
      </c>
      <c r="D59" s="2">
        <f>-'Detail 1996'!D9</f>
        <v>1148585.99</v>
      </c>
      <c r="E59" s="2">
        <f>-'Detail 1996'!E9</f>
        <v>367223.92</v>
      </c>
      <c r="F59" s="2">
        <f>-'Detail 1996'!F9</f>
        <v>416014.87</v>
      </c>
      <c r="G59" s="2">
        <f>-'Detail 1996'!G9</f>
        <v>-522144.25</v>
      </c>
      <c r="H59" s="2">
        <f>-'Detail 1996'!H9</f>
        <v>1489299.83</v>
      </c>
      <c r="I59" s="2">
        <f>-'Detail 1996'!I9</f>
        <v>2523782.92</v>
      </c>
      <c r="J59" s="2">
        <f>-'Detail 1996'!J9</f>
        <v>1685073.98</v>
      </c>
      <c r="K59" s="2">
        <f>-'Detail 1996'!K9</f>
        <v>1440835.19</v>
      </c>
      <c r="L59" s="2">
        <f>-'Detail 1996'!L9</f>
        <v>225564.63</v>
      </c>
      <c r="M59" s="2">
        <f>-'Detail 1996'!M9</f>
        <v>4649992.96</v>
      </c>
      <c r="N59" s="2">
        <f>-'Detail 1996'!N9</f>
        <v>7750362.8700000001</v>
      </c>
      <c r="O59" s="2"/>
    </row>
    <row r="60" spans="1:15" x14ac:dyDescent="0.2">
      <c r="A60" t="s">
        <v>20</v>
      </c>
      <c r="B60" s="4">
        <f>SUM(C60:N60)</f>
        <v>17551166</v>
      </c>
      <c r="C60" s="2"/>
      <c r="D60" s="2">
        <f>+'Detail 1996'!C21</f>
        <v>0</v>
      </c>
      <c r="E60" s="2">
        <f>+'Detail 1996'!D21</f>
        <v>247112</v>
      </c>
      <c r="F60" s="2">
        <f>+'Detail 1996'!E21</f>
        <v>1135251</v>
      </c>
      <c r="G60" s="2">
        <f>+'Detail 1996'!F21</f>
        <v>1486848</v>
      </c>
      <c r="H60" s="2">
        <f>+'Detail 1996'!G21</f>
        <v>1030726</v>
      </c>
      <c r="I60" s="2">
        <f>+'Detail 1996'!H21</f>
        <v>1495909</v>
      </c>
      <c r="J60" s="2">
        <f>+'Detail 1996'!I21</f>
        <v>4322276</v>
      </c>
      <c r="K60" s="2">
        <f>+'Detail 1996'!J21</f>
        <v>4701352</v>
      </c>
      <c r="L60" s="2">
        <f>+'Detail 1996'!K21</f>
        <v>397302</v>
      </c>
      <c r="M60" s="2">
        <f>+'Detail 1996'!L21</f>
        <v>2652471</v>
      </c>
      <c r="N60" s="2">
        <f>+'Detail 1996'!M21</f>
        <v>81919</v>
      </c>
      <c r="O60" s="2"/>
    </row>
    <row r="61" spans="1:15" x14ac:dyDescent="0.2">
      <c r="A61" t="s">
        <v>3</v>
      </c>
      <c r="B61" s="4">
        <f>SUM(C61:N61)</f>
        <v>-7360729</v>
      </c>
      <c r="C61" s="2">
        <f>+'Detail 1996'!C22+'Detail 1996'!C23</f>
        <v>-248349</v>
      </c>
      <c r="D61" s="2">
        <f>+'Detail 1996'!D22+'Detail 1996'!D23</f>
        <v>-307050</v>
      </c>
      <c r="E61" s="2">
        <f>+'Detail 1996'!E22+'Detail 1996'!E23</f>
        <v>-372132</v>
      </c>
      <c r="F61" s="2">
        <f>+'Detail 1996'!F22+'Detail 1996'!F23</f>
        <v>-623574</v>
      </c>
      <c r="G61" s="2">
        <f>+'Detail 1996'!G22+'Detail 1996'!G23</f>
        <v>-314983</v>
      </c>
      <c r="H61" s="2">
        <f>+'Detail 1996'!H22+'Detail 1996'!H23</f>
        <v>-286744</v>
      </c>
      <c r="I61" s="2">
        <f>+'Detail 1996'!I22+'Detail 1996'!I23</f>
        <v>-111709</v>
      </c>
      <c r="J61" s="2">
        <f>+'Detail 1996'!J22+'Detail 1996'!J23</f>
        <v>-176270</v>
      </c>
      <c r="K61" s="2">
        <f>+'Detail 1996'!K22+'Detail 1996'!K23</f>
        <v>-212409</v>
      </c>
      <c r="L61" s="2">
        <f>+'Detail 1996'!L22+'Detail 1996'!L23</f>
        <v>-266658</v>
      </c>
      <c r="M61" s="2">
        <f>+'Detail 1996'!M22+'Detail 1996'!M23</f>
        <v>-257472</v>
      </c>
      <c r="N61" s="2">
        <f>+'Detail 1996'!N22+'Detail 1996'!N23</f>
        <v>-4183379</v>
      </c>
      <c r="O61" s="2"/>
    </row>
    <row r="62" spans="1:15" x14ac:dyDescent="0.2">
      <c r="A62" t="s">
        <v>39</v>
      </c>
      <c r="B62" s="4">
        <f>SUM(C62:N62)</f>
        <v>-22704553</v>
      </c>
      <c r="C62" s="2">
        <f>+'Detail 1996'!C24+'Detail 1996'!C25+'Detail 1996'!C26</f>
        <v>-90430</v>
      </c>
      <c r="D62" s="2">
        <f>+'Detail 1996'!D24+'Detail 1996'!D25+'Detail 1996'!D26</f>
        <v>-97138</v>
      </c>
      <c r="E62" s="2">
        <f>+'Detail 1996'!E24+'Detail 1996'!E25+'Detail 1996'!E26</f>
        <v>-32378</v>
      </c>
      <c r="F62" s="2">
        <f>+'Detail 1996'!F24+'Detail 1996'!F25+'Detail 1996'!F26</f>
        <v>-44202</v>
      </c>
      <c r="G62" s="2">
        <f>+'Detail 1996'!G24+'Detail 1996'!G25+'Detail 1996'!G26</f>
        <v>-45092</v>
      </c>
      <c r="H62" s="2">
        <f>+'Detail 1996'!H24+'Detail 1996'!H25+'Detail 1996'!H26</f>
        <v>-29494</v>
      </c>
      <c r="I62" s="2">
        <f>+'Detail 1996'!I24+'Detail 1996'!I25+'Detail 1996'!I26</f>
        <v>0</v>
      </c>
      <c r="J62" s="2">
        <f>+'Detail 1996'!J24+'Detail 1996'!J25+'Detail 1996'!J26</f>
        <v>0</v>
      </c>
      <c r="K62" s="2">
        <f>+'Detail 1996'!K24+'Detail 1996'!K25+'Detail 1996'!K26</f>
        <v>0</v>
      </c>
      <c r="L62" s="2">
        <f>+'Detail 1996'!L24+'Detail 1996'!L25+'Detail 1996'!L26</f>
        <v>-14556910</v>
      </c>
      <c r="M62" s="2">
        <f>+'Detail 1996'!M24+'Detail 1996'!M25+'Detail 1996'!M26</f>
        <v>-3133955</v>
      </c>
      <c r="N62" s="2">
        <f>+'Detail 1996'!N24+'Detail 1996'!N25+'Detail 1996'!N26</f>
        <v>-4674954</v>
      </c>
      <c r="O62" s="2"/>
    </row>
    <row r="65" spans="1:14" ht="13.5" thickBot="1" x14ac:dyDescent="0.25">
      <c r="A65" t="s">
        <v>22</v>
      </c>
      <c r="B65" s="15">
        <f t="shared" ref="B65:N65" si="5">SUM(B59:B64)</f>
        <v>7486266.9299999997</v>
      </c>
      <c r="C65" s="15">
        <f t="shared" si="5"/>
        <v>-1512988.98</v>
      </c>
      <c r="D65" s="15">
        <f t="shared" si="5"/>
        <v>744397.99</v>
      </c>
      <c r="E65" s="15">
        <f t="shared" si="5"/>
        <v>209825.91999999993</v>
      </c>
      <c r="F65" s="15">
        <f t="shared" si="5"/>
        <v>883489.87000000011</v>
      </c>
      <c r="G65" s="15">
        <f t="shared" si="5"/>
        <v>604628.75</v>
      </c>
      <c r="H65" s="15">
        <f t="shared" si="5"/>
        <v>2203787.83</v>
      </c>
      <c r="I65" s="15">
        <f t="shared" si="5"/>
        <v>3907982.92</v>
      </c>
      <c r="J65" s="15">
        <f t="shared" si="5"/>
        <v>5831079.9800000004</v>
      </c>
      <c r="K65" s="15">
        <f t="shared" si="5"/>
        <v>5929778.1899999995</v>
      </c>
      <c r="L65" s="15">
        <f t="shared" si="5"/>
        <v>-14200701.369999999</v>
      </c>
      <c r="M65" s="15">
        <f t="shared" si="5"/>
        <v>3911036.96</v>
      </c>
      <c r="N65" s="15">
        <f t="shared" si="5"/>
        <v>-1026051.1299999999</v>
      </c>
    </row>
    <row r="66" spans="1:14" ht="13.5" thickTop="1" x14ac:dyDescent="0.2"/>
    <row r="68" spans="1:14" x14ac:dyDescent="0.2">
      <c r="A68" s="17" t="s">
        <v>26</v>
      </c>
    </row>
    <row r="69" spans="1:14" x14ac:dyDescent="0.2">
      <c r="A69" s="18" t="s">
        <v>27</v>
      </c>
      <c r="B69" t="s">
        <v>28</v>
      </c>
    </row>
    <row r="70" spans="1:14" x14ac:dyDescent="0.2">
      <c r="A70" s="18" t="s">
        <v>29</v>
      </c>
      <c r="B70" t="s">
        <v>30</v>
      </c>
    </row>
    <row r="71" spans="1:14" x14ac:dyDescent="0.2">
      <c r="A71" s="18" t="s">
        <v>31</v>
      </c>
      <c r="B71" t="s">
        <v>32</v>
      </c>
    </row>
    <row r="72" spans="1:14" x14ac:dyDescent="0.2">
      <c r="A72" s="18" t="s">
        <v>33</v>
      </c>
      <c r="B72" t="s">
        <v>34</v>
      </c>
    </row>
  </sheetData>
  <pageMargins left="0.75" right="0.75" top="0.37" bottom="0.28999999999999998" header="0.3" footer="0.28999999999999998"/>
  <pageSetup paperSize="5" scale="67" orientation="landscape" horizontalDpi="4294967292" verticalDpi="0" r:id="rId1"/>
  <headerFooter alignWithMargins="0">
    <oddHeader>&amp;CNorthern Natural Gas
Storage Encroachment vs Cash
January 1997 to December 2000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9"/>
  <sheetViews>
    <sheetView workbookViewId="0">
      <pane ySplit="1560" topLeftCell="A10" activePane="bottomLeft"/>
      <selection activeCell="C8" sqref="C8"/>
      <selection pane="bottomLeft" activeCell="D21" sqref="D21"/>
    </sheetView>
  </sheetViews>
  <sheetFormatPr defaultRowHeight="12.75" x14ac:dyDescent="0.2"/>
  <cols>
    <col min="1" max="1" width="10.85546875" customWidth="1"/>
    <col min="2" max="2" width="16.28515625" customWidth="1"/>
    <col min="3" max="3" width="13" customWidth="1"/>
    <col min="4" max="4" width="12.5703125" customWidth="1"/>
    <col min="5" max="7" width="11.85546875" customWidth="1"/>
    <col min="8" max="8" width="13.28515625" customWidth="1"/>
    <col min="9" max="9" width="12.28515625" customWidth="1"/>
    <col min="10" max="10" width="13.85546875" customWidth="1"/>
    <col min="11" max="11" width="14.42578125" customWidth="1"/>
    <col min="12" max="12" width="13.85546875" customWidth="1"/>
    <col min="13" max="13" width="14.42578125" customWidth="1"/>
    <col min="14" max="14" width="15.42578125" bestFit="1" customWidth="1"/>
  </cols>
  <sheetData>
    <row r="1" spans="1:16" x14ac:dyDescent="0.2">
      <c r="B1" s="5" t="s">
        <v>15</v>
      </c>
    </row>
    <row r="2" spans="1:16" x14ac:dyDescent="0.2">
      <c r="B2" s="5" t="s">
        <v>16</v>
      </c>
    </row>
    <row r="3" spans="1:16" x14ac:dyDescent="0.2">
      <c r="B3" s="5">
        <v>2001</v>
      </c>
    </row>
    <row r="4" spans="1:16" x14ac:dyDescent="0.2">
      <c r="D4" t="s">
        <v>43</v>
      </c>
    </row>
    <row r="5" spans="1:16" s="5" customFormat="1" x14ac:dyDescent="0.2">
      <c r="C5" s="6">
        <v>36892</v>
      </c>
      <c r="D5" s="6">
        <v>36923</v>
      </c>
      <c r="E5" s="6">
        <v>36951</v>
      </c>
      <c r="F5" s="6">
        <v>36982</v>
      </c>
      <c r="G5" s="6">
        <v>37012</v>
      </c>
      <c r="H5" s="6">
        <v>37043</v>
      </c>
      <c r="I5" s="6">
        <v>37073</v>
      </c>
      <c r="J5" s="6">
        <v>37104</v>
      </c>
      <c r="K5" s="6">
        <v>37135</v>
      </c>
      <c r="L5" s="6">
        <v>37165</v>
      </c>
      <c r="M5" s="6">
        <v>37196</v>
      </c>
      <c r="N5" s="6">
        <v>37226</v>
      </c>
    </row>
    <row r="6" spans="1:16" x14ac:dyDescent="0.2">
      <c r="G6" s="10"/>
      <c r="H6" s="10"/>
      <c r="I6" s="10"/>
      <c r="J6" s="10"/>
      <c r="K6" s="10"/>
      <c r="L6" s="10"/>
      <c r="M6" s="10"/>
      <c r="N6" s="10"/>
    </row>
    <row r="7" spans="1:16" x14ac:dyDescent="0.2">
      <c r="A7" t="s">
        <v>0</v>
      </c>
      <c r="C7" s="10">
        <v>18170993.460000001</v>
      </c>
      <c r="D7" s="10">
        <v>-13767157</v>
      </c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</row>
    <row r="8" spans="1:16" x14ac:dyDescent="0.2">
      <c r="A8" t="s">
        <v>1</v>
      </c>
      <c r="C8" s="10">
        <v>-0.02</v>
      </c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</row>
    <row r="9" spans="1:16" ht="13.5" thickBot="1" x14ac:dyDescent="0.25">
      <c r="C9" s="11">
        <f t="shared" ref="C9:N9" si="0">+C7-C8</f>
        <v>18170993.48</v>
      </c>
      <c r="D9" s="11">
        <f t="shared" si="0"/>
        <v>-13767157</v>
      </c>
      <c r="E9" s="11">
        <f t="shared" si="0"/>
        <v>0</v>
      </c>
      <c r="F9" s="11">
        <f t="shared" si="0"/>
        <v>0</v>
      </c>
      <c r="G9" s="11">
        <f t="shared" si="0"/>
        <v>0</v>
      </c>
      <c r="H9" s="11">
        <f t="shared" si="0"/>
        <v>0</v>
      </c>
      <c r="I9" s="11">
        <f t="shared" si="0"/>
        <v>0</v>
      </c>
      <c r="J9" s="11">
        <f t="shared" si="0"/>
        <v>0</v>
      </c>
      <c r="K9" s="11">
        <f t="shared" si="0"/>
        <v>0</v>
      </c>
      <c r="L9" s="11">
        <f t="shared" si="0"/>
        <v>0</v>
      </c>
      <c r="M9" s="11">
        <f t="shared" si="0"/>
        <v>0</v>
      </c>
      <c r="N9" s="11">
        <f t="shared" si="0"/>
        <v>0</v>
      </c>
    </row>
    <row r="10" spans="1:16" ht="13.5" thickTop="1" x14ac:dyDescent="0.2">
      <c r="A10" t="s">
        <v>7</v>
      </c>
      <c r="G10" s="10"/>
      <c r="H10" s="10"/>
      <c r="I10" s="10"/>
      <c r="J10" s="10"/>
      <c r="K10" s="10"/>
      <c r="L10" s="10"/>
      <c r="M10" s="10"/>
      <c r="N10" s="10"/>
    </row>
    <row r="11" spans="1:16" x14ac:dyDescent="0.2">
      <c r="A11" t="s">
        <v>8</v>
      </c>
      <c r="C11" s="10">
        <v>15780391.439999999</v>
      </c>
      <c r="D11" s="10">
        <f>-C12</f>
        <v>-13767157.2675</v>
      </c>
      <c r="E11" s="10"/>
      <c r="F11" s="10"/>
      <c r="G11" s="10"/>
      <c r="H11" s="10"/>
      <c r="I11" s="10"/>
      <c r="J11" s="10"/>
      <c r="K11" s="10"/>
      <c r="L11" s="10"/>
      <c r="M11" s="10"/>
      <c r="N11" s="10"/>
    </row>
    <row r="12" spans="1:16" x14ac:dyDescent="0.2">
      <c r="A12" t="s">
        <v>5</v>
      </c>
      <c r="C12" s="10">
        <f>1610175*8.5501</f>
        <v>13767157.2675</v>
      </c>
      <c r="D12" s="10">
        <f t="shared" ref="D12:J12" si="1">-E11</f>
        <v>0</v>
      </c>
      <c r="E12" s="10">
        <f t="shared" si="1"/>
        <v>0</v>
      </c>
      <c r="F12" s="10">
        <f t="shared" si="1"/>
        <v>0</v>
      </c>
      <c r="G12" s="10">
        <f t="shared" si="1"/>
        <v>0</v>
      </c>
      <c r="H12" s="10">
        <f t="shared" si="1"/>
        <v>0</v>
      </c>
      <c r="I12" s="10">
        <f t="shared" si="1"/>
        <v>0</v>
      </c>
      <c r="J12" s="10">
        <f t="shared" si="1"/>
        <v>0</v>
      </c>
      <c r="K12" s="10"/>
      <c r="L12" s="10"/>
      <c r="M12" s="10"/>
      <c r="N12" s="10"/>
    </row>
    <row r="13" spans="1:16" x14ac:dyDescent="0.2">
      <c r="A13" t="s">
        <v>6</v>
      </c>
      <c r="C13" s="19">
        <v>-30733.27</v>
      </c>
      <c r="D13" s="8"/>
      <c r="E13" s="8"/>
      <c r="F13" s="8"/>
      <c r="G13" s="8"/>
      <c r="H13" s="12"/>
      <c r="I13" s="12"/>
      <c r="J13" s="12"/>
      <c r="K13" s="12"/>
      <c r="L13" s="12"/>
      <c r="M13" s="12"/>
      <c r="N13" s="12"/>
    </row>
    <row r="14" spans="1:16" x14ac:dyDescent="0.2">
      <c r="A14" t="s">
        <v>9</v>
      </c>
      <c r="C14" s="4">
        <f t="shared" ref="C14:N14" si="2">SUM(C11:C13)</f>
        <v>29516815.4375</v>
      </c>
      <c r="D14" s="4">
        <f t="shared" si="2"/>
        <v>-13767157.2675</v>
      </c>
      <c r="E14" s="4">
        <f t="shared" si="2"/>
        <v>0</v>
      </c>
      <c r="F14" s="4">
        <f t="shared" si="2"/>
        <v>0</v>
      </c>
      <c r="G14" s="4">
        <f t="shared" si="2"/>
        <v>0</v>
      </c>
      <c r="H14" s="4">
        <f t="shared" si="2"/>
        <v>0</v>
      </c>
      <c r="I14" s="4">
        <f t="shared" si="2"/>
        <v>0</v>
      </c>
      <c r="J14" s="4">
        <f t="shared" si="2"/>
        <v>0</v>
      </c>
      <c r="K14" s="4">
        <f t="shared" si="2"/>
        <v>0</v>
      </c>
      <c r="L14" s="4">
        <f t="shared" si="2"/>
        <v>0</v>
      </c>
      <c r="M14" s="4">
        <f t="shared" si="2"/>
        <v>0</v>
      </c>
      <c r="N14" s="4">
        <f t="shared" si="2"/>
        <v>0</v>
      </c>
    </row>
    <row r="15" spans="1:16" ht="13.5" thickBot="1" x14ac:dyDescent="0.25">
      <c r="A15" t="s">
        <v>13</v>
      </c>
      <c r="C15" s="11">
        <f t="shared" ref="C15:N15" si="3">+C9-C14</f>
        <v>-11345821.9575</v>
      </c>
      <c r="D15" s="11">
        <f t="shared" si="3"/>
        <v>0.26750000007450581</v>
      </c>
      <c r="E15" s="11">
        <f t="shared" si="3"/>
        <v>0</v>
      </c>
      <c r="F15" s="11">
        <f t="shared" si="3"/>
        <v>0</v>
      </c>
      <c r="G15" s="11">
        <f t="shared" si="3"/>
        <v>0</v>
      </c>
      <c r="H15" s="11">
        <f t="shared" si="3"/>
        <v>0</v>
      </c>
      <c r="I15" s="11">
        <f t="shared" si="3"/>
        <v>0</v>
      </c>
      <c r="J15" s="11">
        <f t="shared" si="3"/>
        <v>0</v>
      </c>
      <c r="K15" s="11">
        <f t="shared" si="3"/>
        <v>0</v>
      </c>
      <c r="L15" s="11">
        <f t="shared" si="3"/>
        <v>0</v>
      </c>
      <c r="M15" s="11">
        <f t="shared" si="3"/>
        <v>0</v>
      </c>
      <c r="N15" s="11">
        <f t="shared" si="3"/>
        <v>0</v>
      </c>
    </row>
    <row r="16" spans="1:16" ht="13.5" thickTop="1" x14ac:dyDescent="0.2">
      <c r="C16" s="4">
        <f>+C15+C18</f>
        <v>-0.24749999865889549</v>
      </c>
      <c r="G16" s="10"/>
      <c r="H16" s="10"/>
      <c r="I16" s="10"/>
      <c r="J16" s="10"/>
      <c r="K16" s="10"/>
      <c r="L16" s="10"/>
      <c r="M16" s="10"/>
      <c r="N16" s="10"/>
    </row>
    <row r="17" spans="1:14" x14ac:dyDescent="0.2">
      <c r="G17" s="10"/>
      <c r="H17" s="10"/>
      <c r="I17" s="10"/>
      <c r="J17" s="10"/>
      <c r="K17" s="10"/>
      <c r="L17" s="10"/>
      <c r="M17" s="10"/>
      <c r="N17" s="10"/>
    </row>
    <row r="18" spans="1:14" x14ac:dyDescent="0.2">
      <c r="A18" t="s">
        <v>4</v>
      </c>
      <c r="C18" s="10">
        <f>-2227866.89-193468.4+13767157</f>
        <v>11345821.710000001</v>
      </c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</row>
    <row r="19" spans="1:14" x14ac:dyDescent="0.2">
      <c r="A19" t="s">
        <v>2</v>
      </c>
      <c r="C19" s="10">
        <f>3739475*10</f>
        <v>37394750</v>
      </c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</row>
    <row r="20" spans="1:14" x14ac:dyDescent="0.2">
      <c r="A20" t="s">
        <v>3</v>
      </c>
      <c r="C20" s="10">
        <v>-888.68</v>
      </c>
      <c r="D20" s="10">
        <f>+C20</f>
        <v>-888.68</v>
      </c>
      <c r="E20" s="10"/>
      <c r="F20" s="10"/>
      <c r="G20" s="10"/>
      <c r="H20" s="10"/>
      <c r="I20" s="10"/>
      <c r="J20" s="10"/>
      <c r="K20" s="10"/>
      <c r="L20" s="10"/>
      <c r="M20" s="10"/>
      <c r="N20" s="10"/>
    </row>
    <row r="21" spans="1:14" x14ac:dyDescent="0.2">
      <c r="A21" t="s">
        <v>3</v>
      </c>
      <c r="C21" s="10">
        <v>-958052</v>
      </c>
      <c r="D21" s="10">
        <f>+C21</f>
        <v>-958052</v>
      </c>
      <c r="E21" s="10"/>
      <c r="F21" s="10"/>
      <c r="G21" s="10"/>
      <c r="H21" s="10"/>
      <c r="I21" s="10"/>
      <c r="J21" s="10"/>
      <c r="K21" s="10"/>
      <c r="L21" s="10"/>
      <c r="M21" s="10"/>
      <c r="N21" s="10"/>
    </row>
    <row r="22" spans="1:14" x14ac:dyDescent="0.2">
      <c r="A22" t="s">
        <v>10</v>
      </c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</row>
    <row r="23" spans="1:14" x14ac:dyDescent="0.2">
      <c r="A23" t="s">
        <v>11</v>
      </c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</row>
    <row r="24" spans="1:14" x14ac:dyDescent="0.2"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</row>
    <row r="25" spans="1:14" x14ac:dyDescent="0.2"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</row>
    <row r="26" spans="1:14" ht="13.5" thickBot="1" x14ac:dyDescent="0.25">
      <c r="A26" t="s">
        <v>12</v>
      </c>
      <c r="C26" s="11">
        <f t="shared" ref="C26:N26" si="4">SUM(C18:C25)</f>
        <v>47781631.030000001</v>
      </c>
      <c r="D26" s="11">
        <f t="shared" si="4"/>
        <v>-958940.68</v>
      </c>
      <c r="E26" s="11">
        <f t="shared" si="4"/>
        <v>0</v>
      </c>
      <c r="F26" s="11">
        <f t="shared" si="4"/>
        <v>0</v>
      </c>
      <c r="G26" s="11">
        <f t="shared" si="4"/>
        <v>0</v>
      </c>
      <c r="H26" s="11">
        <f t="shared" si="4"/>
        <v>0</v>
      </c>
      <c r="I26" s="11">
        <f t="shared" si="4"/>
        <v>0</v>
      </c>
      <c r="J26" s="11">
        <f t="shared" si="4"/>
        <v>0</v>
      </c>
      <c r="K26" s="11">
        <f t="shared" si="4"/>
        <v>0</v>
      </c>
      <c r="L26" s="11">
        <f t="shared" si="4"/>
        <v>0</v>
      </c>
      <c r="M26" s="11">
        <f t="shared" si="4"/>
        <v>0</v>
      </c>
      <c r="N26" s="11">
        <f t="shared" si="4"/>
        <v>0</v>
      </c>
    </row>
    <row r="27" spans="1:14" ht="13.5" thickTop="1" x14ac:dyDescent="0.2">
      <c r="G27" s="10"/>
      <c r="H27" s="10"/>
      <c r="I27" s="10"/>
      <c r="J27" s="10"/>
      <c r="K27" s="10"/>
      <c r="L27" s="10"/>
      <c r="M27" s="10"/>
      <c r="N27" s="10"/>
    </row>
    <row r="28" spans="1:14" x14ac:dyDescent="0.2">
      <c r="G28" s="10"/>
      <c r="H28" s="10"/>
      <c r="I28" s="10"/>
      <c r="J28" s="10"/>
      <c r="K28" s="10"/>
      <c r="L28" s="10"/>
      <c r="M28" s="10"/>
      <c r="N28" s="10"/>
    </row>
    <row r="29" spans="1:14" x14ac:dyDescent="0.2">
      <c r="G29" s="10"/>
      <c r="H29" s="10"/>
      <c r="I29" s="10"/>
      <c r="J29" s="10"/>
      <c r="K29" s="10"/>
      <c r="L29" s="10"/>
      <c r="M29" s="10"/>
      <c r="N29" s="10"/>
    </row>
  </sheetData>
  <pageMargins left="0.27" right="0.35" top="1" bottom="1" header="0.5" footer="0.5"/>
  <pageSetup paperSize="5" scale="94" orientation="landscape" horizontalDpi="4294967292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9"/>
  <sheetViews>
    <sheetView topLeftCell="I1" workbookViewId="0">
      <pane ySplit="1560" topLeftCell="A8" activePane="bottomLeft"/>
      <selection activeCell="C8" sqref="C8"/>
      <selection pane="bottomLeft" activeCell="C8" sqref="C8"/>
    </sheetView>
  </sheetViews>
  <sheetFormatPr defaultRowHeight="12.75" x14ac:dyDescent="0.2"/>
  <cols>
    <col min="1" max="1" width="10.85546875" customWidth="1"/>
    <col min="2" max="2" width="16.28515625" customWidth="1"/>
    <col min="3" max="7" width="11.85546875" customWidth="1"/>
    <col min="8" max="8" width="13.28515625" customWidth="1"/>
    <col min="9" max="9" width="12.28515625" customWidth="1"/>
    <col min="10" max="10" width="13.85546875" customWidth="1"/>
    <col min="11" max="11" width="14.42578125" customWidth="1"/>
    <col min="12" max="12" width="13.85546875" customWidth="1"/>
    <col min="13" max="13" width="14.42578125" customWidth="1"/>
    <col min="14" max="14" width="15.42578125" bestFit="1" customWidth="1"/>
  </cols>
  <sheetData>
    <row r="1" spans="1:16" x14ac:dyDescent="0.2">
      <c r="B1" s="5" t="s">
        <v>15</v>
      </c>
    </row>
    <row r="2" spans="1:16" x14ac:dyDescent="0.2">
      <c r="B2" s="5" t="s">
        <v>16</v>
      </c>
    </row>
    <row r="3" spans="1:16" x14ac:dyDescent="0.2">
      <c r="B3" s="5">
        <v>2000</v>
      </c>
    </row>
    <row r="5" spans="1:16" s="5" customFormat="1" x14ac:dyDescent="0.2">
      <c r="C5" s="6">
        <v>36526</v>
      </c>
      <c r="D5" s="6">
        <v>36557</v>
      </c>
      <c r="E5" s="6">
        <v>36586</v>
      </c>
      <c r="F5" s="6">
        <v>36617</v>
      </c>
      <c r="G5" s="6">
        <v>36647</v>
      </c>
      <c r="H5" s="6">
        <v>36678</v>
      </c>
      <c r="I5" s="6">
        <v>36708</v>
      </c>
      <c r="J5" s="6">
        <v>36739</v>
      </c>
      <c r="K5" s="6">
        <v>36770</v>
      </c>
      <c r="L5" s="6">
        <v>36800</v>
      </c>
      <c r="M5" s="6">
        <v>36831</v>
      </c>
      <c r="N5" s="6">
        <v>36861</v>
      </c>
    </row>
    <row r="6" spans="1:16" x14ac:dyDescent="0.2">
      <c r="G6" s="2"/>
      <c r="H6" s="2"/>
      <c r="I6" s="2"/>
      <c r="J6" s="2"/>
      <c r="K6" s="2"/>
      <c r="L6" s="2"/>
      <c r="M6" s="2"/>
      <c r="N6" s="2"/>
    </row>
    <row r="7" spans="1:16" x14ac:dyDescent="0.2">
      <c r="A7" t="s">
        <v>0</v>
      </c>
      <c r="C7" s="2">
        <v>2448537.79</v>
      </c>
      <c r="D7" s="2">
        <v>3848602.66</v>
      </c>
      <c r="E7" s="2">
        <v>49433.05</v>
      </c>
      <c r="F7" s="2">
        <v>837033.73</v>
      </c>
      <c r="G7" s="2">
        <v>9201253.5999999996</v>
      </c>
      <c r="H7" s="2">
        <v>7595983.21</v>
      </c>
      <c r="I7" s="2">
        <v>6558731.7000000002</v>
      </c>
      <c r="J7" s="2">
        <v>4216800.8499999996</v>
      </c>
      <c r="K7" s="2">
        <v>5557506.04</v>
      </c>
      <c r="L7" s="2">
        <v>11406668.970000001</v>
      </c>
      <c r="M7" s="2">
        <v>-5072467.21</v>
      </c>
      <c r="N7" s="2">
        <v>13073593</v>
      </c>
      <c r="O7" s="2"/>
      <c r="P7" s="2"/>
    </row>
    <row r="8" spans="1:16" x14ac:dyDescent="0.2">
      <c r="A8" t="s">
        <v>1</v>
      </c>
      <c r="C8" s="2">
        <v>-0.02</v>
      </c>
      <c r="D8" s="2">
        <v>10323.66</v>
      </c>
      <c r="E8" s="2">
        <v>1109.71</v>
      </c>
      <c r="F8" s="2">
        <v>23663.15</v>
      </c>
      <c r="G8" s="2">
        <v>-52.73</v>
      </c>
      <c r="H8" s="2">
        <v>-323899.78000000003</v>
      </c>
      <c r="I8" s="2">
        <v>26845.95</v>
      </c>
      <c r="J8" s="2">
        <v>-4.08</v>
      </c>
      <c r="K8" s="2">
        <v>111304.75</v>
      </c>
      <c r="L8" s="2">
        <v>-4624.3</v>
      </c>
      <c r="M8" s="2">
        <v>8857.48</v>
      </c>
      <c r="N8" s="2">
        <v>-1588906.34</v>
      </c>
      <c r="O8" s="2"/>
      <c r="P8" s="2"/>
    </row>
    <row r="9" spans="1:16" ht="13.5" thickBot="1" x14ac:dyDescent="0.25">
      <c r="C9" s="3">
        <f t="shared" ref="C9:N9" si="0">+C7-C8</f>
        <v>2448537.81</v>
      </c>
      <c r="D9" s="3">
        <f t="shared" si="0"/>
        <v>3838279</v>
      </c>
      <c r="E9" s="3">
        <f t="shared" si="0"/>
        <v>48323.340000000004</v>
      </c>
      <c r="F9" s="3">
        <f t="shared" si="0"/>
        <v>813370.58</v>
      </c>
      <c r="G9" s="3">
        <f t="shared" si="0"/>
        <v>9201306.3300000001</v>
      </c>
      <c r="H9" s="3">
        <f t="shared" si="0"/>
        <v>7919882.9900000002</v>
      </c>
      <c r="I9" s="3">
        <f t="shared" si="0"/>
        <v>6531885.75</v>
      </c>
      <c r="J9" s="3">
        <f t="shared" si="0"/>
        <v>4216804.93</v>
      </c>
      <c r="K9" s="3">
        <f t="shared" si="0"/>
        <v>5446201.29</v>
      </c>
      <c r="L9" s="3">
        <f t="shared" si="0"/>
        <v>11411293.270000001</v>
      </c>
      <c r="M9" s="3">
        <f t="shared" si="0"/>
        <v>-5081324.6900000004</v>
      </c>
      <c r="N9" s="3">
        <f t="shared" si="0"/>
        <v>14662499.34</v>
      </c>
    </row>
    <row r="10" spans="1:16" ht="13.5" thickTop="1" x14ac:dyDescent="0.2">
      <c r="A10" t="s">
        <v>7</v>
      </c>
      <c r="G10" s="2"/>
      <c r="H10" s="2"/>
      <c r="I10" s="2"/>
      <c r="J10" s="2"/>
      <c r="K10" s="2"/>
      <c r="L10" s="2"/>
      <c r="M10" s="2"/>
      <c r="N10" s="2"/>
    </row>
    <row r="11" spans="1:16" x14ac:dyDescent="0.2">
      <c r="A11" t="s">
        <v>8</v>
      </c>
      <c r="C11" s="2">
        <v>3699823.4</v>
      </c>
      <c r="D11" s="2">
        <v>4426551</v>
      </c>
      <c r="E11" s="2">
        <v>5021977.97</v>
      </c>
      <c r="F11" s="2">
        <v>4348274.3499999996</v>
      </c>
      <c r="G11" s="2">
        <v>7807611.8799999999</v>
      </c>
      <c r="H11" s="2">
        <v>8853437.8800000008</v>
      </c>
      <c r="I11" s="2">
        <v>10506447.74</v>
      </c>
      <c r="J11" s="2">
        <v>-1040987.49</v>
      </c>
      <c r="K11" s="2">
        <v>10308954.77</v>
      </c>
      <c r="L11" s="2">
        <v>8532147.5600000005</v>
      </c>
      <c r="M11" s="2">
        <v>-5353280.62</v>
      </c>
      <c r="N11" s="2">
        <v>17217139.690000001</v>
      </c>
    </row>
    <row r="12" spans="1:16" x14ac:dyDescent="0.2">
      <c r="A12" t="s">
        <v>5</v>
      </c>
      <c r="C12" s="2">
        <f t="shared" ref="C12:J12" si="1">-D11</f>
        <v>-4426551</v>
      </c>
      <c r="D12" s="2">
        <f t="shared" si="1"/>
        <v>-5021977.97</v>
      </c>
      <c r="E12" s="2">
        <f t="shared" si="1"/>
        <v>-4348274.3499999996</v>
      </c>
      <c r="F12" s="2">
        <f t="shared" si="1"/>
        <v>-7807611.8799999999</v>
      </c>
      <c r="G12" s="2">
        <f t="shared" si="1"/>
        <v>-8853437.8800000008</v>
      </c>
      <c r="H12" s="2">
        <f t="shared" si="1"/>
        <v>-10506447.74</v>
      </c>
      <c r="I12" s="2">
        <f t="shared" si="1"/>
        <v>1040987.49</v>
      </c>
      <c r="J12" s="2">
        <f t="shared" si="1"/>
        <v>-10308954.77</v>
      </c>
      <c r="K12" s="2">
        <v>-8532147.5600000005</v>
      </c>
      <c r="L12" s="2">
        <v>5353280.62</v>
      </c>
      <c r="M12" s="2">
        <v>-17217139.690000001</v>
      </c>
      <c r="N12" s="2">
        <v>-15780391</v>
      </c>
    </row>
    <row r="13" spans="1:16" x14ac:dyDescent="0.2">
      <c r="A13" t="s">
        <v>6</v>
      </c>
      <c r="C13" s="9">
        <v>3105638.98</v>
      </c>
      <c r="D13" s="8">
        <v>-844402.29</v>
      </c>
      <c r="E13" s="8">
        <v>-2240719.19</v>
      </c>
      <c r="F13" s="8">
        <v>-4370941.7300000004</v>
      </c>
      <c r="G13" s="8">
        <v>4193878.96</v>
      </c>
      <c r="H13" s="7">
        <v>-1725354.89</v>
      </c>
      <c r="I13" s="7">
        <v>-4027463.76</v>
      </c>
      <c r="J13" s="7">
        <v>2716474.78</v>
      </c>
      <c r="K13" s="7">
        <v>-4237387.88</v>
      </c>
      <c r="L13" s="7">
        <v>2848092.74</v>
      </c>
      <c r="M13" s="7">
        <v>-306809.3</v>
      </c>
      <c r="N13" s="7">
        <v>133806.14000000001</v>
      </c>
    </row>
    <row r="14" spans="1:16" x14ac:dyDescent="0.2">
      <c r="A14" t="s">
        <v>9</v>
      </c>
      <c r="C14" s="4">
        <f t="shared" ref="C14:N14" si="2">SUM(C11:C13)</f>
        <v>2378911.38</v>
      </c>
      <c r="D14" s="4">
        <f t="shared" si="2"/>
        <v>-1439829.2599999998</v>
      </c>
      <c r="E14" s="4">
        <f t="shared" si="2"/>
        <v>-1567015.5699999998</v>
      </c>
      <c r="F14" s="4">
        <f t="shared" si="2"/>
        <v>-7830279.2600000007</v>
      </c>
      <c r="G14" s="4">
        <f t="shared" si="2"/>
        <v>3148052.959999999</v>
      </c>
      <c r="H14" s="4">
        <f t="shared" si="2"/>
        <v>-3378364.7499999991</v>
      </c>
      <c r="I14" s="4">
        <f t="shared" si="2"/>
        <v>7519971.4700000007</v>
      </c>
      <c r="J14" s="4">
        <f t="shared" si="2"/>
        <v>-8633467.4800000004</v>
      </c>
      <c r="K14" s="4">
        <f t="shared" si="2"/>
        <v>-2460580.6700000009</v>
      </c>
      <c r="L14" s="4">
        <f t="shared" si="2"/>
        <v>16733520.92</v>
      </c>
      <c r="M14" s="4">
        <f t="shared" si="2"/>
        <v>-22877229.610000003</v>
      </c>
      <c r="N14" s="4">
        <f t="shared" si="2"/>
        <v>1570554.8300000015</v>
      </c>
    </row>
    <row r="15" spans="1:16" ht="13.5" thickBot="1" x14ac:dyDescent="0.25">
      <c r="A15" t="s">
        <v>13</v>
      </c>
      <c r="C15" s="3">
        <f t="shared" ref="C15:N15" si="3">+C9-C14</f>
        <v>69626.430000000168</v>
      </c>
      <c r="D15" s="3">
        <f t="shared" si="3"/>
        <v>5278108.26</v>
      </c>
      <c r="E15" s="3">
        <f t="shared" si="3"/>
        <v>1615338.91</v>
      </c>
      <c r="F15" s="3">
        <f t="shared" si="3"/>
        <v>8643649.8399999999</v>
      </c>
      <c r="G15" s="3">
        <f t="shared" si="3"/>
        <v>6053253.370000001</v>
      </c>
      <c r="H15" s="3">
        <f t="shared" si="3"/>
        <v>11298247.739999998</v>
      </c>
      <c r="I15" s="3">
        <f t="shared" si="3"/>
        <v>-988085.72000000067</v>
      </c>
      <c r="J15" s="3">
        <f t="shared" si="3"/>
        <v>12850272.41</v>
      </c>
      <c r="K15" s="3">
        <f t="shared" si="3"/>
        <v>7906781.9600000009</v>
      </c>
      <c r="L15" s="3">
        <f t="shared" si="3"/>
        <v>-5322227.6499999985</v>
      </c>
      <c r="M15" s="3">
        <f t="shared" si="3"/>
        <v>17795904.920000002</v>
      </c>
      <c r="N15" s="3">
        <f t="shared" si="3"/>
        <v>13091944.509999998</v>
      </c>
    </row>
    <row r="16" spans="1:16" ht="13.5" thickTop="1" x14ac:dyDescent="0.2">
      <c r="G16" s="2"/>
      <c r="H16" s="2"/>
      <c r="I16" s="2"/>
      <c r="J16" s="2"/>
      <c r="K16" s="2"/>
      <c r="L16" s="2"/>
      <c r="M16" s="2"/>
      <c r="N16" s="2"/>
    </row>
    <row r="17" spans="1:14" x14ac:dyDescent="0.2">
      <c r="G17" s="2"/>
      <c r="H17" s="2"/>
      <c r="I17" s="2"/>
      <c r="J17" s="2"/>
      <c r="K17" s="2"/>
      <c r="L17" s="2"/>
      <c r="M17" s="2"/>
      <c r="N17" s="2"/>
    </row>
    <row r="18" spans="1:14" x14ac:dyDescent="0.2">
      <c r="A18" t="s">
        <v>4</v>
      </c>
      <c r="C18" s="2">
        <v>-69627</v>
      </c>
      <c r="D18" s="2">
        <v>-5270767</v>
      </c>
      <c r="E18" s="2">
        <v>-1615339</v>
      </c>
      <c r="F18" s="2">
        <v>-8643435</v>
      </c>
      <c r="G18" s="2">
        <v>-6053254</v>
      </c>
      <c r="H18" s="2">
        <v>-11213967</v>
      </c>
      <c r="I18" s="2">
        <v>988086</v>
      </c>
      <c r="J18" s="2">
        <v>-12850274</v>
      </c>
      <c r="K18" s="2">
        <v>-7906784</v>
      </c>
      <c r="L18" s="2">
        <v>5322227</v>
      </c>
      <c r="M18" s="2">
        <v>-17795906</v>
      </c>
      <c r="N18" s="2">
        <v>-13091956</v>
      </c>
    </row>
    <row r="19" spans="1:14" x14ac:dyDescent="0.2">
      <c r="A19" t="s">
        <v>2</v>
      </c>
      <c r="C19" s="2">
        <v>3038550</v>
      </c>
      <c r="D19" s="2">
        <v>8806039</v>
      </c>
      <c r="E19" s="2">
        <v>1175909</v>
      </c>
      <c r="F19" s="2">
        <v>366696</v>
      </c>
      <c r="G19" s="2">
        <v>2200719</v>
      </c>
      <c r="H19" s="2">
        <v>9887943</v>
      </c>
      <c r="I19" s="2">
        <v>16062423</v>
      </c>
      <c r="J19" s="2">
        <v>145806</v>
      </c>
      <c r="K19" s="2"/>
      <c r="L19" s="2">
        <v>15600170</v>
      </c>
      <c r="M19" s="2">
        <v>7460068</v>
      </c>
      <c r="N19" s="2">
        <v>18632704</v>
      </c>
    </row>
    <row r="20" spans="1:14" x14ac:dyDescent="0.2">
      <c r="A20" t="s">
        <v>3</v>
      </c>
      <c r="C20" s="2">
        <v>-178</v>
      </c>
      <c r="D20" s="2">
        <v>-174</v>
      </c>
      <c r="E20" s="2">
        <v>-165</v>
      </c>
      <c r="F20" s="2">
        <v>-187</v>
      </c>
      <c r="G20" s="2">
        <v>-91</v>
      </c>
      <c r="H20" s="2">
        <v>-62</v>
      </c>
      <c r="I20" s="2">
        <v>-51</v>
      </c>
      <c r="J20" s="2">
        <v>-32</v>
      </c>
      <c r="K20" s="2">
        <v>-53</v>
      </c>
      <c r="L20" s="2">
        <v>-71</v>
      </c>
      <c r="M20" s="2">
        <v>-166</v>
      </c>
      <c r="N20" s="2">
        <v>-404</v>
      </c>
    </row>
    <row r="21" spans="1:14" x14ac:dyDescent="0.2">
      <c r="A21" t="s">
        <v>3</v>
      </c>
      <c r="C21" s="2">
        <v>-212637</v>
      </c>
      <c r="D21" s="2">
        <v>-268349</v>
      </c>
      <c r="E21" s="2">
        <v>-309833</v>
      </c>
      <c r="F21" s="2">
        <v>-300576</v>
      </c>
      <c r="G21" s="2">
        <v>-431816</v>
      </c>
      <c r="H21" s="2">
        <v>-452543</v>
      </c>
      <c r="I21" s="2">
        <v>-549187</v>
      </c>
      <c r="J21" s="2">
        <v>-325797</v>
      </c>
      <c r="K21" s="2">
        <v>-335152</v>
      </c>
      <c r="L21" s="2">
        <v>-589656</v>
      </c>
      <c r="M21" s="2">
        <v>-392297</v>
      </c>
      <c r="N21" s="2">
        <v>-447599</v>
      </c>
    </row>
    <row r="22" spans="1:14" x14ac:dyDescent="0.2">
      <c r="A22" t="s">
        <v>10</v>
      </c>
      <c r="C22" s="2">
        <v>-3169</v>
      </c>
      <c r="D22" s="2">
        <v>-23</v>
      </c>
      <c r="E22" s="2">
        <v>-2228</v>
      </c>
      <c r="F22" s="2"/>
      <c r="G22" s="2">
        <v>-23403</v>
      </c>
      <c r="H22" s="2">
        <v>-16027</v>
      </c>
      <c r="I22" s="2"/>
      <c r="J22" s="2">
        <v>-46276</v>
      </c>
      <c r="K22" s="2"/>
      <c r="L22" s="2">
        <v>-94251</v>
      </c>
      <c r="M22" s="2">
        <v>-150986</v>
      </c>
      <c r="N22" s="2">
        <v>-28451</v>
      </c>
    </row>
    <row r="23" spans="1:14" x14ac:dyDescent="0.2">
      <c r="A23" t="s">
        <v>11</v>
      </c>
      <c r="C23" s="2"/>
      <c r="D23" s="2">
        <v>-34931</v>
      </c>
      <c r="E23" s="2">
        <v>-24550</v>
      </c>
      <c r="F23" s="2">
        <v>-26214</v>
      </c>
      <c r="G23" s="2">
        <v>58665</v>
      </c>
      <c r="H23" s="2">
        <v>7746</v>
      </c>
      <c r="I23" s="2">
        <v>119008</v>
      </c>
      <c r="J23" s="2">
        <v>-38021</v>
      </c>
      <c r="K23" s="2">
        <v>-42038</v>
      </c>
      <c r="L23" s="2">
        <v>-40764</v>
      </c>
      <c r="M23" s="2">
        <v>-48137</v>
      </c>
      <c r="N23" s="2">
        <v>-57118</v>
      </c>
    </row>
    <row r="24" spans="1:14" x14ac:dyDescent="0.2"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</row>
    <row r="25" spans="1:14" x14ac:dyDescent="0.2"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</row>
    <row r="26" spans="1:14" ht="13.5" thickBot="1" x14ac:dyDescent="0.25">
      <c r="A26" t="s">
        <v>12</v>
      </c>
      <c r="C26" s="3">
        <f t="shared" ref="C26:N26" si="4">SUM(C18:C25)</f>
        <v>2752939</v>
      </c>
      <c r="D26" s="3">
        <f t="shared" si="4"/>
        <v>3231795</v>
      </c>
      <c r="E26" s="3">
        <f t="shared" si="4"/>
        <v>-776206</v>
      </c>
      <c r="F26" s="3">
        <f t="shared" si="4"/>
        <v>-8603716</v>
      </c>
      <c r="G26" s="3">
        <f t="shared" si="4"/>
        <v>-4249180</v>
      </c>
      <c r="H26" s="3">
        <f t="shared" si="4"/>
        <v>-1786910</v>
      </c>
      <c r="I26" s="3">
        <f t="shared" si="4"/>
        <v>16620279</v>
      </c>
      <c r="J26" s="3">
        <f t="shared" si="4"/>
        <v>-13114594</v>
      </c>
      <c r="K26" s="3">
        <f t="shared" si="4"/>
        <v>-8284027</v>
      </c>
      <c r="L26" s="3">
        <f t="shared" si="4"/>
        <v>20197655</v>
      </c>
      <c r="M26" s="3">
        <f t="shared" si="4"/>
        <v>-10927424</v>
      </c>
      <c r="N26" s="3">
        <f t="shared" si="4"/>
        <v>5007176</v>
      </c>
    </row>
    <row r="27" spans="1:14" ht="13.5" thickTop="1" x14ac:dyDescent="0.2">
      <c r="G27" s="2"/>
      <c r="H27" s="2"/>
      <c r="I27" s="2"/>
      <c r="J27" s="2"/>
      <c r="K27" s="2"/>
      <c r="L27" s="2"/>
      <c r="M27" s="2"/>
      <c r="N27" s="2"/>
    </row>
    <row r="28" spans="1:14" x14ac:dyDescent="0.2">
      <c r="G28" s="2"/>
      <c r="H28" s="2"/>
      <c r="I28" s="2"/>
      <c r="J28" s="2"/>
      <c r="K28" s="2"/>
      <c r="L28" s="2"/>
      <c r="M28" s="2"/>
      <c r="N28" s="2"/>
    </row>
    <row r="29" spans="1:14" x14ac:dyDescent="0.2">
      <c r="G29" s="2"/>
      <c r="H29" s="2"/>
      <c r="I29" s="2"/>
      <c r="J29" s="2"/>
      <c r="K29" s="2"/>
      <c r="L29" s="2"/>
      <c r="M29" s="2"/>
      <c r="N29" s="2"/>
    </row>
  </sheetData>
  <pageMargins left="0.27" right="0.35" top="1" bottom="1" header="0.5" footer="0.5"/>
  <pageSetup paperSize="5" scale="94" orientation="landscape" horizontalDpi="4294967292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9"/>
  <sheetViews>
    <sheetView workbookViewId="0">
      <pane xSplit="3735" ySplit="1560" topLeftCell="A9" activePane="bottomRight"/>
      <selection activeCell="C8" sqref="C8"/>
      <selection pane="topRight" activeCell="C8" sqref="C8"/>
      <selection pane="bottomLeft" activeCell="C8" sqref="C8"/>
      <selection pane="bottomRight" activeCell="C8" sqref="C8"/>
    </sheetView>
  </sheetViews>
  <sheetFormatPr defaultRowHeight="12.75" x14ac:dyDescent="0.2"/>
  <cols>
    <col min="1" max="1" width="10" customWidth="1"/>
    <col min="2" max="2" width="16.28515625" customWidth="1"/>
    <col min="3" max="7" width="11.85546875" customWidth="1"/>
    <col min="8" max="8" width="13.28515625" customWidth="1"/>
    <col min="9" max="9" width="12.28515625" customWidth="1"/>
    <col min="10" max="10" width="13.85546875" customWidth="1"/>
    <col min="11" max="11" width="14.42578125" customWidth="1"/>
    <col min="12" max="12" width="13.85546875" customWidth="1"/>
    <col min="13" max="13" width="14.42578125" customWidth="1"/>
    <col min="14" max="14" width="15.42578125" bestFit="1" customWidth="1"/>
  </cols>
  <sheetData>
    <row r="1" spans="1:16" x14ac:dyDescent="0.2">
      <c r="B1" s="5" t="s">
        <v>15</v>
      </c>
    </row>
    <row r="2" spans="1:16" x14ac:dyDescent="0.2">
      <c r="B2" s="5" t="s">
        <v>16</v>
      </c>
    </row>
    <row r="3" spans="1:16" x14ac:dyDescent="0.2">
      <c r="B3" s="5">
        <v>1999</v>
      </c>
    </row>
    <row r="5" spans="1:16" s="13" customFormat="1" x14ac:dyDescent="0.2">
      <c r="C5" s="14">
        <v>36161</v>
      </c>
      <c r="D5" s="14">
        <v>36192</v>
      </c>
      <c r="E5" s="14">
        <v>36220</v>
      </c>
      <c r="F5" s="14">
        <v>36251</v>
      </c>
      <c r="G5" s="14">
        <v>36281</v>
      </c>
      <c r="H5" s="14">
        <v>36312</v>
      </c>
      <c r="I5" s="14">
        <v>36342</v>
      </c>
      <c r="J5" s="14">
        <v>36373</v>
      </c>
      <c r="K5" s="14">
        <v>36404</v>
      </c>
      <c r="L5" s="14">
        <v>36434</v>
      </c>
      <c r="M5" s="14">
        <v>36465</v>
      </c>
      <c r="N5" s="14">
        <v>36495</v>
      </c>
    </row>
    <row r="6" spans="1:16" x14ac:dyDescent="0.2">
      <c r="G6" s="10"/>
      <c r="H6" s="10"/>
      <c r="I6" s="10"/>
      <c r="J6" s="10"/>
      <c r="K6" s="10"/>
      <c r="L6" s="10"/>
      <c r="M6" s="10"/>
      <c r="N6" s="10"/>
    </row>
    <row r="7" spans="1:16" x14ac:dyDescent="0.2">
      <c r="A7" t="s">
        <v>0</v>
      </c>
      <c r="C7" s="10">
        <v>-1674299.31</v>
      </c>
      <c r="D7" s="10">
        <v>1898908.56</v>
      </c>
      <c r="E7" s="10">
        <v>-835318.16</v>
      </c>
      <c r="F7" s="10">
        <v>465056.39</v>
      </c>
      <c r="G7" s="10">
        <v>669669.64</v>
      </c>
      <c r="H7" s="10">
        <v>-1791394.12</v>
      </c>
      <c r="I7" s="10">
        <f>-39152.22</f>
        <v>-39152.22</v>
      </c>
      <c r="J7" s="10">
        <v>2534323.94</v>
      </c>
      <c r="K7" s="10">
        <v>2193886.84</v>
      </c>
      <c r="L7" s="10">
        <v>2338580.6800000002</v>
      </c>
      <c r="M7" s="10">
        <v>3621490.71</v>
      </c>
      <c r="N7" s="10">
        <v>-3938321.81</v>
      </c>
      <c r="O7" s="10"/>
      <c r="P7" s="10"/>
    </row>
    <row r="8" spans="1:16" x14ac:dyDescent="0.2">
      <c r="A8" t="s">
        <v>1</v>
      </c>
      <c r="C8" s="10">
        <v>11299.72</v>
      </c>
      <c r="D8" s="10">
        <v>7486.06</v>
      </c>
      <c r="E8" s="10">
        <v>-24921.73</v>
      </c>
      <c r="F8" s="10">
        <v>-15234.93</v>
      </c>
      <c r="G8" s="10">
        <v>20905.87</v>
      </c>
      <c r="H8" s="10">
        <v>15733.27</v>
      </c>
      <c r="I8" s="10">
        <v>171742.24</v>
      </c>
      <c r="J8" s="10">
        <v>4081.33</v>
      </c>
      <c r="K8" s="10">
        <v>-1874.42</v>
      </c>
      <c r="L8" s="10">
        <v>0</v>
      </c>
      <c r="M8" s="10">
        <v>46031.12</v>
      </c>
      <c r="N8" s="10">
        <v>-124830.29</v>
      </c>
      <c r="O8" s="10"/>
      <c r="P8" s="10"/>
    </row>
    <row r="9" spans="1:16" ht="13.5" thickBot="1" x14ac:dyDescent="0.25">
      <c r="C9" s="11">
        <f t="shared" ref="C9:N9" si="0">+C7-C8</f>
        <v>-1685599.03</v>
      </c>
      <c r="D9" s="11">
        <f t="shared" si="0"/>
        <v>1891422.5</v>
      </c>
      <c r="E9" s="11">
        <f t="shared" si="0"/>
        <v>-810396.43</v>
      </c>
      <c r="F9" s="11">
        <f t="shared" si="0"/>
        <v>480291.32</v>
      </c>
      <c r="G9" s="11">
        <f t="shared" si="0"/>
        <v>648763.77</v>
      </c>
      <c r="H9" s="11">
        <f t="shared" si="0"/>
        <v>-1807127.3900000001</v>
      </c>
      <c r="I9" s="11">
        <f t="shared" si="0"/>
        <v>-210894.46</v>
      </c>
      <c r="J9" s="11">
        <f t="shared" si="0"/>
        <v>2530242.61</v>
      </c>
      <c r="K9" s="11">
        <f t="shared" si="0"/>
        <v>2195761.2599999998</v>
      </c>
      <c r="L9" s="11">
        <f t="shared" si="0"/>
        <v>2338580.6800000002</v>
      </c>
      <c r="M9" s="11">
        <f t="shared" si="0"/>
        <v>3575459.59</v>
      </c>
      <c r="N9" s="11">
        <f t="shared" si="0"/>
        <v>-3813491.52</v>
      </c>
    </row>
    <row r="10" spans="1:16" ht="13.5" thickTop="1" x14ac:dyDescent="0.2">
      <c r="A10" t="s">
        <v>7</v>
      </c>
      <c r="G10" s="10"/>
      <c r="H10" s="10"/>
      <c r="I10" s="10"/>
      <c r="J10" s="10"/>
      <c r="K10" s="10"/>
      <c r="L10" s="10"/>
      <c r="M10" s="10"/>
      <c r="N10" s="10"/>
    </row>
    <row r="11" spans="1:16" x14ac:dyDescent="0.2">
      <c r="A11" t="s">
        <v>8</v>
      </c>
      <c r="C11" s="2">
        <v>1135366.76</v>
      </c>
      <c r="D11" s="2">
        <v>-1281881.5</v>
      </c>
      <c r="E11" s="2">
        <v>-875476.85</v>
      </c>
      <c r="F11" s="2">
        <v>1006398</v>
      </c>
      <c r="G11" s="10">
        <v>2170792.9900000002</v>
      </c>
      <c r="H11" s="10">
        <v>-605632.25</v>
      </c>
      <c r="I11" s="10">
        <v>793728.45</v>
      </c>
      <c r="J11" s="10">
        <v>6280583.5300000003</v>
      </c>
      <c r="K11" s="10">
        <v>1748120.32</v>
      </c>
      <c r="L11" s="10">
        <v>849091.01</v>
      </c>
      <c r="M11" s="10">
        <v>1598997.97</v>
      </c>
      <c r="N11" s="10">
        <v>-4303233.6100000003</v>
      </c>
    </row>
    <row r="12" spans="1:16" x14ac:dyDescent="0.2">
      <c r="A12" t="s">
        <v>5</v>
      </c>
      <c r="C12" s="10">
        <f t="shared" ref="C12:M12" si="1">-D11</f>
        <v>1281881.5</v>
      </c>
      <c r="D12" s="10">
        <f t="shared" si="1"/>
        <v>875476.85</v>
      </c>
      <c r="E12" s="10">
        <f t="shared" si="1"/>
        <v>-1006398</v>
      </c>
      <c r="F12" s="10">
        <f t="shared" si="1"/>
        <v>-2170792.9900000002</v>
      </c>
      <c r="G12" s="10">
        <f t="shared" si="1"/>
        <v>605632.25</v>
      </c>
      <c r="H12" s="10">
        <f t="shared" si="1"/>
        <v>-793728.45</v>
      </c>
      <c r="I12" s="10">
        <f t="shared" si="1"/>
        <v>-6280583.5300000003</v>
      </c>
      <c r="J12" s="10">
        <f t="shared" si="1"/>
        <v>-1748120.32</v>
      </c>
      <c r="K12" s="10">
        <f t="shared" si="1"/>
        <v>-849091.01</v>
      </c>
      <c r="L12" s="10">
        <f t="shared" si="1"/>
        <v>-1598997.97</v>
      </c>
      <c r="M12" s="10">
        <f t="shared" si="1"/>
        <v>4303233.6100000003</v>
      </c>
      <c r="N12" s="10">
        <v>-3699823.4</v>
      </c>
    </row>
    <row r="13" spans="1:16" x14ac:dyDescent="0.2">
      <c r="A13" t="s">
        <v>6</v>
      </c>
      <c r="C13" s="7">
        <v>-1944194.16</v>
      </c>
      <c r="D13" s="8">
        <v>2262728.0299999998</v>
      </c>
      <c r="E13" s="8">
        <v>68652.77</v>
      </c>
      <c r="F13" s="8">
        <v>-351679.43</v>
      </c>
      <c r="G13" s="8">
        <v>-1498265.38</v>
      </c>
      <c r="H13" s="12">
        <v>-1119370.25</v>
      </c>
      <c r="I13" s="12">
        <f>-479773.09+113614.27</f>
        <v>-366158.82</v>
      </c>
      <c r="J13" s="12">
        <v>-3245149</v>
      </c>
      <c r="K13" s="12">
        <v>-1746514.32</v>
      </c>
      <c r="L13" s="12">
        <v>3090183.93</v>
      </c>
      <c r="M13" s="12">
        <v>1118690.45</v>
      </c>
      <c r="N13" s="12">
        <v>601155.66</v>
      </c>
    </row>
    <row r="14" spans="1:16" x14ac:dyDescent="0.2">
      <c r="A14" t="s">
        <v>9</v>
      </c>
      <c r="C14" s="4">
        <f t="shared" ref="C14:N14" si="2">SUM(C11:C13)</f>
        <v>473054.09999999986</v>
      </c>
      <c r="D14" s="4">
        <f t="shared" si="2"/>
        <v>1856323.38</v>
      </c>
      <c r="E14" s="4">
        <f t="shared" si="2"/>
        <v>-1813222.08</v>
      </c>
      <c r="F14" s="4">
        <f t="shared" si="2"/>
        <v>-1516074.4200000002</v>
      </c>
      <c r="G14" s="4">
        <f t="shared" si="2"/>
        <v>1278159.8600000003</v>
      </c>
      <c r="H14" s="4">
        <f t="shared" si="2"/>
        <v>-2518730.9500000002</v>
      </c>
      <c r="I14" s="4">
        <f t="shared" si="2"/>
        <v>-5853013.9000000004</v>
      </c>
      <c r="J14" s="4">
        <f t="shared" si="2"/>
        <v>1287314.21</v>
      </c>
      <c r="K14" s="4">
        <f t="shared" si="2"/>
        <v>-847485.01</v>
      </c>
      <c r="L14" s="4">
        <f t="shared" si="2"/>
        <v>2340276.9700000002</v>
      </c>
      <c r="M14" s="4">
        <f t="shared" si="2"/>
        <v>7020922.0300000003</v>
      </c>
      <c r="N14" s="4">
        <f t="shared" si="2"/>
        <v>-7401901.3499999996</v>
      </c>
    </row>
    <row r="15" spans="1:16" ht="13.5" thickBot="1" x14ac:dyDescent="0.25">
      <c r="A15" t="s">
        <v>13</v>
      </c>
      <c r="C15" s="11">
        <f t="shared" ref="C15:N15" si="3">+C9-C14</f>
        <v>-2158653.13</v>
      </c>
      <c r="D15" s="11">
        <f t="shared" si="3"/>
        <v>35099.120000000112</v>
      </c>
      <c r="E15" s="11">
        <f t="shared" si="3"/>
        <v>1002825.65</v>
      </c>
      <c r="F15" s="11">
        <f t="shared" si="3"/>
        <v>1996365.7400000002</v>
      </c>
      <c r="G15" s="11">
        <f t="shared" si="3"/>
        <v>-629396.09000000032</v>
      </c>
      <c r="H15" s="11">
        <f t="shared" si="3"/>
        <v>711603.56</v>
      </c>
      <c r="I15" s="11">
        <f t="shared" si="3"/>
        <v>5642119.4400000004</v>
      </c>
      <c r="J15" s="11">
        <f t="shared" si="3"/>
        <v>1242928.3999999999</v>
      </c>
      <c r="K15" s="11">
        <f t="shared" si="3"/>
        <v>3043246.2699999996</v>
      </c>
      <c r="L15" s="11">
        <f t="shared" si="3"/>
        <v>-1696.2900000000373</v>
      </c>
      <c r="M15" s="11">
        <f t="shared" si="3"/>
        <v>-3445462.4400000004</v>
      </c>
      <c r="N15" s="11">
        <f t="shared" si="3"/>
        <v>3588409.8299999996</v>
      </c>
    </row>
    <row r="16" spans="1:16" ht="13.5" thickTop="1" x14ac:dyDescent="0.2"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</row>
    <row r="17" spans="1:14" x14ac:dyDescent="0.2">
      <c r="G17" s="10"/>
      <c r="H17" s="10"/>
      <c r="I17" s="10"/>
      <c r="J17" s="10"/>
      <c r="K17" s="10"/>
      <c r="L17" s="10"/>
      <c r="M17" s="10"/>
      <c r="N17" s="10"/>
    </row>
    <row r="18" spans="1:14" x14ac:dyDescent="0.2">
      <c r="A18" t="s">
        <v>4</v>
      </c>
      <c r="C18" s="10">
        <v>2159310</v>
      </c>
      <c r="D18" s="10">
        <v>-35099</v>
      </c>
      <c r="E18" s="10">
        <v>-1002826</v>
      </c>
      <c r="F18" s="10">
        <v>-1996366</v>
      </c>
      <c r="G18" s="10">
        <v>629396</v>
      </c>
      <c r="H18" s="10">
        <v>-711604</v>
      </c>
      <c r="I18" s="10">
        <v>-5642119</v>
      </c>
      <c r="J18" s="10">
        <v>-1242928</v>
      </c>
      <c r="K18" s="10">
        <v>-3043246</v>
      </c>
      <c r="L18" s="10">
        <v>1696</v>
      </c>
      <c r="M18" s="10">
        <v>3445462</v>
      </c>
      <c r="N18" s="10">
        <v>-3588410</v>
      </c>
    </row>
    <row r="19" spans="1:14" x14ac:dyDescent="0.2">
      <c r="A19" t="s">
        <v>2</v>
      </c>
      <c r="C19" s="10">
        <v>53442</v>
      </c>
      <c r="D19" s="10"/>
      <c r="E19" s="10"/>
      <c r="F19" s="10"/>
      <c r="G19" s="10"/>
      <c r="H19" s="10"/>
      <c r="I19" s="10"/>
      <c r="J19" s="10">
        <v>443505</v>
      </c>
      <c r="K19" s="10">
        <v>2505370</v>
      </c>
      <c r="L19" s="10">
        <v>-5344</v>
      </c>
      <c r="M19" s="10">
        <v>9126900</v>
      </c>
      <c r="N19" s="10">
        <v>2909366</v>
      </c>
    </row>
    <row r="20" spans="1:14" x14ac:dyDescent="0.2">
      <c r="A20" t="s">
        <v>3</v>
      </c>
      <c r="C20" s="10">
        <v>-124156</v>
      </c>
      <c r="D20" s="10">
        <v>-165</v>
      </c>
      <c r="E20" s="10">
        <v>-456381</v>
      </c>
      <c r="F20" s="10">
        <v>-1638640</v>
      </c>
      <c r="G20" s="10">
        <v>-27725</v>
      </c>
      <c r="H20" s="10">
        <v>-213014</v>
      </c>
      <c r="I20" s="10">
        <v>-32</v>
      </c>
      <c r="J20" s="10">
        <v>-71</v>
      </c>
      <c r="K20" s="10">
        <v>-33</v>
      </c>
      <c r="L20" s="10"/>
      <c r="M20" s="10">
        <v>-112</v>
      </c>
      <c r="N20" s="10">
        <v>-153</v>
      </c>
    </row>
    <row r="21" spans="1:14" x14ac:dyDescent="0.2">
      <c r="A21" t="s">
        <v>3</v>
      </c>
      <c r="C21" s="10">
        <v>-160559</v>
      </c>
      <c r="D21" s="10">
        <v>-241931</v>
      </c>
      <c r="E21" s="10">
        <v>-182488</v>
      </c>
      <c r="F21" s="10">
        <v>-197598</v>
      </c>
      <c r="G21" s="10">
        <v>-216500</v>
      </c>
      <c r="H21" s="10">
        <v>-318281</v>
      </c>
      <c r="I21" s="10">
        <v>58832</v>
      </c>
      <c r="J21" s="10">
        <v>-192999</v>
      </c>
      <c r="K21" s="10">
        <v>-257602</v>
      </c>
      <c r="L21" s="10">
        <v>-233133</v>
      </c>
      <c r="M21" s="10">
        <v>-231407</v>
      </c>
      <c r="N21" s="10">
        <v>-218604</v>
      </c>
    </row>
    <row r="22" spans="1:14" x14ac:dyDescent="0.2">
      <c r="A22" t="s">
        <v>10</v>
      </c>
      <c r="C22" s="10">
        <v>-2308</v>
      </c>
      <c r="D22" s="10">
        <v>-74361</v>
      </c>
      <c r="E22" s="10">
        <v>-896</v>
      </c>
      <c r="F22" s="10">
        <v>-353</v>
      </c>
      <c r="G22" s="10">
        <v>-14360</v>
      </c>
      <c r="H22" s="10">
        <v>-22156</v>
      </c>
      <c r="I22" s="10">
        <v>-18179</v>
      </c>
      <c r="J22" s="10">
        <v>-47503</v>
      </c>
      <c r="K22" s="10">
        <v>-21075</v>
      </c>
      <c r="L22" s="10">
        <v>-28916</v>
      </c>
      <c r="M22" s="10"/>
      <c r="N22" s="10">
        <v>-145177</v>
      </c>
    </row>
    <row r="23" spans="1:14" x14ac:dyDescent="0.2">
      <c r="A23" t="s">
        <v>11</v>
      </c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>
        <v>-459806</v>
      </c>
      <c r="N23" s="10">
        <v>-126</v>
      </c>
    </row>
    <row r="24" spans="1:14" x14ac:dyDescent="0.2">
      <c r="A24" t="s">
        <v>14</v>
      </c>
      <c r="C24" s="10"/>
      <c r="D24" s="10"/>
      <c r="E24" s="10"/>
      <c r="F24" s="10"/>
      <c r="G24" s="10">
        <v>51101</v>
      </c>
      <c r="H24" s="10">
        <v>11259</v>
      </c>
      <c r="I24" s="10">
        <v>150</v>
      </c>
      <c r="J24" s="10"/>
      <c r="K24" s="10"/>
      <c r="L24" s="10"/>
      <c r="M24" s="10">
        <v>-8583</v>
      </c>
      <c r="N24" s="10"/>
    </row>
    <row r="25" spans="1:14" x14ac:dyDescent="0.2"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</row>
    <row r="26" spans="1:14" ht="13.5" thickBot="1" x14ac:dyDescent="0.25">
      <c r="A26" t="s">
        <v>12</v>
      </c>
      <c r="C26" s="11">
        <f t="shared" ref="C26:N26" si="4">SUM(C18:C25)</f>
        <v>1925729</v>
      </c>
      <c r="D26" s="11">
        <f t="shared" si="4"/>
        <v>-351556</v>
      </c>
      <c r="E26" s="11">
        <f t="shared" si="4"/>
        <v>-1642591</v>
      </c>
      <c r="F26" s="11">
        <f t="shared" si="4"/>
        <v>-3832957</v>
      </c>
      <c r="G26" s="11">
        <f t="shared" si="4"/>
        <v>421912</v>
      </c>
      <c r="H26" s="11">
        <f t="shared" si="4"/>
        <v>-1253796</v>
      </c>
      <c r="I26" s="11">
        <f t="shared" si="4"/>
        <v>-5601348</v>
      </c>
      <c r="J26" s="11">
        <f t="shared" si="4"/>
        <v>-1039996</v>
      </c>
      <c r="K26" s="11">
        <f t="shared" si="4"/>
        <v>-816586</v>
      </c>
      <c r="L26" s="11">
        <f t="shared" si="4"/>
        <v>-265697</v>
      </c>
      <c r="M26" s="11">
        <f t="shared" si="4"/>
        <v>11872454</v>
      </c>
      <c r="N26" s="11">
        <f t="shared" si="4"/>
        <v>-1043104</v>
      </c>
    </row>
    <row r="27" spans="1:14" ht="13.5" thickTop="1" x14ac:dyDescent="0.2">
      <c r="G27" s="10"/>
      <c r="H27" s="10"/>
      <c r="I27" s="10"/>
      <c r="J27" s="10"/>
      <c r="K27" s="10"/>
      <c r="L27" s="10"/>
      <c r="M27" s="10"/>
      <c r="N27" s="10"/>
    </row>
    <row r="28" spans="1:14" x14ac:dyDescent="0.2">
      <c r="G28" s="10"/>
      <c r="H28" s="10"/>
      <c r="I28" s="10"/>
      <c r="J28" s="10"/>
      <c r="K28" s="10"/>
      <c r="L28" s="10"/>
      <c r="M28" s="10"/>
      <c r="N28" s="10"/>
    </row>
    <row r="29" spans="1:14" x14ac:dyDescent="0.2">
      <c r="G29" s="10"/>
      <c r="H29" s="10"/>
      <c r="I29" s="10"/>
      <c r="J29" s="10"/>
      <c r="K29" s="10"/>
      <c r="L29" s="10"/>
      <c r="M29" s="10"/>
      <c r="N29" s="10"/>
    </row>
  </sheetData>
  <pageMargins left="0.37" right="0.33" top="1" bottom="1" header="0.5" footer="0.5"/>
  <pageSetup paperSize="5" scale="94" orientation="landscape" horizontalDpi="4294967292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0"/>
  <sheetViews>
    <sheetView topLeftCell="A2" workbookViewId="0">
      <pane xSplit="3735" ySplit="1560" topLeftCell="A12" activePane="bottomRight"/>
      <selection activeCell="C8" sqref="C8"/>
      <selection pane="topRight" activeCell="C8" sqref="C8"/>
      <selection pane="bottomLeft" activeCell="C8" sqref="C8"/>
      <selection pane="bottomRight" activeCell="C8" sqref="C8"/>
    </sheetView>
  </sheetViews>
  <sheetFormatPr defaultRowHeight="12.75" x14ac:dyDescent="0.2"/>
  <cols>
    <col min="1" max="1" width="10" customWidth="1"/>
    <col min="2" max="2" width="16.28515625" customWidth="1"/>
    <col min="3" max="7" width="11.85546875" customWidth="1"/>
    <col min="8" max="8" width="13.28515625" customWidth="1"/>
    <col min="9" max="9" width="12.28515625" customWidth="1"/>
    <col min="10" max="10" width="13.85546875" customWidth="1"/>
    <col min="11" max="11" width="14.42578125" customWidth="1"/>
    <col min="12" max="12" width="13.85546875" customWidth="1"/>
    <col min="13" max="13" width="14.42578125" customWidth="1"/>
    <col min="14" max="14" width="15.42578125" bestFit="1" customWidth="1"/>
  </cols>
  <sheetData>
    <row r="1" spans="1:16" x14ac:dyDescent="0.2">
      <c r="B1" s="5" t="s">
        <v>15</v>
      </c>
    </row>
    <row r="2" spans="1:16" x14ac:dyDescent="0.2">
      <c r="B2" s="5" t="s">
        <v>16</v>
      </c>
    </row>
    <row r="3" spans="1:16" x14ac:dyDescent="0.2">
      <c r="B3" s="5">
        <v>1998</v>
      </c>
    </row>
    <row r="5" spans="1:16" s="13" customFormat="1" x14ac:dyDescent="0.2">
      <c r="C5" s="14">
        <v>35796</v>
      </c>
      <c r="D5" s="14">
        <v>35827</v>
      </c>
      <c r="E5" s="14">
        <v>35855</v>
      </c>
      <c r="F5" s="14">
        <v>35886</v>
      </c>
      <c r="G5" s="14">
        <v>35916</v>
      </c>
      <c r="H5" s="14">
        <v>35947</v>
      </c>
      <c r="I5" s="14">
        <v>35977</v>
      </c>
      <c r="J5" s="14">
        <v>36008</v>
      </c>
      <c r="K5" s="14">
        <v>36039</v>
      </c>
      <c r="L5" s="14">
        <v>36069</v>
      </c>
      <c r="M5" s="14">
        <v>36100</v>
      </c>
      <c r="N5" s="14">
        <v>36130</v>
      </c>
    </row>
    <row r="6" spans="1:16" x14ac:dyDescent="0.2">
      <c r="G6" s="10"/>
      <c r="H6" s="10"/>
      <c r="I6" s="10"/>
      <c r="J6" s="10"/>
      <c r="K6" s="10"/>
      <c r="L6" s="10"/>
      <c r="M6" s="10"/>
      <c r="N6" s="10"/>
    </row>
    <row r="7" spans="1:16" x14ac:dyDescent="0.2">
      <c r="A7" t="s">
        <v>0</v>
      </c>
      <c r="C7" s="10">
        <f>-747799.71-4632.06</f>
        <v>-752431.77</v>
      </c>
      <c r="D7" s="10">
        <v>-161977.45000000001</v>
      </c>
      <c r="E7" s="10">
        <f>-1384760.87+18984.87</f>
        <v>-1365776</v>
      </c>
      <c r="F7" s="10">
        <v>-3146901.79</v>
      </c>
      <c r="G7" s="10">
        <v>1879087.06</v>
      </c>
      <c r="H7" s="10">
        <v>-1197914.68</v>
      </c>
      <c r="I7" s="10">
        <f>529780.14+22453.69</f>
        <v>552233.82999999996</v>
      </c>
      <c r="J7" s="10">
        <v>-90311.41</v>
      </c>
      <c r="K7" s="10">
        <v>-1657404.04</v>
      </c>
      <c r="L7" s="10">
        <v>4515776.3600000003</v>
      </c>
      <c r="M7" s="10">
        <v>3386175</v>
      </c>
      <c r="N7" s="10">
        <v>-3954249.99</v>
      </c>
      <c r="O7" s="10"/>
      <c r="P7" s="10"/>
    </row>
    <row r="8" spans="1:16" x14ac:dyDescent="0.2">
      <c r="A8" t="s">
        <v>1</v>
      </c>
      <c r="C8" s="10">
        <v>0</v>
      </c>
      <c r="D8" s="10">
        <v>31984</v>
      </c>
      <c r="E8" s="10">
        <v>-72.61</v>
      </c>
      <c r="F8" s="10">
        <v>0.36</v>
      </c>
      <c r="G8" s="10">
        <v>2940.32</v>
      </c>
      <c r="H8" s="10"/>
      <c r="I8" s="10">
        <v>-219679.05</v>
      </c>
      <c r="J8" s="10">
        <v>0.18</v>
      </c>
      <c r="K8" s="10">
        <v>-4</v>
      </c>
      <c r="L8" s="10">
        <v>-131.85</v>
      </c>
      <c r="M8" s="10">
        <v>20.21</v>
      </c>
      <c r="N8" s="10">
        <v>5393.66</v>
      </c>
      <c r="O8" s="10"/>
      <c r="P8" s="10"/>
    </row>
    <row r="9" spans="1:16" ht="13.5" thickBot="1" x14ac:dyDescent="0.25">
      <c r="B9" t="s">
        <v>24</v>
      </c>
      <c r="C9" s="11">
        <f t="shared" ref="C9:N9" si="0">+C7-C8</f>
        <v>-752431.77</v>
      </c>
      <c r="D9" s="11">
        <f t="shared" si="0"/>
        <v>-193961.45</v>
      </c>
      <c r="E9" s="11">
        <f t="shared" si="0"/>
        <v>-1365703.39</v>
      </c>
      <c r="F9" s="11">
        <f t="shared" si="0"/>
        <v>-3146902.15</v>
      </c>
      <c r="G9" s="11">
        <f t="shared" si="0"/>
        <v>1876146.74</v>
      </c>
      <c r="H9" s="11">
        <f t="shared" si="0"/>
        <v>-1197914.68</v>
      </c>
      <c r="I9" s="11">
        <f t="shared" si="0"/>
        <v>771912.87999999989</v>
      </c>
      <c r="J9" s="11">
        <f t="shared" si="0"/>
        <v>-90311.59</v>
      </c>
      <c r="K9" s="11">
        <f t="shared" si="0"/>
        <v>-1657400.04</v>
      </c>
      <c r="L9" s="11">
        <f t="shared" si="0"/>
        <v>4515908.21</v>
      </c>
      <c r="M9" s="11">
        <f t="shared" si="0"/>
        <v>3386154.79</v>
      </c>
      <c r="N9" s="11">
        <f t="shared" si="0"/>
        <v>-3959643.6500000004</v>
      </c>
    </row>
    <row r="10" spans="1:16" ht="13.5" thickTop="1" x14ac:dyDescent="0.2">
      <c r="A10" t="s">
        <v>7</v>
      </c>
      <c r="G10" s="10"/>
      <c r="H10" s="10"/>
      <c r="I10" s="10"/>
      <c r="J10" s="10"/>
      <c r="K10" s="10"/>
      <c r="L10" s="10"/>
      <c r="M10" s="10"/>
      <c r="N10" s="10"/>
    </row>
    <row r="11" spans="1:16" x14ac:dyDescent="0.2">
      <c r="A11" t="s">
        <v>8</v>
      </c>
      <c r="C11" s="10">
        <v>-548239.29</v>
      </c>
      <c r="D11" s="10">
        <v>-2170359.0499999998</v>
      </c>
      <c r="E11" s="10">
        <v>-2318865.41</v>
      </c>
      <c r="F11" s="10">
        <v>2587644.34</v>
      </c>
      <c r="G11" s="10">
        <v>-786634.34</v>
      </c>
      <c r="H11" s="10">
        <v>-5431041.5800000001</v>
      </c>
      <c r="I11" s="10">
        <v>4672421.37</v>
      </c>
      <c r="J11" s="10">
        <v>1177568.5900000001</v>
      </c>
      <c r="K11" s="10">
        <v>561282.98</v>
      </c>
      <c r="L11" s="10">
        <v>1869539.68</v>
      </c>
      <c r="M11" s="10">
        <v>-359207.59</v>
      </c>
      <c r="N11" s="10">
        <v>-3748867.3</v>
      </c>
    </row>
    <row r="12" spans="1:16" x14ac:dyDescent="0.2">
      <c r="A12" t="s">
        <v>5</v>
      </c>
      <c r="C12" s="10">
        <f t="shared" ref="C12:M12" si="1">-D11</f>
        <v>2170359.0499999998</v>
      </c>
      <c r="D12" s="10">
        <v>2318865.5099999998</v>
      </c>
      <c r="E12" s="10">
        <f t="shared" si="1"/>
        <v>-2587644.34</v>
      </c>
      <c r="F12" s="10">
        <f t="shared" si="1"/>
        <v>786634.34</v>
      </c>
      <c r="G12" s="10">
        <f t="shared" si="1"/>
        <v>5431041.5800000001</v>
      </c>
      <c r="H12" s="10">
        <f t="shared" si="1"/>
        <v>-4672421.37</v>
      </c>
      <c r="I12" s="10">
        <f t="shared" si="1"/>
        <v>-1177568.5900000001</v>
      </c>
      <c r="J12" s="10">
        <f t="shared" si="1"/>
        <v>-561282.98</v>
      </c>
      <c r="K12" s="10">
        <f t="shared" si="1"/>
        <v>-1869539.68</v>
      </c>
      <c r="L12" s="10">
        <f t="shared" si="1"/>
        <v>359207.59</v>
      </c>
      <c r="M12" s="10">
        <f t="shared" si="1"/>
        <v>3748867.3</v>
      </c>
      <c r="N12" s="10">
        <v>-1135366.76</v>
      </c>
    </row>
    <row r="13" spans="1:16" x14ac:dyDescent="0.2">
      <c r="A13" t="s">
        <v>25</v>
      </c>
      <c r="C13" s="10"/>
      <c r="D13" s="10">
        <v>229441.68</v>
      </c>
      <c r="E13" s="10">
        <v>426769.03</v>
      </c>
      <c r="F13" s="10"/>
      <c r="G13" s="10"/>
      <c r="H13" s="10">
        <v>-75910</v>
      </c>
      <c r="I13" s="10"/>
      <c r="J13" s="10"/>
      <c r="K13" s="10"/>
      <c r="L13" s="10"/>
      <c r="M13" s="10"/>
      <c r="N13" s="10"/>
    </row>
    <row r="14" spans="1:16" x14ac:dyDescent="0.2">
      <c r="A14" t="s">
        <v>6</v>
      </c>
      <c r="C14" s="12">
        <v>-3754116.25</v>
      </c>
      <c r="D14" s="8">
        <v>1561652.83</v>
      </c>
      <c r="E14" s="8">
        <f>-198121.08-50970.72-1547392.05</f>
        <v>-1796483.85</v>
      </c>
      <c r="F14" s="8">
        <v>-8109927</v>
      </c>
      <c r="G14" s="8">
        <v>318007.59999999998</v>
      </c>
      <c r="H14" s="12">
        <v>5761084.8399999999</v>
      </c>
      <c r="I14" s="12">
        <v>-2523195.2999999998</v>
      </c>
      <c r="J14" s="12">
        <v>-2040429.15</v>
      </c>
      <c r="K14" s="12">
        <v>-2296153.7599999998</v>
      </c>
      <c r="L14" s="12">
        <v>1625821.73</v>
      </c>
      <c r="M14" s="12">
        <v>4222536.41</v>
      </c>
      <c r="N14" s="12">
        <v>-156508.5</v>
      </c>
    </row>
    <row r="15" spans="1:16" x14ac:dyDescent="0.2">
      <c r="A15" t="s">
        <v>9</v>
      </c>
      <c r="C15" s="4">
        <f t="shared" ref="C15:N15" si="2">SUM(C11:C14)</f>
        <v>-2131996.4900000002</v>
      </c>
      <c r="D15" s="4">
        <f t="shared" si="2"/>
        <v>1939600.97</v>
      </c>
      <c r="E15" s="4">
        <f t="shared" si="2"/>
        <v>-6276224.5700000003</v>
      </c>
      <c r="F15" s="4">
        <f t="shared" si="2"/>
        <v>-4735648.32</v>
      </c>
      <c r="G15" s="4">
        <f t="shared" si="2"/>
        <v>4962414.84</v>
      </c>
      <c r="H15" s="4">
        <f t="shared" si="2"/>
        <v>-4418288.1099999994</v>
      </c>
      <c r="I15" s="4">
        <f t="shared" si="2"/>
        <v>971657.48000000045</v>
      </c>
      <c r="J15" s="4">
        <f t="shared" si="2"/>
        <v>-1424143.5399999998</v>
      </c>
      <c r="K15" s="4">
        <f t="shared" si="2"/>
        <v>-3604410.46</v>
      </c>
      <c r="L15" s="4">
        <f t="shared" si="2"/>
        <v>3854569</v>
      </c>
      <c r="M15" s="4">
        <f t="shared" si="2"/>
        <v>7612196.1200000001</v>
      </c>
      <c r="N15" s="4">
        <f t="shared" si="2"/>
        <v>-5040742.5599999996</v>
      </c>
    </row>
    <row r="16" spans="1:16" ht="13.5" thickBot="1" x14ac:dyDescent="0.25">
      <c r="A16" t="s">
        <v>13</v>
      </c>
      <c r="C16" s="11">
        <f t="shared" ref="C16:N16" si="3">+C9-C15</f>
        <v>1379564.7200000002</v>
      </c>
      <c r="D16" s="11">
        <f t="shared" si="3"/>
        <v>-2133562.42</v>
      </c>
      <c r="E16" s="11">
        <f t="shared" si="3"/>
        <v>4910521.1800000006</v>
      </c>
      <c r="F16" s="11">
        <f t="shared" si="3"/>
        <v>1588746.1700000004</v>
      </c>
      <c r="G16" s="11">
        <f t="shared" si="3"/>
        <v>-3086268.0999999996</v>
      </c>
      <c r="H16" s="11">
        <f t="shared" si="3"/>
        <v>3220373.4299999997</v>
      </c>
      <c r="I16" s="11">
        <f t="shared" si="3"/>
        <v>-199744.60000000056</v>
      </c>
      <c r="J16" s="11">
        <f t="shared" si="3"/>
        <v>1333831.9499999997</v>
      </c>
      <c r="K16" s="11">
        <f t="shared" si="3"/>
        <v>1947010.42</v>
      </c>
      <c r="L16" s="11">
        <f t="shared" si="3"/>
        <v>661339.21</v>
      </c>
      <c r="M16" s="11">
        <f t="shared" si="3"/>
        <v>-4226041.33</v>
      </c>
      <c r="N16" s="11">
        <f t="shared" si="3"/>
        <v>1081098.9099999992</v>
      </c>
    </row>
    <row r="17" spans="1:14" ht="13.5" thickTop="1" x14ac:dyDescent="0.2">
      <c r="C17" s="4">
        <f>+C16+C19</f>
        <v>0.72000000020489097</v>
      </c>
      <c r="D17" s="4">
        <f>+D16+D19</f>
        <v>-1.4199999999254942</v>
      </c>
      <c r="E17" s="4">
        <f t="shared" ref="E17:N17" si="4">+E16+E19</f>
        <v>-1458.8199999993667</v>
      </c>
      <c r="F17" s="4">
        <f t="shared" si="4"/>
        <v>-30.829999999608845</v>
      </c>
      <c r="G17" s="4">
        <f t="shared" si="4"/>
        <v>29.900000000372529</v>
      </c>
      <c r="H17" s="4">
        <f t="shared" si="4"/>
        <v>-0.57000000029802322</v>
      </c>
      <c r="I17" s="4">
        <f t="shared" si="4"/>
        <v>0.39999999944120646</v>
      </c>
      <c r="J17" s="4">
        <f t="shared" si="4"/>
        <v>-5.0000000279396772E-2</v>
      </c>
      <c r="K17" s="4">
        <f t="shared" si="4"/>
        <v>0.41999999992549419</v>
      </c>
      <c r="L17" s="4">
        <f t="shared" si="4"/>
        <v>0.2099999999627471</v>
      </c>
      <c r="M17" s="4">
        <f t="shared" si="4"/>
        <v>-0.33000000007450581</v>
      </c>
      <c r="N17" s="4">
        <f t="shared" si="4"/>
        <v>-9.0000000782310963E-2</v>
      </c>
    </row>
    <row r="18" spans="1:14" x14ac:dyDescent="0.2">
      <c r="G18" s="10"/>
      <c r="H18" s="10"/>
      <c r="I18" s="10"/>
      <c r="J18" s="10"/>
      <c r="K18" s="10"/>
      <c r="L18" s="10"/>
      <c r="M18" s="10"/>
      <c r="N18" s="10"/>
    </row>
    <row r="19" spans="1:14" x14ac:dyDescent="0.2">
      <c r="A19" t="s">
        <v>4</v>
      </c>
      <c r="C19" s="10">
        <v>-1379564</v>
      </c>
      <c r="D19" s="10">
        <v>2133561</v>
      </c>
      <c r="E19" s="10">
        <v>-4911980</v>
      </c>
      <c r="F19" s="10">
        <v>-1588777</v>
      </c>
      <c r="G19" s="10">
        <v>3086298</v>
      </c>
      <c r="H19" s="10">
        <v>-3220374</v>
      </c>
      <c r="I19" s="10">
        <v>199745</v>
      </c>
      <c r="J19" s="10">
        <v>-1333832</v>
      </c>
      <c r="K19" s="10">
        <v>-1947010</v>
      </c>
      <c r="L19" s="10">
        <v>-661339</v>
      </c>
      <c r="M19" s="10">
        <v>4226041</v>
      </c>
      <c r="N19" s="10">
        <v>-1081099</v>
      </c>
    </row>
    <row r="20" spans="1:14" x14ac:dyDescent="0.2">
      <c r="A20" t="s">
        <v>2</v>
      </c>
      <c r="C20" s="10">
        <v>978892</v>
      </c>
      <c r="D20" s="10">
        <v>49844</v>
      </c>
      <c r="E20" s="10">
        <v>29865</v>
      </c>
      <c r="F20" s="10">
        <v>51448</v>
      </c>
      <c r="G20" s="10">
        <v>10336</v>
      </c>
      <c r="H20" s="10">
        <v>7381</v>
      </c>
      <c r="I20" s="10">
        <v>12838</v>
      </c>
      <c r="J20" s="10">
        <v>12408</v>
      </c>
      <c r="K20" s="10">
        <v>1115055</v>
      </c>
      <c r="L20" s="10">
        <v>2272631</v>
      </c>
      <c r="M20" s="10">
        <v>405398</v>
      </c>
      <c r="N20" s="10">
        <v>90906</v>
      </c>
    </row>
    <row r="21" spans="1:14" x14ac:dyDescent="0.2">
      <c r="A21" t="s">
        <v>3</v>
      </c>
      <c r="C21" s="10">
        <v>-17973</v>
      </c>
      <c r="D21" s="10">
        <v>-160311</v>
      </c>
      <c r="E21" s="10">
        <v>-2216775</v>
      </c>
      <c r="F21" s="10">
        <v>-219950</v>
      </c>
      <c r="G21" s="10">
        <v>-281071</v>
      </c>
      <c r="H21" s="10">
        <v>-109179</v>
      </c>
      <c r="I21" s="10">
        <v>-118834</v>
      </c>
      <c r="J21" s="10">
        <v>-145128</v>
      </c>
      <c r="K21" s="10">
        <v>-60698</v>
      </c>
      <c r="L21" s="10">
        <v>-29965</v>
      </c>
      <c r="M21" s="10">
        <v>-119746</v>
      </c>
      <c r="N21" s="10">
        <v>-184635</v>
      </c>
    </row>
    <row r="22" spans="1:14" x14ac:dyDescent="0.2">
      <c r="A22" t="s">
        <v>3</v>
      </c>
      <c r="C22" s="10">
        <v>-236799</v>
      </c>
      <c r="D22" s="10">
        <v>-294544</v>
      </c>
      <c r="E22" s="10">
        <v>-316207</v>
      </c>
      <c r="F22" s="10">
        <v>-320935</v>
      </c>
      <c r="G22" s="10">
        <v>-380140</v>
      </c>
      <c r="H22" s="10">
        <v>-269364</v>
      </c>
      <c r="I22" s="10">
        <v>-252029</v>
      </c>
      <c r="J22" s="10">
        <v>-219403</v>
      </c>
      <c r="K22" s="10">
        <v>-166013</v>
      </c>
      <c r="L22" s="10">
        <v>-143415</v>
      </c>
      <c r="M22" s="10">
        <v>-211881</v>
      </c>
      <c r="N22" s="10">
        <v>-176115</v>
      </c>
    </row>
    <row r="23" spans="1:14" x14ac:dyDescent="0.2">
      <c r="A23" t="s">
        <v>10</v>
      </c>
      <c r="C23" s="10">
        <v>-8179</v>
      </c>
      <c r="D23" s="10">
        <v>-321</v>
      </c>
      <c r="E23" s="10">
        <v>-2636</v>
      </c>
      <c r="F23" s="10"/>
      <c r="G23" s="10">
        <v>-21458</v>
      </c>
      <c r="H23" s="10">
        <v>-13780</v>
      </c>
      <c r="I23" s="10">
        <v>-98910</v>
      </c>
      <c r="J23" s="10">
        <v>-88925</v>
      </c>
      <c r="K23" s="10">
        <v>-77648</v>
      </c>
      <c r="L23" s="10"/>
      <c r="M23" s="10">
        <v>-126245</v>
      </c>
      <c r="N23" s="10">
        <v>-55038</v>
      </c>
    </row>
    <row r="24" spans="1:14" x14ac:dyDescent="0.2">
      <c r="A24" t="s">
        <v>11</v>
      </c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</row>
    <row r="25" spans="1:14" x14ac:dyDescent="0.2">
      <c r="A25" t="s">
        <v>14</v>
      </c>
      <c r="C25" s="10">
        <v>5900</v>
      </c>
      <c r="D25" s="10">
        <v>-183445</v>
      </c>
      <c r="E25" s="10">
        <v>3976</v>
      </c>
      <c r="F25" s="10"/>
      <c r="G25" s="10">
        <v>65720</v>
      </c>
      <c r="H25" s="10">
        <v>-6262</v>
      </c>
      <c r="I25" s="10"/>
      <c r="J25" s="10"/>
      <c r="K25" s="10"/>
      <c r="L25" s="10"/>
      <c r="M25" s="10">
        <v>74</v>
      </c>
      <c r="N25" s="10"/>
    </row>
    <row r="26" spans="1:14" x14ac:dyDescent="0.2"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</row>
    <row r="27" spans="1:14" ht="13.5" thickBot="1" x14ac:dyDescent="0.25">
      <c r="A27" t="s">
        <v>12</v>
      </c>
      <c r="C27" s="11">
        <f t="shared" ref="C27:N27" si="5">SUM(C19:C26)</f>
        <v>-657723</v>
      </c>
      <c r="D27" s="11">
        <f t="shared" si="5"/>
        <v>1544784</v>
      </c>
      <c r="E27" s="11">
        <f t="shared" si="5"/>
        <v>-7413757</v>
      </c>
      <c r="F27" s="11">
        <f t="shared" si="5"/>
        <v>-2078214</v>
      </c>
      <c r="G27" s="11">
        <f t="shared" si="5"/>
        <v>2479685</v>
      </c>
      <c r="H27" s="11">
        <f t="shared" si="5"/>
        <v>-3611578</v>
      </c>
      <c r="I27" s="11">
        <f t="shared" si="5"/>
        <v>-257190</v>
      </c>
      <c r="J27" s="11">
        <f t="shared" si="5"/>
        <v>-1774880</v>
      </c>
      <c r="K27" s="11">
        <f t="shared" si="5"/>
        <v>-1136314</v>
      </c>
      <c r="L27" s="11">
        <f t="shared" si="5"/>
        <v>1437912</v>
      </c>
      <c r="M27" s="11">
        <f t="shared" si="5"/>
        <v>4173641</v>
      </c>
      <c r="N27" s="11">
        <f t="shared" si="5"/>
        <v>-1405981</v>
      </c>
    </row>
    <row r="28" spans="1:14" ht="13.5" thickTop="1" x14ac:dyDescent="0.2">
      <c r="G28" s="10"/>
      <c r="H28" s="10"/>
      <c r="I28" s="10"/>
      <c r="J28" s="10"/>
      <c r="K28" s="10"/>
      <c r="L28" s="10"/>
      <c r="M28" s="10"/>
      <c r="N28" s="10"/>
    </row>
    <row r="29" spans="1:14" x14ac:dyDescent="0.2">
      <c r="G29" s="10"/>
      <c r="H29" s="10"/>
      <c r="I29" s="10"/>
      <c r="J29" s="10"/>
      <c r="K29" s="10"/>
      <c r="L29" s="10"/>
      <c r="M29" s="10"/>
      <c r="N29" s="10"/>
    </row>
    <row r="30" spans="1:14" x14ac:dyDescent="0.2">
      <c r="G30" s="10"/>
      <c r="H30" s="10"/>
      <c r="I30" s="10"/>
      <c r="J30" s="10"/>
      <c r="K30" s="10"/>
      <c r="L30" s="10"/>
      <c r="M30" s="10"/>
      <c r="N30" s="10"/>
    </row>
  </sheetData>
  <pageMargins left="0.31" right="0.26" top="1" bottom="1" header="0.5" footer="0.5"/>
  <pageSetup paperSize="5" scale="95" orientation="landscape" horizontalDpi="4294967292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2"/>
  <sheetViews>
    <sheetView workbookViewId="0">
      <pane ySplit="1560" topLeftCell="A13" activePane="bottomLeft"/>
      <selection activeCell="C8" sqref="C8"/>
      <selection pane="bottomLeft" activeCell="C8" sqref="C8"/>
    </sheetView>
  </sheetViews>
  <sheetFormatPr defaultRowHeight="12.75" x14ac:dyDescent="0.2"/>
  <cols>
    <col min="1" max="1" width="10" customWidth="1"/>
    <col min="2" max="2" width="16.28515625" customWidth="1"/>
    <col min="3" max="3" width="13.7109375" customWidth="1"/>
    <col min="4" max="4" width="13.140625" customWidth="1"/>
    <col min="5" max="7" width="11.85546875" customWidth="1"/>
    <col min="8" max="8" width="13.28515625" customWidth="1"/>
    <col min="9" max="9" width="12.28515625" customWidth="1"/>
    <col min="10" max="10" width="13.85546875" customWidth="1"/>
    <col min="11" max="11" width="14.42578125" customWidth="1"/>
    <col min="12" max="12" width="13.85546875" customWidth="1"/>
    <col min="13" max="13" width="14.42578125" customWidth="1"/>
    <col min="14" max="14" width="15.42578125" bestFit="1" customWidth="1"/>
  </cols>
  <sheetData>
    <row r="1" spans="1:16" x14ac:dyDescent="0.2">
      <c r="B1" s="5" t="s">
        <v>15</v>
      </c>
    </row>
    <row r="2" spans="1:16" x14ac:dyDescent="0.2">
      <c r="B2" s="5" t="s">
        <v>16</v>
      </c>
    </row>
    <row r="3" spans="1:16" x14ac:dyDescent="0.2">
      <c r="B3" s="5">
        <v>1997</v>
      </c>
    </row>
    <row r="5" spans="1:16" s="13" customFormat="1" x14ac:dyDescent="0.2">
      <c r="C5" s="14">
        <v>35431</v>
      </c>
      <c r="D5" s="14">
        <v>35462</v>
      </c>
      <c r="E5" s="14">
        <v>35490</v>
      </c>
      <c r="F5" s="14">
        <v>35521</v>
      </c>
      <c r="G5" s="14">
        <v>35551</v>
      </c>
      <c r="H5" s="14">
        <v>35582</v>
      </c>
      <c r="I5" s="14">
        <v>35612</v>
      </c>
      <c r="J5" s="14">
        <v>35643</v>
      </c>
      <c r="K5" s="14">
        <v>35674</v>
      </c>
      <c r="L5" s="14">
        <v>35704</v>
      </c>
      <c r="M5" s="14">
        <v>35735</v>
      </c>
      <c r="N5" s="14">
        <v>35765</v>
      </c>
    </row>
    <row r="6" spans="1:16" x14ac:dyDescent="0.2">
      <c r="G6" s="10"/>
      <c r="H6" s="10"/>
      <c r="I6" s="10"/>
      <c r="J6" s="10"/>
      <c r="K6" s="10"/>
      <c r="L6" s="10"/>
      <c r="M6" s="10"/>
      <c r="N6" s="10"/>
    </row>
    <row r="7" spans="1:16" x14ac:dyDescent="0.2">
      <c r="A7" t="s">
        <v>0</v>
      </c>
      <c r="C7" s="10">
        <f>-1275226.06-13162.38</f>
        <v>-1288388.44</v>
      </c>
      <c r="D7" s="10">
        <v>-1630479.58</v>
      </c>
      <c r="E7" s="10">
        <v>-2579677.48</v>
      </c>
      <c r="F7" s="10">
        <v>-147005.01</v>
      </c>
      <c r="G7" s="10">
        <v>-333672.92</v>
      </c>
      <c r="H7" s="10">
        <v>229046.16</v>
      </c>
      <c r="I7" s="10">
        <v>-1486826.18</v>
      </c>
      <c r="J7" s="10">
        <f>-1189021.5+211736.25</f>
        <v>-977285.25</v>
      </c>
      <c r="K7" s="10">
        <f>-2549187.42+72873.24</f>
        <v>-2476314.1799999997</v>
      </c>
      <c r="L7" s="10">
        <f>2194139.77-259663.02</f>
        <v>1934476.75</v>
      </c>
      <c r="M7" s="10">
        <f>-2358231.79+62393.07</f>
        <v>-2295838.7200000002</v>
      </c>
      <c r="N7" s="10">
        <v>-3216774.67</v>
      </c>
      <c r="O7" s="10"/>
      <c r="P7" s="10"/>
    </row>
    <row r="8" spans="1:16" x14ac:dyDescent="0.2">
      <c r="A8" t="s">
        <v>1</v>
      </c>
      <c r="C8" s="10"/>
      <c r="D8" s="10"/>
      <c r="E8" s="10"/>
      <c r="F8" s="10"/>
      <c r="G8" s="10"/>
      <c r="H8" s="10"/>
      <c r="I8" s="10"/>
      <c r="J8" s="10"/>
      <c r="K8" s="10">
        <v>-33382.86</v>
      </c>
      <c r="L8" s="10">
        <v>-26142.31</v>
      </c>
      <c r="M8" s="10"/>
      <c r="N8" s="10"/>
      <c r="O8" s="10"/>
      <c r="P8" s="10"/>
    </row>
    <row r="9" spans="1:16" ht="13.5" thickBot="1" x14ac:dyDescent="0.25">
      <c r="B9" t="s">
        <v>24</v>
      </c>
      <c r="C9" s="11">
        <f t="shared" ref="C9:N9" si="0">+C7-C8</f>
        <v>-1288388.44</v>
      </c>
      <c r="D9" s="11">
        <f t="shared" si="0"/>
        <v>-1630479.58</v>
      </c>
      <c r="E9" s="11">
        <f t="shared" si="0"/>
        <v>-2579677.48</v>
      </c>
      <c r="F9" s="11">
        <f t="shared" si="0"/>
        <v>-147005.01</v>
      </c>
      <c r="G9" s="11">
        <f t="shared" si="0"/>
        <v>-333672.92</v>
      </c>
      <c r="H9" s="11">
        <f t="shared" si="0"/>
        <v>229046.16</v>
      </c>
      <c r="I9" s="11">
        <f t="shared" si="0"/>
        <v>-1486826.18</v>
      </c>
      <c r="J9" s="11">
        <f t="shared" si="0"/>
        <v>-977285.25</v>
      </c>
      <c r="K9" s="11">
        <f t="shared" si="0"/>
        <v>-2442931.3199999998</v>
      </c>
      <c r="L9" s="11">
        <f t="shared" si="0"/>
        <v>1960619.06</v>
      </c>
      <c r="M9" s="11">
        <f t="shared" si="0"/>
        <v>-2295838.7200000002</v>
      </c>
      <c r="N9" s="11">
        <f t="shared" si="0"/>
        <v>-3216774.67</v>
      </c>
    </row>
    <row r="10" spans="1:16" ht="13.5" thickTop="1" x14ac:dyDescent="0.2">
      <c r="A10" t="s">
        <v>7</v>
      </c>
      <c r="G10" s="10"/>
      <c r="H10" s="10"/>
      <c r="I10" s="10"/>
      <c r="J10" s="10"/>
      <c r="K10" s="10"/>
      <c r="L10" s="10"/>
      <c r="M10" s="10"/>
      <c r="N10" s="10"/>
    </row>
    <row r="11" spans="1:16" x14ac:dyDescent="0.2">
      <c r="A11" t="s">
        <v>8</v>
      </c>
      <c r="C11" s="10">
        <v>-171635.86</v>
      </c>
      <c r="D11" s="10">
        <v>-6685955.0800000001</v>
      </c>
      <c r="E11" s="10">
        <v>-4973357.88</v>
      </c>
      <c r="F11" s="10">
        <v>-434768.89</v>
      </c>
      <c r="G11" s="10">
        <v>-328178.14</v>
      </c>
      <c r="H11" s="10">
        <v>5667250.0700000003</v>
      </c>
      <c r="I11" s="10">
        <v>-559915.34</v>
      </c>
      <c r="J11" s="10">
        <v>1986400</v>
      </c>
      <c r="K11" s="10">
        <v>1480139.85</v>
      </c>
      <c r="L11" s="10">
        <v>2761536.51</v>
      </c>
      <c r="M11" s="10">
        <v>1199733.3700000001</v>
      </c>
      <c r="N11" s="10">
        <v>-6378550.1100000003</v>
      </c>
    </row>
    <row r="12" spans="1:16" x14ac:dyDescent="0.2">
      <c r="A12" t="s">
        <v>5</v>
      </c>
      <c r="C12" s="10">
        <f>-D11</f>
        <v>6685955.0800000001</v>
      </c>
      <c r="D12" s="10">
        <f>-E11</f>
        <v>4973357.88</v>
      </c>
      <c r="E12" s="10">
        <f t="shared" ref="E12:M12" si="1">-F11</f>
        <v>434768.89</v>
      </c>
      <c r="F12" s="10">
        <f t="shared" si="1"/>
        <v>328178.14</v>
      </c>
      <c r="G12" s="10">
        <f t="shared" si="1"/>
        <v>-5667250.0700000003</v>
      </c>
      <c r="H12" s="10">
        <f t="shared" si="1"/>
        <v>559915.34</v>
      </c>
      <c r="I12" s="10">
        <f t="shared" si="1"/>
        <v>-1986400</v>
      </c>
      <c r="J12" s="10">
        <f t="shared" si="1"/>
        <v>-1480139.85</v>
      </c>
      <c r="K12" s="10">
        <f t="shared" si="1"/>
        <v>-2761536.51</v>
      </c>
      <c r="L12" s="10">
        <f t="shared" si="1"/>
        <v>-1199733.3700000001</v>
      </c>
      <c r="M12" s="10">
        <f t="shared" si="1"/>
        <v>6378550.1100000003</v>
      </c>
      <c r="N12" s="10">
        <v>548239.29</v>
      </c>
    </row>
    <row r="13" spans="1:16" x14ac:dyDescent="0.2">
      <c r="A13" t="s">
        <v>37</v>
      </c>
      <c r="C13" s="10">
        <v>-32518.48</v>
      </c>
      <c r="D13" s="10"/>
      <c r="E13" s="10"/>
      <c r="F13" s="10"/>
      <c r="G13" s="10"/>
      <c r="H13" s="10">
        <v>302923.5</v>
      </c>
      <c r="I13" s="10"/>
      <c r="J13" s="10"/>
      <c r="K13" s="10">
        <v>295000</v>
      </c>
      <c r="L13" s="10"/>
      <c r="M13" s="10"/>
      <c r="N13" s="10"/>
    </row>
    <row r="14" spans="1:16" x14ac:dyDescent="0.2">
      <c r="A14" t="s">
        <v>25</v>
      </c>
      <c r="C14" s="10"/>
      <c r="D14" s="10"/>
      <c r="E14" s="10">
        <v>1100000</v>
      </c>
      <c r="F14" s="10"/>
      <c r="G14" s="10"/>
      <c r="H14" s="10"/>
      <c r="I14" s="10"/>
      <c r="J14" s="10"/>
      <c r="K14" s="10"/>
      <c r="L14" s="10"/>
      <c r="M14" s="10"/>
      <c r="N14" s="10">
        <v>0</v>
      </c>
    </row>
    <row r="15" spans="1:16" x14ac:dyDescent="0.2">
      <c r="A15" t="s">
        <v>6</v>
      </c>
      <c r="C15" s="12">
        <v>3411050.51</v>
      </c>
      <c r="D15" s="8">
        <v>9832395.1099999994</v>
      </c>
      <c r="E15" s="8">
        <v>2434808.67</v>
      </c>
      <c r="F15" s="8">
        <v>5678926.1100000003</v>
      </c>
      <c r="G15" s="8">
        <v>-2141475.8399999999</v>
      </c>
      <c r="H15" s="12">
        <v>-4613979.3899999997</v>
      </c>
      <c r="I15" s="12">
        <v>-1872215.83</v>
      </c>
      <c r="J15" s="12">
        <v>-3134359.01</v>
      </c>
      <c r="K15" s="12">
        <v>-6572927.71</v>
      </c>
      <c r="L15" s="12">
        <f>-5494723.9+3645931.38-1158841.96</f>
        <v>-3007634.4800000004</v>
      </c>
      <c r="M15" s="12">
        <f>-1391377.41+43149.85-3265087.84</f>
        <v>-4613315.3999999994</v>
      </c>
      <c r="N15" s="12">
        <v>4398227.55</v>
      </c>
    </row>
    <row r="16" spans="1:16" x14ac:dyDescent="0.2">
      <c r="A16" t="s">
        <v>9</v>
      </c>
      <c r="C16" s="4">
        <f t="shared" ref="C16:N16" si="2">SUM(C11:C15)</f>
        <v>9892851.25</v>
      </c>
      <c r="D16" s="4">
        <f t="shared" si="2"/>
        <v>8119797.9099999992</v>
      </c>
      <c r="E16" s="4">
        <f t="shared" si="2"/>
        <v>-1003780.3200000003</v>
      </c>
      <c r="F16" s="4">
        <f t="shared" si="2"/>
        <v>5572335.3600000003</v>
      </c>
      <c r="G16" s="4">
        <f t="shared" si="2"/>
        <v>-8136904.0499999998</v>
      </c>
      <c r="H16" s="4">
        <f t="shared" si="2"/>
        <v>1916109.5200000005</v>
      </c>
      <c r="I16" s="4">
        <f t="shared" si="2"/>
        <v>-4418531.17</v>
      </c>
      <c r="J16" s="4">
        <f t="shared" si="2"/>
        <v>-2628098.86</v>
      </c>
      <c r="K16" s="4">
        <f t="shared" si="2"/>
        <v>-7559324.3699999992</v>
      </c>
      <c r="L16" s="4">
        <f t="shared" si="2"/>
        <v>-1445831.3400000008</v>
      </c>
      <c r="M16" s="4">
        <f t="shared" si="2"/>
        <v>2964968.080000001</v>
      </c>
      <c r="N16" s="4">
        <f t="shared" si="2"/>
        <v>-1432083.2700000005</v>
      </c>
    </row>
    <row r="17" spans="1:15" ht="13.5" thickBot="1" x14ac:dyDescent="0.25">
      <c r="A17" t="s">
        <v>13</v>
      </c>
      <c r="C17" s="11">
        <f t="shared" ref="C17:N17" si="3">+C9-C16</f>
        <v>-11181239.689999999</v>
      </c>
      <c r="D17" s="11">
        <f t="shared" si="3"/>
        <v>-9750277.4899999984</v>
      </c>
      <c r="E17" s="11">
        <f t="shared" si="3"/>
        <v>-1575897.1599999997</v>
      </c>
      <c r="F17" s="11">
        <f t="shared" si="3"/>
        <v>-5719340.3700000001</v>
      </c>
      <c r="G17" s="11">
        <f t="shared" si="3"/>
        <v>7803231.1299999999</v>
      </c>
      <c r="H17" s="11">
        <f t="shared" si="3"/>
        <v>-1687063.3600000006</v>
      </c>
      <c r="I17" s="11">
        <f t="shared" si="3"/>
        <v>2931704.99</v>
      </c>
      <c r="J17" s="11">
        <f t="shared" si="3"/>
        <v>1650813.6099999999</v>
      </c>
      <c r="K17" s="11">
        <f t="shared" si="3"/>
        <v>5116393.0499999989</v>
      </c>
      <c r="L17" s="11">
        <f t="shared" si="3"/>
        <v>3406450.4000000008</v>
      </c>
      <c r="M17" s="11">
        <f t="shared" si="3"/>
        <v>-5260806.8000000007</v>
      </c>
      <c r="N17" s="11">
        <f t="shared" si="3"/>
        <v>-1784691.3999999994</v>
      </c>
    </row>
    <row r="18" spans="1:15" ht="13.5" thickTop="1" x14ac:dyDescent="0.2">
      <c r="C18" s="4">
        <f t="shared" ref="C18:N18" si="4">+C17+C20</f>
        <v>-0.68999999947845936</v>
      </c>
      <c r="D18" s="4">
        <f t="shared" si="4"/>
        <v>-0.48999999836087227</v>
      </c>
      <c r="E18" s="4">
        <f t="shared" si="4"/>
        <v>0.84000000031664968</v>
      </c>
      <c r="F18" s="4">
        <f t="shared" si="4"/>
        <v>-0.37000000011175871</v>
      </c>
      <c r="G18" s="4">
        <f t="shared" si="4"/>
        <v>0.12999999988824129</v>
      </c>
      <c r="H18" s="4">
        <f t="shared" si="4"/>
        <v>0.63999999943189323</v>
      </c>
      <c r="I18" s="4">
        <f t="shared" si="4"/>
        <v>-1.0099999997764826</v>
      </c>
      <c r="J18" s="4">
        <f t="shared" si="4"/>
        <v>-112215.39000000013</v>
      </c>
      <c r="K18" s="4">
        <f t="shared" si="4"/>
        <v>71991.049999998882</v>
      </c>
      <c r="L18" s="4">
        <f t="shared" si="4"/>
        <v>-0.59999999916180968</v>
      </c>
      <c r="M18" s="4">
        <f t="shared" si="4"/>
        <v>0.19999999925494194</v>
      </c>
      <c r="N18" s="4">
        <f t="shared" si="4"/>
        <v>-0.39999999944120646</v>
      </c>
    </row>
    <row r="19" spans="1:15" x14ac:dyDescent="0.2">
      <c r="G19" s="10"/>
      <c r="H19" s="10"/>
      <c r="I19" s="10"/>
      <c r="J19" s="10"/>
      <c r="K19" s="10"/>
      <c r="L19" s="10"/>
      <c r="M19" s="10"/>
      <c r="N19" s="10"/>
    </row>
    <row r="20" spans="1:15" x14ac:dyDescent="0.2">
      <c r="A20" t="s">
        <v>4</v>
      </c>
      <c r="C20" s="10">
        <v>11181239</v>
      </c>
      <c r="D20" s="10">
        <v>9750277</v>
      </c>
      <c r="E20" s="10">
        <v>1575898</v>
      </c>
      <c r="F20" s="10">
        <v>5719340</v>
      </c>
      <c r="G20" s="10">
        <v>-7803231</v>
      </c>
      <c r="H20" s="10">
        <v>1687064</v>
      </c>
      <c r="I20" s="10">
        <v>-2931706</v>
      </c>
      <c r="J20" s="10">
        <v>-1763029</v>
      </c>
      <c r="K20" s="10">
        <v>-5044402</v>
      </c>
      <c r="L20" s="10">
        <v>-3406451</v>
      </c>
      <c r="M20" s="10">
        <v>5260807</v>
      </c>
      <c r="N20" s="10">
        <v>1784691</v>
      </c>
    </row>
    <row r="21" spans="1:15" x14ac:dyDescent="0.2">
      <c r="A21" t="s">
        <v>2</v>
      </c>
      <c r="C21" s="10">
        <v>96111</v>
      </c>
      <c r="D21" s="10">
        <v>68976</v>
      </c>
      <c r="E21" s="10">
        <v>112683</v>
      </c>
      <c r="F21" s="10">
        <v>-1616</v>
      </c>
      <c r="G21" s="10">
        <v>32640</v>
      </c>
      <c r="H21" s="10">
        <v>-2561</v>
      </c>
      <c r="I21" s="10"/>
      <c r="J21" s="10">
        <v>840789</v>
      </c>
      <c r="K21" s="10">
        <v>2891085</v>
      </c>
      <c r="L21" s="10">
        <v>3922520</v>
      </c>
      <c r="M21" s="10">
        <v>-6324</v>
      </c>
      <c r="N21" s="10">
        <v>-832519</v>
      </c>
    </row>
    <row r="22" spans="1:15" x14ac:dyDescent="0.2">
      <c r="A22" t="s">
        <v>3</v>
      </c>
      <c r="C22" s="10">
        <v>-26575</v>
      </c>
      <c r="D22" s="10">
        <v>-30388</v>
      </c>
      <c r="E22" s="10">
        <v>-701379</v>
      </c>
      <c r="F22" s="10">
        <v>-571061</v>
      </c>
      <c r="G22" s="10">
        <v>-460134</v>
      </c>
      <c r="H22" s="10">
        <v>-279402</v>
      </c>
      <c r="I22" s="10">
        <v>-490942</v>
      </c>
      <c r="J22" s="10">
        <v>-391789</v>
      </c>
      <c r="K22" s="10">
        <v>-626092</v>
      </c>
      <c r="L22" s="10">
        <v>1222455</v>
      </c>
      <c r="M22" s="10">
        <v>-287613</v>
      </c>
      <c r="N22" s="10">
        <v>-290157</v>
      </c>
    </row>
    <row r="23" spans="1:15" x14ac:dyDescent="0.2">
      <c r="A23" t="s">
        <v>3</v>
      </c>
      <c r="C23" s="10">
        <v>-152047</v>
      </c>
      <c r="D23" s="10">
        <v>-385665</v>
      </c>
      <c r="E23" s="10">
        <v>41187</v>
      </c>
      <c r="F23" s="10">
        <v>-91239</v>
      </c>
      <c r="G23" s="10"/>
      <c r="H23" s="10"/>
      <c r="I23" s="10"/>
      <c r="J23" s="10"/>
      <c r="K23" s="10"/>
      <c r="L23" s="10">
        <v>-1730062</v>
      </c>
      <c r="M23" s="10">
        <v>-265645</v>
      </c>
      <c r="N23" s="10">
        <v>-239927</v>
      </c>
    </row>
    <row r="24" spans="1:15" x14ac:dyDescent="0.2">
      <c r="A24" t="s">
        <v>10</v>
      </c>
      <c r="C24" s="10">
        <v>-252654</v>
      </c>
      <c r="D24" s="10"/>
      <c r="E24" s="10"/>
      <c r="F24" s="10"/>
      <c r="G24" s="10">
        <v>-94543</v>
      </c>
      <c r="H24" s="10"/>
      <c r="I24" s="10">
        <v>-14070</v>
      </c>
      <c r="J24" s="10">
        <v>-7332</v>
      </c>
      <c r="K24" s="10">
        <v>-11758</v>
      </c>
      <c r="L24" s="10">
        <v>-43583</v>
      </c>
      <c r="M24" s="10">
        <v>-123681</v>
      </c>
      <c r="N24" s="10">
        <v>-117414</v>
      </c>
    </row>
    <row r="25" spans="1:15" x14ac:dyDescent="0.2">
      <c r="A25" t="s">
        <v>11</v>
      </c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</row>
    <row r="26" spans="1:15" x14ac:dyDescent="0.2">
      <c r="A26" t="s">
        <v>14</v>
      </c>
      <c r="C26" s="10">
        <v>-4986677</v>
      </c>
      <c r="D26" s="10">
        <v>-4347096</v>
      </c>
      <c r="E26" s="10">
        <v>-2256061</v>
      </c>
      <c r="F26" s="10">
        <v>-5506686</v>
      </c>
      <c r="G26" s="10">
        <v>1124036</v>
      </c>
      <c r="H26" s="10">
        <v>-178981</v>
      </c>
      <c r="I26" s="10">
        <v>1497845</v>
      </c>
      <c r="J26" s="10">
        <v>283829</v>
      </c>
      <c r="K26" s="10">
        <v>-2146621</v>
      </c>
      <c r="L26" s="10">
        <v>1360</v>
      </c>
      <c r="M26" s="10">
        <v>-42615</v>
      </c>
      <c r="N26" s="10">
        <v>4371291</v>
      </c>
    </row>
    <row r="27" spans="1:15" x14ac:dyDescent="0.2">
      <c r="A27" t="s">
        <v>36</v>
      </c>
      <c r="C27" s="10"/>
      <c r="D27" s="10"/>
      <c r="E27" s="10"/>
      <c r="F27" s="10"/>
      <c r="G27" s="10"/>
      <c r="H27" s="10"/>
      <c r="I27" s="10"/>
      <c r="J27" s="10"/>
      <c r="K27" s="10">
        <v>3259810</v>
      </c>
      <c r="L27" s="10">
        <f>769210+1172142</f>
        <v>1941352</v>
      </c>
      <c r="M27" s="10">
        <f>-769210-4431952</f>
        <v>-5201162</v>
      </c>
      <c r="N27" s="10"/>
      <c r="O27" s="4"/>
    </row>
    <row r="28" spans="1:15" x14ac:dyDescent="0.2"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</row>
    <row r="29" spans="1:15" ht="13.5" thickBot="1" x14ac:dyDescent="0.25">
      <c r="A29" t="s">
        <v>12</v>
      </c>
      <c r="C29" s="11">
        <f t="shared" ref="C29:N29" si="5">SUM(C20:C28)</f>
        <v>5859397</v>
      </c>
      <c r="D29" s="11">
        <f t="shared" si="5"/>
        <v>5056104</v>
      </c>
      <c r="E29" s="11">
        <f t="shared" si="5"/>
        <v>-1227672</v>
      </c>
      <c r="F29" s="11">
        <f t="shared" si="5"/>
        <v>-451262</v>
      </c>
      <c r="G29" s="11">
        <f t="shared" si="5"/>
        <v>-7201232</v>
      </c>
      <c r="H29" s="11">
        <f t="shared" si="5"/>
        <v>1226120</v>
      </c>
      <c r="I29" s="11">
        <f t="shared" si="5"/>
        <v>-1938873</v>
      </c>
      <c r="J29" s="11">
        <f t="shared" si="5"/>
        <v>-1037532</v>
      </c>
      <c r="K29" s="11">
        <f t="shared" si="5"/>
        <v>-1677978</v>
      </c>
      <c r="L29" s="11">
        <f t="shared" si="5"/>
        <v>1907591</v>
      </c>
      <c r="M29" s="11">
        <f t="shared" si="5"/>
        <v>-666233</v>
      </c>
      <c r="N29" s="11">
        <f t="shared" si="5"/>
        <v>4675965</v>
      </c>
    </row>
    <row r="30" spans="1:15" ht="13.5" thickTop="1" x14ac:dyDescent="0.2">
      <c r="G30" s="10"/>
      <c r="H30" s="10"/>
      <c r="I30" s="10"/>
      <c r="J30" s="10"/>
      <c r="K30" s="10"/>
      <c r="L30" s="10"/>
      <c r="M30" s="10"/>
      <c r="N30" s="10"/>
    </row>
    <row r="31" spans="1:15" x14ac:dyDescent="0.2">
      <c r="G31" s="10"/>
      <c r="H31" s="10"/>
      <c r="I31" s="10"/>
      <c r="J31" s="10"/>
      <c r="K31" s="10"/>
      <c r="L31" s="10"/>
      <c r="M31" s="10"/>
      <c r="N31" s="10"/>
    </row>
    <row r="32" spans="1:15" x14ac:dyDescent="0.2">
      <c r="G32" s="10"/>
      <c r="H32" s="10"/>
      <c r="I32" s="10"/>
      <c r="J32" s="10"/>
      <c r="K32" s="10"/>
      <c r="L32" s="10"/>
      <c r="M32" s="10"/>
      <c r="N32" s="10"/>
    </row>
  </sheetData>
  <pageMargins left="0.33" right="0.39" top="1" bottom="1" header="0.5" footer="0.5"/>
  <pageSetup paperSize="5" scale="92" orientation="landscape" horizontalDpi="4294967292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1"/>
  <sheetViews>
    <sheetView workbookViewId="0">
      <pane xSplit="3675" ySplit="1560" activePane="bottomRight"/>
      <selection activeCell="C8" sqref="C8"/>
      <selection pane="topRight" activeCell="C8" sqref="C8"/>
      <selection pane="bottomLeft" activeCell="C8" sqref="C8"/>
      <selection pane="bottomRight" activeCell="C8" sqref="C8"/>
    </sheetView>
  </sheetViews>
  <sheetFormatPr defaultRowHeight="12.75" x14ac:dyDescent="0.2"/>
  <cols>
    <col min="1" max="1" width="10" customWidth="1"/>
    <col min="2" max="2" width="16.28515625" customWidth="1"/>
    <col min="3" max="3" width="13.7109375" customWidth="1"/>
    <col min="4" max="4" width="13.140625" customWidth="1"/>
    <col min="5" max="7" width="11.85546875" customWidth="1"/>
    <col min="8" max="8" width="13.28515625" customWidth="1"/>
    <col min="9" max="9" width="12.28515625" customWidth="1"/>
    <col min="10" max="10" width="13.85546875" customWidth="1"/>
    <col min="11" max="11" width="14.42578125" customWidth="1"/>
    <col min="12" max="12" width="13.85546875" customWidth="1"/>
    <col min="13" max="13" width="14.42578125" customWidth="1"/>
    <col min="14" max="14" width="15.42578125" bestFit="1" customWidth="1"/>
  </cols>
  <sheetData>
    <row r="1" spans="1:16" x14ac:dyDescent="0.2">
      <c r="B1" s="5" t="s">
        <v>15</v>
      </c>
    </row>
    <row r="2" spans="1:16" x14ac:dyDescent="0.2">
      <c r="B2" s="5" t="s">
        <v>16</v>
      </c>
    </row>
    <row r="3" spans="1:16" x14ac:dyDescent="0.2">
      <c r="B3" s="5">
        <v>1996</v>
      </c>
    </row>
    <row r="5" spans="1:16" s="13" customFormat="1" x14ac:dyDescent="0.2">
      <c r="C5" s="14">
        <v>35065</v>
      </c>
      <c r="D5" s="14">
        <v>35096</v>
      </c>
      <c r="E5" s="14">
        <v>35125</v>
      </c>
      <c r="F5" s="14">
        <v>35156</v>
      </c>
      <c r="G5" s="14">
        <v>35186</v>
      </c>
      <c r="H5" s="14">
        <v>35217</v>
      </c>
      <c r="I5" s="14">
        <v>35247</v>
      </c>
      <c r="J5" s="14">
        <v>35278</v>
      </c>
      <c r="K5" s="14">
        <v>35309</v>
      </c>
      <c r="L5" s="14">
        <v>35339</v>
      </c>
      <c r="M5" s="14">
        <v>35370</v>
      </c>
      <c r="N5" s="14">
        <v>35400</v>
      </c>
    </row>
    <row r="6" spans="1:16" x14ac:dyDescent="0.2">
      <c r="G6" s="10"/>
      <c r="H6" s="10"/>
      <c r="I6" s="10"/>
      <c r="J6" s="10"/>
      <c r="K6" s="10"/>
      <c r="L6" s="10"/>
      <c r="M6" s="10"/>
      <c r="N6" s="10"/>
    </row>
    <row r="7" spans="1:16" x14ac:dyDescent="0.2">
      <c r="A7" t="s">
        <v>0</v>
      </c>
      <c r="C7" s="10">
        <v>1174209.98</v>
      </c>
      <c r="D7" s="10">
        <v>-1148585.99</v>
      </c>
      <c r="E7" s="10">
        <v>-367223.92</v>
      </c>
      <c r="F7" s="10">
        <v>-416014.87</v>
      </c>
      <c r="G7" s="10">
        <v>522144.25</v>
      </c>
      <c r="H7" s="10">
        <v>-1489299.83</v>
      </c>
      <c r="I7" s="10">
        <v>-2523782.92</v>
      </c>
      <c r="J7" s="10">
        <v>-1685073.98</v>
      </c>
      <c r="K7" s="10">
        <v>-1440835.19</v>
      </c>
      <c r="L7" s="10">
        <v>-225564.63</v>
      </c>
      <c r="M7" s="10">
        <v>-4649992.96</v>
      </c>
      <c r="N7" s="10">
        <v>-7750362.8700000001</v>
      </c>
      <c r="O7" s="10"/>
      <c r="P7" s="10"/>
    </row>
    <row r="8" spans="1:16" x14ac:dyDescent="0.2">
      <c r="A8" t="s">
        <v>1</v>
      </c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</row>
    <row r="9" spans="1:16" ht="13.5" thickBot="1" x14ac:dyDescent="0.25">
      <c r="B9" t="s">
        <v>24</v>
      </c>
      <c r="C9" s="11">
        <f t="shared" ref="C9:N9" si="0">+C7-C8</f>
        <v>1174209.98</v>
      </c>
      <c r="D9" s="11">
        <f t="shared" si="0"/>
        <v>-1148585.99</v>
      </c>
      <c r="E9" s="11">
        <f t="shared" si="0"/>
        <v>-367223.92</v>
      </c>
      <c r="F9" s="11">
        <f t="shared" si="0"/>
        <v>-416014.87</v>
      </c>
      <c r="G9" s="11">
        <f t="shared" si="0"/>
        <v>522144.25</v>
      </c>
      <c r="H9" s="11">
        <f t="shared" si="0"/>
        <v>-1489299.83</v>
      </c>
      <c r="I9" s="11">
        <f t="shared" si="0"/>
        <v>-2523782.92</v>
      </c>
      <c r="J9" s="11">
        <f t="shared" si="0"/>
        <v>-1685073.98</v>
      </c>
      <c r="K9" s="11">
        <f t="shared" si="0"/>
        <v>-1440835.19</v>
      </c>
      <c r="L9" s="11">
        <f t="shared" si="0"/>
        <v>-225564.63</v>
      </c>
      <c r="M9" s="11">
        <f t="shared" si="0"/>
        <v>-4649992.96</v>
      </c>
      <c r="N9" s="11">
        <f t="shared" si="0"/>
        <v>-7750362.8700000001</v>
      </c>
    </row>
    <row r="10" spans="1:16" ht="13.5" thickTop="1" x14ac:dyDescent="0.2">
      <c r="A10" t="s">
        <v>7</v>
      </c>
      <c r="G10" s="10"/>
      <c r="H10" s="10"/>
      <c r="I10" s="10"/>
      <c r="J10" s="10"/>
      <c r="K10" s="10"/>
      <c r="L10" s="10"/>
      <c r="M10" s="10"/>
      <c r="N10" s="10"/>
    </row>
    <row r="11" spans="1:16" x14ac:dyDescent="0.2">
      <c r="A11" t="s">
        <v>8</v>
      </c>
      <c r="C11" s="10">
        <v>-269577.3</v>
      </c>
      <c r="D11" s="10">
        <v>-598808.25</v>
      </c>
      <c r="E11" s="10">
        <v>-2547772.58</v>
      </c>
      <c r="F11" s="10">
        <v>-2906427.59</v>
      </c>
      <c r="G11" s="10">
        <v>-369795.32</v>
      </c>
      <c r="H11" s="10">
        <v>1673271.42</v>
      </c>
      <c r="I11" s="10">
        <v>144157.26999999999</v>
      </c>
      <c r="J11" s="10">
        <v>-3509437.72</v>
      </c>
      <c r="K11" s="10">
        <v>-1283448.04</v>
      </c>
      <c r="L11" s="10">
        <v>2626751.81</v>
      </c>
      <c r="M11" s="10">
        <v>1660141.08</v>
      </c>
      <c r="N11" s="10">
        <v>6163498.9400000004</v>
      </c>
    </row>
    <row r="12" spans="1:16" x14ac:dyDescent="0.2">
      <c r="A12" t="s">
        <v>5</v>
      </c>
      <c r="C12" s="10">
        <f t="shared" ref="C12:M12" si="1">-D11</f>
        <v>598808.25</v>
      </c>
      <c r="D12" s="10">
        <f t="shared" si="1"/>
        <v>2547772.58</v>
      </c>
      <c r="E12" s="10">
        <f t="shared" si="1"/>
        <v>2906427.59</v>
      </c>
      <c r="F12" s="10">
        <f t="shared" si="1"/>
        <v>369795.32</v>
      </c>
      <c r="G12" s="10">
        <f t="shared" si="1"/>
        <v>-1673271.42</v>
      </c>
      <c r="H12" s="10">
        <f t="shared" si="1"/>
        <v>-144157.26999999999</v>
      </c>
      <c r="I12" s="10">
        <f t="shared" si="1"/>
        <v>3509437.72</v>
      </c>
      <c r="J12" s="10">
        <f t="shared" si="1"/>
        <v>1283448.04</v>
      </c>
      <c r="K12" s="10">
        <f t="shared" si="1"/>
        <v>-2626751.81</v>
      </c>
      <c r="L12" s="10">
        <f t="shared" si="1"/>
        <v>-1660141.08</v>
      </c>
      <c r="M12" s="10">
        <f t="shared" si="1"/>
        <v>-6163498.9400000004</v>
      </c>
      <c r="N12" s="10">
        <v>450417.96</v>
      </c>
    </row>
    <row r="13" spans="1:16" x14ac:dyDescent="0.2">
      <c r="A13" t="s">
        <v>37</v>
      </c>
      <c r="C13" s="10"/>
      <c r="D13" s="10"/>
      <c r="E13" s="10">
        <v>92492.03</v>
      </c>
      <c r="F13" s="10">
        <v>-44439.17</v>
      </c>
      <c r="G13" s="10">
        <v>-5284.39</v>
      </c>
      <c r="H13" s="10"/>
      <c r="I13" s="10"/>
      <c r="J13" s="10"/>
      <c r="K13" s="10"/>
      <c r="L13" s="10"/>
      <c r="M13" s="10"/>
      <c r="N13" s="10"/>
    </row>
    <row r="14" spans="1:16" x14ac:dyDescent="0.2">
      <c r="A14" t="s">
        <v>25</v>
      </c>
      <c r="C14" s="10">
        <v>72144.070000000007</v>
      </c>
      <c r="D14" s="10">
        <v>79509.740000000005</v>
      </c>
      <c r="E14" s="10">
        <v>128573.8</v>
      </c>
      <c r="F14" s="10">
        <v>50670</v>
      </c>
      <c r="G14" s="10">
        <v>50670</v>
      </c>
      <c r="H14" s="10">
        <v>45175</v>
      </c>
      <c r="I14" s="10"/>
      <c r="J14" s="10"/>
      <c r="K14" s="10"/>
      <c r="L14" s="10"/>
      <c r="M14" s="10"/>
      <c r="N14" s="10">
        <v>0</v>
      </c>
    </row>
    <row r="15" spans="1:16" x14ac:dyDescent="0.2">
      <c r="A15" t="s">
        <v>6</v>
      </c>
      <c r="C15" s="12">
        <v>1904571.42</v>
      </c>
      <c r="D15" s="8">
        <v>368147.07</v>
      </c>
      <c r="E15" s="8">
        <v>-3294585.99</v>
      </c>
      <c r="F15" s="8">
        <v>7854313.2599999998</v>
      </c>
      <c r="G15" s="8">
        <v>3451410.52</v>
      </c>
      <c r="H15" s="12">
        <v>696631.91</v>
      </c>
      <c r="I15" s="12">
        <v>-1635040.17</v>
      </c>
      <c r="J15" s="12">
        <v>-2138133.9500000002</v>
      </c>
      <c r="K15" s="12">
        <v>877153.95</v>
      </c>
      <c r="L15" s="12">
        <v>88910.06</v>
      </c>
      <c r="M15" s="12">
        <v>-7204977.8899999997</v>
      </c>
      <c r="N15" s="12">
        <v>-3733192.94</v>
      </c>
    </row>
    <row r="16" spans="1:16" x14ac:dyDescent="0.2">
      <c r="A16" t="s">
        <v>9</v>
      </c>
      <c r="C16" s="4">
        <f t="shared" ref="C16:N16" si="2">SUM(C11:C15)</f>
        <v>2305946.44</v>
      </c>
      <c r="D16" s="4">
        <f t="shared" si="2"/>
        <v>2396621.14</v>
      </c>
      <c r="E16" s="4">
        <f t="shared" si="2"/>
        <v>-2714865.1500000004</v>
      </c>
      <c r="F16" s="4">
        <f t="shared" si="2"/>
        <v>5323911.82</v>
      </c>
      <c r="G16" s="4">
        <f t="shared" si="2"/>
        <v>1453729.3900000001</v>
      </c>
      <c r="H16" s="4">
        <f t="shared" si="2"/>
        <v>2270921.06</v>
      </c>
      <c r="I16" s="4">
        <f t="shared" si="2"/>
        <v>2018554.8200000003</v>
      </c>
      <c r="J16" s="4">
        <f t="shared" si="2"/>
        <v>-4364123.6300000008</v>
      </c>
      <c r="K16" s="4">
        <f t="shared" si="2"/>
        <v>-3033045.9000000004</v>
      </c>
      <c r="L16" s="4">
        <f t="shared" si="2"/>
        <v>1055520.79</v>
      </c>
      <c r="M16" s="4">
        <f t="shared" si="2"/>
        <v>-11708335.75</v>
      </c>
      <c r="N16" s="4">
        <f t="shared" si="2"/>
        <v>2880723.9600000004</v>
      </c>
    </row>
    <row r="17" spans="1:14" ht="13.5" thickBot="1" x14ac:dyDescent="0.25">
      <c r="A17" t="s">
        <v>13</v>
      </c>
      <c r="C17" s="11">
        <f t="shared" ref="C17:N17" si="3">+C9-C16</f>
        <v>-1131736.46</v>
      </c>
      <c r="D17" s="11">
        <f t="shared" si="3"/>
        <v>-3545207.13</v>
      </c>
      <c r="E17" s="11">
        <f t="shared" si="3"/>
        <v>2347641.2300000004</v>
      </c>
      <c r="F17" s="11">
        <f t="shared" si="3"/>
        <v>-5739926.6900000004</v>
      </c>
      <c r="G17" s="11">
        <f t="shared" si="3"/>
        <v>-931585.14000000013</v>
      </c>
      <c r="H17" s="11">
        <f t="shared" si="3"/>
        <v>-3760220.89</v>
      </c>
      <c r="I17" s="11">
        <f t="shared" si="3"/>
        <v>-4542337.74</v>
      </c>
      <c r="J17" s="11">
        <f t="shared" si="3"/>
        <v>2679049.6500000008</v>
      </c>
      <c r="K17" s="11">
        <f t="shared" si="3"/>
        <v>1592210.7100000004</v>
      </c>
      <c r="L17" s="11">
        <f t="shared" si="3"/>
        <v>-1281085.42</v>
      </c>
      <c r="M17" s="11">
        <f t="shared" si="3"/>
        <v>7058342.79</v>
      </c>
      <c r="N17" s="11">
        <f t="shared" si="3"/>
        <v>-10631086.83</v>
      </c>
    </row>
    <row r="18" spans="1:14" ht="13.5" thickTop="1" x14ac:dyDescent="0.2">
      <c r="C18" s="4">
        <f t="shared" ref="C18:N18" si="4">+C17+C20</f>
        <v>-0.4599999999627471</v>
      </c>
      <c r="D18" s="4">
        <f t="shared" si="4"/>
        <v>-0.12999999988824129</v>
      </c>
      <c r="E18" s="4">
        <f t="shared" si="4"/>
        <v>-0.76999999955296516</v>
      </c>
      <c r="F18" s="4">
        <f t="shared" si="4"/>
        <v>0.30999999959021807</v>
      </c>
      <c r="G18" s="4">
        <f t="shared" si="4"/>
        <v>-0.14000000013038516</v>
      </c>
      <c r="H18" s="4">
        <f t="shared" si="4"/>
        <v>0.10999999986961484</v>
      </c>
      <c r="I18" s="4">
        <f t="shared" si="4"/>
        <v>0.25999999977648258</v>
      </c>
      <c r="J18" s="4">
        <f t="shared" si="4"/>
        <v>2767179.6500000008</v>
      </c>
      <c r="K18" s="4">
        <f t="shared" si="4"/>
        <v>0.71000000042840838</v>
      </c>
      <c r="L18" s="4">
        <f t="shared" si="4"/>
        <v>-2767181.42</v>
      </c>
      <c r="M18" s="4">
        <f t="shared" si="4"/>
        <v>0.7900000000372529</v>
      </c>
      <c r="N18" s="4">
        <f t="shared" si="4"/>
        <v>0.16999999992549419</v>
      </c>
    </row>
    <row r="19" spans="1:14" x14ac:dyDescent="0.2">
      <c r="G19" s="10"/>
      <c r="H19" s="10"/>
      <c r="I19" s="10"/>
      <c r="J19" s="10"/>
      <c r="K19" s="10"/>
      <c r="L19" s="10"/>
      <c r="M19" s="10"/>
      <c r="N19" s="10"/>
    </row>
    <row r="20" spans="1:14" x14ac:dyDescent="0.2">
      <c r="A20" t="s">
        <v>4</v>
      </c>
      <c r="C20" s="10">
        <v>1131736</v>
      </c>
      <c r="D20" s="10">
        <v>3545207</v>
      </c>
      <c r="E20" s="10">
        <v>-2347642</v>
      </c>
      <c r="F20" s="10">
        <v>5739927</v>
      </c>
      <c r="G20" s="10">
        <v>931585</v>
      </c>
      <c r="H20" s="10">
        <v>3760221</v>
      </c>
      <c r="I20" s="10">
        <v>4542338</v>
      </c>
      <c r="J20" s="10">
        <v>88130</v>
      </c>
      <c r="K20" s="10">
        <v>-1592210</v>
      </c>
      <c r="L20" s="10">
        <v>-1486096</v>
      </c>
      <c r="M20" s="10">
        <v>-7058342</v>
      </c>
      <c r="N20" s="10">
        <v>10631087</v>
      </c>
    </row>
    <row r="21" spans="1:14" x14ac:dyDescent="0.2">
      <c r="A21" t="s">
        <v>2</v>
      </c>
      <c r="C21" s="10"/>
      <c r="D21" s="10">
        <v>247112</v>
      </c>
      <c r="E21" s="10">
        <v>1135251</v>
      </c>
      <c r="F21" s="10">
        <v>1486848</v>
      </c>
      <c r="G21" s="10">
        <v>1030726</v>
      </c>
      <c r="H21" s="10">
        <v>1495909</v>
      </c>
      <c r="I21" s="10">
        <v>4322276</v>
      </c>
      <c r="J21" s="10">
        <v>4701352</v>
      </c>
      <c r="K21" s="10">
        <v>397302</v>
      </c>
      <c r="L21" s="10">
        <v>2652471</v>
      </c>
      <c r="M21" s="10">
        <v>81919</v>
      </c>
      <c r="N21" s="10">
        <v>6418005</v>
      </c>
    </row>
    <row r="22" spans="1:14" x14ac:dyDescent="0.2">
      <c r="A22" t="s">
        <v>3</v>
      </c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>
        <v>-3682989</v>
      </c>
    </row>
    <row r="23" spans="1:14" x14ac:dyDescent="0.2">
      <c r="A23" t="s">
        <v>3</v>
      </c>
      <c r="C23" s="10">
        <v>-248349</v>
      </c>
      <c r="D23" s="10">
        <v>-307050</v>
      </c>
      <c r="E23" s="10">
        <v>-372132</v>
      </c>
      <c r="F23" s="10">
        <v>-623574</v>
      </c>
      <c r="G23" s="10">
        <v>-314983</v>
      </c>
      <c r="H23" s="10">
        <v>-286744</v>
      </c>
      <c r="I23" s="10">
        <v>-111709</v>
      </c>
      <c r="J23" s="10">
        <v>-176270</v>
      </c>
      <c r="K23" s="10">
        <v>-212409</v>
      </c>
      <c r="L23" s="10">
        <v>-266658</v>
      </c>
      <c r="M23" s="10">
        <v>-257472</v>
      </c>
      <c r="N23" s="10">
        <v>-500390</v>
      </c>
    </row>
    <row r="24" spans="1:14" x14ac:dyDescent="0.2">
      <c r="A24" t="s">
        <v>10</v>
      </c>
      <c r="C24" s="10">
        <v>-90430</v>
      </c>
      <c r="D24" s="10">
        <v>-97138</v>
      </c>
      <c r="E24" s="10">
        <v>-32378</v>
      </c>
      <c r="F24" s="10">
        <v>-44202</v>
      </c>
      <c r="G24" s="10">
        <v>-45092</v>
      </c>
      <c r="H24" s="10">
        <v>-29494</v>
      </c>
      <c r="I24" s="10"/>
      <c r="J24" s="10"/>
      <c r="K24" s="10"/>
      <c r="L24" s="10">
        <v>83091</v>
      </c>
      <c r="M24" s="10">
        <v>-904</v>
      </c>
      <c r="N24" s="10"/>
    </row>
    <row r="25" spans="1:14" x14ac:dyDescent="0.2">
      <c r="A25" t="s">
        <v>40</v>
      </c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>
        <v>-2676826</v>
      </c>
      <c r="N25" s="10"/>
    </row>
    <row r="26" spans="1:14" x14ac:dyDescent="0.2">
      <c r="A26" t="s">
        <v>14</v>
      </c>
      <c r="C26" s="10"/>
      <c r="D26" s="10"/>
      <c r="E26" s="10"/>
      <c r="F26" s="10"/>
      <c r="G26" s="10"/>
      <c r="H26" s="10"/>
      <c r="I26" s="10"/>
      <c r="J26" s="10"/>
      <c r="K26" s="10"/>
      <c r="L26" s="10">
        <v>-14640001</v>
      </c>
      <c r="M26" s="10">
        <v>-456225</v>
      </c>
      <c r="N26" s="10">
        <v>-4674954</v>
      </c>
    </row>
    <row r="27" spans="1:14" x14ac:dyDescent="0.2"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</row>
    <row r="28" spans="1:14" ht="13.5" thickBot="1" x14ac:dyDescent="0.25">
      <c r="A28" t="s">
        <v>12</v>
      </c>
      <c r="C28" s="11">
        <f t="shared" ref="C28:N28" si="5">SUM(C20:C27)</f>
        <v>792957</v>
      </c>
      <c r="D28" s="11">
        <f t="shared" si="5"/>
        <v>3388131</v>
      </c>
      <c r="E28" s="11">
        <f t="shared" si="5"/>
        <v>-1616901</v>
      </c>
      <c r="F28" s="11">
        <f t="shared" si="5"/>
        <v>6558999</v>
      </c>
      <c r="G28" s="11">
        <f t="shared" si="5"/>
        <v>1602236</v>
      </c>
      <c r="H28" s="11">
        <f t="shared" si="5"/>
        <v>4939892</v>
      </c>
      <c r="I28" s="11">
        <f t="shared" si="5"/>
        <v>8752905</v>
      </c>
      <c r="J28" s="11">
        <f t="shared" si="5"/>
        <v>4613212</v>
      </c>
      <c r="K28" s="11">
        <f t="shared" si="5"/>
        <v>-1407317</v>
      </c>
      <c r="L28" s="11">
        <f t="shared" si="5"/>
        <v>-13657193</v>
      </c>
      <c r="M28" s="11">
        <f t="shared" si="5"/>
        <v>-10367850</v>
      </c>
      <c r="N28" s="11">
        <f t="shared" si="5"/>
        <v>8190759</v>
      </c>
    </row>
    <row r="29" spans="1:14" ht="13.5" thickTop="1" x14ac:dyDescent="0.2">
      <c r="G29" s="10"/>
      <c r="H29" s="10"/>
      <c r="I29" s="10"/>
      <c r="J29" s="10"/>
      <c r="K29" s="10"/>
      <c r="L29" s="10"/>
      <c r="M29" s="10"/>
      <c r="N29" s="10"/>
    </row>
    <row r="30" spans="1:14" x14ac:dyDescent="0.2">
      <c r="G30" s="10"/>
      <c r="H30" s="10"/>
      <c r="I30" s="10"/>
      <c r="J30" s="10"/>
      <c r="K30" s="10"/>
      <c r="L30" s="10"/>
      <c r="M30" s="10"/>
      <c r="N30" s="10"/>
    </row>
    <row r="31" spans="1:14" x14ac:dyDescent="0.2">
      <c r="G31" s="10"/>
      <c r="H31" s="10"/>
      <c r="I31" s="10"/>
      <c r="J31" s="10"/>
      <c r="K31" s="10"/>
      <c r="L31" s="10"/>
      <c r="M31" s="10"/>
      <c r="N31" s="10"/>
    </row>
  </sheetData>
  <pageMargins left="0.31" right="0.26" top="1" bottom="1" header="0.5" footer="0.5"/>
  <pageSetup paperSize="5" scale="93" orientation="landscape" horizontalDpi="4294967292" verticalDpi="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Sources and Uses of Cash</vt:lpstr>
      <vt:lpstr>Detail 2001</vt:lpstr>
      <vt:lpstr>Detail 2000</vt:lpstr>
      <vt:lpstr>Detail 1999</vt:lpstr>
      <vt:lpstr>Detail 1998</vt:lpstr>
      <vt:lpstr>Detail 1997</vt:lpstr>
      <vt:lpstr>Detail 1996</vt:lpstr>
      <vt:lpstr>Sheet3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Enron Transportation &amp; Storage</dc:creator>
  <cp:lastModifiedBy>Jan Havlíček</cp:lastModifiedBy>
  <cp:lastPrinted>2001-01-16T18:34:26Z</cp:lastPrinted>
  <dcterms:created xsi:type="dcterms:W3CDTF">2001-01-08T13:52:25Z</dcterms:created>
  <dcterms:modified xsi:type="dcterms:W3CDTF">2023-09-15T19:15:30Z</dcterms:modified>
</cp:coreProperties>
</file>