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8505CA-F87C-43A9-B801-93EDB0D57C5D}" xr6:coauthVersionLast="47" xr6:coauthVersionMax="47" xr10:uidLastSave="{00000000-0000-0000-0000-000000000000}"/>
  <bookViews>
    <workbookView xWindow="-120" yWindow="-120" windowWidth="38640" windowHeight="15720" activeTab="4"/>
  </bookViews>
  <sheets>
    <sheet name="nng0601" sheetId="1" r:id="rId1"/>
    <sheet name="nng0701" sheetId="4" r:id="rId2"/>
    <sheet name="nng0801" sheetId="5" r:id="rId3"/>
    <sheet name="nng0901" sheetId="6" r:id="rId4"/>
    <sheet name="nng1001" sheetId="7" r:id="rId5"/>
    <sheet name="Sheet2" sheetId="2" r:id="rId6"/>
    <sheet name="Sheet3" sheetId="3" r:id="rId7"/>
  </sheets>
  <definedNames>
    <definedName name="_xlnm.Print_Area" localSheetId="0">'nng0601'!$A$22:$G$37</definedName>
    <definedName name="_xlnm.Print_Area" localSheetId="1">'nng0701'!$A$22:$G$71</definedName>
    <definedName name="_xlnm.Print_Area" localSheetId="2">'nng0801'!$A$22:$G$61</definedName>
    <definedName name="_xlnm.Print_Area" localSheetId="3">'nng0901'!$A$22:$G$61</definedName>
    <definedName name="_xlnm.Print_Area" localSheetId="4">'nng1001'!#REF!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7" i="1"/>
  <c r="F7" i="1"/>
  <c r="C8" i="1"/>
  <c r="E8" i="1"/>
  <c r="F8" i="1"/>
  <c r="C9" i="1"/>
  <c r="D9" i="1"/>
  <c r="E9" i="1"/>
  <c r="F9" i="1"/>
  <c r="C10" i="1"/>
  <c r="D10" i="1"/>
  <c r="E10" i="1"/>
  <c r="F10" i="1"/>
  <c r="C11" i="1"/>
  <c r="E11" i="1"/>
  <c r="F11" i="1"/>
  <c r="C12" i="1"/>
  <c r="E12" i="1"/>
  <c r="F12" i="1"/>
  <c r="C13" i="1"/>
  <c r="E13" i="1"/>
  <c r="F13" i="1"/>
  <c r="C14" i="1"/>
  <c r="E14" i="1"/>
  <c r="F14" i="1"/>
  <c r="B15" i="1"/>
  <c r="C15" i="1"/>
  <c r="D15" i="1"/>
  <c r="E15" i="1"/>
  <c r="F15" i="1"/>
  <c r="G15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7" i="4"/>
  <c r="C7" i="4"/>
  <c r="E7" i="4"/>
  <c r="F7" i="4"/>
  <c r="B8" i="4"/>
  <c r="C8" i="4"/>
  <c r="E8" i="4"/>
  <c r="F8" i="4"/>
  <c r="B9" i="4"/>
  <c r="C9" i="4"/>
  <c r="E9" i="4"/>
  <c r="F9" i="4"/>
  <c r="B10" i="4"/>
  <c r="C10" i="4"/>
  <c r="D10" i="4"/>
  <c r="E10" i="4"/>
  <c r="F10" i="4"/>
  <c r="G10" i="4"/>
  <c r="B11" i="4"/>
  <c r="C11" i="4"/>
  <c r="E11" i="4"/>
  <c r="F11" i="4"/>
  <c r="B12" i="4"/>
  <c r="C12" i="4"/>
  <c r="E12" i="4"/>
  <c r="F12" i="4"/>
  <c r="B13" i="4"/>
  <c r="C13" i="4"/>
  <c r="E13" i="4"/>
  <c r="F13" i="4"/>
  <c r="B14" i="4"/>
  <c r="C14" i="4"/>
  <c r="E14" i="4"/>
  <c r="F14" i="4"/>
  <c r="B15" i="4"/>
  <c r="C15" i="4"/>
  <c r="D15" i="4"/>
  <c r="E15" i="4"/>
  <c r="F15" i="4"/>
  <c r="G15" i="4"/>
  <c r="H15" i="4"/>
  <c r="A24" i="4"/>
  <c r="B28" i="4"/>
  <c r="C28" i="4"/>
  <c r="D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44" i="4"/>
  <c r="B49" i="4"/>
  <c r="B61" i="4"/>
  <c r="C7" i="5"/>
  <c r="E7" i="5"/>
  <c r="F7" i="5"/>
  <c r="C8" i="5"/>
  <c r="E8" i="5"/>
  <c r="F8" i="5"/>
  <c r="C9" i="5"/>
  <c r="E9" i="5"/>
  <c r="F9" i="5"/>
  <c r="C10" i="5"/>
  <c r="D10" i="5"/>
  <c r="E10" i="5"/>
  <c r="F10" i="5"/>
  <c r="G10" i="5"/>
  <c r="H10" i="5"/>
  <c r="C11" i="5"/>
  <c r="E11" i="5"/>
  <c r="F11" i="5"/>
  <c r="C12" i="5"/>
  <c r="E12" i="5"/>
  <c r="F12" i="5"/>
  <c r="C13" i="5"/>
  <c r="E13" i="5"/>
  <c r="F13" i="5"/>
  <c r="C14" i="5"/>
  <c r="E14" i="5"/>
  <c r="F14" i="5"/>
  <c r="B15" i="5"/>
  <c r="C15" i="5"/>
  <c r="D15" i="5"/>
  <c r="E15" i="5"/>
  <c r="F15" i="5"/>
  <c r="G15" i="5"/>
  <c r="H15" i="5"/>
  <c r="A24" i="5"/>
  <c r="B28" i="5"/>
  <c r="C28" i="5"/>
  <c r="D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43" i="5"/>
  <c r="B50" i="5"/>
  <c r="B56" i="5"/>
  <c r="B59" i="5"/>
  <c r="B61" i="5"/>
  <c r="C7" i="6"/>
  <c r="E7" i="6"/>
  <c r="F7" i="6"/>
  <c r="G7" i="6"/>
  <c r="C8" i="6"/>
  <c r="E8" i="6"/>
  <c r="F8" i="6"/>
  <c r="G8" i="6"/>
  <c r="C9" i="6"/>
  <c r="E9" i="6"/>
  <c r="F9" i="6"/>
  <c r="G9" i="6"/>
  <c r="C10" i="6"/>
  <c r="D10" i="6"/>
  <c r="E10" i="6"/>
  <c r="F10" i="6"/>
  <c r="G10" i="6"/>
  <c r="I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B15" i="6"/>
  <c r="C15" i="6"/>
  <c r="D15" i="6"/>
  <c r="E15" i="6"/>
  <c r="F15" i="6"/>
  <c r="G15" i="6"/>
  <c r="I15" i="6"/>
  <c r="A24" i="6"/>
  <c r="B28" i="6"/>
  <c r="C28" i="6"/>
  <c r="D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43" i="6"/>
  <c r="B49" i="6"/>
  <c r="B55" i="6"/>
  <c r="B61" i="6"/>
  <c r="C7" i="7"/>
  <c r="E7" i="7"/>
  <c r="F7" i="7"/>
  <c r="G7" i="7"/>
  <c r="I7" i="7"/>
  <c r="C8" i="7"/>
  <c r="E8" i="7"/>
  <c r="F8" i="7"/>
  <c r="G8" i="7"/>
  <c r="I8" i="7"/>
  <c r="C9" i="7"/>
  <c r="E9" i="7"/>
  <c r="F9" i="7"/>
  <c r="G9" i="7"/>
  <c r="I9" i="7"/>
  <c r="C10" i="7"/>
  <c r="D10" i="7"/>
  <c r="E10" i="7"/>
  <c r="F10" i="7"/>
  <c r="G10" i="7"/>
  <c r="I10" i="7"/>
  <c r="C11" i="7"/>
  <c r="E11" i="7"/>
  <c r="F11" i="7"/>
  <c r="G11" i="7"/>
  <c r="I11" i="7"/>
  <c r="C12" i="7"/>
  <c r="E12" i="7"/>
  <c r="F12" i="7"/>
  <c r="G12" i="7"/>
  <c r="I12" i="7"/>
  <c r="C13" i="7"/>
  <c r="E13" i="7"/>
  <c r="F13" i="7"/>
  <c r="G13" i="7"/>
  <c r="I13" i="7"/>
  <c r="C14" i="7"/>
  <c r="E14" i="7"/>
  <c r="F14" i="7"/>
  <c r="G14" i="7"/>
  <c r="I14" i="7"/>
  <c r="B15" i="7"/>
  <c r="C15" i="7"/>
  <c r="D15" i="7"/>
  <c r="E15" i="7"/>
  <c r="F15" i="7"/>
  <c r="G15" i="7"/>
  <c r="I15" i="7"/>
</calcChain>
</file>

<file path=xl/sharedStrings.xml><?xml version="1.0" encoding="utf-8"?>
<sst xmlns="http://schemas.openxmlformats.org/spreadsheetml/2006/main" count="267" uniqueCount="75">
  <si>
    <t>NORTHERN NATURAL GAS</t>
  </si>
  <si>
    <t>O&amp;M by Alternate Hierarchy</t>
  </si>
  <si>
    <t>ETS - Commercial (AGR-NN10)</t>
  </si>
  <si>
    <t>ETS - Market Services (AGR-NN20)</t>
  </si>
  <si>
    <t>ETS - Operations (AGR-NN30)</t>
  </si>
  <si>
    <t>ETS - Finance &amp; Accounting (AGR-NN40)</t>
  </si>
  <si>
    <t>ETS - Systems (AGR-NN50)</t>
  </si>
  <si>
    <t>ETS - Legal (AGR-NN60)</t>
  </si>
  <si>
    <t>ETS - HR (AGR-NN70)</t>
  </si>
  <si>
    <t>ETS - Executive (AGR-NN80)</t>
  </si>
  <si>
    <t>Total O&amp;M Expense</t>
  </si>
  <si>
    <t>May 2001</t>
  </si>
  <si>
    <t>June 2001</t>
  </si>
  <si>
    <t>Over/(Under)</t>
  </si>
  <si>
    <t>Prior Month</t>
  </si>
  <si>
    <t>Actual</t>
  </si>
  <si>
    <t>Flash</t>
  </si>
  <si>
    <t>Period Ending June 30, 2001</t>
  </si>
  <si>
    <t>(000's)</t>
  </si>
  <si>
    <t>YTD June 2001</t>
  </si>
  <si>
    <t>ETS - Finance &amp; Accounting (AGR-NN40) (A)</t>
  </si>
  <si>
    <t>(A) R111477 includes YTD June Adjustment for FI/CO reconciliation of $(53,898.32) (AGR-NN40)</t>
  </si>
  <si>
    <t xml:space="preserve">     R112080 includes June Adjustment of $336,337 for assessment error. (AGR-NN40)</t>
  </si>
  <si>
    <t>Period Ending July 31, 2001</t>
  </si>
  <si>
    <t>YTD July 2001</t>
  </si>
  <si>
    <t>July 2001</t>
  </si>
  <si>
    <t>(A) R111477 includes YTD July Adjustment for FI/CO reconciliation of $(40,042.84) (AGR-NN40)</t>
  </si>
  <si>
    <t>ETS - Commercial (AGR-NN10)              (A)</t>
  </si>
  <si>
    <t>ETS - Executive (AGR-NN80)                  (B)</t>
  </si>
  <si>
    <t xml:space="preserve">Prior month variance Footnote (A):  </t>
  </si>
  <si>
    <t>3rd quarter 2pacific place rent posted in July</t>
  </si>
  <si>
    <t>June capitalization of rent for Q1 and Q2</t>
  </si>
  <si>
    <t>Other</t>
  </si>
  <si>
    <t xml:space="preserve">Prior month variance Footnote (B):  </t>
  </si>
  <si>
    <t>Prior month GPG tax true up from CC 111719</t>
  </si>
  <si>
    <t>Detail of July Other Income/(Deductions)</t>
  </si>
  <si>
    <t>Speculative Income/(Expense) FAS 133</t>
  </si>
  <si>
    <t>Recognize Def Gain on Cooper Inventory</t>
  </si>
  <si>
    <t>AFUDC gross up</t>
  </si>
  <si>
    <t>Amort AFUDC gross up</t>
  </si>
  <si>
    <t>Additional EOL charges reclassed to O&amp;M</t>
  </si>
  <si>
    <t>3rd Party billings by property for tax gross up</t>
  </si>
  <si>
    <t>Amort of loss on reacquired debt</t>
  </si>
  <si>
    <t>Period Ending August 31, 2001</t>
  </si>
  <si>
    <t>August 2001</t>
  </si>
  <si>
    <t>YTD August 2001</t>
  </si>
  <si>
    <t>(A) R111477 includes YTD August Adjustment for FI/CO reconciliation of $(48,125.70) (AGR-NN40)</t>
  </si>
  <si>
    <t>ETS - Executive (AGR-NN80)                  (D)</t>
  </si>
  <si>
    <t>ETS - Operations (AGR-NN30)                (B)</t>
  </si>
  <si>
    <t xml:space="preserve">ETS - Systems (AGR-NN50)                   (C)  </t>
  </si>
  <si>
    <t xml:space="preserve">Prior month variance Footnote (D):  </t>
  </si>
  <si>
    <t xml:space="preserve">Prior month variance Footnote (C):  </t>
  </si>
  <si>
    <t>Prior month credit for GPG tax true up CC 111719</t>
  </si>
  <si>
    <t>Sybase Annual Maintenance Renewal posted in July (CC 111360)</t>
  </si>
  <si>
    <t>Compaq invoice paid in July (CC 111360)</t>
  </si>
  <si>
    <t>Decrease in Lubricants</t>
  </si>
  <si>
    <t>Decrease in Chemicals</t>
  </si>
  <si>
    <t>Decrease in Materials &amp; Supplies</t>
  </si>
  <si>
    <t>Period Ending September 30, 2001</t>
  </si>
  <si>
    <t>5th Workday</t>
  </si>
  <si>
    <t>September 2001</t>
  </si>
  <si>
    <t>(A) R111477 includes YTD September Adjustment for FI/CO reconciliation of $(69,597.42) (AGR-NN40)</t>
  </si>
  <si>
    <t>Increase in Commercial Support Exec allocated costs CC 111378</t>
  </si>
  <si>
    <t>Decrease in O/S Services for MOPS CC 111543</t>
  </si>
  <si>
    <t>Decrease in Salaries &amp; Wages</t>
  </si>
  <si>
    <t>Sept capitalization of ETS allocated costs CC 111451</t>
  </si>
  <si>
    <t>Decrease in Materials &amp; Supplies Omaha Admin Team CC 111399</t>
  </si>
  <si>
    <t>Decrease in ETS allocations CC 112081</t>
  </si>
  <si>
    <t>Decrease in O/S services Houston IT CC 111360</t>
  </si>
  <si>
    <t>Period Ending October 31, 2001</t>
  </si>
  <si>
    <t>October 2001</t>
  </si>
  <si>
    <t xml:space="preserve"> Actual</t>
  </si>
  <si>
    <t>YTD October 2001</t>
  </si>
  <si>
    <t>YTD September 2001</t>
  </si>
  <si>
    <t>(A) R111477 includes YTD October Adjustment for FI/CO reconciliation of $(132,054.73) (AGR-NN40)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</si>
</sst>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2" xfId="1" applyFont="1" applyBorder="1"/>
    <xf numFmtId="17" fontId="0" fillId="0" borderId="0" xfId="1" quotePrefix="1" applyNumberFormat="1" applyFont="1" applyAlignment="1">
      <alignment horizontal="center"/>
    </xf>
    <xf numFmtId="43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43" fontId="0" fillId="0" borderId="1" xfId="0" applyNumberFormat="1" applyBorder="1"/>
    <xf numFmtId="43" fontId="0" fillId="0" borderId="2" xfId="0" applyNumberFormat="1" applyBorder="1"/>
    <xf numFmtId="165" fontId="0" fillId="0" borderId="0" xfId="1" applyNumberFormat="1" applyFont="1"/>
    <xf numFmtId="165" fontId="0" fillId="0" borderId="2" xfId="1" applyNumberFormat="1" applyFont="1" applyBorder="1"/>
    <xf numFmtId="43" fontId="1" fillId="0" borderId="0" xfId="1"/>
    <xf numFmtId="17" fontId="1" fillId="0" borderId="0" xfId="1" quotePrefix="1" applyNumberFormat="1" applyFont="1" applyAlignment="1">
      <alignment horizontal="center"/>
    </xf>
    <xf numFmtId="43" fontId="1" fillId="0" borderId="1" xfId="1" applyBorder="1"/>
    <xf numFmtId="43" fontId="1" fillId="0" borderId="2" xfId="1" applyBorder="1"/>
    <xf numFmtId="165" fontId="1" fillId="0" borderId="0" xfId="1" applyNumberFormat="1"/>
    <xf numFmtId="165" fontId="1" fillId="0" borderId="2" xfId="1" applyNumberFormat="1" applyBorder="1"/>
    <xf numFmtId="43" fontId="1" fillId="0" borderId="0" xfId="1" applyFont="1"/>
    <xf numFmtId="0" fontId="2" fillId="0" borderId="0" xfId="0" quotePrefix="1" applyFont="1"/>
    <xf numFmtId="165" fontId="1" fillId="0" borderId="1" xfId="1" applyNumberFormat="1" applyBorder="1"/>
    <xf numFmtId="0" fontId="0" fillId="0" borderId="1" xfId="0" applyBorder="1"/>
    <xf numFmtId="165" fontId="1" fillId="0" borderId="0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20" sqref="A20"/>
    </sheetView>
  </sheetViews>
  <sheetFormatPr defaultRowHeight="12.75" x14ac:dyDescent="0.2"/>
  <cols>
    <col min="1" max="1" width="38.5703125" customWidth="1"/>
    <col min="2" max="2" width="14" style="1" bestFit="1" customWidth="1"/>
    <col min="3" max="4" width="19.140625" customWidth="1"/>
    <col min="5" max="5" width="12.85546875" bestFit="1" customWidth="1"/>
    <col min="6" max="6" width="11.85546875" bestFit="1" customWidth="1"/>
    <col min="7" max="7" width="14" bestFit="1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s="6" t="s">
        <v>17</v>
      </c>
    </row>
    <row r="4" spans="1:7" x14ac:dyDescent="0.2">
      <c r="A4" s="6"/>
    </row>
    <row r="5" spans="1:7" x14ac:dyDescent="0.2">
      <c r="B5" s="7" t="s">
        <v>15</v>
      </c>
      <c r="C5" s="7" t="s">
        <v>15</v>
      </c>
      <c r="D5" s="7" t="s">
        <v>16</v>
      </c>
      <c r="E5" t="s">
        <v>13</v>
      </c>
      <c r="F5" t="s">
        <v>13</v>
      </c>
      <c r="G5" s="7" t="s">
        <v>15</v>
      </c>
    </row>
    <row r="6" spans="1:7" x14ac:dyDescent="0.2">
      <c r="B6" s="4" t="s">
        <v>11</v>
      </c>
      <c r="C6" s="4" t="s">
        <v>12</v>
      </c>
      <c r="D6" s="4" t="s">
        <v>12</v>
      </c>
      <c r="E6" t="s">
        <v>14</v>
      </c>
      <c r="F6" s="7" t="s">
        <v>16</v>
      </c>
      <c r="G6" s="4" t="s">
        <v>19</v>
      </c>
    </row>
    <row r="7" spans="1:7" x14ac:dyDescent="0.2">
      <c r="A7" t="s">
        <v>2</v>
      </c>
      <c r="B7" s="1">
        <v>791598.7</v>
      </c>
      <c r="C7" s="1">
        <f>6002197.04-5395588.46</f>
        <v>606608.58000000007</v>
      </c>
      <c r="D7" s="1">
        <v>1399000</v>
      </c>
      <c r="E7" s="5">
        <f>C7-B7</f>
        <v>-184990.11999999988</v>
      </c>
      <c r="F7" s="5">
        <f>C7-D7</f>
        <v>-792391.41999999993</v>
      </c>
      <c r="G7" s="1">
        <v>6002197.04</v>
      </c>
    </row>
    <row r="8" spans="1:7" x14ac:dyDescent="0.2">
      <c r="A8" t="s">
        <v>3</v>
      </c>
      <c r="B8" s="1">
        <v>441830.71</v>
      </c>
      <c r="C8" s="1">
        <f>2664153.3-2172143.1</f>
        <v>492010.19999999972</v>
      </c>
      <c r="D8" s="1">
        <v>630000</v>
      </c>
      <c r="E8" s="5">
        <f t="shared" ref="E8:E14" si="0">C8-B8</f>
        <v>50179.4899999997</v>
      </c>
      <c r="F8" s="5">
        <f t="shared" ref="F8:F14" si="1">C8-D8</f>
        <v>-137989.80000000028</v>
      </c>
      <c r="G8" s="1">
        <v>2664153.2999999998</v>
      </c>
    </row>
    <row r="9" spans="1:7" x14ac:dyDescent="0.2">
      <c r="A9" t="s">
        <v>4</v>
      </c>
      <c r="B9" s="1">
        <v>7404886.9700000025</v>
      </c>
      <c r="C9" s="1">
        <f>41983311.27-34584697.86</f>
        <v>7398613.4100000039</v>
      </c>
      <c r="D9" s="1">
        <f>7401000-40000</f>
        <v>7361000</v>
      </c>
      <c r="E9" s="5">
        <f t="shared" si="0"/>
        <v>-6273.5599999986589</v>
      </c>
      <c r="F9" s="5">
        <f t="shared" si="1"/>
        <v>37613.410000003874</v>
      </c>
      <c r="G9" s="1">
        <v>41983311.270000003</v>
      </c>
    </row>
    <row r="10" spans="1:7" x14ac:dyDescent="0.2">
      <c r="A10" t="s">
        <v>20</v>
      </c>
      <c r="B10" s="1">
        <v>2180065.9500000002</v>
      </c>
      <c r="C10" s="1">
        <f>20015251.13-17284970.86--22332.65</f>
        <v>2752612.9199999995</v>
      </c>
      <c r="D10" s="1">
        <f>1031000-755000+218000+1941000-109000</f>
        <v>2326000</v>
      </c>
      <c r="E10" s="5">
        <f t="shared" si="0"/>
        <v>572546.96999999927</v>
      </c>
      <c r="F10" s="5">
        <f t="shared" si="1"/>
        <v>426612.91999999946</v>
      </c>
      <c r="G10" s="1">
        <v>20015251.129999999</v>
      </c>
    </row>
    <row r="11" spans="1:7" x14ac:dyDescent="0.2">
      <c r="A11" t="s">
        <v>6</v>
      </c>
      <c r="B11" s="1">
        <v>991631.57</v>
      </c>
      <c r="C11" s="1">
        <f>6179227.18-5023947.98</f>
        <v>1155279.1999999993</v>
      </c>
      <c r="D11" s="1">
        <v>1313000</v>
      </c>
      <c r="E11" s="5">
        <f t="shared" si="0"/>
        <v>163647.62999999931</v>
      </c>
      <c r="F11" s="5">
        <f t="shared" si="1"/>
        <v>-157720.80000000075</v>
      </c>
      <c r="G11" s="1">
        <v>6179227.1799999997</v>
      </c>
    </row>
    <row r="12" spans="1:7" x14ac:dyDescent="0.2">
      <c r="A12" t="s">
        <v>7</v>
      </c>
      <c r="B12" s="1">
        <v>86243.58</v>
      </c>
      <c r="C12" s="1">
        <f>855474.36-513465.85</f>
        <v>342008.51</v>
      </c>
      <c r="D12" s="1">
        <v>182000</v>
      </c>
      <c r="E12" s="5">
        <f t="shared" si="0"/>
        <v>255764.93</v>
      </c>
      <c r="F12" s="5">
        <f t="shared" si="1"/>
        <v>160008.51</v>
      </c>
      <c r="G12" s="1">
        <v>855474.36</v>
      </c>
    </row>
    <row r="13" spans="1:7" x14ac:dyDescent="0.2">
      <c r="A13" t="s">
        <v>8</v>
      </c>
      <c r="B13" s="1">
        <v>101710.71</v>
      </c>
      <c r="C13" s="1">
        <f>697392.5-565395.47</f>
        <v>131997.03000000003</v>
      </c>
      <c r="D13" s="1">
        <v>89000</v>
      </c>
      <c r="E13" s="5">
        <f t="shared" si="0"/>
        <v>30286.320000000022</v>
      </c>
      <c r="F13" s="5">
        <f t="shared" si="1"/>
        <v>42997.030000000028</v>
      </c>
      <c r="G13" s="1">
        <v>697392.5</v>
      </c>
    </row>
    <row r="14" spans="1:7" x14ac:dyDescent="0.2">
      <c r="A14" t="s">
        <v>9</v>
      </c>
      <c r="B14" s="2">
        <v>387031.81</v>
      </c>
      <c r="C14" s="2">
        <f>2847993.22-2236123.07</f>
        <v>611870.15000000037</v>
      </c>
      <c r="D14" s="2">
        <v>74000</v>
      </c>
      <c r="E14" s="8">
        <f t="shared" si="0"/>
        <v>224838.34000000037</v>
      </c>
      <c r="F14" s="8">
        <f t="shared" si="1"/>
        <v>537870.15000000037</v>
      </c>
      <c r="G14" s="2">
        <v>2847993.22</v>
      </c>
    </row>
    <row r="15" spans="1:7" ht="13.5" thickBot="1" x14ac:dyDescent="0.25">
      <c r="A15" t="s">
        <v>10</v>
      </c>
      <c r="B15" s="3">
        <f t="shared" ref="B15:G15" si="2">SUM(B7:B14)</f>
        <v>12385000.000000004</v>
      </c>
      <c r="C15" s="3">
        <f t="shared" si="2"/>
        <v>13491000.000000002</v>
      </c>
      <c r="D15" s="3">
        <f t="shared" si="2"/>
        <v>13374000</v>
      </c>
      <c r="E15" s="9">
        <f t="shared" si="2"/>
        <v>1106000</v>
      </c>
      <c r="F15" s="9">
        <f t="shared" si="2"/>
        <v>117000.00000000279</v>
      </c>
      <c r="G15" s="3">
        <f t="shared" si="2"/>
        <v>81244999.999999985</v>
      </c>
    </row>
    <row r="16" spans="1:7" ht="13.5" thickTop="1" x14ac:dyDescent="0.2"/>
    <row r="17" spans="1:7" x14ac:dyDescent="0.2">
      <c r="A17" s="6" t="s">
        <v>21</v>
      </c>
    </row>
    <row r="18" spans="1:7" x14ac:dyDescent="0.2">
      <c r="A18" t="s">
        <v>22</v>
      </c>
    </row>
    <row r="22" spans="1:7" x14ac:dyDescent="0.2">
      <c r="A22" t="s">
        <v>0</v>
      </c>
    </row>
    <row r="23" spans="1:7" x14ac:dyDescent="0.2">
      <c r="A23" t="s">
        <v>1</v>
      </c>
    </row>
    <row r="24" spans="1:7" x14ac:dyDescent="0.2">
      <c r="A24" s="6" t="s">
        <v>17</v>
      </c>
    </row>
    <row r="25" spans="1:7" x14ac:dyDescent="0.2">
      <c r="A25" s="6" t="s">
        <v>18</v>
      </c>
    </row>
    <row r="26" spans="1:7" x14ac:dyDescent="0.2">
      <c r="A26" s="6"/>
    </row>
    <row r="27" spans="1:7" x14ac:dyDescent="0.2">
      <c r="B27" s="7" t="s">
        <v>15</v>
      </c>
      <c r="C27" s="7" t="s">
        <v>15</v>
      </c>
      <c r="D27" s="7" t="s">
        <v>16</v>
      </c>
      <c r="E27" t="s">
        <v>13</v>
      </c>
      <c r="F27" t="s">
        <v>13</v>
      </c>
      <c r="G27" s="7" t="s">
        <v>15</v>
      </c>
    </row>
    <row r="28" spans="1:7" x14ac:dyDescent="0.2">
      <c r="B28" s="4" t="s">
        <v>11</v>
      </c>
      <c r="C28" s="4" t="s">
        <v>12</v>
      </c>
      <c r="D28" s="4" t="s">
        <v>12</v>
      </c>
      <c r="E28" t="s">
        <v>14</v>
      </c>
      <c r="F28" s="7" t="s">
        <v>16</v>
      </c>
      <c r="G28" s="4" t="s">
        <v>19</v>
      </c>
    </row>
    <row r="29" spans="1:7" x14ac:dyDescent="0.2">
      <c r="A29" t="s">
        <v>2</v>
      </c>
      <c r="B29" s="10">
        <f>ROUND(B7/1000,0)-1</f>
        <v>791</v>
      </c>
      <c r="C29" s="10">
        <f>ROUND(C7/1000,0)-1</f>
        <v>606</v>
      </c>
      <c r="D29" s="10">
        <f t="shared" ref="B29:D34" si="3">ROUND(D7/1000,0)</f>
        <v>1399</v>
      </c>
      <c r="E29" s="10">
        <f>C29-B29</f>
        <v>-185</v>
      </c>
      <c r="F29" s="10">
        <f>C29-D29</f>
        <v>-793</v>
      </c>
      <c r="G29" s="10">
        <f t="shared" ref="G29:G36" si="4">ROUND(G7/1000,0)</f>
        <v>6002</v>
      </c>
    </row>
    <row r="30" spans="1:7" x14ac:dyDescent="0.2">
      <c r="A30" t="s">
        <v>3</v>
      </c>
      <c r="B30" s="10">
        <f t="shared" si="3"/>
        <v>442</v>
      </c>
      <c r="C30" s="10">
        <f t="shared" si="3"/>
        <v>492</v>
      </c>
      <c r="D30" s="10">
        <f t="shared" si="3"/>
        <v>630</v>
      </c>
      <c r="E30" s="10">
        <f t="shared" ref="E30:E36" si="5">C30-B30</f>
        <v>50</v>
      </c>
      <c r="F30" s="10">
        <f t="shared" ref="F30:F36" si="6">C30-D30</f>
        <v>-138</v>
      </c>
      <c r="G30" s="10">
        <f t="shared" si="4"/>
        <v>2664</v>
      </c>
    </row>
    <row r="31" spans="1:7" x14ac:dyDescent="0.2">
      <c r="A31" t="s">
        <v>4</v>
      </c>
      <c r="B31" s="10">
        <f t="shared" si="3"/>
        <v>7405</v>
      </c>
      <c r="C31" s="10">
        <f t="shared" si="3"/>
        <v>7399</v>
      </c>
      <c r="D31" s="10">
        <f t="shared" si="3"/>
        <v>7361</v>
      </c>
      <c r="E31" s="10">
        <f t="shared" si="5"/>
        <v>-6</v>
      </c>
      <c r="F31" s="10">
        <f t="shared" si="6"/>
        <v>38</v>
      </c>
      <c r="G31" s="10">
        <f>ROUND(G9/1000,0)+1</f>
        <v>41984</v>
      </c>
    </row>
    <row r="32" spans="1:7" x14ac:dyDescent="0.2">
      <c r="A32" t="s">
        <v>5</v>
      </c>
      <c r="B32" s="10">
        <f t="shared" si="3"/>
        <v>2180</v>
      </c>
      <c r="C32" s="10">
        <f t="shared" si="3"/>
        <v>2753</v>
      </c>
      <c r="D32" s="10">
        <f t="shared" si="3"/>
        <v>2326</v>
      </c>
      <c r="E32" s="10">
        <f t="shared" si="5"/>
        <v>573</v>
      </c>
      <c r="F32" s="10">
        <f t="shared" si="6"/>
        <v>427</v>
      </c>
      <c r="G32" s="10">
        <f t="shared" si="4"/>
        <v>20015</v>
      </c>
    </row>
    <row r="33" spans="1:7" x14ac:dyDescent="0.2">
      <c r="A33" t="s">
        <v>6</v>
      </c>
      <c r="B33" s="10">
        <f t="shared" si="3"/>
        <v>992</v>
      </c>
      <c r="C33" s="10">
        <f t="shared" si="3"/>
        <v>1155</v>
      </c>
      <c r="D33" s="10">
        <f t="shared" si="3"/>
        <v>1313</v>
      </c>
      <c r="E33" s="10">
        <f t="shared" si="5"/>
        <v>163</v>
      </c>
      <c r="F33" s="10">
        <f t="shared" si="6"/>
        <v>-158</v>
      </c>
      <c r="G33" s="10">
        <f t="shared" si="4"/>
        <v>6179</v>
      </c>
    </row>
    <row r="34" spans="1:7" x14ac:dyDescent="0.2">
      <c r="A34" t="s">
        <v>7</v>
      </c>
      <c r="B34" s="10">
        <f t="shared" si="3"/>
        <v>86</v>
      </c>
      <c r="C34" s="10">
        <f t="shared" si="3"/>
        <v>342</v>
      </c>
      <c r="D34" s="10">
        <f t="shared" si="3"/>
        <v>182</v>
      </c>
      <c r="E34" s="10">
        <f t="shared" si="5"/>
        <v>256</v>
      </c>
      <c r="F34" s="10">
        <f t="shared" si="6"/>
        <v>160</v>
      </c>
      <c r="G34" s="10">
        <f>ROUND(G12/1000,0)+1</f>
        <v>856</v>
      </c>
    </row>
    <row r="35" spans="1:7" x14ac:dyDescent="0.2">
      <c r="A35" t="s">
        <v>8</v>
      </c>
      <c r="B35" s="10">
        <f t="shared" ref="B35:D36" si="7">ROUND(B13/1000,0)</f>
        <v>102</v>
      </c>
      <c r="C35" s="10">
        <f t="shared" si="7"/>
        <v>132</v>
      </c>
      <c r="D35" s="10">
        <f t="shared" si="7"/>
        <v>89</v>
      </c>
      <c r="E35" s="10">
        <f t="shared" si="5"/>
        <v>30</v>
      </c>
      <c r="F35" s="10">
        <f t="shared" si="6"/>
        <v>43</v>
      </c>
      <c r="G35" s="10">
        <f t="shared" si="4"/>
        <v>697</v>
      </c>
    </row>
    <row r="36" spans="1:7" x14ac:dyDescent="0.2">
      <c r="A36" t="s">
        <v>9</v>
      </c>
      <c r="B36" s="10">
        <f t="shared" si="7"/>
        <v>387</v>
      </c>
      <c r="C36" s="10">
        <f t="shared" si="7"/>
        <v>612</v>
      </c>
      <c r="D36" s="10">
        <f t="shared" si="7"/>
        <v>74</v>
      </c>
      <c r="E36" s="10">
        <f t="shared" si="5"/>
        <v>225</v>
      </c>
      <c r="F36" s="10">
        <f t="shared" si="6"/>
        <v>538</v>
      </c>
      <c r="G36" s="10">
        <f t="shared" si="4"/>
        <v>2848</v>
      </c>
    </row>
    <row r="37" spans="1:7" ht="13.5" thickBot="1" x14ac:dyDescent="0.25">
      <c r="A37" t="s">
        <v>10</v>
      </c>
      <c r="B37" s="11">
        <f t="shared" ref="B37:G37" si="8">SUM(B29:B36)</f>
        <v>12385</v>
      </c>
      <c r="C37" s="11">
        <f t="shared" si="8"/>
        <v>13491</v>
      </c>
      <c r="D37" s="11">
        <f t="shared" si="8"/>
        <v>13374</v>
      </c>
      <c r="E37" s="11">
        <f t="shared" si="8"/>
        <v>1106</v>
      </c>
      <c r="F37" s="11">
        <f t="shared" si="8"/>
        <v>117</v>
      </c>
      <c r="G37" s="11">
        <f t="shared" si="8"/>
        <v>81245</v>
      </c>
    </row>
    <row r="38" spans="1:7" ht="13.5" thickTop="1" x14ac:dyDescent="0.2"/>
  </sheetData>
  <phoneticPr fontId="0" type="noConversion"/>
  <printOptions horizontalCentered="1"/>
  <pageMargins left="0.5" right="0.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workbookViewId="0"/>
  </sheetViews>
  <sheetFormatPr defaultRowHeight="12.75" x14ac:dyDescent="0.2"/>
  <cols>
    <col min="1" max="1" width="38.5703125" customWidth="1"/>
    <col min="2" max="2" width="14" style="12" bestFit="1" customWidth="1"/>
    <col min="3" max="4" width="19.140625" customWidth="1"/>
    <col min="5" max="6" width="14.5703125" bestFit="1" customWidth="1"/>
    <col min="7" max="8" width="14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6" t="s">
        <v>23</v>
      </c>
    </row>
    <row r="4" spans="1:8" x14ac:dyDescent="0.2">
      <c r="A4" s="6"/>
    </row>
    <row r="5" spans="1:8" x14ac:dyDescent="0.2">
      <c r="B5" s="7" t="s">
        <v>15</v>
      </c>
      <c r="C5" s="7" t="s">
        <v>15</v>
      </c>
      <c r="D5" s="7" t="s">
        <v>16</v>
      </c>
      <c r="E5" t="s">
        <v>13</v>
      </c>
      <c r="F5" t="s">
        <v>13</v>
      </c>
      <c r="G5" s="7" t="s">
        <v>15</v>
      </c>
      <c r="H5" s="7" t="s">
        <v>15</v>
      </c>
    </row>
    <row r="6" spans="1:8" x14ac:dyDescent="0.2">
      <c r="B6" s="13" t="s">
        <v>12</v>
      </c>
      <c r="C6" s="13" t="s">
        <v>25</v>
      </c>
      <c r="D6" s="13" t="s">
        <v>25</v>
      </c>
      <c r="E6" t="s">
        <v>14</v>
      </c>
      <c r="F6" s="7" t="s">
        <v>16</v>
      </c>
      <c r="G6" s="13" t="s">
        <v>24</v>
      </c>
      <c r="H6" s="13" t="s">
        <v>19</v>
      </c>
    </row>
    <row r="7" spans="1:8" x14ac:dyDescent="0.2">
      <c r="A7" t="s">
        <v>2</v>
      </c>
      <c r="B7" s="12">
        <f>6002197.04-5395588.46</f>
        <v>606608.58000000007</v>
      </c>
      <c r="C7" s="12">
        <f>G7-H7</f>
        <v>1292767.9500000002</v>
      </c>
      <c r="D7" s="12">
        <v>2000000</v>
      </c>
      <c r="E7" s="5">
        <f t="shared" ref="E7:E14" si="0">C7-B7</f>
        <v>686159.37000000011</v>
      </c>
      <c r="F7" s="5">
        <f t="shared" ref="F7:F14" si="1">C7-D7</f>
        <v>-707232.04999999981</v>
      </c>
      <c r="G7" s="12">
        <v>7294964.9900000002</v>
      </c>
      <c r="H7" s="12">
        <v>6002197.04</v>
      </c>
    </row>
    <row r="8" spans="1:8" x14ac:dyDescent="0.2">
      <c r="A8" t="s">
        <v>3</v>
      </c>
      <c r="B8" s="12">
        <f>2664153.3-2172143.1</f>
        <v>492010.19999999972</v>
      </c>
      <c r="C8" s="12">
        <f t="shared" ref="C8:C14" si="2">G8-H8</f>
        <v>432957.88000000035</v>
      </c>
      <c r="D8" s="12">
        <v>400000</v>
      </c>
      <c r="E8" s="5">
        <f t="shared" si="0"/>
        <v>-59052.319999999367</v>
      </c>
      <c r="F8" s="5">
        <f t="shared" si="1"/>
        <v>32957.880000000354</v>
      </c>
      <c r="G8" s="12">
        <v>3097111.18</v>
      </c>
      <c r="H8" s="12">
        <v>2664153.2999999998</v>
      </c>
    </row>
    <row r="9" spans="1:8" x14ac:dyDescent="0.2">
      <c r="A9" t="s">
        <v>4</v>
      </c>
      <c r="B9" s="12">
        <f>41983311.27-34584697.86</f>
        <v>7398613.4100000039</v>
      </c>
      <c r="C9" s="12">
        <f t="shared" si="2"/>
        <v>7328877.099999994</v>
      </c>
      <c r="D9" s="12">
        <v>6900000</v>
      </c>
      <c r="E9" s="5">
        <f t="shared" si="0"/>
        <v>-69736.310000009835</v>
      </c>
      <c r="F9" s="5">
        <f t="shared" si="1"/>
        <v>428877.09999999404</v>
      </c>
      <c r="G9" s="12">
        <v>49312188.369999997</v>
      </c>
      <c r="H9" s="12">
        <v>41983311.270000003</v>
      </c>
    </row>
    <row r="10" spans="1:8" x14ac:dyDescent="0.2">
      <c r="A10" t="s">
        <v>20</v>
      </c>
      <c r="B10" s="12">
        <f>20015251.13-17284970.86--22332.65</f>
        <v>2752612.9199999995</v>
      </c>
      <c r="C10" s="12">
        <f t="shared" si="2"/>
        <v>2703470.5100000016</v>
      </c>
      <c r="D10" s="12">
        <f>1100000-800000+1900000</f>
        <v>2200000</v>
      </c>
      <c r="E10" s="5">
        <f t="shared" si="0"/>
        <v>-49142.409999997821</v>
      </c>
      <c r="F10" s="5">
        <f t="shared" si="1"/>
        <v>503470.51000000164</v>
      </c>
      <c r="G10" s="18">
        <f>22758764.48-40042.84</f>
        <v>22718721.640000001</v>
      </c>
      <c r="H10" s="12">
        <v>20015251.129999999</v>
      </c>
    </row>
    <row r="11" spans="1:8" x14ac:dyDescent="0.2">
      <c r="A11" t="s">
        <v>6</v>
      </c>
      <c r="B11" s="12">
        <f>6179227.18-5023947.98</f>
        <v>1155279.1999999993</v>
      </c>
      <c r="C11" s="12">
        <f t="shared" si="2"/>
        <v>1313385.2700000005</v>
      </c>
      <c r="D11" s="12">
        <v>1100000</v>
      </c>
      <c r="E11" s="5">
        <f t="shared" si="0"/>
        <v>158106.07000000123</v>
      </c>
      <c r="F11" s="5">
        <f t="shared" si="1"/>
        <v>213385.27000000048</v>
      </c>
      <c r="G11" s="12">
        <v>7492612.4500000002</v>
      </c>
      <c r="H11" s="12">
        <v>6179227.1799999997</v>
      </c>
    </row>
    <row r="12" spans="1:8" x14ac:dyDescent="0.2">
      <c r="A12" t="s">
        <v>7</v>
      </c>
      <c r="B12" s="12">
        <f>855474.36-513465.85</f>
        <v>342008.51</v>
      </c>
      <c r="C12" s="12">
        <f t="shared" si="2"/>
        <v>242210.17000000004</v>
      </c>
      <c r="D12" s="12">
        <v>200000</v>
      </c>
      <c r="E12" s="5">
        <f t="shared" si="0"/>
        <v>-99798.339999999967</v>
      </c>
      <c r="F12" s="5">
        <f t="shared" si="1"/>
        <v>42210.170000000042</v>
      </c>
      <c r="G12" s="12">
        <v>1097684.53</v>
      </c>
      <c r="H12" s="12">
        <v>855474.36</v>
      </c>
    </row>
    <row r="13" spans="1:8" x14ac:dyDescent="0.2">
      <c r="A13" t="s">
        <v>8</v>
      </c>
      <c r="B13" s="12">
        <f>697392.5-565395.47</f>
        <v>131997.03000000003</v>
      </c>
      <c r="C13" s="12">
        <f t="shared" si="2"/>
        <v>102101.07999999996</v>
      </c>
      <c r="D13" s="12">
        <v>100000</v>
      </c>
      <c r="E13" s="5">
        <f t="shared" si="0"/>
        <v>-29895.95000000007</v>
      </c>
      <c r="F13" s="5">
        <f t="shared" si="1"/>
        <v>2101.0799999999581</v>
      </c>
      <c r="G13" s="12">
        <v>799493.58</v>
      </c>
      <c r="H13" s="12">
        <v>697392.5</v>
      </c>
    </row>
    <row r="14" spans="1:8" x14ac:dyDescent="0.2">
      <c r="A14" t="s">
        <v>9</v>
      </c>
      <c r="B14" s="14">
        <f>2847993.22-2236123.07</f>
        <v>611870.15000000037</v>
      </c>
      <c r="C14" s="12">
        <f t="shared" si="2"/>
        <v>-339769.96000000043</v>
      </c>
      <c r="D14" s="14">
        <v>0</v>
      </c>
      <c r="E14" s="8">
        <f t="shared" si="0"/>
        <v>-951640.1100000008</v>
      </c>
      <c r="F14" s="8">
        <f t="shared" si="1"/>
        <v>-339769.96000000043</v>
      </c>
      <c r="G14" s="14">
        <v>2508223.2599999998</v>
      </c>
      <c r="H14" s="14">
        <v>2847993.22</v>
      </c>
    </row>
    <row r="15" spans="1:8" ht="13.5" thickBot="1" x14ac:dyDescent="0.25">
      <c r="A15" t="s">
        <v>10</v>
      </c>
      <c r="B15" s="15">
        <f t="shared" ref="B15:H15" si="3">SUM(B7:B14)</f>
        <v>13491000.000000002</v>
      </c>
      <c r="C15" s="15">
        <f t="shared" si="3"/>
        <v>13075999.999999996</v>
      </c>
      <c r="D15" s="15">
        <f t="shared" si="3"/>
        <v>12900000</v>
      </c>
      <c r="E15" s="9">
        <f t="shared" si="3"/>
        <v>-415000.00000000652</v>
      </c>
      <c r="F15" s="9">
        <f t="shared" si="3"/>
        <v>175999.99999999627</v>
      </c>
      <c r="G15" s="15">
        <f t="shared" si="3"/>
        <v>94321000.000000015</v>
      </c>
      <c r="H15" s="15">
        <f t="shared" si="3"/>
        <v>81244999.999999985</v>
      </c>
    </row>
    <row r="16" spans="1:8" ht="13.5" thickTop="1" x14ac:dyDescent="0.2"/>
    <row r="17" spans="1:7" x14ac:dyDescent="0.2">
      <c r="A17" s="6" t="s">
        <v>26</v>
      </c>
    </row>
    <row r="22" spans="1:7" x14ac:dyDescent="0.2">
      <c r="A22" t="s">
        <v>0</v>
      </c>
    </row>
    <row r="23" spans="1:7" x14ac:dyDescent="0.2">
      <c r="A23" t="s">
        <v>1</v>
      </c>
    </row>
    <row r="24" spans="1:7" x14ac:dyDescent="0.2">
      <c r="A24" s="6" t="str">
        <f>A3</f>
        <v>Period Ending July 31, 2001</v>
      </c>
    </row>
    <row r="25" spans="1:7" x14ac:dyDescent="0.2">
      <c r="A25" s="6" t="s">
        <v>18</v>
      </c>
    </row>
    <row r="26" spans="1:7" x14ac:dyDescent="0.2">
      <c r="A26" s="6"/>
    </row>
    <row r="27" spans="1:7" x14ac:dyDescent="0.2">
      <c r="B27" s="7" t="s">
        <v>15</v>
      </c>
      <c r="C27" s="7" t="s">
        <v>15</v>
      </c>
      <c r="D27" s="7" t="s">
        <v>16</v>
      </c>
      <c r="E27" t="s">
        <v>13</v>
      </c>
      <c r="F27" t="s">
        <v>13</v>
      </c>
      <c r="G27" s="7" t="s">
        <v>15</v>
      </c>
    </row>
    <row r="28" spans="1:7" x14ac:dyDescent="0.2">
      <c r="B28" s="13" t="str">
        <f>B6</f>
        <v>June 2001</v>
      </c>
      <c r="C28" s="13" t="str">
        <f>C6</f>
        <v>July 2001</v>
      </c>
      <c r="D28" s="13" t="str">
        <f>D6</f>
        <v>July 2001</v>
      </c>
      <c r="E28" t="s">
        <v>14</v>
      </c>
      <c r="F28" s="7" t="s">
        <v>16</v>
      </c>
      <c r="G28" s="13" t="str">
        <f>G6</f>
        <v>YTD July 2001</v>
      </c>
    </row>
    <row r="29" spans="1:7" x14ac:dyDescent="0.2">
      <c r="A29" t="s">
        <v>27</v>
      </c>
      <c r="B29" s="16">
        <f>ROUND(B7/1000,0)-1</f>
        <v>606</v>
      </c>
      <c r="C29" s="16">
        <f>ROUND(C7/1000,0)</f>
        <v>1293</v>
      </c>
      <c r="D29" s="16">
        <f t="shared" ref="D29:D36" si="4">ROUND(D7/1000,0)</f>
        <v>2000</v>
      </c>
      <c r="E29" s="16">
        <f t="shared" ref="E29:E36" si="5">C29-B29</f>
        <v>687</v>
      </c>
      <c r="F29" s="16">
        <f t="shared" ref="F29:F36" si="6">C29-D29</f>
        <v>-707</v>
      </c>
      <c r="G29" s="16">
        <f t="shared" ref="G29:G36" si="7">ROUND(G7/1000,0)</f>
        <v>7295</v>
      </c>
    </row>
    <row r="30" spans="1:7" x14ac:dyDescent="0.2">
      <c r="A30" t="s">
        <v>3</v>
      </c>
      <c r="B30" s="16">
        <f t="shared" ref="B30:C36" si="8">ROUND(B8/1000,0)</f>
        <v>492</v>
      </c>
      <c r="C30" s="16">
        <f t="shared" si="8"/>
        <v>433</v>
      </c>
      <c r="D30" s="16">
        <f t="shared" si="4"/>
        <v>400</v>
      </c>
      <c r="E30" s="16">
        <f t="shared" si="5"/>
        <v>-59</v>
      </c>
      <c r="F30" s="16">
        <f t="shared" si="6"/>
        <v>33</v>
      </c>
      <c r="G30" s="16">
        <f t="shared" si="7"/>
        <v>3097</v>
      </c>
    </row>
    <row r="31" spans="1:7" x14ac:dyDescent="0.2">
      <c r="A31" t="s">
        <v>4</v>
      </c>
      <c r="B31" s="16">
        <f t="shared" si="8"/>
        <v>7399</v>
      </c>
      <c r="C31" s="16">
        <f t="shared" si="8"/>
        <v>7329</v>
      </c>
      <c r="D31" s="16">
        <f t="shared" si="4"/>
        <v>6900</v>
      </c>
      <c r="E31" s="16">
        <f t="shared" si="5"/>
        <v>-70</v>
      </c>
      <c r="F31" s="16">
        <f t="shared" si="6"/>
        <v>429</v>
      </c>
      <c r="G31" s="16">
        <f t="shared" si="7"/>
        <v>49312</v>
      </c>
    </row>
    <row r="32" spans="1:7" x14ac:dyDescent="0.2">
      <c r="A32" t="s">
        <v>5</v>
      </c>
      <c r="B32" s="16">
        <f t="shared" si="8"/>
        <v>2753</v>
      </c>
      <c r="C32" s="16">
        <f>ROUND(C10/1000,0)+1</f>
        <v>2704</v>
      </c>
      <c r="D32" s="16">
        <f t="shared" si="4"/>
        <v>2200</v>
      </c>
      <c r="E32" s="16">
        <f t="shared" si="5"/>
        <v>-49</v>
      </c>
      <c r="F32" s="16">
        <f t="shared" si="6"/>
        <v>504</v>
      </c>
      <c r="G32" s="16">
        <f t="shared" si="7"/>
        <v>22719</v>
      </c>
    </row>
    <row r="33" spans="1:7" x14ac:dyDescent="0.2">
      <c r="A33" t="s">
        <v>6</v>
      </c>
      <c r="B33" s="16">
        <f t="shared" si="8"/>
        <v>1155</v>
      </c>
      <c r="C33" s="16">
        <f t="shared" si="8"/>
        <v>1313</v>
      </c>
      <c r="D33" s="16">
        <f t="shared" si="4"/>
        <v>1100</v>
      </c>
      <c r="E33" s="16">
        <f t="shared" si="5"/>
        <v>158</v>
      </c>
      <c r="F33" s="16">
        <f t="shared" si="6"/>
        <v>213</v>
      </c>
      <c r="G33" s="16">
        <f t="shared" si="7"/>
        <v>7493</v>
      </c>
    </row>
    <row r="34" spans="1:7" x14ac:dyDescent="0.2">
      <c r="A34" t="s">
        <v>7</v>
      </c>
      <c r="B34" s="16">
        <f t="shared" si="8"/>
        <v>342</v>
      </c>
      <c r="C34" s="16">
        <f t="shared" si="8"/>
        <v>242</v>
      </c>
      <c r="D34" s="16">
        <f t="shared" si="4"/>
        <v>200</v>
      </c>
      <c r="E34" s="16">
        <f t="shared" si="5"/>
        <v>-100</v>
      </c>
      <c r="F34" s="16">
        <f t="shared" si="6"/>
        <v>42</v>
      </c>
      <c r="G34" s="16">
        <f t="shared" si="7"/>
        <v>1098</v>
      </c>
    </row>
    <row r="35" spans="1:7" x14ac:dyDescent="0.2">
      <c r="A35" t="s">
        <v>8</v>
      </c>
      <c r="B35" s="16">
        <f t="shared" si="8"/>
        <v>132</v>
      </c>
      <c r="C35" s="16">
        <f t="shared" si="8"/>
        <v>102</v>
      </c>
      <c r="D35" s="16">
        <f t="shared" si="4"/>
        <v>100</v>
      </c>
      <c r="E35" s="16">
        <f t="shared" si="5"/>
        <v>-30</v>
      </c>
      <c r="F35" s="16">
        <f t="shared" si="6"/>
        <v>2</v>
      </c>
      <c r="G35" s="16">
        <f t="shared" si="7"/>
        <v>799</v>
      </c>
    </row>
    <row r="36" spans="1:7" x14ac:dyDescent="0.2">
      <c r="A36" t="s">
        <v>28</v>
      </c>
      <c r="B36" s="16">
        <f t="shared" si="8"/>
        <v>612</v>
      </c>
      <c r="C36" s="16">
        <f t="shared" si="8"/>
        <v>-340</v>
      </c>
      <c r="D36" s="16">
        <f t="shared" si="4"/>
        <v>0</v>
      </c>
      <c r="E36" s="16">
        <f t="shared" si="5"/>
        <v>-952</v>
      </c>
      <c r="F36" s="16">
        <f t="shared" si="6"/>
        <v>-340</v>
      </c>
      <c r="G36" s="16">
        <f t="shared" si="7"/>
        <v>2508</v>
      </c>
    </row>
    <row r="37" spans="1:7" ht="13.5" thickBot="1" x14ac:dyDescent="0.25">
      <c r="A37" t="s">
        <v>10</v>
      </c>
      <c r="B37" s="17">
        <f t="shared" ref="B37:G37" si="9">SUM(B29:B36)</f>
        <v>13491</v>
      </c>
      <c r="C37" s="17">
        <f t="shared" si="9"/>
        <v>13076</v>
      </c>
      <c r="D37" s="17">
        <f t="shared" si="9"/>
        <v>12900</v>
      </c>
      <c r="E37" s="17">
        <f t="shared" si="9"/>
        <v>-415</v>
      </c>
      <c r="F37" s="17">
        <f t="shared" si="9"/>
        <v>176</v>
      </c>
      <c r="G37" s="17">
        <f t="shared" si="9"/>
        <v>94321</v>
      </c>
    </row>
    <row r="38" spans="1:7" ht="13.5" thickTop="1" x14ac:dyDescent="0.2"/>
    <row r="40" spans="1:7" x14ac:dyDescent="0.2">
      <c r="A40" s="19" t="s">
        <v>29</v>
      </c>
    </row>
    <row r="41" spans="1:7" x14ac:dyDescent="0.2">
      <c r="A41" s="6" t="s">
        <v>30</v>
      </c>
      <c r="B41" s="16">
        <v>522</v>
      </c>
    </row>
    <row r="42" spans="1:7" x14ac:dyDescent="0.2">
      <c r="A42" t="s">
        <v>31</v>
      </c>
      <c r="B42" s="16">
        <v>261</v>
      </c>
    </row>
    <row r="43" spans="1:7" x14ac:dyDescent="0.2">
      <c r="A43" t="s">
        <v>32</v>
      </c>
      <c r="B43" s="20">
        <v>-96</v>
      </c>
    </row>
    <row r="44" spans="1:7" ht="13.5" thickBot="1" x14ac:dyDescent="0.25">
      <c r="B44" s="17">
        <f>SUM(B41:B43)</f>
        <v>687</v>
      </c>
    </row>
    <row r="45" spans="1:7" ht="13.5" thickTop="1" x14ac:dyDescent="0.2"/>
    <row r="46" spans="1:7" x14ac:dyDescent="0.2">
      <c r="A46" s="19" t="s">
        <v>33</v>
      </c>
    </row>
    <row r="47" spans="1:7" x14ac:dyDescent="0.2">
      <c r="A47" t="s">
        <v>34</v>
      </c>
      <c r="B47" s="16">
        <v>-839</v>
      </c>
    </row>
    <row r="48" spans="1:7" x14ac:dyDescent="0.2">
      <c r="A48" t="s">
        <v>32</v>
      </c>
      <c r="B48" s="20">
        <v>-113</v>
      </c>
    </row>
    <row r="49" spans="1:2" ht="13.5" thickBot="1" x14ac:dyDescent="0.25">
      <c r="B49" s="17">
        <f>SUM(B47:B48)</f>
        <v>-952</v>
      </c>
    </row>
    <row r="50" spans="1:2" ht="13.5" thickTop="1" x14ac:dyDescent="0.2"/>
    <row r="52" spans="1:2" x14ac:dyDescent="0.2">
      <c r="A52" s="21" t="s">
        <v>35</v>
      </c>
    </row>
    <row r="53" spans="1:2" x14ac:dyDescent="0.2">
      <c r="A53" t="s">
        <v>36</v>
      </c>
      <c r="B53" s="16">
        <v>-589</v>
      </c>
    </row>
    <row r="54" spans="1:2" x14ac:dyDescent="0.2">
      <c r="A54" t="s">
        <v>37</v>
      </c>
      <c r="B54" s="16">
        <v>155</v>
      </c>
    </row>
    <row r="55" spans="1:2" x14ac:dyDescent="0.2">
      <c r="A55" t="s">
        <v>38</v>
      </c>
      <c r="B55" s="16">
        <v>49</v>
      </c>
    </row>
    <row r="56" spans="1:2" x14ac:dyDescent="0.2">
      <c r="A56" t="s">
        <v>39</v>
      </c>
      <c r="B56" s="16">
        <v>-7</v>
      </c>
    </row>
    <row r="57" spans="1:2" x14ac:dyDescent="0.2">
      <c r="A57" t="s">
        <v>40</v>
      </c>
      <c r="B57" s="16">
        <v>25</v>
      </c>
    </row>
    <row r="58" spans="1:2" x14ac:dyDescent="0.2">
      <c r="A58" t="s">
        <v>42</v>
      </c>
      <c r="B58" s="16">
        <v>-39</v>
      </c>
    </row>
    <row r="59" spans="1:2" x14ac:dyDescent="0.2">
      <c r="A59" s="6" t="s">
        <v>41</v>
      </c>
      <c r="B59" s="16">
        <v>38</v>
      </c>
    </row>
    <row r="60" spans="1:2" x14ac:dyDescent="0.2">
      <c r="A60" t="s">
        <v>32</v>
      </c>
      <c r="B60" s="20">
        <v>-1</v>
      </c>
    </row>
    <row r="61" spans="1:2" ht="13.5" thickBot="1" x14ac:dyDescent="0.25">
      <c r="B61" s="17">
        <f>SUM(B53:B60)</f>
        <v>-369</v>
      </c>
    </row>
    <row r="62" spans="1:2" ht="13.5" thickTop="1" x14ac:dyDescent="0.2"/>
  </sheetData>
  <phoneticPr fontId="0" type="noConversion"/>
  <printOptions horizontalCentered="1"/>
  <pageMargins left="0.5" right="0.5" top="0.5" bottom="0.5" header="0.5" footer="0.5"/>
  <pageSetup scale="8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opLeftCell="B1" workbookViewId="0">
      <selection activeCell="G10" sqref="G10"/>
    </sheetView>
  </sheetViews>
  <sheetFormatPr defaultRowHeight="12.75" x14ac:dyDescent="0.2"/>
  <cols>
    <col min="1" max="1" width="56.140625" customWidth="1"/>
    <col min="2" max="2" width="14" style="12" bestFit="1" customWidth="1"/>
    <col min="3" max="4" width="19.140625" customWidth="1"/>
    <col min="5" max="6" width="14.5703125" bestFit="1" customWidth="1"/>
    <col min="7" max="7" width="15.7109375" bestFit="1" customWidth="1"/>
    <col min="8" max="8" width="14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6" t="s">
        <v>43</v>
      </c>
    </row>
    <row r="4" spans="1:8" x14ac:dyDescent="0.2">
      <c r="A4" s="6"/>
    </row>
    <row r="5" spans="1:8" x14ac:dyDescent="0.2">
      <c r="B5" s="7" t="s">
        <v>15</v>
      </c>
      <c r="C5" s="7" t="s">
        <v>15</v>
      </c>
      <c r="D5" s="7" t="s">
        <v>16</v>
      </c>
      <c r="E5" t="s">
        <v>13</v>
      </c>
      <c r="F5" t="s">
        <v>13</v>
      </c>
      <c r="G5" s="7" t="s">
        <v>15</v>
      </c>
      <c r="H5" s="7" t="s">
        <v>15</v>
      </c>
    </row>
    <row r="6" spans="1:8" x14ac:dyDescent="0.2">
      <c r="B6" s="13" t="s">
        <v>25</v>
      </c>
      <c r="C6" s="13" t="s">
        <v>44</v>
      </c>
      <c r="D6" s="13" t="s">
        <v>44</v>
      </c>
      <c r="E6" t="s">
        <v>14</v>
      </c>
      <c r="F6" s="7" t="s">
        <v>16</v>
      </c>
      <c r="G6" s="13" t="s">
        <v>45</v>
      </c>
      <c r="H6" s="13" t="s">
        <v>24</v>
      </c>
    </row>
    <row r="7" spans="1:8" x14ac:dyDescent="0.2">
      <c r="A7" t="s">
        <v>2</v>
      </c>
      <c r="B7" s="12">
        <v>1292767.95</v>
      </c>
      <c r="C7" s="12">
        <f t="shared" ref="C7:C14" si="0">G7-H7</f>
        <v>740413.04999999981</v>
      </c>
      <c r="D7" s="12">
        <v>1483000</v>
      </c>
      <c r="E7" s="5">
        <f t="shared" ref="E7:E14" si="1">C7-B7</f>
        <v>-552354.90000000014</v>
      </c>
      <c r="F7" s="5">
        <f t="shared" ref="F7:F14" si="2">C7-D7</f>
        <v>-742586.95000000019</v>
      </c>
      <c r="G7" s="12">
        <v>8035378.04</v>
      </c>
      <c r="H7" s="12">
        <v>7294964.9900000002</v>
      </c>
    </row>
    <row r="8" spans="1:8" x14ac:dyDescent="0.2">
      <c r="A8" t="s">
        <v>3</v>
      </c>
      <c r="B8" s="12">
        <v>432957.88</v>
      </c>
      <c r="C8" s="12">
        <f t="shared" si="0"/>
        <v>420943.21999999974</v>
      </c>
      <c r="D8" s="12">
        <v>451000</v>
      </c>
      <c r="E8" s="5">
        <f t="shared" si="1"/>
        <v>-12014.660000000265</v>
      </c>
      <c r="F8" s="5">
        <f t="shared" si="2"/>
        <v>-30056.780000000261</v>
      </c>
      <c r="G8" s="12">
        <v>3518054.3999999999</v>
      </c>
      <c r="H8" s="12">
        <v>3097111.18</v>
      </c>
    </row>
    <row r="9" spans="1:8" x14ac:dyDescent="0.2">
      <c r="A9" t="s">
        <v>4</v>
      </c>
      <c r="B9" s="12">
        <v>7328877.099999994</v>
      </c>
      <c r="C9" s="12">
        <f t="shared" si="0"/>
        <v>6826188.6099999994</v>
      </c>
      <c r="D9" s="12">
        <v>7057000</v>
      </c>
      <c r="E9" s="5">
        <f t="shared" si="1"/>
        <v>-502688.48999999464</v>
      </c>
      <c r="F9" s="5">
        <f t="shared" si="2"/>
        <v>-230811.3900000006</v>
      </c>
      <c r="G9" s="12">
        <v>56138376.979999997</v>
      </c>
      <c r="H9" s="12">
        <v>49312188.369999997</v>
      </c>
    </row>
    <row r="10" spans="1:8" x14ac:dyDescent="0.2">
      <c r="A10" t="s">
        <v>20</v>
      </c>
      <c r="B10" s="12">
        <v>2703470.51</v>
      </c>
      <c r="C10" s="12">
        <f t="shared" si="0"/>
        <v>2761499.9899999984</v>
      </c>
      <c r="D10" s="12">
        <f>1404000+1609000</f>
        <v>3013000</v>
      </c>
      <c r="E10" s="5">
        <f t="shared" si="1"/>
        <v>58029.479999998584</v>
      </c>
      <c r="F10" s="5">
        <f t="shared" si="2"/>
        <v>-251500.01000000164</v>
      </c>
      <c r="G10" s="18">
        <f>25528347.33-40042.84-8082.86</f>
        <v>25480221.629999999</v>
      </c>
      <c r="H10" s="18">
        <f>22758764.48-40042.84</f>
        <v>22718721.640000001</v>
      </c>
    </row>
    <row r="11" spans="1:8" x14ac:dyDescent="0.2">
      <c r="A11" t="s">
        <v>6</v>
      </c>
      <c r="B11" s="12">
        <v>1313385.27</v>
      </c>
      <c r="C11" s="12">
        <f t="shared" si="0"/>
        <v>1078912.3899999997</v>
      </c>
      <c r="D11" s="12">
        <v>997000</v>
      </c>
      <c r="E11" s="5">
        <f t="shared" si="1"/>
        <v>-234472.88000000035</v>
      </c>
      <c r="F11" s="5">
        <f t="shared" si="2"/>
        <v>81912.389999999665</v>
      </c>
      <c r="G11" s="12">
        <v>8571524.8399999999</v>
      </c>
      <c r="H11" s="12">
        <v>7492612.4500000002</v>
      </c>
    </row>
    <row r="12" spans="1:8" x14ac:dyDescent="0.2">
      <c r="A12" t="s">
        <v>7</v>
      </c>
      <c r="B12" s="12">
        <v>242210.17</v>
      </c>
      <c r="C12" s="12">
        <f t="shared" si="0"/>
        <v>249906.56000000006</v>
      </c>
      <c r="D12" s="12">
        <v>163000</v>
      </c>
      <c r="E12" s="5">
        <f t="shared" si="1"/>
        <v>7696.3900000000431</v>
      </c>
      <c r="F12" s="5">
        <f t="shared" si="2"/>
        <v>86906.560000000056</v>
      </c>
      <c r="G12" s="12">
        <v>1347591.09</v>
      </c>
      <c r="H12" s="12">
        <v>1097684.53</v>
      </c>
    </row>
    <row r="13" spans="1:8" x14ac:dyDescent="0.2">
      <c r="A13" t="s">
        <v>8</v>
      </c>
      <c r="B13" s="12">
        <v>102101.08</v>
      </c>
      <c r="C13" s="12">
        <f t="shared" si="0"/>
        <v>109080.77000000002</v>
      </c>
      <c r="D13" s="12">
        <v>127000</v>
      </c>
      <c r="E13" s="5">
        <f t="shared" si="1"/>
        <v>6979.6900000000169</v>
      </c>
      <c r="F13" s="5">
        <f t="shared" si="2"/>
        <v>-17919.229999999981</v>
      </c>
      <c r="G13" s="12">
        <v>908574.35</v>
      </c>
      <c r="H13" s="12">
        <v>799493.58</v>
      </c>
    </row>
    <row r="14" spans="1:8" x14ac:dyDescent="0.2">
      <c r="A14" t="s">
        <v>9</v>
      </c>
      <c r="B14" s="12">
        <v>-339769.96</v>
      </c>
      <c r="C14" s="12">
        <f t="shared" si="0"/>
        <v>86055.410000000149</v>
      </c>
      <c r="D14" s="14">
        <v>62000</v>
      </c>
      <c r="E14" s="8">
        <f t="shared" si="1"/>
        <v>425825.37000000017</v>
      </c>
      <c r="F14" s="8">
        <f t="shared" si="2"/>
        <v>24055.410000000149</v>
      </c>
      <c r="G14" s="14">
        <v>2594278.67</v>
      </c>
      <c r="H14" s="14">
        <v>2508223.2599999998</v>
      </c>
    </row>
    <row r="15" spans="1:8" ht="13.5" thickBot="1" x14ac:dyDescent="0.25">
      <c r="A15" t="s">
        <v>10</v>
      </c>
      <c r="B15" s="15">
        <f t="shared" ref="B15:H15" si="3">SUM(B7:B14)</f>
        <v>13075999.999999993</v>
      </c>
      <c r="C15" s="15">
        <f t="shared" si="3"/>
        <v>12272999.999999998</v>
      </c>
      <c r="D15" s="15">
        <f t="shared" si="3"/>
        <v>13353000</v>
      </c>
      <c r="E15" s="9">
        <f t="shared" si="3"/>
        <v>-802999.99999999674</v>
      </c>
      <c r="F15" s="9">
        <f t="shared" si="3"/>
        <v>-1080000.0000000028</v>
      </c>
      <c r="G15" s="15">
        <f t="shared" si="3"/>
        <v>106594000</v>
      </c>
      <c r="H15" s="15">
        <f t="shared" si="3"/>
        <v>94321000.000000015</v>
      </c>
    </row>
    <row r="16" spans="1:8" ht="13.5" thickTop="1" x14ac:dyDescent="0.2"/>
    <row r="17" spans="1:7" x14ac:dyDescent="0.2">
      <c r="A17" s="6" t="s">
        <v>46</v>
      </c>
    </row>
    <row r="22" spans="1:7" x14ac:dyDescent="0.2">
      <c r="A22" t="s">
        <v>0</v>
      </c>
    </row>
    <row r="23" spans="1:7" x14ac:dyDescent="0.2">
      <c r="A23" t="s">
        <v>1</v>
      </c>
    </row>
    <row r="24" spans="1:7" x14ac:dyDescent="0.2">
      <c r="A24" s="6" t="str">
        <f>A3</f>
        <v>Period Ending August 31, 2001</v>
      </c>
    </row>
    <row r="25" spans="1:7" x14ac:dyDescent="0.2">
      <c r="A25" s="6" t="s">
        <v>18</v>
      </c>
    </row>
    <row r="26" spans="1:7" x14ac:dyDescent="0.2">
      <c r="A26" s="6"/>
    </row>
    <row r="27" spans="1:7" x14ac:dyDescent="0.2">
      <c r="B27" s="7" t="s">
        <v>15</v>
      </c>
      <c r="C27" s="7" t="s">
        <v>15</v>
      </c>
      <c r="D27" s="7" t="s">
        <v>16</v>
      </c>
      <c r="E27" t="s">
        <v>13</v>
      </c>
      <c r="F27" t="s">
        <v>13</v>
      </c>
      <c r="G27" s="7" t="s">
        <v>15</v>
      </c>
    </row>
    <row r="28" spans="1:7" x14ac:dyDescent="0.2">
      <c r="B28" s="13" t="str">
        <f>B6</f>
        <v>July 2001</v>
      </c>
      <c r="C28" s="13" t="str">
        <f>C6</f>
        <v>August 2001</v>
      </c>
      <c r="D28" s="13" t="str">
        <f>D6</f>
        <v>August 2001</v>
      </c>
      <c r="E28" t="s">
        <v>14</v>
      </c>
      <c r="F28" s="7" t="s">
        <v>16</v>
      </c>
      <c r="G28" s="13" t="str">
        <f>G6</f>
        <v>YTD August 2001</v>
      </c>
    </row>
    <row r="29" spans="1:7" x14ac:dyDescent="0.2">
      <c r="A29" t="s">
        <v>27</v>
      </c>
      <c r="B29" s="16">
        <f>ROUND(B7/1000,0)</f>
        <v>1293</v>
      </c>
      <c r="C29" s="16">
        <f t="shared" ref="C29:D31" si="4">ROUND(C7/1000,0)</f>
        <v>740</v>
      </c>
      <c r="D29" s="16">
        <f t="shared" si="4"/>
        <v>1483</v>
      </c>
      <c r="E29" s="16">
        <f t="shared" ref="E29:E36" si="5">C29-B29</f>
        <v>-553</v>
      </c>
      <c r="F29" s="16">
        <f t="shared" ref="F29:F36" si="6">C29-D29</f>
        <v>-743</v>
      </c>
      <c r="G29" s="16">
        <f t="shared" ref="G29:G36" si="7">ROUND(G7/1000,0)</f>
        <v>8035</v>
      </c>
    </row>
    <row r="30" spans="1:7" x14ac:dyDescent="0.2">
      <c r="A30" t="s">
        <v>3</v>
      </c>
      <c r="B30" s="16">
        <f t="shared" ref="B30:B36" si="8">ROUND(B8/1000,0)</f>
        <v>433</v>
      </c>
      <c r="C30" s="16">
        <f t="shared" si="4"/>
        <v>421</v>
      </c>
      <c r="D30" s="16">
        <f t="shared" si="4"/>
        <v>451</v>
      </c>
      <c r="E30" s="16">
        <f t="shared" si="5"/>
        <v>-12</v>
      </c>
      <c r="F30" s="16">
        <f t="shared" si="6"/>
        <v>-30</v>
      </c>
      <c r="G30" s="16">
        <f t="shared" si="7"/>
        <v>3518</v>
      </c>
    </row>
    <row r="31" spans="1:7" x14ac:dyDescent="0.2">
      <c r="A31" t="s">
        <v>48</v>
      </c>
      <c r="B31" s="16">
        <f t="shared" si="8"/>
        <v>7329</v>
      </c>
      <c r="C31" s="16">
        <f t="shared" si="4"/>
        <v>6826</v>
      </c>
      <c r="D31" s="16">
        <f t="shared" si="4"/>
        <v>7057</v>
      </c>
      <c r="E31" s="16">
        <f t="shared" si="5"/>
        <v>-503</v>
      </c>
      <c r="F31" s="16">
        <f t="shared" si="6"/>
        <v>-231</v>
      </c>
      <c r="G31" s="16">
        <f t="shared" si="7"/>
        <v>56138</v>
      </c>
    </row>
    <row r="32" spans="1:7" x14ac:dyDescent="0.2">
      <c r="A32" t="s">
        <v>5</v>
      </c>
      <c r="B32" s="16">
        <f>ROUND(B10/1000,0)+1</f>
        <v>2704</v>
      </c>
      <c r="C32" s="16">
        <f>ROUND(C10/1000,0)+1</f>
        <v>2762</v>
      </c>
      <c r="D32" s="16">
        <f>ROUND(D10/1000,0)</f>
        <v>3013</v>
      </c>
      <c r="E32" s="16">
        <f t="shared" si="5"/>
        <v>58</v>
      </c>
      <c r="F32" s="16">
        <f t="shared" si="6"/>
        <v>-251</v>
      </c>
      <c r="G32" s="16">
        <f t="shared" si="7"/>
        <v>25480</v>
      </c>
    </row>
    <row r="33" spans="1:7" x14ac:dyDescent="0.2">
      <c r="A33" t="s">
        <v>49</v>
      </c>
      <c r="B33" s="16">
        <f t="shared" si="8"/>
        <v>1313</v>
      </c>
      <c r="C33" s="16">
        <f>ROUND(C11/1000,0)</f>
        <v>1079</v>
      </c>
      <c r="D33" s="16">
        <f>ROUND(D11/1000,0)</f>
        <v>997</v>
      </c>
      <c r="E33" s="16">
        <f t="shared" si="5"/>
        <v>-234</v>
      </c>
      <c r="F33" s="16">
        <f t="shared" si="6"/>
        <v>82</v>
      </c>
      <c r="G33" s="16">
        <f t="shared" si="7"/>
        <v>8572</v>
      </c>
    </row>
    <row r="34" spans="1:7" x14ac:dyDescent="0.2">
      <c r="A34" t="s">
        <v>7</v>
      </c>
      <c r="B34" s="16">
        <f t="shared" si="8"/>
        <v>242</v>
      </c>
      <c r="C34" s="16">
        <f>ROUND(C12/1000,0)</f>
        <v>250</v>
      </c>
      <c r="D34" s="16">
        <f>ROUND(D12/1000,0)</f>
        <v>163</v>
      </c>
      <c r="E34" s="16">
        <f t="shared" si="5"/>
        <v>8</v>
      </c>
      <c r="F34" s="16">
        <f t="shared" si="6"/>
        <v>87</v>
      </c>
      <c r="G34" s="16">
        <f t="shared" si="7"/>
        <v>1348</v>
      </c>
    </row>
    <row r="35" spans="1:7" x14ac:dyDescent="0.2">
      <c r="A35" t="s">
        <v>8</v>
      </c>
      <c r="B35" s="16">
        <f t="shared" si="8"/>
        <v>102</v>
      </c>
      <c r="C35" s="16">
        <f>ROUND(C13/1000,0)</f>
        <v>109</v>
      </c>
      <c r="D35" s="16">
        <f>ROUND(D13/1000,0)</f>
        <v>127</v>
      </c>
      <c r="E35" s="16">
        <f t="shared" si="5"/>
        <v>7</v>
      </c>
      <c r="F35" s="16">
        <f t="shared" si="6"/>
        <v>-18</v>
      </c>
      <c r="G35" s="16">
        <f t="shared" si="7"/>
        <v>909</v>
      </c>
    </row>
    <row r="36" spans="1:7" x14ac:dyDescent="0.2">
      <c r="A36" t="s">
        <v>47</v>
      </c>
      <c r="B36" s="16">
        <f t="shared" si="8"/>
        <v>-340</v>
      </c>
      <c r="C36" s="16">
        <f>ROUND(C14/1000,0)</f>
        <v>86</v>
      </c>
      <c r="D36" s="16">
        <f>ROUND(D14/1000,0)</f>
        <v>62</v>
      </c>
      <c r="E36" s="16">
        <f t="shared" si="5"/>
        <v>426</v>
      </c>
      <c r="F36" s="16">
        <f t="shared" si="6"/>
        <v>24</v>
      </c>
      <c r="G36" s="16">
        <f t="shared" si="7"/>
        <v>2594</v>
      </c>
    </row>
    <row r="37" spans="1:7" ht="13.5" thickBot="1" x14ac:dyDescent="0.25">
      <c r="A37" t="s">
        <v>10</v>
      </c>
      <c r="B37" s="17">
        <f t="shared" ref="B37:G37" si="9">SUM(B29:B36)</f>
        <v>13076</v>
      </c>
      <c r="C37" s="17">
        <f t="shared" si="9"/>
        <v>12273</v>
      </c>
      <c r="D37" s="17">
        <f t="shared" si="9"/>
        <v>13353</v>
      </c>
      <c r="E37" s="17">
        <f t="shared" si="9"/>
        <v>-803</v>
      </c>
      <c r="F37" s="17">
        <f t="shared" si="9"/>
        <v>-1080</v>
      </c>
      <c r="G37" s="17">
        <f t="shared" si="9"/>
        <v>106594</v>
      </c>
    </row>
    <row r="38" spans="1:7" ht="13.5" thickTop="1" x14ac:dyDescent="0.2"/>
    <row r="40" spans="1:7" x14ac:dyDescent="0.2">
      <c r="A40" s="19" t="s">
        <v>29</v>
      </c>
    </row>
    <row r="41" spans="1:7" x14ac:dyDescent="0.2">
      <c r="A41" s="6" t="s">
        <v>30</v>
      </c>
      <c r="B41" s="16">
        <v>-522</v>
      </c>
    </row>
    <row r="42" spans="1:7" x14ac:dyDescent="0.2">
      <c r="A42" t="s">
        <v>32</v>
      </c>
      <c r="B42" s="20">
        <v>-31</v>
      </c>
    </row>
    <row r="43" spans="1:7" ht="13.5" thickBot="1" x14ac:dyDescent="0.25">
      <c r="B43" s="17">
        <f>SUM(B41:B42)</f>
        <v>-553</v>
      </c>
    </row>
    <row r="44" spans="1:7" ht="13.5" thickTop="1" x14ac:dyDescent="0.2"/>
    <row r="45" spans="1:7" x14ac:dyDescent="0.2">
      <c r="A45" s="19" t="s">
        <v>33</v>
      </c>
    </row>
    <row r="46" spans="1:7" x14ac:dyDescent="0.2">
      <c r="A46" t="s">
        <v>55</v>
      </c>
      <c r="B46" s="16">
        <v>-140</v>
      </c>
    </row>
    <row r="47" spans="1:7" x14ac:dyDescent="0.2">
      <c r="A47" t="s">
        <v>56</v>
      </c>
      <c r="B47" s="16">
        <v>-203</v>
      </c>
    </row>
    <row r="48" spans="1:7" x14ac:dyDescent="0.2">
      <c r="A48" t="s">
        <v>57</v>
      </c>
      <c r="B48" s="16">
        <v>-135</v>
      </c>
    </row>
    <row r="49" spans="1:2" x14ac:dyDescent="0.2">
      <c r="A49" t="s">
        <v>32</v>
      </c>
      <c r="B49" s="20">
        <v>-25</v>
      </c>
    </row>
    <row r="50" spans="1:2" ht="13.5" thickBot="1" x14ac:dyDescent="0.25">
      <c r="B50" s="17">
        <f>SUM(B46:B49)</f>
        <v>-503</v>
      </c>
    </row>
    <row r="51" spans="1:2" ht="13.5" thickTop="1" x14ac:dyDescent="0.2">
      <c r="B51" s="22"/>
    </row>
    <row r="52" spans="1:2" x14ac:dyDescent="0.2">
      <c r="A52" s="19" t="s">
        <v>51</v>
      </c>
    </row>
    <row r="53" spans="1:2" x14ac:dyDescent="0.2">
      <c r="A53" t="s">
        <v>53</v>
      </c>
      <c r="B53" s="16">
        <v>-156</v>
      </c>
    </row>
    <row r="54" spans="1:2" x14ac:dyDescent="0.2">
      <c r="A54" t="s">
        <v>54</v>
      </c>
      <c r="B54" s="16">
        <v>-59</v>
      </c>
    </row>
    <row r="55" spans="1:2" x14ac:dyDescent="0.2">
      <c r="A55" t="s">
        <v>32</v>
      </c>
      <c r="B55" s="20">
        <v>-19</v>
      </c>
    </row>
    <row r="56" spans="1:2" ht="13.5" thickBot="1" x14ac:dyDescent="0.25">
      <c r="B56" s="17">
        <f>SUM(B53:B55)</f>
        <v>-234</v>
      </c>
    </row>
    <row r="57" spans="1:2" ht="13.5" thickTop="1" x14ac:dyDescent="0.2"/>
    <row r="58" spans="1:2" x14ac:dyDescent="0.2">
      <c r="A58" s="19" t="s">
        <v>50</v>
      </c>
    </row>
    <row r="59" spans="1:2" x14ac:dyDescent="0.2">
      <c r="A59" t="s">
        <v>52</v>
      </c>
      <c r="B59" s="16">
        <f>5-(-417)</f>
        <v>422</v>
      </c>
    </row>
    <row r="60" spans="1:2" x14ac:dyDescent="0.2">
      <c r="A60" t="s">
        <v>32</v>
      </c>
      <c r="B60" s="20">
        <v>4</v>
      </c>
    </row>
    <row r="61" spans="1:2" ht="13.5" thickBot="1" x14ac:dyDescent="0.25">
      <c r="B61" s="17">
        <f>SUM(B59:B60)</f>
        <v>426</v>
      </c>
    </row>
    <row r="62" spans="1:2" ht="13.5" thickTop="1" x14ac:dyDescent="0.2"/>
  </sheetData>
  <phoneticPr fontId="0" type="noConversion"/>
  <printOptions horizontalCentered="1"/>
  <pageMargins left="0.5" right="0.5" top="0.5" bottom="0.5" header="0.5" footer="0.5"/>
  <pageSetup scale="8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workbookViewId="0"/>
  </sheetViews>
  <sheetFormatPr defaultRowHeight="12.75" x14ac:dyDescent="0.2"/>
  <cols>
    <col min="1" max="1" width="56.140625" customWidth="1"/>
    <col min="2" max="2" width="14" style="12" bestFit="1" customWidth="1"/>
    <col min="3" max="4" width="19.140625" customWidth="1"/>
    <col min="5" max="6" width="14.5703125" bestFit="1" customWidth="1"/>
    <col min="7" max="7" width="15.7109375" bestFit="1" customWidth="1"/>
    <col min="8" max="8" width="14" bestFit="1" customWidth="1"/>
    <col min="9" max="9" width="15.7109375" bestFit="1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s="6" t="s">
        <v>58</v>
      </c>
    </row>
    <row r="4" spans="1:9" x14ac:dyDescent="0.2">
      <c r="A4" s="6" t="s">
        <v>59</v>
      </c>
    </row>
    <row r="5" spans="1:9" x14ac:dyDescent="0.2">
      <c r="B5" s="7" t="s">
        <v>15</v>
      </c>
      <c r="C5" s="7" t="s">
        <v>15</v>
      </c>
      <c r="D5" s="7" t="s">
        <v>16</v>
      </c>
      <c r="E5" t="s">
        <v>13</v>
      </c>
      <c r="F5" t="s">
        <v>13</v>
      </c>
      <c r="G5" s="7" t="s">
        <v>15</v>
      </c>
      <c r="I5" s="7" t="s">
        <v>15</v>
      </c>
    </row>
    <row r="6" spans="1:9" x14ac:dyDescent="0.2">
      <c r="B6" s="13" t="s">
        <v>44</v>
      </c>
      <c r="C6" s="13" t="s">
        <v>60</v>
      </c>
      <c r="D6" s="13" t="s">
        <v>60</v>
      </c>
      <c r="E6" t="s">
        <v>14</v>
      </c>
      <c r="F6" s="7" t="s">
        <v>16</v>
      </c>
      <c r="G6" s="13" t="s">
        <v>60</v>
      </c>
      <c r="I6" s="13" t="s">
        <v>45</v>
      </c>
    </row>
    <row r="7" spans="1:9" x14ac:dyDescent="0.2">
      <c r="A7" t="s">
        <v>2</v>
      </c>
      <c r="B7" s="12">
        <v>740413.05</v>
      </c>
      <c r="C7" s="12">
        <f>G7-I7</f>
        <v>866750.90999999922</v>
      </c>
      <c r="D7" s="12">
        <v>1311000</v>
      </c>
      <c r="E7" s="5">
        <f t="shared" ref="E7:E14" si="0">C7-B7</f>
        <v>126337.85999999917</v>
      </c>
      <c r="F7" s="5">
        <f t="shared" ref="F7:F14" si="1">C7-D7</f>
        <v>-444249.09000000078</v>
      </c>
      <c r="G7" s="12">
        <f>8035378.04+866750.91</f>
        <v>8902128.9499999993</v>
      </c>
      <c r="I7" s="12">
        <v>8035378.04</v>
      </c>
    </row>
    <row r="8" spans="1:9" x14ac:dyDescent="0.2">
      <c r="A8" t="s">
        <v>3</v>
      </c>
      <c r="B8" s="12">
        <v>420943.22</v>
      </c>
      <c r="C8" s="12">
        <f t="shared" ref="C8:C14" si="2">G8-I8</f>
        <v>488309.89000000013</v>
      </c>
      <c r="D8" s="12">
        <v>451000</v>
      </c>
      <c r="E8" s="5">
        <f t="shared" si="0"/>
        <v>67366.670000000158</v>
      </c>
      <c r="F8" s="5">
        <f t="shared" si="1"/>
        <v>37309.89000000013</v>
      </c>
      <c r="G8" s="12">
        <f>3518054.4+488309.89</f>
        <v>4006364.29</v>
      </c>
      <c r="I8" s="12">
        <v>3518054.3999999999</v>
      </c>
    </row>
    <row r="9" spans="1:9" x14ac:dyDescent="0.2">
      <c r="A9" t="s">
        <v>4</v>
      </c>
      <c r="B9" s="12">
        <v>6826188.6099999994</v>
      </c>
      <c r="C9" s="12">
        <f t="shared" si="2"/>
        <v>6381714.4699999988</v>
      </c>
      <c r="D9" s="12">
        <v>7444000</v>
      </c>
      <c r="E9" s="5">
        <f t="shared" si="0"/>
        <v>-444474.1400000006</v>
      </c>
      <c r="F9" s="5">
        <f t="shared" si="1"/>
        <v>-1062285.5300000012</v>
      </c>
      <c r="G9" s="12">
        <f>56138376.98+6381714.47</f>
        <v>62520091.449999996</v>
      </c>
      <c r="I9" s="12">
        <v>56138376.979999997</v>
      </c>
    </row>
    <row r="10" spans="1:9" x14ac:dyDescent="0.2">
      <c r="A10" t="s">
        <v>20</v>
      </c>
      <c r="B10" s="12">
        <v>2761499.99</v>
      </c>
      <c r="C10" s="12">
        <f t="shared" si="2"/>
        <v>2549284.1799999997</v>
      </c>
      <c r="D10" s="12">
        <f>1372000+1511000</f>
        <v>2883000</v>
      </c>
      <c r="E10" s="5">
        <f t="shared" si="0"/>
        <v>-212215.81000000052</v>
      </c>
      <c r="F10" s="5">
        <f t="shared" si="1"/>
        <v>-333715.8200000003</v>
      </c>
      <c r="G10" s="18">
        <f>25528347.33-40042.84-8082.86+2570755.9-21471.72</f>
        <v>28029505.809999999</v>
      </c>
      <c r="I10" s="18">
        <f>25528347.33-40042.84-8082.86</f>
        <v>25480221.629999999</v>
      </c>
    </row>
    <row r="11" spans="1:9" x14ac:dyDescent="0.2">
      <c r="A11" t="s">
        <v>6</v>
      </c>
      <c r="B11" s="12">
        <v>1078912.3899999999</v>
      </c>
      <c r="C11" s="12">
        <f t="shared" si="2"/>
        <v>880472.28999999911</v>
      </c>
      <c r="D11" s="12">
        <v>1450000</v>
      </c>
      <c r="E11" s="5">
        <f t="shared" si="0"/>
        <v>-198440.10000000079</v>
      </c>
      <c r="F11" s="5">
        <f t="shared" si="1"/>
        <v>-569527.71000000089</v>
      </c>
      <c r="G11" s="12">
        <f>8571524.84+880472.29</f>
        <v>9451997.129999999</v>
      </c>
      <c r="I11" s="12">
        <v>8571524.8399999999</v>
      </c>
    </row>
    <row r="12" spans="1:9" x14ac:dyDescent="0.2">
      <c r="A12" t="s">
        <v>7</v>
      </c>
      <c r="B12" s="12">
        <v>249906.56</v>
      </c>
      <c r="C12" s="12">
        <f t="shared" si="2"/>
        <v>182407.30000000005</v>
      </c>
      <c r="D12" s="12">
        <v>163000</v>
      </c>
      <c r="E12" s="5">
        <f t="shared" si="0"/>
        <v>-67499.259999999951</v>
      </c>
      <c r="F12" s="5">
        <f t="shared" si="1"/>
        <v>19407.300000000047</v>
      </c>
      <c r="G12" s="12">
        <f>1347591.09+182407.3</f>
        <v>1529998.3900000001</v>
      </c>
      <c r="I12" s="12">
        <v>1347591.09</v>
      </c>
    </row>
    <row r="13" spans="1:9" x14ac:dyDescent="0.2">
      <c r="A13" t="s">
        <v>8</v>
      </c>
      <c r="B13" s="12">
        <v>109080.77</v>
      </c>
      <c r="C13" s="12">
        <f t="shared" si="2"/>
        <v>105776.62</v>
      </c>
      <c r="D13" s="12">
        <v>127000</v>
      </c>
      <c r="E13" s="5">
        <f t="shared" si="0"/>
        <v>-3304.1500000000087</v>
      </c>
      <c r="F13" s="5">
        <f t="shared" si="1"/>
        <v>-21223.380000000005</v>
      </c>
      <c r="G13" s="12">
        <f>908574.35+105776.62</f>
        <v>1014350.97</v>
      </c>
      <c r="I13" s="12">
        <v>908574.35</v>
      </c>
    </row>
    <row r="14" spans="1:9" x14ac:dyDescent="0.2">
      <c r="A14" t="s">
        <v>9</v>
      </c>
      <c r="B14" s="12">
        <v>86055.410000000149</v>
      </c>
      <c r="C14" s="12">
        <f t="shared" si="2"/>
        <v>80284.339999999851</v>
      </c>
      <c r="D14" s="12">
        <v>62000</v>
      </c>
      <c r="E14" s="8">
        <f t="shared" si="0"/>
        <v>-5771.070000000298</v>
      </c>
      <c r="F14" s="8">
        <f t="shared" si="1"/>
        <v>18284.339999999851</v>
      </c>
      <c r="G14" s="14">
        <f>2594278.67+80284.34</f>
        <v>2674563.0099999998</v>
      </c>
      <c r="I14" s="14">
        <v>2594278.67</v>
      </c>
    </row>
    <row r="15" spans="1:9" ht="13.5" thickBot="1" x14ac:dyDescent="0.25">
      <c r="A15" t="s">
        <v>10</v>
      </c>
      <c r="B15" s="15">
        <f t="shared" ref="B15:G15" si="3">SUM(B7:B14)</f>
        <v>12273000</v>
      </c>
      <c r="C15" s="15">
        <f t="shared" si="3"/>
        <v>11534999.999999996</v>
      </c>
      <c r="D15" s="15">
        <f t="shared" si="3"/>
        <v>13891000</v>
      </c>
      <c r="E15" s="9">
        <f t="shared" si="3"/>
        <v>-738000.00000000291</v>
      </c>
      <c r="F15" s="9">
        <f t="shared" si="3"/>
        <v>-2356000.0000000028</v>
      </c>
      <c r="G15" s="15">
        <f t="shared" si="3"/>
        <v>118129000</v>
      </c>
      <c r="I15" s="15">
        <f>SUM(I7:I14)</f>
        <v>106594000</v>
      </c>
    </row>
    <row r="16" spans="1:9" ht="13.5" thickTop="1" x14ac:dyDescent="0.2"/>
    <row r="17" spans="1:7" x14ac:dyDescent="0.2">
      <c r="A17" s="6" t="s">
        <v>61</v>
      </c>
    </row>
    <row r="22" spans="1:7" x14ac:dyDescent="0.2">
      <c r="A22" t="s">
        <v>0</v>
      </c>
    </row>
    <row r="23" spans="1:7" x14ac:dyDescent="0.2">
      <c r="A23" t="s">
        <v>1</v>
      </c>
    </row>
    <row r="24" spans="1:7" x14ac:dyDescent="0.2">
      <c r="A24" s="6" t="str">
        <f>A3</f>
        <v>Period Ending September 30, 2001</v>
      </c>
    </row>
    <row r="25" spans="1:7" x14ac:dyDescent="0.2">
      <c r="A25" s="6" t="s">
        <v>18</v>
      </c>
    </row>
    <row r="26" spans="1:7" x14ac:dyDescent="0.2">
      <c r="A26" s="6"/>
    </row>
    <row r="27" spans="1:7" x14ac:dyDescent="0.2">
      <c r="B27" s="7" t="s">
        <v>15</v>
      </c>
      <c r="C27" s="7" t="s">
        <v>15</v>
      </c>
      <c r="D27" s="7" t="s">
        <v>16</v>
      </c>
      <c r="E27" t="s">
        <v>13</v>
      </c>
      <c r="F27" t="s">
        <v>13</v>
      </c>
      <c r="G27" s="7" t="s">
        <v>15</v>
      </c>
    </row>
    <row r="28" spans="1:7" x14ac:dyDescent="0.2">
      <c r="B28" s="13" t="str">
        <f>B6</f>
        <v>August 2001</v>
      </c>
      <c r="C28" s="13" t="str">
        <f>C6</f>
        <v>September 2001</v>
      </c>
      <c r="D28" s="13" t="str">
        <f>D6</f>
        <v>September 2001</v>
      </c>
      <c r="E28" t="s">
        <v>14</v>
      </c>
      <c r="F28" s="7" t="s">
        <v>16</v>
      </c>
      <c r="G28" s="13" t="str">
        <f>G6</f>
        <v>September 2001</v>
      </c>
    </row>
    <row r="29" spans="1:7" x14ac:dyDescent="0.2">
      <c r="A29" t="s">
        <v>27</v>
      </c>
      <c r="B29" s="16">
        <f t="shared" ref="B29:D31" si="4">ROUND(B7/1000,0)</f>
        <v>740</v>
      </c>
      <c r="C29" s="16">
        <f t="shared" si="4"/>
        <v>867</v>
      </c>
      <c r="D29" s="16">
        <f t="shared" si="4"/>
        <v>1311</v>
      </c>
      <c r="E29" s="16">
        <f t="shared" ref="E29:E36" si="5">C29-B29</f>
        <v>127</v>
      </c>
      <c r="F29" s="16">
        <f t="shared" ref="F29:F36" si="6">C29-D29</f>
        <v>-444</v>
      </c>
      <c r="G29" s="16">
        <f t="shared" ref="G29:G36" si="7">ROUND(G7/1000,0)</f>
        <v>8902</v>
      </c>
    </row>
    <row r="30" spans="1:7" x14ac:dyDescent="0.2">
      <c r="A30" t="s">
        <v>3</v>
      </c>
      <c r="B30" s="16">
        <f t="shared" si="4"/>
        <v>421</v>
      </c>
      <c r="C30" s="16">
        <f t="shared" si="4"/>
        <v>488</v>
      </c>
      <c r="D30" s="16">
        <f t="shared" si="4"/>
        <v>451</v>
      </c>
      <c r="E30" s="16">
        <f t="shared" si="5"/>
        <v>67</v>
      </c>
      <c r="F30" s="16">
        <f t="shared" si="6"/>
        <v>37</v>
      </c>
      <c r="G30" s="16">
        <f t="shared" si="7"/>
        <v>4006</v>
      </c>
    </row>
    <row r="31" spans="1:7" x14ac:dyDescent="0.2">
      <c r="A31" t="s">
        <v>48</v>
      </c>
      <c r="B31" s="16">
        <f t="shared" si="4"/>
        <v>6826</v>
      </c>
      <c r="C31" s="16">
        <f t="shared" si="4"/>
        <v>6382</v>
      </c>
      <c r="D31" s="16">
        <f t="shared" si="4"/>
        <v>7444</v>
      </c>
      <c r="E31" s="16">
        <f t="shared" si="5"/>
        <v>-444</v>
      </c>
      <c r="F31" s="16">
        <f t="shared" si="6"/>
        <v>-1062</v>
      </c>
      <c r="G31" s="16">
        <f t="shared" si="7"/>
        <v>62520</v>
      </c>
    </row>
    <row r="32" spans="1:7" x14ac:dyDescent="0.2">
      <c r="A32" t="s">
        <v>5</v>
      </c>
      <c r="B32" s="16">
        <f>ROUND(B10/1000,0)+1</f>
        <v>2762</v>
      </c>
      <c r="C32" s="16">
        <f>ROUND(C10/1000,0)+1</f>
        <v>2550</v>
      </c>
      <c r="D32" s="16">
        <f>ROUND(D10/1000,0)</f>
        <v>2883</v>
      </c>
      <c r="E32" s="16">
        <f t="shared" si="5"/>
        <v>-212</v>
      </c>
      <c r="F32" s="16">
        <f t="shared" si="6"/>
        <v>-333</v>
      </c>
      <c r="G32" s="16">
        <f t="shared" si="7"/>
        <v>28030</v>
      </c>
    </row>
    <row r="33" spans="1:7" x14ac:dyDescent="0.2">
      <c r="A33" t="s">
        <v>49</v>
      </c>
      <c r="B33" s="16">
        <f t="shared" ref="B33:C36" si="8">ROUND(B11/1000,0)</f>
        <v>1079</v>
      </c>
      <c r="C33" s="16">
        <f t="shared" si="8"/>
        <v>880</v>
      </c>
      <c r="D33" s="16">
        <f>ROUND(D11/1000,0)</f>
        <v>1450</v>
      </c>
      <c r="E33" s="16">
        <f t="shared" si="5"/>
        <v>-199</v>
      </c>
      <c r="F33" s="16">
        <f t="shared" si="6"/>
        <v>-570</v>
      </c>
      <c r="G33" s="16">
        <f t="shared" si="7"/>
        <v>9452</v>
      </c>
    </row>
    <row r="34" spans="1:7" x14ac:dyDescent="0.2">
      <c r="A34" t="s">
        <v>7</v>
      </c>
      <c r="B34" s="16">
        <f t="shared" si="8"/>
        <v>250</v>
      </c>
      <c r="C34" s="16">
        <f t="shared" si="8"/>
        <v>182</v>
      </c>
      <c r="D34" s="16">
        <f>ROUND(D12/1000,0)</f>
        <v>163</v>
      </c>
      <c r="E34" s="16">
        <f t="shared" si="5"/>
        <v>-68</v>
      </c>
      <c r="F34" s="16">
        <f t="shared" si="6"/>
        <v>19</v>
      </c>
      <c r="G34" s="16">
        <f t="shared" si="7"/>
        <v>1530</v>
      </c>
    </row>
    <row r="35" spans="1:7" x14ac:dyDescent="0.2">
      <c r="A35" t="s">
        <v>8</v>
      </c>
      <c r="B35" s="16">
        <f t="shared" si="8"/>
        <v>109</v>
      </c>
      <c r="C35" s="16">
        <f t="shared" si="8"/>
        <v>106</v>
      </c>
      <c r="D35" s="16">
        <f>ROUND(D13/1000,0)</f>
        <v>127</v>
      </c>
      <c r="E35" s="16">
        <f t="shared" si="5"/>
        <v>-3</v>
      </c>
      <c r="F35" s="16">
        <f t="shared" si="6"/>
        <v>-21</v>
      </c>
      <c r="G35" s="16">
        <f t="shared" si="7"/>
        <v>1014</v>
      </c>
    </row>
    <row r="36" spans="1:7" x14ac:dyDescent="0.2">
      <c r="A36" t="s">
        <v>47</v>
      </c>
      <c r="B36" s="16">
        <f t="shared" si="8"/>
        <v>86</v>
      </c>
      <c r="C36" s="16">
        <f t="shared" si="8"/>
        <v>80</v>
      </c>
      <c r="D36" s="16">
        <f>ROUND(D14/1000,0)</f>
        <v>62</v>
      </c>
      <c r="E36" s="16">
        <f t="shared" si="5"/>
        <v>-6</v>
      </c>
      <c r="F36" s="16">
        <f t="shared" si="6"/>
        <v>18</v>
      </c>
      <c r="G36" s="16">
        <f t="shared" si="7"/>
        <v>2675</v>
      </c>
    </row>
    <row r="37" spans="1:7" ht="13.5" thickBot="1" x14ac:dyDescent="0.25">
      <c r="A37" t="s">
        <v>10</v>
      </c>
      <c r="B37" s="17">
        <f t="shared" ref="B37:G37" si="9">SUM(B29:B36)</f>
        <v>12273</v>
      </c>
      <c r="C37" s="17">
        <f t="shared" si="9"/>
        <v>11535</v>
      </c>
      <c r="D37" s="17">
        <f t="shared" si="9"/>
        <v>13891</v>
      </c>
      <c r="E37" s="17">
        <f t="shared" si="9"/>
        <v>-738</v>
      </c>
      <c r="F37" s="17">
        <f t="shared" si="9"/>
        <v>-2356</v>
      </c>
      <c r="G37" s="17">
        <f t="shared" si="9"/>
        <v>118129</v>
      </c>
    </row>
    <row r="38" spans="1:7" ht="13.5" thickTop="1" x14ac:dyDescent="0.2"/>
    <row r="40" spans="1:7" x14ac:dyDescent="0.2">
      <c r="A40" s="19" t="s">
        <v>29</v>
      </c>
    </row>
    <row r="41" spans="1:7" x14ac:dyDescent="0.2">
      <c r="A41" t="s">
        <v>62</v>
      </c>
      <c r="B41" s="16">
        <v>130</v>
      </c>
    </row>
    <row r="42" spans="1:7" x14ac:dyDescent="0.2">
      <c r="A42" t="s">
        <v>32</v>
      </c>
      <c r="B42" s="20">
        <v>-4</v>
      </c>
    </row>
    <row r="43" spans="1:7" ht="13.5" thickBot="1" x14ac:dyDescent="0.25">
      <c r="B43" s="17">
        <f>SUM(B41:B42)</f>
        <v>126</v>
      </c>
    </row>
    <row r="44" spans="1:7" ht="13.5" thickTop="1" x14ac:dyDescent="0.2"/>
    <row r="45" spans="1:7" x14ac:dyDescent="0.2">
      <c r="A45" s="19" t="s">
        <v>33</v>
      </c>
    </row>
    <row r="46" spans="1:7" x14ac:dyDescent="0.2">
      <c r="A46" t="s">
        <v>64</v>
      </c>
      <c r="B46" s="16">
        <v>-314</v>
      </c>
    </row>
    <row r="47" spans="1:7" x14ac:dyDescent="0.2">
      <c r="A47" t="s">
        <v>63</v>
      </c>
      <c r="B47" s="16">
        <v>-157</v>
      </c>
    </row>
    <row r="48" spans="1:7" x14ac:dyDescent="0.2">
      <c r="A48" t="s">
        <v>32</v>
      </c>
      <c r="B48" s="20">
        <v>27</v>
      </c>
    </row>
    <row r="49" spans="1:2" ht="13.5" thickBot="1" x14ac:dyDescent="0.25">
      <c r="B49" s="17">
        <f>SUM(B46:B48)</f>
        <v>-444</v>
      </c>
    </row>
    <row r="50" spans="1:2" ht="13.5" thickTop="1" x14ac:dyDescent="0.2">
      <c r="B50" s="22"/>
    </row>
    <row r="51" spans="1:2" x14ac:dyDescent="0.2">
      <c r="A51" s="19" t="s">
        <v>51</v>
      </c>
    </row>
    <row r="52" spans="1:2" x14ac:dyDescent="0.2">
      <c r="A52" t="s">
        <v>65</v>
      </c>
      <c r="B52" s="16">
        <v>-132</v>
      </c>
    </row>
    <row r="53" spans="1:2" x14ac:dyDescent="0.2">
      <c r="A53" t="s">
        <v>66</v>
      </c>
      <c r="B53" s="16">
        <v>-52</v>
      </c>
    </row>
    <row r="54" spans="1:2" x14ac:dyDescent="0.2">
      <c r="A54" t="s">
        <v>32</v>
      </c>
      <c r="B54" s="20">
        <v>-28</v>
      </c>
    </row>
    <row r="55" spans="1:2" ht="13.5" thickBot="1" x14ac:dyDescent="0.25">
      <c r="B55" s="17">
        <f>SUM(B52:B54)</f>
        <v>-212</v>
      </c>
    </row>
    <row r="56" spans="1:2" ht="13.5" thickTop="1" x14ac:dyDescent="0.2"/>
    <row r="57" spans="1:2" x14ac:dyDescent="0.2">
      <c r="A57" s="19" t="s">
        <v>50</v>
      </c>
    </row>
    <row r="58" spans="1:2" x14ac:dyDescent="0.2">
      <c r="A58" t="s">
        <v>67</v>
      </c>
      <c r="B58" s="16">
        <v>-123</v>
      </c>
    </row>
    <row r="59" spans="1:2" x14ac:dyDescent="0.2">
      <c r="A59" t="s">
        <v>68</v>
      </c>
      <c r="B59" s="16">
        <v>-91</v>
      </c>
    </row>
    <row r="60" spans="1:2" x14ac:dyDescent="0.2">
      <c r="A60" t="s">
        <v>32</v>
      </c>
      <c r="B60" s="20">
        <v>16</v>
      </c>
    </row>
    <row r="61" spans="1:2" ht="13.5" thickBot="1" x14ac:dyDescent="0.25">
      <c r="B61" s="17">
        <f>SUM(B58:B60)</f>
        <v>-198</v>
      </c>
    </row>
    <row r="62" spans="1:2" ht="13.5" thickTop="1" x14ac:dyDescent="0.2"/>
  </sheetData>
  <phoneticPr fontId="0" type="noConversion"/>
  <printOptions horizontalCentered="1"/>
  <pageMargins left="0.5" right="0.5" top="0.5" bottom="0.5" header="0.5" footer="0.5"/>
  <pageSetup scale="84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tabSelected="1" workbookViewId="0"/>
  </sheetViews>
  <sheetFormatPr defaultRowHeight="12.75" x14ac:dyDescent="0.2"/>
  <cols>
    <col min="1" max="1" width="56.140625" customWidth="1"/>
    <col min="2" max="2" width="14" style="12" bestFit="1" customWidth="1"/>
    <col min="3" max="4" width="19.140625" customWidth="1"/>
    <col min="5" max="6" width="14.5703125" bestFit="1" customWidth="1"/>
    <col min="7" max="7" width="16.42578125" bestFit="1" customWidth="1"/>
    <col min="8" max="8" width="14" bestFit="1" customWidth="1"/>
    <col min="9" max="9" width="19" bestFit="1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s="6" t="s">
        <v>69</v>
      </c>
    </row>
    <row r="4" spans="1:9" x14ac:dyDescent="0.2">
      <c r="A4" s="6" t="s">
        <v>59</v>
      </c>
    </row>
    <row r="5" spans="1:9" x14ac:dyDescent="0.2">
      <c r="B5" s="7" t="s">
        <v>15</v>
      </c>
      <c r="C5" s="7" t="s">
        <v>15</v>
      </c>
      <c r="D5" s="7" t="s">
        <v>16</v>
      </c>
      <c r="E5" t="s">
        <v>13</v>
      </c>
      <c r="F5" t="s">
        <v>13</v>
      </c>
      <c r="G5" s="7" t="s">
        <v>71</v>
      </c>
      <c r="I5" s="7" t="s">
        <v>15</v>
      </c>
    </row>
    <row r="6" spans="1:9" x14ac:dyDescent="0.2">
      <c r="B6" s="13" t="s">
        <v>60</v>
      </c>
      <c r="C6" s="13" t="s">
        <v>70</v>
      </c>
      <c r="D6" s="13" t="s">
        <v>70</v>
      </c>
      <c r="E6" t="s">
        <v>14</v>
      </c>
      <c r="F6" s="7" t="s">
        <v>16</v>
      </c>
      <c r="G6" s="13" t="s">
        <v>72</v>
      </c>
      <c r="I6" s="13" t="s">
        <v>73</v>
      </c>
    </row>
    <row r="7" spans="1:9" x14ac:dyDescent="0.2">
      <c r="A7" t="s">
        <v>2</v>
      </c>
      <c r="B7" s="12">
        <v>866750.90999999922</v>
      </c>
      <c r="C7" s="12">
        <f t="shared" ref="C7:C14" si="0">G7-I7</f>
        <v>1216173.92</v>
      </c>
      <c r="D7" s="12">
        <v>2536000</v>
      </c>
      <c r="E7" s="5">
        <f t="shared" ref="E7:E14" si="1">C7-B7</f>
        <v>349423.01000000071</v>
      </c>
      <c r="F7" s="5">
        <f t="shared" ref="F7:F14" si="2">C7-D7</f>
        <v>-1319826.08</v>
      </c>
      <c r="G7" s="18">
        <f>8902128.95+1216173.92</f>
        <v>10118302.869999999</v>
      </c>
      <c r="I7" s="12">
        <f>8035378.04+866750.91</f>
        <v>8902128.9499999993</v>
      </c>
    </row>
    <row r="8" spans="1:9" x14ac:dyDescent="0.2">
      <c r="A8" t="s">
        <v>3</v>
      </c>
      <c r="B8" s="12">
        <v>488309.89</v>
      </c>
      <c r="C8" s="12">
        <f t="shared" si="0"/>
        <v>440054.45000000019</v>
      </c>
      <c r="D8" s="12">
        <v>445000</v>
      </c>
      <c r="E8" s="5">
        <f t="shared" si="1"/>
        <v>-48255.439999999828</v>
      </c>
      <c r="F8" s="5">
        <f t="shared" si="2"/>
        <v>-4945.5499999998137</v>
      </c>
      <c r="G8" s="12">
        <f>4006364.29+440054.45</f>
        <v>4446418.74</v>
      </c>
      <c r="I8" s="12">
        <f>3518054.4+488309.89</f>
        <v>4006364.29</v>
      </c>
    </row>
    <row r="9" spans="1:9" x14ac:dyDescent="0.2">
      <c r="A9" t="s">
        <v>4</v>
      </c>
      <c r="B9" s="12">
        <v>6381714.4699999988</v>
      </c>
      <c r="C9" s="12">
        <f t="shared" si="0"/>
        <v>9041378.8500000015</v>
      </c>
      <c r="D9" s="12">
        <v>7559000</v>
      </c>
      <c r="E9" s="5">
        <f t="shared" si="1"/>
        <v>2659664.3800000027</v>
      </c>
      <c r="F9" s="5">
        <f t="shared" si="2"/>
        <v>1482378.8500000015</v>
      </c>
      <c r="G9" s="12">
        <f>62520091.45+9041378.85</f>
        <v>71561470.299999997</v>
      </c>
      <c r="I9" s="12">
        <f>56138376.98+6381714.47</f>
        <v>62520091.449999996</v>
      </c>
    </row>
    <row r="10" spans="1:9" x14ac:dyDescent="0.2">
      <c r="A10" t="s">
        <v>20</v>
      </c>
      <c r="B10" s="12">
        <v>2549284.1800000002</v>
      </c>
      <c r="C10" s="12">
        <f t="shared" si="0"/>
        <v>2872826.1500000022</v>
      </c>
      <c r="D10" s="12">
        <f>1597000+1345000</f>
        <v>2942000</v>
      </c>
      <c r="E10" s="5">
        <f t="shared" si="1"/>
        <v>323541.97000000207</v>
      </c>
      <c r="F10" s="5">
        <f t="shared" si="2"/>
        <v>-69173.849999997765</v>
      </c>
      <c r="G10" s="18">
        <f>28029505.81+2935283.46-62457.31</f>
        <v>30902331.960000001</v>
      </c>
      <c r="I10" s="18">
        <f>25528347.33-40042.84-8082.86+2570755.9-21471.72</f>
        <v>28029505.809999999</v>
      </c>
    </row>
    <row r="11" spans="1:9" x14ac:dyDescent="0.2">
      <c r="A11" t="s">
        <v>6</v>
      </c>
      <c r="B11" s="12">
        <v>880472.28999999911</v>
      </c>
      <c r="C11" s="12">
        <f t="shared" si="0"/>
        <v>602798.95000000112</v>
      </c>
      <c r="D11" s="12">
        <v>1150000</v>
      </c>
      <c r="E11" s="5">
        <f t="shared" si="1"/>
        <v>-277673.33999999799</v>
      </c>
      <c r="F11" s="5">
        <f t="shared" si="2"/>
        <v>-547201.04999999888</v>
      </c>
      <c r="G11" s="12">
        <f>9451997.13+602798.95</f>
        <v>10054796.08</v>
      </c>
      <c r="I11" s="12">
        <f>8571524.84+880472.29</f>
        <v>9451997.129999999</v>
      </c>
    </row>
    <row r="12" spans="1:9" x14ac:dyDescent="0.2">
      <c r="A12" t="s">
        <v>7</v>
      </c>
      <c r="B12" s="12">
        <v>182407.3</v>
      </c>
      <c r="C12" s="12">
        <f t="shared" si="0"/>
        <v>412104.12999999989</v>
      </c>
      <c r="D12" s="12">
        <v>125000</v>
      </c>
      <c r="E12" s="5">
        <f t="shared" si="1"/>
        <v>229696.8299999999</v>
      </c>
      <c r="F12" s="5">
        <f t="shared" si="2"/>
        <v>287104.12999999989</v>
      </c>
      <c r="G12" s="12">
        <f>1529998.39+412104.13</f>
        <v>1942102.52</v>
      </c>
      <c r="I12" s="12">
        <f>1347591.09+182407.3</f>
        <v>1529998.3900000001</v>
      </c>
    </row>
    <row r="13" spans="1:9" x14ac:dyDescent="0.2">
      <c r="A13" t="s">
        <v>8</v>
      </c>
      <c r="B13" s="12">
        <v>105776.62</v>
      </c>
      <c r="C13" s="12">
        <f t="shared" si="0"/>
        <v>122041.97999999998</v>
      </c>
      <c r="D13" s="12">
        <v>137000</v>
      </c>
      <c r="E13" s="5">
        <f t="shared" si="1"/>
        <v>16265.359999999986</v>
      </c>
      <c r="F13" s="5">
        <f t="shared" si="2"/>
        <v>-14958.020000000019</v>
      </c>
      <c r="G13" s="12">
        <f>1014350.97+122041.98</f>
        <v>1136392.95</v>
      </c>
      <c r="I13" s="12">
        <f>908574.35+105776.62</f>
        <v>1014350.97</v>
      </c>
    </row>
    <row r="14" spans="1:9" x14ac:dyDescent="0.2">
      <c r="A14" t="s">
        <v>9</v>
      </c>
      <c r="B14" s="12">
        <v>80284.339999999851</v>
      </c>
      <c r="C14" s="12">
        <f t="shared" si="0"/>
        <v>136621.56999999983</v>
      </c>
      <c r="D14" s="12">
        <v>54000</v>
      </c>
      <c r="E14" s="8">
        <f t="shared" si="1"/>
        <v>56337.229999999981</v>
      </c>
      <c r="F14" s="8">
        <f t="shared" si="2"/>
        <v>82621.569999999832</v>
      </c>
      <c r="G14" s="14">
        <f>2674563.01+136621.57</f>
        <v>2811184.5799999996</v>
      </c>
      <c r="I14" s="14">
        <f>2594278.67+80284.34</f>
        <v>2674563.0099999998</v>
      </c>
    </row>
    <row r="15" spans="1:9" ht="13.5" thickBot="1" x14ac:dyDescent="0.25">
      <c r="A15" t="s">
        <v>10</v>
      </c>
      <c r="B15" s="15">
        <f t="shared" ref="B15:G15" si="3">SUM(B7:B14)</f>
        <v>11534999.999999996</v>
      </c>
      <c r="C15" s="15">
        <f t="shared" si="3"/>
        <v>14844000.000000007</v>
      </c>
      <c r="D15" s="15">
        <f t="shared" si="3"/>
        <v>14948000</v>
      </c>
      <c r="E15" s="9">
        <f t="shared" si="3"/>
        <v>3309000.0000000075</v>
      </c>
      <c r="F15" s="9">
        <f t="shared" si="3"/>
        <v>-103999.99999999534</v>
      </c>
      <c r="G15" s="15">
        <f t="shared" si="3"/>
        <v>132973000</v>
      </c>
      <c r="I15" s="15">
        <f>SUM(I7:I14)</f>
        <v>118129000</v>
      </c>
    </row>
    <row r="16" spans="1:9" ht="13.5" thickTop="1" x14ac:dyDescent="0.2"/>
    <row r="17" spans="1:1" x14ac:dyDescent="0.2">
      <c r="A17" s="6" t="s">
        <v>74</v>
      </c>
    </row>
  </sheetData>
  <phoneticPr fontId="0" type="noConversion"/>
  <printOptions horizontalCentered="1"/>
  <pageMargins left="0.5" right="0.5" top="0.5" bottom="0.5" header="0.5" footer="0.5"/>
  <pageSetup scale="8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nng0601</vt:lpstr>
      <vt:lpstr>nng0701</vt:lpstr>
      <vt:lpstr>nng0801</vt:lpstr>
      <vt:lpstr>nng0901</vt:lpstr>
      <vt:lpstr>nng1001</vt:lpstr>
      <vt:lpstr>Sheet2</vt:lpstr>
      <vt:lpstr>Sheet3</vt:lpstr>
      <vt:lpstr>nng0601!Print_Area</vt:lpstr>
      <vt:lpstr>nng0701!Print_Area</vt:lpstr>
      <vt:lpstr>nng0801!Print_Area</vt:lpstr>
      <vt:lpstr>nng0901!Print_Area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rmiller</dc:creator>
  <cp:lastModifiedBy>Jan Havlíček</cp:lastModifiedBy>
  <cp:lastPrinted>2001-11-09T19:58:06Z</cp:lastPrinted>
  <dcterms:created xsi:type="dcterms:W3CDTF">2001-07-05T18:29:38Z</dcterms:created>
  <dcterms:modified xsi:type="dcterms:W3CDTF">2023-09-15T19:21:12Z</dcterms:modified>
</cp:coreProperties>
</file>