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BBF505-411A-4077-8AEC-CF2BEDBE4879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 Cashflow" sheetId="5" r:id="rId1"/>
    <sheet name="Cashflow" sheetId="1" r:id="rId2"/>
  </sheets>
  <definedNames>
    <definedName name="_xlnm.Print_Area" localSheetId="1">Cashflow!$A$1:$Y$53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N11" i="1"/>
  <c r="X11" i="1"/>
  <c r="Y11" i="1"/>
  <c r="AA11" i="1"/>
  <c r="M12" i="1"/>
  <c r="X12" i="1"/>
  <c r="Y12" i="1"/>
  <c r="Z12" i="1"/>
  <c r="AA12" i="1"/>
  <c r="M13" i="1"/>
  <c r="X13" i="1"/>
  <c r="Y13" i="1"/>
  <c r="AA13" i="1"/>
  <c r="M14" i="1"/>
  <c r="X14" i="1"/>
  <c r="Y14" i="1"/>
  <c r="AA14" i="1"/>
  <c r="M15" i="1"/>
  <c r="X15" i="1"/>
  <c r="Y15" i="1"/>
  <c r="AA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M19" i="1"/>
  <c r="N19" i="1"/>
  <c r="O19" i="1"/>
  <c r="X19" i="1"/>
  <c r="Y19" i="1"/>
  <c r="AA19" i="1"/>
  <c r="M20" i="1"/>
  <c r="X20" i="1"/>
  <c r="Y20" i="1"/>
  <c r="Z20" i="1"/>
  <c r="AA20" i="1"/>
  <c r="M21" i="1"/>
  <c r="X21" i="1"/>
  <c r="Y21" i="1"/>
  <c r="AA21" i="1"/>
  <c r="M22" i="1"/>
  <c r="X22" i="1"/>
  <c r="Y22" i="1"/>
  <c r="AA22" i="1"/>
  <c r="M23" i="1"/>
  <c r="X23" i="1"/>
  <c r="Y23" i="1"/>
  <c r="AA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L27" i="1"/>
  <c r="M27" i="1"/>
  <c r="O27" i="1"/>
  <c r="X27" i="1"/>
  <c r="Y27" i="1"/>
  <c r="AA27" i="1"/>
  <c r="M28" i="1"/>
  <c r="X28" i="1"/>
  <c r="Y28" i="1"/>
  <c r="Z28" i="1"/>
  <c r="AA28" i="1"/>
  <c r="M29" i="1"/>
  <c r="X29" i="1"/>
  <c r="Y29" i="1"/>
  <c r="AA29" i="1"/>
  <c r="M30" i="1"/>
  <c r="X30" i="1"/>
  <c r="Y30" i="1"/>
  <c r="AA30" i="1"/>
  <c r="M31" i="1"/>
  <c r="X31" i="1"/>
  <c r="Y31" i="1"/>
  <c r="AA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M39" i="1"/>
  <c r="X39" i="1"/>
  <c r="Y39" i="1"/>
  <c r="AA39" i="1"/>
  <c r="M40" i="1"/>
  <c r="X40" i="1"/>
  <c r="Y40" i="1"/>
  <c r="AA40" i="1"/>
  <c r="I41" i="1"/>
  <c r="J41" i="1"/>
  <c r="M41" i="1"/>
  <c r="X41" i="1"/>
  <c r="Y41" i="1"/>
  <c r="AA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AA42" i="1"/>
  <c r="K43" i="1"/>
  <c r="L43" i="1"/>
  <c r="M43" i="1"/>
  <c r="N43" i="1"/>
  <c r="O43" i="1"/>
  <c r="P43" i="1"/>
  <c r="Q43" i="1"/>
  <c r="R43" i="1"/>
  <c r="S43" i="1"/>
  <c r="T43" i="1"/>
  <c r="U43" i="1"/>
  <c r="V43" i="1"/>
  <c r="X43" i="1"/>
  <c r="Y43" i="1"/>
  <c r="AA43" i="1"/>
  <c r="M44" i="1"/>
  <c r="X44" i="1"/>
  <c r="Y44" i="1"/>
  <c r="AA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C50" i="1"/>
  <c r="D50" i="1"/>
  <c r="E50" i="1"/>
  <c r="F50" i="1"/>
  <c r="G50" i="1"/>
  <c r="H50" i="1"/>
  <c r="I50" i="1"/>
  <c r="J50" i="1"/>
  <c r="K50" i="1"/>
  <c r="L50" i="1"/>
  <c r="N50" i="1"/>
  <c r="O50" i="1"/>
  <c r="P50" i="1"/>
  <c r="Q50" i="1"/>
  <c r="R50" i="1"/>
  <c r="S50" i="1"/>
  <c r="T50" i="1"/>
  <c r="U50" i="1"/>
  <c r="V50" i="1"/>
  <c r="W50" i="1"/>
  <c r="C52" i="1"/>
  <c r="D52" i="1"/>
  <c r="E52" i="1"/>
  <c r="F52" i="1"/>
  <c r="G52" i="1"/>
  <c r="H52" i="1"/>
  <c r="I52" i="1"/>
  <c r="J52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</calcChain>
</file>

<file path=xl/sharedStrings.xml><?xml version="1.0" encoding="utf-8"?>
<sst xmlns="http://schemas.openxmlformats.org/spreadsheetml/2006/main" count="50" uniqueCount="34">
  <si>
    <t>Summary Cashflow Report</t>
  </si>
  <si>
    <t>DIRECT COSTS</t>
  </si>
  <si>
    <t>Installation</t>
  </si>
  <si>
    <t>TOTAL DIRECT COSTS</t>
  </si>
  <si>
    <t>INDIRECT COSTS</t>
  </si>
  <si>
    <t xml:space="preserve"> </t>
  </si>
  <si>
    <t>Environmental</t>
  </si>
  <si>
    <t>AFUDC</t>
  </si>
  <si>
    <t>Contingency</t>
  </si>
  <si>
    <t>TOTAL INDIRECT COSTS</t>
  </si>
  <si>
    <t>CUMULATIVE TOTAL</t>
  </si>
  <si>
    <t>Total</t>
  </si>
  <si>
    <t>Year 2001</t>
  </si>
  <si>
    <t>Year 2002</t>
  </si>
  <si>
    <t>DESCRIPTION</t>
  </si>
  <si>
    <t>PERIOD TOTAL</t>
  </si>
  <si>
    <t>Project</t>
  </si>
  <si>
    <t>Taxes (On Material)</t>
  </si>
  <si>
    <t>Freight (Pipe &amp; Fittings)</t>
  </si>
  <si>
    <t>Construction Management</t>
  </si>
  <si>
    <t>Engineering/P.M./Dist. Labor</t>
  </si>
  <si>
    <t>Original Plan</t>
  </si>
  <si>
    <t>Actual</t>
  </si>
  <si>
    <t>Forecast</t>
  </si>
  <si>
    <t>TW Red Rock Expansion</t>
  </si>
  <si>
    <t>Bulk Material</t>
  </si>
  <si>
    <t>TW Overheads</t>
  </si>
  <si>
    <t>Compressor &amp; Driver</t>
  </si>
  <si>
    <t>Station One</t>
  </si>
  <si>
    <t>Station Two</t>
  </si>
  <si>
    <t>Station Three</t>
  </si>
  <si>
    <t>SUB-TOTAL DIRECT COSTS</t>
  </si>
  <si>
    <t>Month Ending</t>
  </si>
  <si>
    <t>Status Thru:  October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</si>
</sst>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mmm\-yy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10"/>
      </right>
      <top/>
      <bottom/>
      <diagonal/>
    </border>
    <border>
      <left/>
      <right style="medium">
        <color indexed="10"/>
      </right>
      <top/>
      <bottom style="thin">
        <color indexed="64"/>
      </bottom>
      <diagonal/>
    </border>
    <border>
      <left/>
      <right style="medium">
        <color indexed="10"/>
      </right>
      <top style="medium">
        <color indexed="64"/>
      </top>
      <bottom/>
      <diagonal/>
    </border>
    <border>
      <left/>
      <right style="medium">
        <color indexed="10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5" fillId="0" borderId="0" xfId="0" applyFont="1" applyBorder="1" applyAlignment="1">
      <alignment horizontal="center"/>
    </xf>
    <xf numFmtId="3" fontId="2" fillId="0" borderId="0" xfId="0" applyNumberFormat="1" applyFont="1"/>
    <xf numFmtId="0" fontId="0" fillId="0" borderId="1" xfId="0" applyBorder="1"/>
    <xf numFmtId="3" fontId="0" fillId="0" borderId="1" xfId="0" applyNumberFormat="1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3" fontId="2" fillId="0" borderId="3" xfId="0" applyNumberFormat="1" applyFont="1" applyBorder="1"/>
    <xf numFmtId="0" fontId="0" fillId="0" borderId="3" xfId="0" applyBorder="1"/>
    <xf numFmtId="0" fontId="0" fillId="0" borderId="0" xfId="0" applyBorder="1"/>
    <xf numFmtId="3" fontId="0" fillId="0" borderId="4" xfId="0" applyNumberFormat="1" applyBorder="1"/>
    <xf numFmtId="3" fontId="0" fillId="0" borderId="0" xfId="0" applyNumberFormat="1" applyBorder="1"/>
    <xf numFmtId="3" fontId="2" fillId="0" borderId="0" xfId="0" applyNumberFormat="1" applyFont="1" applyBorder="1"/>
    <xf numFmtId="0" fontId="2" fillId="0" borderId="3" xfId="0" applyFont="1" applyBorder="1" applyAlignment="1">
      <alignment horizontal="left"/>
    </xf>
    <xf numFmtId="0" fontId="8" fillId="0" borderId="0" xfId="0" applyFont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3" fontId="9" fillId="0" borderId="0" xfId="0" applyNumberFormat="1" applyFont="1"/>
    <xf numFmtId="3" fontId="10" fillId="0" borderId="3" xfId="0" applyNumberFormat="1" applyFont="1" applyBorder="1"/>
    <xf numFmtId="3" fontId="9" fillId="0" borderId="1" xfId="0" applyNumberFormat="1" applyFont="1" applyBorder="1"/>
    <xf numFmtId="3" fontId="10" fillId="0" borderId="0" xfId="0" applyNumberFormat="1" applyFont="1"/>
    <xf numFmtId="166" fontId="9" fillId="0" borderId="0" xfId="0" applyNumberFormat="1" applyFont="1" applyBorder="1" applyAlignment="1">
      <alignment horizontal="center"/>
    </xf>
    <xf numFmtId="3" fontId="9" fillId="0" borderId="0" xfId="1" applyNumberFormat="1" applyFont="1"/>
    <xf numFmtId="166" fontId="9" fillId="0" borderId="2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3" fontId="9" fillId="0" borderId="0" xfId="0" applyNumberFormat="1" applyFont="1" applyBorder="1"/>
    <xf numFmtId="3" fontId="10" fillId="0" borderId="0" xfId="0" applyNumberFormat="1" applyFont="1" applyBorder="1"/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166" fontId="11" fillId="0" borderId="6" xfId="0" applyNumberFormat="1" applyFont="1" applyBorder="1" applyAlignment="1">
      <alignment horizontal="center"/>
    </xf>
    <xf numFmtId="3" fontId="11" fillId="0" borderId="5" xfId="0" applyNumberFormat="1" applyFont="1" applyBorder="1"/>
    <xf numFmtId="3" fontId="12" fillId="0" borderId="7" xfId="0" applyNumberFormat="1" applyFont="1" applyBorder="1"/>
    <xf numFmtId="3" fontId="11" fillId="0" borderId="8" xfId="0" applyNumberFormat="1" applyFont="1" applyBorder="1"/>
    <xf numFmtId="3" fontId="12" fillId="0" borderId="5" xfId="0" applyNumberFormat="1" applyFont="1" applyBorder="1"/>
    <xf numFmtId="166" fontId="11" fillId="0" borderId="5" xfId="0" applyNumberFormat="1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3" fontId="11" fillId="0" borderId="0" xfId="0" applyNumberFormat="1" applyFont="1" applyBorder="1"/>
    <xf numFmtId="3" fontId="12" fillId="0" borderId="3" xfId="0" applyNumberFormat="1" applyFont="1" applyBorder="1"/>
    <xf numFmtId="3" fontId="11" fillId="0" borderId="1" xfId="0" applyNumberFormat="1" applyFont="1" applyBorder="1"/>
    <xf numFmtId="3" fontId="12" fillId="0" borderId="0" xfId="0" applyNumberFormat="1" applyFont="1" applyBorder="1"/>
    <xf numFmtId="166" fontId="11" fillId="0" borderId="0" xfId="0" applyNumberFormat="1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3" fontId="11" fillId="0" borderId="0" xfId="0" applyNumberFormat="1" applyFont="1"/>
    <xf numFmtId="3" fontId="12" fillId="0" borderId="0" xfId="0" applyNumberFormat="1" applyFont="1"/>
    <xf numFmtId="3" fontId="9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TW Red Rock Expansion
Cashflow Analysis
Status:  October 31, 2001
Prepared:  November 16, 2001</a:t>
            </a:r>
          </a:p>
        </c:rich>
      </c:tx>
      <c:layout>
        <c:manualLayout>
          <c:xMode val="edge"/>
          <c:yMode val="edge"/>
          <c:x val="0.36625971143174252"/>
          <c:y val="1.7944535073409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9644839067703"/>
          <c:y val="0.18923327895595432"/>
          <c:w val="0.85571587125416204"/>
          <c:h val="0.6247960848287113"/>
        </c:manualLayout>
      </c:layout>
      <c:lineChart>
        <c:grouping val="standard"/>
        <c:varyColors val="0"/>
        <c:ser>
          <c:idx val="0"/>
          <c:order val="0"/>
          <c:tx>
            <c:v>Plan (Jan-01)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Cashflow!$B$50:$W$50</c:f>
              <c:numCache>
                <c:formatCode>mmm\-yyyy</c:formatCode>
                <c:ptCount val="21"/>
                <c:pt idx="0">
                  <c:v>36950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</c:numCache>
            </c:numRef>
          </c:cat>
          <c:val>
            <c:numRef>
              <c:f>Cashflow!$B$51:$W$51</c:f>
              <c:numCache>
                <c:formatCode>#,##0</c:formatCode>
                <c:ptCount val="21"/>
                <c:pt idx="1">
                  <c:v>104475.936</c:v>
                </c:pt>
                <c:pt idx="2">
                  <c:v>445311.74348800001</c:v>
                </c:pt>
                <c:pt idx="3">
                  <c:v>1808874.2374359041</c:v>
                </c:pt>
                <c:pt idx="4">
                  <c:v>3414388.577</c:v>
                </c:pt>
                <c:pt idx="5">
                  <c:v>4163289.2970390003</c:v>
                </c:pt>
                <c:pt idx="6">
                  <c:v>14959932.322118273</c:v>
                </c:pt>
                <c:pt idx="7">
                  <c:v>23727099.8483731</c:v>
                </c:pt>
                <c:pt idx="8">
                  <c:v>27007114.547311712</c:v>
                </c:pt>
                <c:pt idx="9">
                  <c:v>36309293.349142894</c:v>
                </c:pt>
                <c:pt idx="10">
                  <c:v>40701539.402586892</c:v>
                </c:pt>
                <c:pt idx="11">
                  <c:v>48641562.408703707</c:v>
                </c:pt>
                <c:pt idx="12">
                  <c:v>53033177.414820522</c:v>
                </c:pt>
                <c:pt idx="13">
                  <c:v>57745909.195440575</c:v>
                </c:pt>
                <c:pt idx="14">
                  <c:v>62387921.119602837</c:v>
                </c:pt>
                <c:pt idx="15">
                  <c:v>65904531.893051378</c:v>
                </c:pt>
                <c:pt idx="16">
                  <c:v>68904395.548776641</c:v>
                </c:pt>
                <c:pt idx="17">
                  <c:v>70617759.818838701</c:v>
                </c:pt>
                <c:pt idx="18">
                  <c:v>72000000.148125261</c:v>
                </c:pt>
                <c:pt idx="19">
                  <c:v>72000000.148125261</c:v>
                </c:pt>
                <c:pt idx="20">
                  <c:v>72000000.148125261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8-4521-B53B-493221C192E9}"/>
            </c:ext>
          </c:extLst>
        </c:ser>
        <c:ser>
          <c:idx val="1"/>
          <c:order val="1"/>
          <c:tx>
            <c:v>Actual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Cashflow!$B$50:$W$50</c:f>
              <c:numCache>
                <c:formatCode>mmm\-yyyy</c:formatCode>
                <c:ptCount val="21"/>
                <c:pt idx="0">
                  <c:v>36950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</c:numCache>
            </c:numRef>
          </c:cat>
          <c:val>
            <c:numRef>
              <c:f>Cashflow!$B$52:$W$52</c:f>
              <c:numCache>
                <c:formatCode>#,##0</c:formatCode>
                <c:ptCount val="21"/>
                <c:pt idx="0">
                  <c:v>29242</c:v>
                </c:pt>
                <c:pt idx="1">
                  <c:v>88020</c:v>
                </c:pt>
                <c:pt idx="2">
                  <c:v>159037</c:v>
                </c:pt>
                <c:pt idx="3">
                  <c:v>291511</c:v>
                </c:pt>
                <c:pt idx="4">
                  <c:v>3465965</c:v>
                </c:pt>
                <c:pt idx="5">
                  <c:v>3798321</c:v>
                </c:pt>
                <c:pt idx="6">
                  <c:v>3987869</c:v>
                </c:pt>
                <c:pt idx="7">
                  <c:v>12037111</c:v>
                </c:pt>
                <c:pt idx="8">
                  <c:v>13343138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8-4521-B53B-493221C192E9}"/>
            </c:ext>
          </c:extLst>
        </c:ser>
        <c:ser>
          <c:idx val="2"/>
          <c:order val="2"/>
          <c:tx>
            <c:v>Forecast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Cashflow!$B$50:$W$50</c:f>
              <c:numCache>
                <c:formatCode>mmm\-yyyy</c:formatCode>
                <c:ptCount val="21"/>
                <c:pt idx="0">
                  <c:v>36950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</c:numCache>
            </c:numRef>
          </c:cat>
          <c:val>
            <c:numRef>
              <c:f>Cashflow!$B$53:$W$53</c:f>
              <c:numCache>
                <c:formatCode>#,##0</c:formatCode>
                <c:ptCount val="21"/>
                <c:pt idx="8">
                  <c:v>13343138</c:v>
                </c:pt>
                <c:pt idx="9">
                  <c:v>15006616.890000001</c:v>
                </c:pt>
                <c:pt idx="10">
                  <c:v>23353968.412300002</c:v>
                </c:pt>
                <c:pt idx="11">
                  <c:v>34484751.534084</c:v>
                </c:pt>
                <c:pt idx="12">
                  <c:v>46378845.183826715</c:v>
                </c:pt>
                <c:pt idx="13">
                  <c:v>52657950.675806135</c:v>
                </c:pt>
                <c:pt idx="14">
                  <c:v>58625631.115164489</c:v>
                </c:pt>
                <c:pt idx="15">
                  <c:v>63307910.952509947</c:v>
                </c:pt>
                <c:pt idx="16">
                  <c:v>67141826.738684312</c:v>
                </c:pt>
                <c:pt idx="17">
                  <c:v>70157805.580509126</c:v>
                </c:pt>
                <c:pt idx="18">
                  <c:v>71333560.782064229</c:v>
                </c:pt>
                <c:pt idx="19">
                  <c:v>71821507.870165318</c:v>
                </c:pt>
                <c:pt idx="20">
                  <c:v>71999999.870165318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58-4521-B53B-493221C19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269471"/>
        <c:axId val="1"/>
      </c:lineChart>
      <c:catAx>
        <c:axId val="2036269471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 ENDING</a:t>
                </a:r>
              </a:p>
            </c:rich>
          </c:tx>
          <c:layout>
            <c:manualLayout>
              <c:xMode val="edge"/>
              <c:yMode val="edge"/>
              <c:x val="0.49278579356270813"/>
              <c:y val="0.89722675367047311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CUMULATIVE DOLLARS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3752039151712887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6269471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95560488346282"/>
          <c:y val="0.9559543230016313"/>
          <c:w val="0.307436182019977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67CFD74-9820-F37E-D277-8A353A8A75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tabSelected="1" workbookViewId="0">
      <pane xSplit="1" ySplit="9" topLeftCell="B33" activePane="bottomRight" state="frozen"/>
      <selection pane="topRight" activeCell="B1" sqref="B1"/>
      <selection pane="bottomLeft" activeCell="A10" sqref="A10"/>
      <selection pane="bottomRight" activeCell="D61" sqref="D61"/>
    </sheetView>
  </sheetViews>
  <sheetFormatPr defaultRowHeight="12.75" x14ac:dyDescent="0.2"/>
  <cols>
    <col min="1" max="1" width="28.42578125" customWidth="1"/>
    <col min="2" max="3" width="12.7109375" style="26" customWidth="1"/>
    <col min="4" max="7" width="12.7109375" style="36" customWidth="1"/>
    <col min="8" max="8" width="12.7109375" style="48" customWidth="1"/>
    <col min="9" max="9" width="12.7109375" style="56" customWidth="1"/>
    <col min="10" max="10" width="12.7109375" style="40" customWidth="1"/>
    <col min="11" max="12" width="12.7109375" customWidth="1"/>
    <col min="13" max="13" width="12.7109375" hidden="1" customWidth="1"/>
    <col min="14" max="23" width="12.7109375" customWidth="1"/>
    <col min="24" max="27" width="12.7109375" hidden="1" customWidth="1"/>
    <col min="28" max="69" width="12.7109375" customWidth="1"/>
  </cols>
  <sheetData>
    <row r="1" spans="1:27" x14ac:dyDescent="0.2">
      <c r="C1" s="36"/>
    </row>
    <row r="2" spans="1:27" x14ac:dyDescent="0.2">
      <c r="C2" s="36"/>
    </row>
    <row r="3" spans="1:27" ht="20.25" x14ac:dyDescent="0.3">
      <c r="A3" s="5" t="s">
        <v>24</v>
      </c>
      <c r="C3" s="36"/>
    </row>
    <row r="4" spans="1:27" ht="18" x14ac:dyDescent="0.25">
      <c r="A4" s="6" t="s">
        <v>0</v>
      </c>
      <c r="C4" s="36"/>
    </row>
    <row r="5" spans="1:27" x14ac:dyDescent="0.2">
      <c r="A5" s="3" t="s">
        <v>33</v>
      </c>
      <c r="C5" s="36"/>
    </row>
    <row r="6" spans="1:27" x14ac:dyDescent="0.2">
      <c r="C6" s="36"/>
    </row>
    <row r="7" spans="1:27" ht="12" customHeight="1" x14ac:dyDescent="0.2">
      <c r="B7" s="27" t="s">
        <v>5</v>
      </c>
      <c r="C7" s="36"/>
    </row>
    <row r="8" spans="1:27" ht="15.75" x14ac:dyDescent="0.25">
      <c r="A8" s="8" t="s">
        <v>14</v>
      </c>
      <c r="B8" s="28" t="s">
        <v>32</v>
      </c>
      <c r="C8" s="37"/>
      <c r="D8" s="37"/>
      <c r="E8" s="37"/>
      <c r="F8" s="37"/>
      <c r="G8" s="37"/>
      <c r="H8" s="49"/>
      <c r="I8" s="57"/>
      <c r="J8" s="41"/>
      <c r="K8" s="1"/>
      <c r="L8" s="1"/>
      <c r="M8" s="2" t="s">
        <v>11</v>
      </c>
      <c r="N8" s="1"/>
      <c r="O8" s="1"/>
      <c r="P8" s="1"/>
      <c r="Q8" s="1"/>
      <c r="R8" s="1"/>
      <c r="S8" s="1"/>
      <c r="T8" s="1"/>
      <c r="U8" s="1"/>
      <c r="V8" s="1"/>
      <c r="W8" s="1"/>
      <c r="X8" s="2" t="s">
        <v>11</v>
      </c>
      <c r="Y8" s="2" t="s">
        <v>11</v>
      </c>
    </row>
    <row r="9" spans="1:27" s="13" customFormat="1" x14ac:dyDescent="0.2">
      <c r="A9" s="14" t="s">
        <v>1</v>
      </c>
      <c r="B9" s="35">
        <v>36950</v>
      </c>
      <c r="C9" s="35">
        <v>36951</v>
      </c>
      <c r="D9" s="35">
        <v>36982</v>
      </c>
      <c r="E9" s="35">
        <v>37012</v>
      </c>
      <c r="F9" s="35">
        <v>37043</v>
      </c>
      <c r="G9" s="35">
        <v>37073</v>
      </c>
      <c r="H9" s="50">
        <v>37104</v>
      </c>
      <c r="I9" s="50">
        <v>37135</v>
      </c>
      <c r="J9" s="42">
        <v>37165</v>
      </c>
      <c r="K9" s="24">
        <v>37196</v>
      </c>
      <c r="L9" s="24">
        <v>37226</v>
      </c>
      <c r="M9" s="12" t="s">
        <v>12</v>
      </c>
      <c r="N9" s="24">
        <v>37257</v>
      </c>
      <c r="O9" s="24">
        <v>37288</v>
      </c>
      <c r="P9" s="24">
        <v>37316</v>
      </c>
      <c r="Q9" s="24">
        <v>37347</v>
      </c>
      <c r="R9" s="24">
        <v>37377</v>
      </c>
      <c r="S9" s="24">
        <v>37408</v>
      </c>
      <c r="T9" s="24">
        <v>37438</v>
      </c>
      <c r="U9" s="24">
        <v>37469</v>
      </c>
      <c r="V9" s="24">
        <v>37500</v>
      </c>
      <c r="W9" s="24">
        <v>37530</v>
      </c>
      <c r="X9" s="12" t="s">
        <v>13</v>
      </c>
      <c r="Y9" s="12" t="s">
        <v>16</v>
      </c>
    </row>
    <row r="10" spans="1:27" ht="15.75" x14ac:dyDescent="0.25">
      <c r="A10" s="23" t="s">
        <v>28</v>
      </c>
      <c r="B10" s="29"/>
      <c r="C10" s="38"/>
      <c r="D10" s="38"/>
      <c r="E10" s="38"/>
      <c r="F10" s="38"/>
      <c r="G10" s="38"/>
      <c r="H10" s="51"/>
      <c r="I10" s="58"/>
      <c r="J10" s="43"/>
      <c r="K10" s="7"/>
      <c r="L10" s="7"/>
      <c r="M10" s="7"/>
      <c r="N10" s="1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7" x14ac:dyDescent="0.2">
      <c r="A11" t="s">
        <v>27</v>
      </c>
      <c r="B11" s="29"/>
      <c r="C11" s="38"/>
      <c r="D11" s="38"/>
      <c r="E11" s="38"/>
      <c r="F11" s="38">
        <v>875279</v>
      </c>
      <c r="G11" s="38"/>
      <c r="H11" s="51"/>
      <c r="I11" s="58">
        <v>2687010</v>
      </c>
      <c r="J11" s="43"/>
      <c r="K11" s="7"/>
      <c r="L11" s="7">
        <v>1312920</v>
      </c>
      <c r="M11" s="7">
        <f>SUM(B11:L11)</f>
        <v>4875209</v>
      </c>
      <c r="N11" s="20">
        <f>437640+875280+875280+437640+875280</f>
        <v>3501120</v>
      </c>
      <c r="O11" s="7">
        <v>437640</v>
      </c>
      <c r="P11" s="7">
        <v>54781</v>
      </c>
      <c r="Q11" s="7">
        <v>43750</v>
      </c>
      <c r="R11" s="7">
        <v>43750</v>
      </c>
      <c r="S11" s="7">
        <v>43750</v>
      </c>
      <c r="T11" s="7"/>
      <c r="U11" s="7"/>
      <c r="V11" s="7"/>
      <c r="W11" s="7"/>
      <c r="X11" s="7">
        <f>SUM(N11:W11)</f>
        <v>4124791</v>
      </c>
      <c r="Y11" s="7">
        <f>M11+X11</f>
        <v>9000000</v>
      </c>
      <c r="Z11">
        <v>9000000</v>
      </c>
      <c r="AA11" s="7">
        <f>Z11-Y11</f>
        <v>0</v>
      </c>
    </row>
    <row r="12" spans="1:27" x14ac:dyDescent="0.2">
      <c r="A12" t="s">
        <v>25</v>
      </c>
      <c r="B12" s="29"/>
      <c r="C12" s="38"/>
      <c r="D12" s="38"/>
      <c r="E12" s="38"/>
      <c r="F12" s="38"/>
      <c r="G12" s="38"/>
      <c r="H12" s="51"/>
      <c r="I12" s="58">
        <v>8064</v>
      </c>
      <c r="J12" s="43">
        <v>293871</v>
      </c>
      <c r="K12" s="7">
        <v>375000</v>
      </c>
      <c r="L12" s="7">
        <v>425000</v>
      </c>
      <c r="M12" s="7">
        <f>SUM(B12:L12)</f>
        <v>1101935</v>
      </c>
      <c r="N12" s="7">
        <v>821000</v>
      </c>
      <c r="O12" s="20">
        <v>775000</v>
      </c>
      <c r="P12" s="7">
        <v>482726</v>
      </c>
      <c r="Q12" s="7">
        <v>460000</v>
      </c>
      <c r="R12" s="7">
        <v>200500</v>
      </c>
      <c r="S12" s="7">
        <v>150000</v>
      </c>
      <c r="T12" s="7">
        <v>36646</v>
      </c>
      <c r="U12" s="7"/>
      <c r="V12" s="7"/>
      <c r="W12" s="7"/>
      <c r="X12" s="7">
        <f>SUM(N12:W12)</f>
        <v>2925872</v>
      </c>
      <c r="Y12" s="7">
        <f>M12+X12</f>
        <v>4027807</v>
      </c>
      <c r="Z12">
        <f>3934581+93226</f>
        <v>4027807</v>
      </c>
      <c r="AA12" s="7">
        <f>Z12-Y12</f>
        <v>0</v>
      </c>
    </row>
    <row r="13" spans="1:27" x14ac:dyDescent="0.2">
      <c r="A13" t="s">
        <v>17</v>
      </c>
      <c r="B13" s="29"/>
      <c r="C13" s="38"/>
      <c r="D13" s="38"/>
      <c r="E13" s="38"/>
      <c r="F13" s="38"/>
      <c r="G13" s="38"/>
      <c r="H13" s="51"/>
      <c r="I13" s="58"/>
      <c r="J13" s="43"/>
      <c r="K13" s="7">
        <v>40687</v>
      </c>
      <c r="L13" s="7">
        <v>59000</v>
      </c>
      <c r="M13" s="7">
        <f>SUM(B13:L13)</f>
        <v>99687</v>
      </c>
      <c r="N13" s="7">
        <v>175554</v>
      </c>
      <c r="O13" s="7">
        <v>237992</v>
      </c>
      <c r="P13" s="7">
        <v>89769</v>
      </c>
      <c r="Q13" s="7">
        <v>33048</v>
      </c>
      <c r="R13" s="7">
        <v>30000</v>
      </c>
      <c r="S13" s="7">
        <v>20000</v>
      </c>
      <c r="T13" s="7">
        <v>10000</v>
      </c>
      <c r="U13" s="7"/>
      <c r="V13" s="7"/>
      <c r="W13" s="7"/>
      <c r="X13" s="7">
        <f>SUM(N13:W13)</f>
        <v>596363</v>
      </c>
      <c r="Y13" s="7">
        <f>M13+X13</f>
        <v>696050</v>
      </c>
      <c r="Z13">
        <v>696050</v>
      </c>
      <c r="AA13" s="7">
        <f>Z13-Y13</f>
        <v>0</v>
      </c>
    </row>
    <row r="14" spans="1:27" x14ac:dyDescent="0.2">
      <c r="A14" t="s">
        <v>18</v>
      </c>
      <c r="B14" s="29"/>
      <c r="C14" s="38"/>
      <c r="D14" s="38"/>
      <c r="E14" s="38"/>
      <c r="F14" s="38"/>
      <c r="G14" s="38"/>
      <c r="H14" s="51"/>
      <c r="I14" s="58"/>
      <c r="J14" s="43"/>
      <c r="K14" s="7"/>
      <c r="L14" s="7">
        <v>49675</v>
      </c>
      <c r="M14" s="7">
        <f>SUM(B14:L14)</f>
        <v>49675</v>
      </c>
      <c r="N14" s="7">
        <v>100000</v>
      </c>
      <c r="O14" s="7">
        <v>179278</v>
      </c>
      <c r="P14" s="7">
        <v>97604</v>
      </c>
      <c r="Q14" s="7">
        <v>39652</v>
      </c>
      <c r="R14" s="7">
        <v>10425</v>
      </c>
      <c r="S14" s="7"/>
      <c r="T14" s="7"/>
      <c r="U14" s="7"/>
      <c r="V14" s="7"/>
      <c r="W14" s="7"/>
      <c r="X14" s="7">
        <f>SUM(N14:W14)</f>
        <v>426959</v>
      </c>
      <c r="Y14" s="7">
        <f>M14+X14</f>
        <v>476634</v>
      </c>
      <c r="Z14">
        <v>476634</v>
      </c>
      <c r="AA14" s="7">
        <f>Z14-Y14</f>
        <v>0</v>
      </c>
    </row>
    <row r="15" spans="1:27" ht="13.5" thickBot="1" x14ac:dyDescent="0.25">
      <c r="A15" t="s">
        <v>2</v>
      </c>
      <c r="B15" s="29"/>
      <c r="C15" s="38"/>
      <c r="D15" s="38"/>
      <c r="E15" s="38"/>
      <c r="F15" s="38"/>
      <c r="G15" s="38"/>
      <c r="H15" s="51"/>
      <c r="I15" s="58"/>
      <c r="J15" s="43"/>
      <c r="K15" s="7"/>
      <c r="L15" s="7">
        <v>110500</v>
      </c>
      <c r="M15" s="7">
        <f>SUM(B15:L15)</f>
        <v>110500</v>
      </c>
      <c r="N15" s="7">
        <v>710000</v>
      </c>
      <c r="O15" s="7">
        <v>717836</v>
      </c>
      <c r="P15" s="20">
        <v>890000</v>
      </c>
      <c r="Q15" s="20">
        <v>765000</v>
      </c>
      <c r="R15" s="20">
        <v>660000</v>
      </c>
      <c r="S15" s="7">
        <v>457000</v>
      </c>
      <c r="T15" s="7">
        <v>444594</v>
      </c>
      <c r="U15" s="7">
        <v>145070</v>
      </c>
      <c r="V15" s="7"/>
      <c r="W15" s="7"/>
      <c r="X15" s="7">
        <f>SUM(N15:W15)</f>
        <v>4789500</v>
      </c>
      <c r="Y15" s="7">
        <f>M15+X15</f>
        <v>4900000</v>
      </c>
      <c r="Z15">
        <v>4900000</v>
      </c>
      <c r="AA15" s="7">
        <f>Z15-Y15</f>
        <v>0</v>
      </c>
    </row>
    <row r="16" spans="1:27" s="17" customFormat="1" x14ac:dyDescent="0.2">
      <c r="A16" s="15" t="s">
        <v>31</v>
      </c>
      <c r="B16" s="30">
        <f t="shared" ref="B16:Y16" si="0">SUM(B10:B15)</f>
        <v>0</v>
      </c>
      <c r="C16" s="30">
        <f t="shared" si="0"/>
        <v>0</v>
      </c>
      <c r="D16" s="30">
        <f t="shared" si="0"/>
        <v>0</v>
      </c>
      <c r="E16" s="30">
        <f t="shared" si="0"/>
        <v>0</v>
      </c>
      <c r="F16" s="30">
        <f t="shared" si="0"/>
        <v>875279</v>
      </c>
      <c r="G16" s="30">
        <f t="shared" si="0"/>
        <v>0</v>
      </c>
      <c r="H16" s="52">
        <f t="shared" si="0"/>
        <v>0</v>
      </c>
      <c r="I16" s="52">
        <f t="shared" si="0"/>
        <v>2695074</v>
      </c>
      <c r="J16" s="44">
        <f t="shared" si="0"/>
        <v>293871</v>
      </c>
      <c r="K16" s="16">
        <f t="shared" si="0"/>
        <v>415687</v>
      </c>
      <c r="L16" s="16">
        <f t="shared" si="0"/>
        <v>1957095</v>
      </c>
      <c r="M16" s="16">
        <f t="shared" si="0"/>
        <v>6237006</v>
      </c>
      <c r="N16" s="16">
        <f t="shared" si="0"/>
        <v>5307674</v>
      </c>
      <c r="O16" s="16">
        <f t="shared" si="0"/>
        <v>2347746</v>
      </c>
      <c r="P16" s="16">
        <f t="shared" si="0"/>
        <v>1614880</v>
      </c>
      <c r="Q16" s="16">
        <f t="shared" si="0"/>
        <v>1341450</v>
      </c>
      <c r="R16" s="16">
        <f t="shared" si="0"/>
        <v>944675</v>
      </c>
      <c r="S16" s="16">
        <f t="shared" si="0"/>
        <v>670750</v>
      </c>
      <c r="T16" s="16">
        <f t="shared" si="0"/>
        <v>491240</v>
      </c>
      <c r="U16" s="16">
        <f t="shared" si="0"/>
        <v>145070</v>
      </c>
      <c r="V16" s="16">
        <f t="shared" si="0"/>
        <v>0</v>
      </c>
      <c r="W16" s="16">
        <f t="shared" si="0"/>
        <v>0</v>
      </c>
      <c r="X16" s="16">
        <f t="shared" si="0"/>
        <v>12863485</v>
      </c>
      <c r="Y16" s="16">
        <f t="shared" si="0"/>
        <v>19100491</v>
      </c>
      <c r="Z16" s="17">
        <f>SUM(Z11:Z15)</f>
        <v>19100491</v>
      </c>
    </row>
    <row r="17" spans="1:27" x14ac:dyDescent="0.2">
      <c r="B17" s="29"/>
      <c r="C17" s="38"/>
      <c r="D17" s="38"/>
      <c r="E17" s="38"/>
      <c r="F17" s="38"/>
      <c r="G17" s="38"/>
      <c r="H17" s="51"/>
      <c r="I17" s="58"/>
      <c r="J17" s="43"/>
      <c r="K17" s="7"/>
      <c r="L17" s="7"/>
      <c r="M17" s="7"/>
      <c r="N17" s="20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7" ht="15.75" x14ac:dyDescent="0.25">
      <c r="A18" s="23" t="s">
        <v>29</v>
      </c>
      <c r="C18" s="36"/>
    </row>
    <row r="19" spans="1:27" x14ac:dyDescent="0.2">
      <c r="A19" t="s">
        <v>27</v>
      </c>
      <c r="B19" s="29"/>
      <c r="C19" s="38"/>
      <c r="D19" s="38"/>
      <c r="E19" s="38"/>
      <c r="F19" s="38">
        <v>875279</v>
      </c>
      <c r="G19" s="38"/>
      <c r="H19" s="51"/>
      <c r="I19" s="58">
        <v>2687010</v>
      </c>
      <c r="J19" s="43"/>
      <c r="K19" s="7"/>
      <c r="L19" s="7">
        <v>1312920</v>
      </c>
      <c r="M19" s="7">
        <f>SUM(B19:L19)</f>
        <v>4875209</v>
      </c>
      <c r="N19" s="20">
        <f>875280+437640</f>
        <v>1312920</v>
      </c>
      <c r="O19" s="7">
        <f>437640+875280+875280+437640-88969</f>
        <v>2536871</v>
      </c>
      <c r="P19" s="7">
        <v>43750</v>
      </c>
      <c r="Q19" s="7">
        <v>43750</v>
      </c>
      <c r="R19" s="7">
        <v>43750</v>
      </c>
      <c r="S19" s="7">
        <v>43750</v>
      </c>
      <c r="T19" s="7"/>
      <c r="U19" s="7"/>
      <c r="V19" s="7"/>
      <c r="W19" s="7"/>
      <c r="X19" s="7">
        <f>SUM(N19:W19)</f>
        <v>4024791</v>
      </c>
      <c r="Y19" s="7">
        <f>M19+X19</f>
        <v>8900000</v>
      </c>
      <c r="Z19">
        <v>8900000</v>
      </c>
      <c r="AA19" s="7">
        <f>Z19-Y19</f>
        <v>0</v>
      </c>
    </row>
    <row r="20" spans="1:27" x14ac:dyDescent="0.2">
      <c r="A20" t="s">
        <v>25</v>
      </c>
      <c r="B20" s="29"/>
      <c r="C20" s="38"/>
      <c r="D20" s="38"/>
      <c r="E20" s="38"/>
      <c r="F20" s="38"/>
      <c r="G20" s="38"/>
      <c r="H20" s="51"/>
      <c r="I20" s="58">
        <v>8064</v>
      </c>
      <c r="J20" s="43">
        <v>293871</v>
      </c>
      <c r="K20" s="7">
        <v>375000</v>
      </c>
      <c r="L20" s="7">
        <v>425000</v>
      </c>
      <c r="M20" s="7">
        <f>SUM(B20:L20)</f>
        <v>1101935</v>
      </c>
      <c r="N20" s="7">
        <v>828621</v>
      </c>
      <c r="O20" s="20">
        <v>775000</v>
      </c>
      <c r="P20" s="7">
        <v>482726</v>
      </c>
      <c r="Q20" s="7">
        <v>560000</v>
      </c>
      <c r="R20" s="7">
        <v>200500</v>
      </c>
      <c r="S20" s="7">
        <v>250000</v>
      </c>
      <c r="T20" s="7">
        <v>45355</v>
      </c>
      <c r="U20" s="7"/>
      <c r="V20" s="7"/>
      <c r="W20" s="7"/>
      <c r="X20" s="7">
        <f>SUM(N20:W20)</f>
        <v>3142202</v>
      </c>
      <c r="Y20" s="7">
        <f>M20+X20</f>
        <v>4244137</v>
      </c>
      <c r="Z20">
        <f>3934581+309556</f>
        <v>4244137</v>
      </c>
      <c r="AA20" s="7">
        <f>Z20-Y20</f>
        <v>0</v>
      </c>
    </row>
    <row r="21" spans="1:27" x14ac:dyDescent="0.2">
      <c r="A21" t="s">
        <v>17</v>
      </c>
      <c r="B21" s="29"/>
      <c r="C21" s="38"/>
      <c r="D21" s="38"/>
      <c r="E21" s="38"/>
      <c r="F21" s="38"/>
      <c r="G21" s="38"/>
      <c r="H21" s="51"/>
      <c r="I21" s="58"/>
      <c r="J21" s="43"/>
      <c r="K21" s="7">
        <v>40687</v>
      </c>
      <c r="L21" s="7">
        <v>59000</v>
      </c>
      <c r="M21" s="7">
        <f>SUM(B21:L21)</f>
        <v>99687</v>
      </c>
      <c r="N21" s="7">
        <v>175554</v>
      </c>
      <c r="O21" s="7">
        <v>237992</v>
      </c>
      <c r="P21" s="7">
        <v>89769</v>
      </c>
      <c r="Q21" s="7">
        <v>33048</v>
      </c>
      <c r="R21" s="7">
        <v>30000</v>
      </c>
      <c r="S21" s="7">
        <v>20000</v>
      </c>
      <c r="T21" s="7">
        <v>10000</v>
      </c>
      <c r="U21" s="7"/>
      <c r="V21" s="7"/>
      <c r="W21" s="7"/>
      <c r="X21" s="7">
        <f>SUM(N21:W21)</f>
        <v>596363</v>
      </c>
      <c r="Y21" s="7">
        <f>M21+X21</f>
        <v>696050</v>
      </c>
      <c r="Z21">
        <v>696050</v>
      </c>
      <c r="AA21" s="7">
        <f>Z21-Y21</f>
        <v>0</v>
      </c>
    </row>
    <row r="22" spans="1:27" x14ac:dyDescent="0.2">
      <c r="A22" t="s">
        <v>18</v>
      </c>
      <c r="B22" s="29"/>
      <c r="C22" s="38"/>
      <c r="D22" s="38"/>
      <c r="E22" s="38"/>
      <c r="F22" s="38"/>
      <c r="G22" s="38"/>
      <c r="H22" s="51"/>
      <c r="I22" s="58"/>
      <c r="J22" s="43"/>
      <c r="K22" s="7"/>
      <c r="L22" s="7">
        <v>49675</v>
      </c>
      <c r="M22" s="7">
        <f>SUM(B22:L22)</f>
        <v>49675</v>
      </c>
      <c r="N22" s="7">
        <v>100000</v>
      </c>
      <c r="O22" s="7">
        <v>179278</v>
      </c>
      <c r="P22" s="7">
        <v>97604</v>
      </c>
      <c r="Q22" s="7">
        <v>39652</v>
      </c>
      <c r="R22" s="7">
        <v>10425</v>
      </c>
      <c r="S22" s="7"/>
      <c r="T22" s="7"/>
      <c r="U22" s="7"/>
      <c r="V22" s="7"/>
      <c r="W22" s="7"/>
      <c r="X22" s="7">
        <f>SUM(N22:W22)</f>
        <v>426959</v>
      </c>
      <c r="Y22" s="7">
        <f>M22+X22</f>
        <v>476634</v>
      </c>
      <c r="Z22">
        <v>476634</v>
      </c>
      <c r="AA22" s="7">
        <f>Z22-Y22</f>
        <v>0</v>
      </c>
    </row>
    <row r="23" spans="1:27" ht="13.5" thickBot="1" x14ac:dyDescent="0.25">
      <c r="A23" t="s">
        <v>2</v>
      </c>
      <c r="B23" s="29"/>
      <c r="C23" s="38"/>
      <c r="D23" s="38"/>
      <c r="E23" s="38"/>
      <c r="F23" s="38"/>
      <c r="G23" s="38">
        <v>5424</v>
      </c>
      <c r="H23" s="51">
        <v>4794</v>
      </c>
      <c r="I23" s="58">
        <v>9000</v>
      </c>
      <c r="J23" s="43"/>
      <c r="K23" s="7"/>
      <c r="L23" s="7">
        <v>110500</v>
      </c>
      <c r="M23" s="7">
        <f>SUM(B23:L23)</f>
        <v>129718</v>
      </c>
      <c r="N23" s="7">
        <v>710836</v>
      </c>
      <c r="O23" s="20">
        <v>792000</v>
      </c>
      <c r="P23" s="20">
        <v>965000</v>
      </c>
      <c r="Q23" s="20">
        <v>865000</v>
      </c>
      <c r="R23" s="7">
        <v>660000</v>
      </c>
      <c r="S23" s="7">
        <v>448335</v>
      </c>
      <c r="T23" s="7">
        <v>403259</v>
      </c>
      <c r="U23" s="7">
        <v>125852</v>
      </c>
      <c r="V23" s="7"/>
      <c r="W23" s="7"/>
      <c r="X23" s="7">
        <f>SUM(N23:W23)</f>
        <v>4970282</v>
      </c>
      <c r="Y23" s="7">
        <f>M23+X23</f>
        <v>5100000</v>
      </c>
      <c r="Z23">
        <v>5100000</v>
      </c>
      <c r="AA23" s="7">
        <f>Z23-Y23</f>
        <v>0</v>
      </c>
    </row>
    <row r="24" spans="1:27" x14ac:dyDescent="0.2">
      <c r="A24" s="15" t="s">
        <v>31</v>
      </c>
      <c r="B24" s="30">
        <f t="shared" ref="B24:Y24" si="1">SUM(B18:B23)</f>
        <v>0</v>
      </c>
      <c r="C24" s="30">
        <f t="shared" si="1"/>
        <v>0</v>
      </c>
      <c r="D24" s="30">
        <f t="shared" si="1"/>
        <v>0</v>
      </c>
      <c r="E24" s="30">
        <f t="shared" si="1"/>
        <v>0</v>
      </c>
      <c r="F24" s="30">
        <f t="shared" si="1"/>
        <v>875279</v>
      </c>
      <c r="G24" s="30">
        <f t="shared" si="1"/>
        <v>5424</v>
      </c>
      <c r="H24" s="52">
        <f t="shared" si="1"/>
        <v>4794</v>
      </c>
      <c r="I24" s="52">
        <f t="shared" si="1"/>
        <v>2704074</v>
      </c>
      <c r="J24" s="44">
        <f t="shared" si="1"/>
        <v>293871</v>
      </c>
      <c r="K24" s="16">
        <f t="shared" si="1"/>
        <v>415687</v>
      </c>
      <c r="L24" s="16">
        <f t="shared" si="1"/>
        <v>1957095</v>
      </c>
      <c r="M24" s="16">
        <f t="shared" si="1"/>
        <v>6256224</v>
      </c>
      <c r="N24" s="16">
        <f t="shared" si="1"/>
        <v>3127931</v>
      </c>
      <c r="O24" s="16">
        <f t="shared" si="1"/>
        <v>4521141</v>
      </c>
      <c r="P24" s="16">
        <f t="shared" si="1"/>
        <v>1678849</v>
      </c>
      <c r="Q24" s="16">
        <f t="shared" si="1"/>
        <v>1541450</v>
      </c>
      <c r="R24" s="16">
        <f t="shared" si="1"/>
        <v>944675</v>
      </c>
      <c r="S24" s="16">
        <f t="shared" si="1"/>
        <v>762085</v>
      </c>
      <c r="T24" s="16">
        <f t="shared" si="1"/>
        <v>458614</v>
      </c>
      <c r="U24" s="16">
        <f t="shared" si="1"/>
        <v>125852</v>
      </c>
      <c r="V24" s="16">
        <f t="shared" si="1"/>
        <v>0</v>
      </c>
      <c r="W24" s="16">
        <f t="shared" si="1"/>
        <v>0</v>
      </c>
      <c r="X24" s="16">
        <f t="shared" si="1"/>
        <v>13160597</v>
      </c>
      <c r="Y24" s="16">
        <f t="shared" si="1"/>
        <v>19416821</v>
      </c>
      <c r="Z24">
        <f>SUM(Z19:Z23)</f>
        <v>19416821</v>
      </c>
    </row>
    <row r="25" spans="1:27" x14ac:dyDescent="0.2">
      <c r="B25" s="29"/>
      <c r="C25" s="38"/>
      <c r="D25" s="38"/>
      <c r="E25" s="38"/>
      <c r="F25" s="38"/>
      <c r="G25" s="38"/>
      <c r="H25" s="51"/>
      <c r="I25" s="58"/>
      <c r="J25" s="43"/>
      <c r="K25" s="7"/>
      <c r="L25" s="7"/>
      <c r="M25" s="7"/>
      <c r="N25" s="20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7" ht="15.75" x14ac:dyDescent="0.25">
      <c r="A26" s="23" t="s">
        <v>30</v>
      </c>
      <c r="C26" s="36"/>
    </row>
    <row r="27" spans="1:27" x14ac:dyDescent="0.2">
      <c r="A27" t="s">
        <v>27</v>
      </c>
      <c r="B27" s="29"/>
      <c r="C27" s="38"/>
      <c r="D27" s="38"/>
      <c r="E27" s="38"/>
      <c r="F27" s="38">
        <v>875279</v>
      </c>
      <c r="G27" s="38"/>
      <c r="H27" s="51"/>
      <c r="I27" s="58">
        <v>2686618</v>
      </c>
      <c r="K27" s="7"/>
      <c r="L27" s="7">
        <f>2188197+1312920-188574</f>
        <v>3312543</v>
      </c>
      <c r="M27" s="7">
        <f>SUM(B27:L27)</f>
        <v>6874440</v>
      </c>
      <c r="N27" s="7"/>
      <c r="O27" s="7">
        <f>875280+437640+437640+100000</f>
        <v>1850560</v>
      </c>
      <c r="P27" s="7">
        <v>43750</v>
      </c>
      <c r="Q27" s="7">
        <v>43750</v>
      </c>
      <c r="R27" s="7">
        <v>43750</v>
      </c>
      <c r="S27" s="7">
        <v>43750</v>
      </c>
      <c r="T27" s="7"/>
      <c r="U27" s="7"/>
      <c r="V27" s="7"/>
      <c r="W27" s="7"/>
      <c r="X27" s="7">
        <f>SUM(N27:W27)</f>
        <v>2025560</v>
      </c>
      <c r="Y27" s="7">
        <f>M27+X27</f>
        <v>8900000</v>
      </c>
      <c r="Z27">
        <v>8900000</v>
      </c>
      <c r="AA27" s="7">
        <f>Z27-Y27</f>
        <v>0</v>
      </c>
    </row>
    <row r="28" spans="1:27" x14ac:dyDescent="0.2">
      <c r="A28" t="s">
        <v>25</v>
      </c>
      <c r="B28" s="29"/>
      <c r="C28" s="38"/>
      <c r="D28" s="38"/>
      <c r="E28" s="38"/>
      <c r="F28" s="38"/>
      <c r="G28" s="38"/>
      <c r="H28" s="51"/>
      <c r="I28" s="58">
        <v>8064</v>
      </c>
      <c r="J28" s="43">
        <v>293871</v>
      </c>
      <c r="K28" s="7">
        <v>375000</v>
      </c>
      <c r="L28" s="7">
        <v>525000</v>
      </c>
      <c r="M28" s="7">
        <f>SUM(B28:L28)</f>
        <v>1201935</v>
      </c>
      <c r="N28" s="7">
        <v>821000</v>
      </c>
      <c r="O28" s="20">
        <v>799062</v>
      </c>
      <c r="P28" s="7">
        <v>482726</v>
      </c>
      <c r="Q28" s="7">
        <v>560000</v>
      </c>
      <c r="R28" s="7">
        <v>300500</v>
      </c>
      <c r="S28" s="7">
        <v>250000</v>
      </c>
      <c r="T28" s="7">
        <v>45355</v>
      </c>
      <c r="U28" s="7"/>
      <c r="V28" s="7"/>
      <c r="W28" s="7"/>
      <c r="X28" s="7">
        <f>SUM(N28:W28)</f>
        <v>3258643</v>
      </c>
      <c r="Y28" s="7">
        <f>M28+X28</f>
        <v>4460578</v>
      </c>
      <c r="Z28">
        <f>3934581+425997</f>
        <v>4360578</v>
      </c>
      <c r="AA28" s="7">
        <f>Z28-Y28</f>
        <v>-100000</v>
      </c>
    </row>
    <row r="29" spans="1:27" x14ac:dyDescent="0.2">
      <c r="A29" t="s">
        <v>17</v>
      </c>
      <c r="B29" s="29"/>
      <c r="C29" s="38"/>
      <c r="D29" s="38"/>
      <c r="E29" s="38"/>
      <c r="F29" s="38"/>
      <c r="G29" s="38"/>
      <c r="H29" s="51"/>
      <c r="I29" s="58"/>
      <c r="J29" s="43"/>
      <c r="K29" s="7">
        <v>40683</v>
      </c>
      <c r="L29" s="7">
        <v>59000</v>
      </c>
      <c r="M29" s="7">
        <f>SUM(B29:L29)</f>
        <v>99683</v>
      </c>
      <c r="N29" s="7">
        <v>175554</v>
      </c>
      <c r="O29" s="7">
        <v>237992</v>
      </c>
      <c r="P29" s="7">
        <v>89769</v>
      </c>
      <c r="Q29" s="7">
        <v>33048</v>
      </c>
      <c r="R29" s="7">
        <v>30000</v>
      </c>
      <c r="S29" s="7">
        <v>20000</v>
      </c>
      <c r="T29" s="7">
        <v>10000</v>
      </c>
      <c r="U29" s="7"/>
      <c r="V29" s="7"/>
      <c r="W29" s="7"/>
      <c r="X29" s="7">
        <f>SUM(N29:W29)</f>
        <v>596363</v>
      </c>
      <c r="Y29" s="7">
        <f>M29+X29</f>
        <v>696046</v>
      </c>
      <c r="Z29">
        <v>696046</v>
      </c>
      <c r="AA29" s="7">
        <f>Z29-Y29</f>
        <v>0</v>
      </c>
    </row>
    <row r="30" spans="1:27" x14ac:dyDescent="0.2">
      <c r="A30" t="s">
        <v>18</v>
      </c>
      <c r="B30" s="29"/>
      <c r="C30" s="38"/>
      <c r="D30" s="38"/>
      <c r="E30" s="38"/>
      <c r="F30" s="38"/>
      <c r="G30" s="38"/>
      <c r="H30" s="51"/>
      <c r="I30" s="58"/>
      <c r="J30" s="43"/>
      <c r="K30" s="7"/>
      <c r="L30" s="7">
        <v>49675</v>
      </c>
      <c r="M30" s="7">
        <f>SUM(B30:L30)</f>
        <v>49675</v>
      </c>
      <c r="N30" s="7">
        <v>100000</v>
      </c>
      <c r="O30" s="7">
        <v>179278</v>
      </c>
      <c r="P30" s="7">
        <v>97604</v>
      </c>
      <c r="Q30" s="7">
        <v>39652</v>
      </c>
      <c r="R30" s="7">
        <v>10425</v>
      </c>
      <c r="S30" s="7"/>
      <c r="T30" s="7"/>
      <c r="U30" s="7"/>
      <c r="V30" s="7"/>
      <c r="W30" s="7"/>
      <c r="X30" s="7">
        <f>SUM(N30:W30)</f>
        <v>426959</v>
      </c>
      <c r="Y30" s="7">
        <f>M30+X30</f>
        <v>476634</v>
      </c>
      <c r="Z30">
        <v>476634</v>
      </c>
      <c r="AA30" s="7">
        <f>Z30-Y30</f>
        <v>0</v>
      </c>
    </row>
    <row r="31" spans="1:27" ht="13.5" thickBot="1" x14ac:dyDescent="0.25">
      <c r="A31" t="s">
        <v>2</v>
      </c>
      <c r="B31" s="29"/>
      <c r="C31" s="38"/>
      <c r="D31" s="38"/>
      <c r="E31" s="38"/>
      <c r="F31" s="38">
        <v>25983</v>
      </c>
      <c r="G31" s="38"/>
      <c r="H31" s="51"/>
      <c r="I31" s="58"/>
      <c r="J31" s="43"/>
      <c r="K31" s="7"/>
      <c r="L31" s="7">
        <v>110500</v>
      </c>
      <c r="M31" s="7">
        <f>SUM(B31:L31)</f>
        <v>136483</v>
      </c>
      <c r="N31" s="7">
        <v>510836</v>
      </c>
      <c r="O31" s="20">
        <v>592000</v>
      </c>
      <c r="P31" s="20">
        <v>865000</v>
      </c>
      <c r="Q31" s="20">
        <v>765000</v>
      </c>
      <c r="R31" s="7">
        <v>660000</v>
      </c>
      <c r="S31" s="7">
        <v>448335</v>
      </c>
      <c r="T31" s="7">
        <v>403259</v>
      </c>
      <c r="U31" s="7">
        <v>119087</v>
      </c>
      <c r="V31" s="7"/>
      <c r="W31" s="7"/>
      <c r="X31" s="7">
        <f>SUM(N31:W31)</f>
        <v>4363517</v>
      </c>
      <c r="Y31" s="7">
        <f>M31+X31</f>
        <v>4500000</v>
      </c>
      <c r="Z31">
        <v>4500000</v>
      </c>
      <c r="AA31" s="7">
        <f>Z31-Y31</f>
        <v>0</v>
      </c>
    </row>
    <row r="32" spans="1:27" x14ac:dyDescent="0.2">
      <c r="A32" s="15" t="s">
        <v>31</v>
      </c>
      <c r="B32" s="30">
        <f t="shared" ref="B32:Y32" si="2">SUM(B26:B31)</f>
        <v>0</v>
      </c>
      <c r="C32" s="30">
        <f t="shared" si="2"/>
        <v>0</v>
      </c>
      <c r="D32" s="30">
        <f t="shared" si="2"/>
        <v>0</v>
      </c>
      <c r="E32" s="30">
        <f t="shared" si="2"/>
        <v>0</v>
      </c>
      <c r="F32" s="30">
        <f t="shared" si="2"/>
        <v>901262</v>
      </c>
      <c r="G32" s="30">
        <f t="shared" si="2"/>
        <v>0</v>
      </c>
      <c r="H32" s="52">
        <f t="shared" si="2"/>
        <v>0</v>
      </c>
      <c r="I32" s="52">
        <f t="shared" si="2"/>
        <v>2694682</v>
      </c>
      <c r="J32" s="44">
        <f t="shared" si="2"/>
        <v>293871</v>
      </c>
      <c r="K32" s="16">
        <f t="shared" si="2"/>
        <v>415683</v>
      </c>
      <c r="L32" s="16">
        <f t="shared" si="2"/>
        <v>4056718</v>
      </c>
      <c r="M32" s="16">
        <f t="shared" si="2"/>
        <v>8362216</v>
      </c>
      <c r="N32" s="16">
        <f t="shared" si="2"/>
        <v>1607390</v>
      </c>
      <c r="O32" s="16">
        <f t="shared" si="2"/>
        <v>3658892</v>
      </c>
      <c r="P32" s="16">
        <f t="shared" si="2"/>
        <v>1578849</v>
      </c>
      <c r="Q32" s="16">
        <f t="shared" si="2"/>
        <v>1441450</v>
      </c>
      <c r="R32" s="16">
        <f t="shared" si="2"/>
        <v>1044675</v>
      </c>
      <c r="S32" s="16">
        <f t="shared" si="2"/>
        <v>762085</v>
      </c>
      <c r="T32" s="16">
        <f t="shared" si="2"/>
        <v>458614</v>
      </c>
      <c r="U32" s="16">
        <f t="shared" si="2"/>
        <v>119087</v>
      </c>
      <c r="V32" s="16">
        <f t="shared" si="2"/>
        <v>0</v>
      </c>
      <c r="W32" s="16">
        <f t="shared" si="2"/>
        <v>0</v>
      </c>
      <c r="X32" s="16">
        <f t="shared" si="2"/>
        <v>10671042</v>
      </c>
      <c r="Y32" s="16">
        <f t="shared" si="2"/>
        <v>19033258</v>
      </c>
      <c r="Z32">
        <f>SUM(Z27:Z31)</f>
        <v>18933258</v>
      </c>
    </row>
    <row r="33" spans="1:27" x14ac:dyDescent="0.2">
      <c r="B33" s="29"/>
      <c r="C33" s="38"/>
      <c r="D33" s="38"/>
      <c r="E33" s="38"/>
      <c r="F33" s="38"/>
      <c r="G33" s="38"/>
      <c r="H33" s="51"/>
      <c r="I33" s="58"/>
      <c r="J33" s="43"/>
      <c r="K33" s="7"/>
      <c r="L33" s="7"/>
      <c r="M33" s="7"/>
      <c r="N33" s="20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7" ht="13.5" thickBot="1" x14ac:dyDescent="0.25">
      <c r="C34" s="36"/>
    </row>
    <row r="35" spans="1:27" x14ac:dyDescent="0.2">
      <c r="A35" s="22" t="s">
        <v>3</v>
      </c>
      <c r="B35" s="30">
        <f t="shared" ref="B35:Y35" si="3">B32+B24+B16</f>
        <v>0</v>
      </c>
      <c r="C35" s="30">
        <f t="shared" si="3"/>
        <v>0</v>
      </c>
      <c r="D35" s="30">
        <f t="shared" si="3"/>
        <v>0</v>
      </c>
      <c r="E35" s="30">
        <f t="shared" si="3"/>
        <v>0</v>
      </c>
      <c r="F35" s="30">
        <f t="shared" si="3"/>
        <v>2651820</v>
      </c>
      <c r="G35" s="30">
        <f t="shared" si="3"/>
        <v>5424</v>
      </c>
      <c r="H35" s="52">
        <f t="shared" si="3"/>
        <v>4794</v>
      </c>
      <c r="I35" s="52">
        <f t="shared" si="3"/>
        <v>8093830</v>
      </c>
      <c r="J35" s="44">
        <f t="shared" si="3"/>
        <v>881613</v>
      </c>
      <c r="K35" s="30">
        <f t="shared" si="3"/>
        <v>1247057</v>
      </c>
      <c r="L35" s="30">
        <f t="shared" si="3"/>
        <v>7970908</v>
      </c>
      <c r="M35" s="30">
        <f t="shared" si="3"/>
        <v>20855446</v>
      </c>
      <c r="N35" s="30">
        <f t="shared" si="3"/>
        <v>10042995</v>
      </c>
      <c r="O35" s="30">
        <f t="shared" si="3"/>
        <v>10527779</v>
      </c>
      <c r="P35" s="30">
        <f t="shared" si="3"/>
        <v>4872578</v>
      </c>
      <c r="Q35" s="30">
        <f t="shared" si="3"/>
        <v>4324350</v>
      </c>
      <c r="R35" s="30">
        <f t="shared" si="3"/>
        <v>2934025</v>
      </c>
      <c r="S35" s="30">
        <f t="shared" si="3"/>
        <v>2194920</v>
      </c>
      <c r="T35" s="30">
        <f t="shared" si="3"/>
        <v>1408468</v>
      </c>
      <c r="U35" s="30">
        <f t="shared" si="3"/>
        <v>390009</v>
      </c>
      <c r="V35" s="30">
        <f t="shared" si="3"/>
        <v>0</v>
      </c>
      <c r="W35" s="30">
        <f t="shared" si="3"/>
        <v>0</v>
      </c>
      <c r="X35" s="30">
        <f t="shared" si="3"/>
        <v>36695124</v>
      </c>
      <c r="Y35" s="30">
        <f t="shared" si="3"/>
        <v>57550570</v>
      </c>
      <c r="Z35">
        <v>53517288</v>
      </c>
    </row>
    <row r="36" spans="1:27" x14ac:dyDescent="0.2">
      <c r="C36" s="36"/>
    </row>
    <row r="37" spans="1:27" x14ac:dyDescent="0.2">
      <c r="C37" s="36"/>
    </row>
    <row r="38" spans="1:27" x14ac:dyDescent="0.2">
      <c r="A38" s="2" t="s">
        <v>4</v>
      </c>
      <c r="B38" s="29"/>
      <c r="C38" s="38"/>
      <c r="D38" s="38"/>
      <c r="E38" s="38"/>
      <c r="F38" s="38"/>
      <c r="G38" s="38"/>
      <c r="H38" s="51"/>
      <c r="I38" s="58"/>
      <c r="J38" s="43"/>
      <c r="K38" s="7"/>
      <c r="L38" s="7"/>
      <c r="M38" s="7"/>
      <c r="N38" s="20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7" x14ac:dyDescent="0.2">
      <c r="A39" t="s">
        <v>6</v>
      </c>
      <c r="B39" s="29"/>
      <c r="C39" s="38"/>
      <c r="D39" s="38">
        <v>15440</v>
      </c>
      <c r="E39" s="38">
        <v>19817</v>
      </c>
      <c r="F39" s="38">
        <v>19560</v>
      </c>
      <c r="G39" s="38">
        <v>32670</v>
      </c>
      <c r="H39" s="51">
        <v>10500</v>
      </c>
      <c r="I39" s="58">
        <v>1075</v>
      </c>
      <c r="J39" s="43">
        <v>14</v>
      </c>
      <c r="K39" s="7">
        <v>5000</v>
      </c>
      <c r="L39" s="7">
        <v>10000</v>
      </c>
      <c r="M39" s="7">
        <f t="shared" ref="M39:M44" si="4">SUM(B39:L39)</f>
        <v>114076</v>
      </c>
      <c r="N39" s="20">
        <v>25000</v>
      </c>
      <c r="O39" s="20">
        <v>25000</v>
      </c>
      <c r="P39" s="20">
        <v>25000</v>
      </c>
      <c r="Q39" s="20">
        <v>15000</v>
      </c>
      <c r="R39" s="20">
        <v>15000</v>
      </c>
      <c r="S39" s="20">
        <v>15000</v>
      </c>
      <c r="T39" s="20">
        <v>7589</v>
      </c>
      <c r="U39" s="7"/>
      <c r="V39" s="7"/>
      <c r="W39" s="7"/>
      <c r="X39" s="7">
        <f t="shared" ref="X39:X44" si="5">SUM(N39:W39)</f>
        <v>127589</v>
      </c>
      <c r="Y39" s="7">
        <f t="shared" ref="Y39:Y44" si="6">M39+X39</f>
        <v>241665</v>
      </c>
      <c r="Z39">
        <v>241665</v>
      </c>
      <c r="AA39" s="7">
        <f t="shared" ref="AA39:AA44" si="7">Z39-Y39</f>
        <v>0</v>
      </c>
    </row>
    <row r="40" spans="1:27" x14ac:dyDescent="0.2">
      <c r="A40" t="s">
        <v>19</v>
      </c>
      <c r="B40" s="29"/>
      <c r="C40" s="38"/>
      <c r="D40" s="38"/>
      <c r="E40" s="38">
        <v>876</v>
      </c>
      <c r="F40" s="38">
        <v>1746</v>
      </c>
      <c r="G40" s="38">
        <v>34662</v>
      </c>
      <c r="H40" s="51">
        <v>7984</v>
      </c>
      <c r="I40" s="58">
        <v>11578</v>
      </c>
      <c r="J40" s="43">
        <v>10704</v>
      </c>
      <c r="K40" s="7">
        <v>20000</v>
      </c>
      <c r="L40" s="7">
        <v>50000</v>
      </c>
      <c r="M40" s="7">
        <f t="shared" si="4"/>
        <v>137550</v>
      </c>
      <c r="N40" s="20">
        <v>95000</v>
      </c>
      <c r="O40" s="20">
        <v>90270</v>
      </c>
      <c r="P40" s="20">
        <v>80000</v>
      </c>
      <c r="Q40" s="20">
        <v>85338</v>
      </c>
      <c r="R40" s="20">
        <v>85338</v>
      </c>
      <c r="S40" s="20">
        <v>85338</v>
      </c>
      <c r="T40" s="20">
        <v>85338</v>
      </c>
      <c r="U40" s="7">
        <v>12488</v>
      </c>
      <c r="V40" s="7"/>
      <c r="W40" s="7"/>
      <c r="X40" s="7">
        <f t="shared" si="5"/>
        <v>619110</v>
      </c>
      <c r="Y40" s="7">
        <f t="shared" si="6"/>
        <v>756660</v>
      </c>
      <c r="Z40">
        <v>756660</v>
      </c>
      <c r="AA40" s="7">
        <f t="shared" si="7"/>
        <v>0</v>
      </c>
    </row>
    <row r="41" spans="1:27" x14ac:dyDescent="0.2">
      <c r="A41" t="s">
        <v>20</v>
      </c>
      <c r="B41" s="29">
        <v>29242</v>
      </c>
      <c r="C41" s="38">
        <v>58669</v>
      </c>
      <c r="D41" s="38">
        <v>36730</v>
      </c>
      <c r="E41" s="38">
        <v>94337</v>
      </c>
      <c r="F41" s="38">
        <v>109418</v>
      </c>
      <c r="G41" s="38">
        <v>253369</v>
      </c>
      <c r="H41" s="51">
        <v>132991</v>
      </c>
      <c r="I41" s="58">
        <f>263976+20551</f>
        <v>284527</v>
      </c>
      <c r="J41" s="43">
        <f>389112+1489+4+2271</f>
        <v>392876</v>
      </c>
      <c r="K41" s="7">
        <v>300000</v>
      </c>
      <c r="L41" s="7">
        <v>200000</v>
      </c>
      <c r="M41" s="7">
        <f t="shared" si="4"/>
        <v>1892159</v>
      </c>
      <c r="N41" s="20">
        <v>300000</v>
      </c>
      <c r="O41" s="7">
        <v>360582</v>
      </c>
      <c r="P41" s="7">
        <v>350000</v>
      </c>
      <c r="Q41" s="7">
        <v>300000</v>
      </c>
      <c r="R41" s="7">
        <v>300000</v>
      </c>
      <c r="S41" s="7">
        <v>300000</v>
      </c>
      <c r="T41" s="7">
        <v>273037</v>
      </c>
      <c r="U41" s="7">
        <v>185126</v>
      </c>
      <c r="V41" s="7">
        <v>192757</v>
      </c>
      <c r="W41" s="7"/>
      <c r="X41" s="7">
        <f t="shared" si="5"/>
        <v>2561502</v>
      </c>
      <c r="Y41" s="7">
        <f t="shared" si="6"/>
        <v>4453661</v>
      </c>
      <c r="Z41">
        <v>4453661</v>
      </c>
      <c r="AA41" s="7">
        <f t="shared" si="7"/>
        <v>0</v>
      </c>
    </row>
    <row r="42" spans="1:27" x14ac:dyDescent="0.2">
      <c r="A42" t="s">
        <v>26</v>
      </c>
      <c r="B42" s="29"/>
      <c r="C42" s="38"/>
      <c r="D42" s="38">
        <v>17893</v>
      </c>
      <c r="E42" s="38">
        <v>15584</v>
      </c>
      <c r="F42" s="38">
        <v>386362</v>
      </c>
      <c r="G42" s="38">
        <v>6231</v>
      </c>
      <c r="H42" s="51">
        <v>0</v>
      </c>
      <c r="I42" s="58">
        <v>-341669</v>
      </c>
      <c r="J42" s="43">
        <v>23985</v>
      </c>
      <c r="K42" s="7">
        <f>J47*0.02</f>
        <v>26120.54</v>
      </c>
      <c r="L42" s="7">
        <f>K47*0.02</f>
        <v>33269.577800000006</v>
      </c>
      <c r="M42" s="7">
        <f t="shared" si="4"/>
        <v>167776.11780000001</v>
      </c>
      <c r="N42" s="20">
        <f>L47*0.02</f>
        <v>166947.03044600002</v>
      </c>
      <c r="O42" s="20">
        <f>N47*0.02</f>
        <v>222615.66243567999</v>
      </c>
      <c r="P42" s="20">
        <f>O47*0.02</f>
        <v>237881.87299485438</v>
      </c>
      <c r="Q42" s="20">
        <f>P47*0.02</f>
        <v>125582.10983958835</v>
      </c>
      <c r="R42" s="20">
        <f>Q47*0.025</f>
        <v>149192.01098395884</v>
      </c>
      <c r="S42" s="20">
        <f>R47*0.025</f>
        <v>117056.99593363651</v>
      </c>
      <c r="T42" s="20">
        <f>S47*0.025+75000</f>
        <v>170847.89465435912</v>
      </c>
      <c r="U42" s="20">
        <f>T47*0.025+75000</f>
        <v>150399.47104562054</v>
      </c>
      <c r="V42" s="20">
        <f>U47*0.025+75000</f>
        <v>104393.88003887775</v>
      </c>
      <c r="W42" s="7">
        <f>125420+58190-2732-2386</f>
        <v>178492</v>
      </c>
      <c r="X42" s="7">
        <f t="shared" si="5"/>
        <v>1623408.9283725754</v>
      </c>
      <c r="Y42" s="7">
        <f t="shared" si="6"/>
        <v>1791185.0461725756</v>
      </c>
      <c r="Z42">
        <v>1791000</v>
      </c>
      <c r="AA42" s="7">
        <f t="shared" si="7"/>
        <v>-185.04617257555947</v>
      </c>
    </row>
    <row r="43" spans="1:27" x14ac:dyDescent="0.2">
      <c r="A43" t="s">
        <v>7</v>
      </c>
      <c r="B43" s="29"/>
      <c r="C43" s="38">
        <v>109</v>
      </c>
      <c r="D43" s="38">
        <v>954</v>
      </c>
      <c r="E43" s="38">
        <v>1860</v>
      </c>
      <c r="F43" s="38">
        <v>5548</v>
      </c>
      <c r="G43" s="38">
        <v>0</v>
      </c>
      <c r="H43" s="51">
        <v>33279</v>
      </c>
      <c r="I43" s="58">
        <v>-99</v>
      </c>
      <c r="J43" s="43">
        <v>-3165</v>
      </c>
      <c r="K43" s="7">
        <f>J47*0.05</f>
        <v>65301.350000000006</v>
      </c>
      <c r="L43" s="7">
        <f>K47*0.05</f>
        <v>83173.944500000012</v>
      </c>
      <c r="M43" s="7">
        <f t="shared" si="4"/>
        <v>186961.29450000002</v>
      </c>
      <c r="N43" s="7">
        <f>L47*0.06</f>
        <v>500841.09133800003</v>
      </c>
      <c r="O43" s="7">
        <f t="shared" ref="O43:U43" si="8">N47*0.06</f>
        <v>667846.9873070399</v>
      </c>
      <c r="P43" s="7">
        <f t="shared" si="8"/>
        <v>713645.61898456304</v>
      </c>
      <c r="Q43" s="7">
        <f t="shared" si="8"/>
        <v>376746.32951876504</v>
      </c>
      <c r="R43" s="7">
        <f t="shared" si="8"/>
        <v>358060.82636150118</v>
      </c>
      <c r="S43" s="7">
        <f t="shared" si="8"/>
        <v>280936.7902407276</v>
      </c>
      <c r="T43" s="7">
        <f t="shared" si="8"/>
        <v>230034.94717046185</v>
      </c>
      <c r="U43" s="7">
        <f t="shared" si="8"/>
        <v>180958.73050948925</v>
      </c>
      <c r="V43" s="7">
        <f>U47*0.04-3775-4050+160008-6556-125-1736</f>
        <v>190796.20806220439</v>
      </c>
      <c r="W43" s="7"/>
      <c r="X43" s="7">
        <f t="shared" si="5"/>
        <v>3499867.5294927526</v>
      </c>
      <c r="Y43" s="7">
        <f t="shared" si="6"/>
        <v>3686828.8239927525</v>
      </c>
      <c r="Z43">
        <v>3687000</v>
      </c>
      <c r="AA43" s="7">
        <f t="shared" si="7"/>
        <v>171.17600724752992</v>
      </c>
    </row>
    <row r="44" spans="1:27" ht="13.5" thickBot="1" x14ac:dyDescent="0.25">
      <c r="A44" s="10" t="s">
        <v>8</v>
      </c>
      <c r="B44" s="31"/>
      <c r="C44" s="31"/>
      <c r="D44" s="31"/>
      <c r="E44" s="31"/>
      <c r="F44" s="31"/>
      <c r="G44" s="31"/>
      <c r="H44" s="53"/>
      <c r="I44" s="53"/>
      <c r="J44" s="45"/>
      <c r="K44" s="11"/>
      <c r="L44" s="11"/>
      <c r="M44" s="7">
        <f t="shared" si="4"/>
        <v>0</v>
      </c>
      <c r="N44" s="11">
        <v>0</v>
      </c>
      <c r="O44" s="11">
        <v>0</v>
      </c>
      <c r="P44" s="11">
        <v>0</v>
      </c>
      <c r="Q44" s="11">
        <v>740664</v>
      </c>
      <c r="R44" s="11">
        <v>840664</v>
      </c>
      <c r="S44" s="11">
        <v>840664</v>
      </c>
      <c r="T44" s="11">
        <v>840664</v>
      </c>
      <c r="U44" s="11">
        <v>256774</v>
      </c>
      <c r="V44" s="11"/>
      <c r="W44" s="11"/>
      <c r="X44" s="11">
        <f t="shared" si="5"/>
        <v>3519430</v>
      </c>
      <c r="Y44" s="7">
        <f t="shared" si="6"/>
        <v>3519430</v>
      </c>
      <c r="Z44">
        <v>3519430</v>
      </c>
      <c r="AA44" s="7">
        <f t="shared" si="7"/>
        <v>0</v>
      </c>
    </row>
    <row r="45" spans="1:27" x14ac:dyDescent="0.2">
      <c r="A45" s="4" t="s">
        <v>9</v>
      </c>
      <c r="B45" s="32">
        <f t="shared" ref="B45:Y45" si="9">SUM(B39:B44)</f>
        <v>29242</v>
      </c>
      <c r="C45" s="39">
        <f t="shared" si="9"/>
        <v>58778</v>
      </c>
      <c r="D45" s="39">
        <f t="shared" si="9"/>
        <v>71017</v>
      </c>
      <c r="E45" s="39">
        <f t="shared" si="9"/>
        <v>132474</v>
      </c>
      <c r="F45" s="39">
        <f t="shared" si="9"/>
        <v>522634</v>
      </c>
      <c r="G45" s="39">
        <f t="shared" si="9"/>
        <v>326932</v>
      </c>
      <c r="H45" s="54">
        <f t="shared" si="9"/>
        <v>184754</v>
      </c>
      <c r="I45" s="59">
        <f t="shared" si="9"/>
        <v>-44588</v>
      </c>
      <c r="J45" s="46">
        <f t="shared" si="9"/>
        <v>424414</v>
      </c>
      <c r="K45" s="9">
        <f t="shared" si="9"/>
        <v>416421.89</v>
      </c>
      <c r="L45" s="9">
        <f t="shared" si="9"/>
        <v>376443.52230000007</v>
      </c>
      <c r="M45" s="16">
        <f t="shared" si="9"/>
        <v>2498522.4123</v>
      </c>
      <c r="N45" s="21">
        <f t="shared" si="9"/>
        <v>1087788.1217840002</v>
      </c>
      <c r="O45" s="9">
        <f t="shared" si="9"/>
        <v>1366314.6497427197</v>
      </c>
      <c r="P45" s="9">
        <f t="shared" si="9"/>
        <v>1406527.4919794174</v>
      </c>
      <c r="Q45" s="9">
        <f t="shared" si="9"/>
        <v>1643330.4393583534</v>
      </c>
      <c r="R45" s="9">
        <f t="shared" si="9"/>
        <v>1748254.83734546</v>
      </c>
      <c r="S45" s="9">
        <f t="shared" si="9"/>
        <v>1638995.7861743642</v>
      </c>
      <c r="T45" s="9">
        <f t="shared" si="9"/>
        <v>1607510.841824821</v>
      </c>
      <c r="U45" s="9">
        <f t="shared" si="9"/>
        <v>785746.20155510982</v>
      </c>
      <c r="V45" s="9">
        <f t="shared" si="9"/>
        <v>487947.08810108213</v>
      </c>
      <c r="W45" s="9">
        <f t="shared" si="9"/>
        <v>178492</v>
      </c>
      <c r="X45" s="9">
        <f t="shared" si="9"/>
        <v>11950907.457865328</v>
      </c>
      <c r="Y45" s="16">
        <f t="shared" si="9"/>
        <v>14449429.870165329</v>
      </c>
      <c r="Z45">
        <v>18482712.487681184</v>
      </c>
    </row>
    <row r="46" spans="1:27" x14ac:dyDescent="0.2">
      <c r="B46" s="29"/>
      <c r="C46" s="38"/>
      <c r="D46" s="38"/>
      <c r="E46" s="38"/>
      <c r="F46" s="38"/>
      <c r="G46" s="38"/>
      <c r="H46" s="51"/>
      <c r="I46" s="58"/>
      <c r="J46" s="43"/>
      <c r="K46" s="7"/>
      <c r="L46" s="7"/>
      <c r="M46" s="7"/>
      <c r="N46" s="20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7" x14ac:dyDescent="0.2">
      <c r="A47" s="4" t="s">
        <v>15</v>
      </c>
      <c r="B47" s="32">
        <f t="shared" ref="B47:Y47" si="10">B35+B45</f>
        <v>29242</v>
      </c>
      <c r="C47" s="39">
        <f t="shared" si="10"/>
        <v>58778</v>
      </c>
      <c r="D47" s="39">
        <f t="shared" si="10"/>
        <v>71017</v>
      </c>
      <c r="E47" s="39">
        <f t="shared" si="10"/>
        <v>132474</v>
      </c>
      <c r="F47" s="39">
        <f t="shared" si="10"/>
        <v>3174454</v>
      </c>
      <c r="G47" s="39">
        <f t="shared" si="10"/>
        <v>332356</v>
      </c>
      <c r="H47" s="54">
        <f t="shared" si="10"/>
        <v>189548</v>
      </c>
      <c r="I47" s="59">
        <f t="shared" si="10"/>
        <v>8049242</v>
      </c>
      <c r="J47" s="46">
        <f t="shared" si="10"/>
        <v>1306027</v>
      </c>
      <c r="K47" s="9">
        <f t="shared" si="10"/>
        <v>1663478.8900000001</v>
      </c>
      <c r="L47" s="9">
        <f t="shared" si="10"/>
        <v>8347351.5223000003</v>
      </c>
      <c r="M47" s="9">
        <f t="shared" si="10"/>
        <v>23353968.412299998</v>
      </c>
      <c r="N47" s="9">
        <f t="shared" si="10"/>
        <v>11130783.121784</v>
      </c>
      <c r="O47" s="9">
        <f t="shared" si="10"/>
        <v>11894093.649742719</v>
      </c>
      <c r="P47" s="9">
        <f t="shared" si="10"/>
        <v>6279105.4919794174</v>
      </c>
      <c r="Q47" s="9">
        <f t="shared" si="10"/>
        <v>5967680.4393583536</v>
      </c>
      <c r="R47" s="9">
        <f t="shared" si="10"/>
        <v>4682279.8373454604</v>
      </c>
      <c r="S47" s="9">
        <f t="shared" si="10"/>
        <v>3833915.7861743644</v>
      </c>
      <c r="T47" s="9">
        <f t="shared" si="10"/>
        <v>3015978.8418248212</v>
      </c>
      <c r="U47" s="9">
        <f t="shared" si="10"/>
        <v>1175755.2015551098</v>
      </c>
      <c r="V47" s="9">
        <f t="shared" si="10"/>
        <v>487947.08810108213</v>
      </c>
      <c r="W47" s="9">
        <f t="shared" si="10"/>
        <v>178492</v>
      </c>
      <c r="X47" s="9">
        <f t="shared" si="10"/>
        <v>48646031.457865328</v>
      </c>
      <c r="Y47" s="9">
        <f t="shared" si="10"/>
        <v>71999999.870165333</v>
      </c>
      <c r="Z47">
        <v>72000000.48768118</v>
      </c>
    </row>
    <row r="48" spans="1:27" x14ac:dyDescent="0.2">
      <c r="A48" s="4" t="s">
        <v>10</v>
      </c>
      <c r="B48" s="32">
        <f>B47</f>
        <v>29242</v>
      </c>
      <c r="C48" s="39">
        <f t="shared" ref="C48:L48" si="11">B48+C47</f>
        <v>88020</v>
      </c>
      <c r="D48" s="39">
        <f t="shared" si="11"/>
        <v>159037</v>
      </c>
      <c r="E48" s="39">
        <f t="shared" si="11"/>
        <v>291511</v>
      </c>
      <c r="F48" s="39">
        <f t="shared" si="11"/>
        <v>3465965</v>
      </c>
      <c r="G48" s="39">
        <f t="shared" si="11"/>
        <v>3798321</v>
      </c>
      <c r="H48" s="54">
        <f t="shared" si="11"/>
        <v>3987869</v>
      </c>
      <c r="I48" s="59">
        <f t="shared" si="11"/>
        <v>12037111</v>
      </c>
      <c r="J48" s="46">
        <f t="shared" si="11"/>
        <v>13343138</v>
      </c>
      <c r="K48" s="9">
        <f t="shared" si="11"/>
        <v>15006616.890000001</v>
      </c>
      <c r="L48" s="9">
        <f t="shared" si="11"/>
        <v>23353968.412300002</v>
      </c>
      <c r="M48" s="9">
        <f>L48</f>
        <v>23353968.412300002</v>
      </c>
      <c r="N48" s="21">
        <f>L48+N47</f>
        <v>34484751.534084</v>
      </c>
      <c r="O48" s="9">
        <f t="shared" ref="O48:W48" si="12">N48+O47</f>
        <v>46378845.183826715</v>
      </c>
      <c r="P48" s="9">
        <f t="shared" si="12"/>
        <v>52657950.675806135</v>
      </c>
      <c r="Q48" s="9">
        <f t="shared" si="12"/>
        <v>58625631.115164489</v>
      </c>
      <c r="R48" s="9">
        <f t="shared" si="12"/>
        <v>63307910.952509947</v>
      </c>
      <c r="S48" s="9">
        <f t="shared" si="12"/>
        <v>67141826.738684312</v>
      </c>
      <c r="T48" s="9">
        <f t="shared" si="12"/>
        <v>70157805.580509126</v>
      </c>
      <c r="U48" s="9">
        <f t="shared" si="12"/>
        <v>71333560.782064229</v>
      </c>
      <c r="V48" s="9">
        <f t="shared" si="12"/>
        <v>71821507.870165318</v>
      </c>
      <c r="W48" s="9">
        <f t="shared" si="12"/>
        <v>71999999.870165318</v>
      </c>
      <c r="X48" s="9">
        <f>W48</f>
        <v>71999999.870165318</v>
      </c>
      <c r="Y48" s="9">
        <f>X48</f>
        <v>71999999.870165318</v>
      </c>
    </row>
    <row r="49" spans="1:25" x14ac:dyDescent="0.2">
      <c r="A49" s="4"/>
      <c r="B49" s="32"/>
      <c r="C49" s="39"/>
      <c r="D49" s="39"/>
      <c r="E49" s="39"/>
      <c r="F49" s="39"/>
      <c r="G49" s="39"/>
      <c r="H49" s="54"/>
      <c r="I49" s="59"/>
      <c r="J49" s="46"/>
      <c r="K49" s="9"/>
      <c r="L49" s="9"/>
      <c r="M49" s="9"/>
      <c r="N49" s="2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">
      <c r="A50" s="18"/>
      <c r="B50" s="33">
        <v>36950</v>
      </c>
      <c r="C50" s="33">
        <f>C9</f>
        <v>36951</v>
      </c>
      <c r="D50" s="33">
        <f t="shared" ref="D50:W50" si="13">D9</f>
        <v>36982</v>
      </c>
      <c r="E50" s="33">
        <f t="shared" si="13"/>
        <v>37012</v>
      </c>
      <c r="F50" s="33">
        <f t="shared" si="13"/>
        <v>37043</v>
      </c>
      <c r="G50" s="33">
        <f t="shared" si="13"/>
        <v>37073</v>
      </c>
      <c r="H50" s="55">
        <f t="shared" si="13"/>
        <v>37104</v>
      </c>
      <c r="I50" s="55">
        <f t="shared" si="13"/>
        <v>37135</v>
      </c>
      <c r="J50" s="47">
        <f t="shared" si="13"/>
        <v>37165</v>
      </c>
      <c r="K50" s="25">
        <f t="shared" si="13"/>
        <v>37196</v>
      </c>
      <c r="L50" s="25">
        <f t="shared" si="13"/>
        <v>37226</v>
      </c>
      <c r="M50" s="14" t="s">
        <v>12</v>
      </c>
      <c r="N50" s="25">
        <f t="shared" si="13"/>
        <v>37257</v>
      </c>
      <c r="O50" s="25">
        <f t="shared" si="13"/>
        <v>37288</v>
      </c>
      <c r="P50" s="25">
        <f t="shared" si="13"/>
        <v>37316</v>
      </c>
      <c r="Q50" s="25">
        <f t="shared" si="13"/>
        <v>37347</v>
      </c>
      <c r="R50" s="25">
        <f t="shared" si="13"/>
        <v>37377</v>
      </c>
      <c r="S50" s="25">
        <f t="shared" si="13"/>
        <v>37408</v>
      </c>
      <c r="T50" s="25">
        <f t="shared" si="13"/>
        <v>37438</v>
      </c>
      <c r="U50" s="25">
        <f t="shared" si="13"/>
        <v>37469</v>
      </c>
      <c r="V50" s="25">
        <f t="shared" si="13"/>
        <v>37500</v>
      </c>
      <c r="W50" s="25">
        <f t="shared" si="13"/>
        <v>37530</v>
      </c>
      <c r="X50" s="14" t="s">
        <v>13</v>
      </c>
      <c r="Y50" s="18"/>
    </row>
    <row r="51" spans="1:25" x14ac:dyDescent="0.2">
      <c r="A51" s="4" t="s">
        <v>21</v>
      </c>
      <c r="B51" s="34"/>
      <c r="C51" s="38">
        <v>104475.936</v>
      </c>
      <c r="D51" s="38">
        <v>445311.74348800001</v>
      </c>
      <c r="E51" s="38">
        <v>1808874.2374359041</v>
      </c>
      <c r="F51" s="38">
        <v>3414388.577</v>
      </c>
      <c r="G51" s="38">
        <v>4163289.2970390003</v>
      </c>
      <c r="H51" s="51">
        <v>14959932.322118273</v>
      </c>
      <c r="I51" s="58">
        <v>23727099.8483731</v>
      </c>
      <c r="J51" s="43">
        <v>27007114.547311712</v>
      </c>
      <c r="K51" s="7">
        <v>36309293.349142894</v>
      </c>
      <c r="L51" s="7">
        <v>40701539.402586892</v>
      </c>
      <c r="M51" s="7">
        <v>40701539.402586892</v>
      </c>
      <c r="N51" s="20">
        <v>48641562.408703707</v>
      </c>
      <c r="O51" s="7">
        <v>53033177.414820522</v>
      </c>
      <c r="P51" s="7">
        <v>57745909.195440575</v>
      </c>
      <c r="Q51" s="7">
        <v>62387921.119602837</v>
      </c>
      <c r="R51" s="7">
        <v>65904531.893051378</v>
      </c>
      <c r="S51" s="7">
        <v>68904395.548776641</v>
      </c>
      <c r="T51" s="7">
        <v>70617759.818838701</v>
      </c>
      <c r="U51" s="7">
        <v>72000000.148125261</v>
      </c>
      <c r="V51" s="7">
        <v>72000000.148125261</v>
      </c>
      <c r="W51" s="7">
        <v>72000000.148125261</v>
      </c>
      <c r="X51" s="7"/>
    </row>
    <row r="52" spans="1:25" x14ac:dyDescent="0.2">
      <c r="A52" s="4" t="s">
        <v>22</v>
      </c>
      <c r="B52" s="29">
        <v>29242</v>
      </c>
      <c r="C52" s="38">
        <f t="shared" ref="C52:J52" si="14">C48</f>
        <v>88020</v>
      </c>
      <c r="D52" s="38">
        <f t="shared" si="14"/>
        <v>159037</v>
      </c>
      <c r="E52" s="38">
        <f t="shared" si="14"/>
        <v>291511</v>
      </c>
      <c r="F52" s="38">
        <f t="shared" si="14"/>
        <v>3465965</v>
      </c>
      <c r="G52" s="38">
        <f t="shared" si="14"/>
        <v>3798321</v>
      </c>
      <c r="H52" s="38">
        <f t="shared" si="14"/>
        <v>3987869</v>
      </c>
      <c r="I52" s="38">
        <f t="shared" si="14"/>
        <v>12037111</v>
      </c>
      <c r="J52" s="60">
        <f t="shared" si="14"/>
        <v>13343138</v>
      </c>
      <c r="K52" s="7"/>
      <c r="L52" s="7"/>
      <c r="M52" s="7"/>
      <c r="N52" s="20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5" x14ac:dyDescent="0.2">
      <c r="A53" s="4" t="s">
        <v>23</v>
      </c>
      <c r="B53" s="29"/>
      <c r="C53" s="29"/>
      <c r="D53" s="38"/>
      <c r="E53" s="38"/>
      <c r="F53" s="38"/>
      <c r="G53" s="38"/>
      <c r="H53" s="51"/>
      <c r="I53" s="58"/>
      <c r="J53" s="43">
        <f>+J48</f>
        <v>13343138</v>
      </c>
      <c r="K53" s="7">
        <f t="shared" ref="K53:X53" si="15">K48</f>
        <v>15006616.890000001</v>
      </c>
      <c r="L53" s="7">
        <f t="shared" si="15"/>
        <v>23353968.412300002</v>
      </c>
      <c r="M53" s="7">
        <f t="shared" si="15"/>
        <v>23353968.412300002</v>
      </c>
      <c r="N53" s="20">
        <f t="shared" si="15"/>
        <v>34484751.534084</v>
      </c>
      <c r="O53" s="7">
        <f t="shared" si="15"/>
        <v>46378845.183826715</v>
      </c>
      <c r="P53" s="7">
        <f t="shared" si="15"/>
        <v>52657950.675806135</v>
      </c>
      <c r="Q53" s="7">
        <f t="shared" si="15"/>
        <v>58625631.115164489</v>
      </c>
      <c r="R53" s="7">
        <f t="shared" si="15"/>
        <v>63307910.952509947</v>
      </c>
      <c r="S53" s="7">
        <f t="shared" si="15"/>
        <v>67141826.738684312</v>
      </c>
      <c r="T53" s="7">
        <f t="shared" si="15"/>
        <v>70157805.580509126</v>
      </c>
      <c r="U53" s="7">
        <f t="shared" si="15"/>
        <v>71333560.782064229</v>
      </c>
      <c r="V53" s="7">
        <f t="shared" si="15"/>
        <v>71821507.870165318</v>
      </c>
      <c r="W53" s="7">
        <f t="shared" si="15"/>
        <v>71999999.870165318</v>
      </c>
      <c r="X53" s="7">
        <f t="shared" si="15"/>
        <v>71999999.870165318</v>
      </c>
    </row>
    <row r="56" spans="1:25" hidden="1" x14ac:dyDescent="0.2">
      <c r="G56" s="36">
        <v>725902.74199999997</v>
      </c>
      <c r="H56" s="48">
        <v>10797026.061194001</v>
      </c>
      <c r="I56" s="56">
        <v>8752127.2436223589</v>
      </c>
      <c r="J56" s="40">
        <v>3305295.1343277143</v>
      </c>
      <c r="K56">
        <v>9252636.2002680078</v>
      </c>
      <c r="L56">
        <v>4327663.6536698844</v>
      </c>
      <c r="M56">
        <v>40652757.035081968</v>
      </c>
      <c r="N56">
        <v>8073705.9207280325</v>
      </c>
      <c r="O56">
        <v>4401879.9207280325</v>
      </c>
      <c r="P56">
        <v>4663317.594395089</v>
      </c>
      <c r="Q56">
        <v>4592668.5658481121</v>
      </c>
      <c r="R56">
        <v>3466926.4572494384</v>
      </c>
      <c r="S56">
        <v>3099838.8703537905</v>
      </c>
      <c r="T56">
        <v>1876373.6629088116</v>
      </c>
      <c r="U56">
        <v>1172531.5511142528</v>
      </c>
    </row>
    <row r="57" spans="1:25" hidden="1" x14ac:dyDescent="0.2">
      <c r="G57" s="36">
        <f>G56-G43-G42</f>
        <v>719671.74199999997</v>
      </c>
      <c r="H57" s="51">
        <f t="shared" ref="H57:U57" si="16">H56-H43-H42</f>
        <v>10763747.061194001</v>
      </c>
      <c r="I57" s="58">
        <f t="shared" si="16"/>
        <v>9093895.2436223589</v>
      </c>
      <c r="J57" s="43">
        <f t="shared" si="16"/>
        <v>3284475.1343277143</v>
      </c>
      <c r="K57" s="7">
        <f t="shared" si="16"/>
        <v>9161214.3102680091</v>
      </c>
      <c r="L57" s="7">
        <f t="shared" si="16"/>
        <v>4211220.1313698841</v>
      </c>
      <c r="M57" s="7">
        <f t="shared" si="16"/>
        <v>40298019.62278197</v>
      </c>
      <c r="N57" s="7">
        <f t="shared" si="16"/>
        <v>7405917.7989440318</v>
      </c>
      <c r="O57" s="7">
        <f t="shared" si="16"/>
        <v>3511417.2709853123</v>
      </c>
      <c r="P57" s="7">
        <f t="shared" si="16"/>
        <v>3711790.1024156711</v>
      </c>
      <c r="Q57" s="7">
        <f t="shared" si="16"/>
        <v>4090340.1264897585</v>
      </c>
      <c r="R57" s="7">
        <f t="shared" si="16"/>
        <v>2959673.6199039784</v>
      </c>
      <c r="S57" s="7">
        <f t="shared" si="16"/>
        <v>2701845.0841794261</v>
      </c>
      <c r="T57" s="7">
        <f t="shared" si="16"/>
        <v>1475490.8210839906</v>
      </c>
      <c r="U57" s="7">
        <f t="shared" si="16"/>
        <v>841173.34955914295</v>
      </c>
    </row>
    <row r="58" spans="1:25" hidden="1" x14ac:dyDescent="0.2">
      <c r="C58" s="29"/>
      <c r="D58" s="38"/>
      <c r="E58" s="38"/>
      <c r="F58" s="38"/>
      <c r="G58" s="38"/>
      <c r="H58" s="51"/>
      <c r="I58" s="58"/>
      <c r="J58" s="43"/>
      <c r="K58" s="7"/>
      <c r="L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5" hidden="1" x14ac:dyDescent="0.2">
      <c r="C59" s="29"/>
      <c r="D59" s="38">
        <f>D42</f>
        <v>17893</v>
      </c>
      <c r="E59" s="38">
        <f>E42</f>
        <v>15584</v>
      </c>
      <c r="F59" s="38">
        <f>F42</f>
        <v>386362</v>
      </c>
      <c r="G59" s="38">
        <f>G57*0.013</f>
        <v>9355.7326459999986</v>
      </c>
      <c r="H59" s="48">
        <f t="shared" ref="H59:U59" si="17">H57*0.013</f>
        <v>139928.71179552202</v>
      </c>
      <c r="I59" s="56">
        <f t="shared" si="17"/>
        <v>118220.63816709066</v>
      </c>
      <c r="J59" s="40">
        <f t="shared" si="17"/>
        <v>42698.176746260287</v>
      </c>
      <c r="K59">
        <f t="shared" si="17"/>
        <v>119095.78603348411</v>
      </c>
      <c r="L59">
        <f t="shared" si="17"/>
        <v>54745.861707808494</v>
      </c>
      <c r="M59">
        <f t="shared" si="17"/>
        <v>523874.25509616558</v>
      </c>
      <c r="N59">
        <f t="shared" si="17"/>
        <v>96276.931386272408</v>
      </c>
      <c r="O59">
        <f t="shared" si="17"/>
        <v>45648.424522809059</v>
      </c>
      <c r="P59">
        <f t="shared" si="17"/>
        <v>48253.271331403725</v>
      </c>
      <c r="Q59">
        <f t="shared" si="17"/>
        <v>53174.421644366856</v>
      </c>
      <c r="R59">
        <f t="shared" si="17"/>
        <v>38475.757058751718</v>
      </c>
      <c r="S59">
        <f t="shared" si="17"/>
        <v>35123.98609433254</v>
      </c>
      <c r="T59">
        <f t="shared" si="17"/>
        <v>19181.380674091877</v>
      </c>
      <c r="U59">
        <f t="shared" si="17"/>
        <v>10935.253544268859</v>
      </c>
      <c r="V59" s="7">
        <f>SUM(D59:U59)</f>
        <v>1774827.5884486281</v>
      </c>
    </row>
  </sheetData>
  <phoneticPr fontId="0" type="noConversion"/>
  <pageMargins left="0" right="0" top="0" bottom="0" header="0.5" footer="0.5"/>
  <pageSetup paperSize="17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Cashflow</vt:lpstr>
      <vt:lpstr>Chart Cashflow</vt:lpstr>
      <vt:lpstr>Cashflow!Print_Area</vt:lpstr>
    </vt:vector>
  </TitlesOfParts>
  <Company>ots-enron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</dc:creator>
  <cp:lastModifiedBy>Jan Havlíček</cp:lastModifiedBy>
  <cp:lastPrinted>2001-11-16T21:16:34Z</cp:lastPrinted>
  <dcterms:created xsi:type="dcterms:W3CDTF">2001-02-08T19:21:05Z</dcterms:created>
  <dcterms:modified xsi:type="dcterms:W3CDTF">2023-09-15T19:23:27Z</dcterms:modified>
</cp:coreProperties>
</file>