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9CE2A5-447F-4AD8-8512-F1DC1A77035D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Net!$A$1:$AO$47</definedName>
    <definedName name="_xlnm.Print_Area" localSheetId="2">'Orig ''02 Plan Gross'!$A$1:$AK$27</definedName>
    <definedName name="_xlnm.Print_Area" localSheetId="3">'Orig ''02 Plan Net'!$A$1:$AK$27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E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E17" i="1"/>
  <c r="K17" i="1"/>
  <c r="M17" i="1"/>
  <c r="O17" i="1"/>
  <c r="Q17" i="1"/>
  <c r="S17" i="1"/>
  <c r="U17" i="1"/>
  <c r="W17" i="1"/>
  <c r="Y17" i="1"/>
  <c r="AA17" i="1"/>
  <c r="AC17" i="1"/>
  <c r="AE17" i="1"/>
  <c r="AI17" i="1"/>
  <c r="AK17" i="1"/>
  <c r="AM17" i="1"/>
  <c r="AO17" i="1"/>
  <c r="C18" i="1"/>
  <c r="E18" i="1"/>
  <c r="K18" i="1"/>
  <c r="M18" i="1"/>
  <c r="O18" i="1"/>
  <c r="Q18" i="1"/>
  <c r="S18" i="1"/>
  <c r="U18" i="1"/>
  <c r="W18" i="1"/>
  <c r="Y18" i="1"/>
  <c r="AA18" i="1"/>
  <c r="AC18" i="1"/>
  <c r="AE18" i="1"/>
  <c r="AI18" i="1"/>
  <c r="AK18" i="1"/>
  <c r="AM18" i="1"/>
  <c r="AO18" i="1"/>
  <c r="E19" i="1"/>
  <c r="AK19" i="1"/>
  <c r="AM19" i="1"/>
  <c r="AO19" i="1"/>
  <c r="E20" i="1"/>
  <c r="AK20" i="1"/>
  <c r="AM20" i="1"/>
  <c r="AO20" i="1"/>
  <c r="E21" i="1"/>
  <c r="AK21" i="1"/>
  <c r="AM21" i="1"/>
  <c r="AO21" i="1"/>
  <c r="E22" i="1"/>
  <c r="AG22" i="1"/>
  <c r="AK22" i="1"/>
  <c r="AM22" i="1"/>
  <c r="AO22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K26" i="1"/>
  <c r="M26" i="1"/>
  <c r="O26" i="1"/>
  <c r="Q26" i="1"/>
  <c r="S26" i="1"/>
  <c r="U26" i="1"/>
  <c r="W26" i="1"/>
  <c r="Y26" i="1"/>
  <c r="AA26" i="1"/>
  <c r="AC26" i="1"/>
  <c r="AE26" i="1"/>
  <c r="AI26" i="1"/>
  <c r="K28" i="1"/>
  <c r="M28" i="1"/>
  <c r="O28" i="1"/>
  <c r="Q28" i="1"/>
  <c r="S28" i="1"/>
  <c r="U28" i="1"/>
  <c r="W28" i="1"/>
  <c r="Y28" i="1"/>
  <c r="AA28" i="1"/>
  <c r="AC28" i="1"/>
  <c r="AE28" i="1"/>
  <c r="AI28" i="1"/>
  <c r="A50" i="1"/>
  <c r="A51" i="1"/>
  <c r="C13" i="4"/>
  <c r="E13" i="4"/>
  <c r="AG13" i="4"/>
  <c r="AK13" i="4"/>
  <c r="AM13" i="4"/>
  <c r="AO13" i="4"/>
  <c r="E14" i="4"/>
  <c r="AG14" i="4"/>
  <c r="AK14" i="4"/>
  <c r="AM14" i="4"/>
  <c r="AO14" i="4"/>
  <c r="C15" i="4"/>
  <c r="E15" i="4"/>
  <c r="G15" i="4"/>
  <c r="I15" i="4"/>
  <c r="K15" i="4"/>
  <c r="M15" i="4"/>
  <c r="AG15" i="4"/>
  <c r="AK15" i="4"/>
  <c r="AM15" i="4"/>
  <c r="AO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M16" i="4"/>
  <c r="AO16" i="4"/>
  <c r="E17" i="4"/>
  <c r="AK17" i="4"/>
  <c r="AM17" i="4"/>
  <c r="AO17" i="4"/>
  <c r="C18" i="4"/>
  <c r="E18" i="4"/>
  <c r="AK18" i="4"/>
  <c r="AM18" i="4"/>
  <c r="AO18" i="4"/>
  <c r="E19" i="4"/>
  <c r="AK19" i="4"/>
  <c r="AM19" i="4"/>
  <c r="AO19" i="4"/>
  <c r="E20" i="4"/>
  <c r="G20" i="4"/>
  <c r="I20" i="4"/>
  <c r="AK20" i="4"/>
  <c r="AM20" i="4"/>
  <c r="AO20" i="4"/>
  <c r="E21" i="4"/>
  <c r="AK21" i="4"/>
  <c r="AM21" i="4"/>
  <c r="AO21" i="4"/>
  <c r="C22" i="4"/>
  <c r="E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AK22" i="4"/>
  <c r="AM22" i="4"/>
  <c r="AO22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K26" i="4"/>
  <c r="M26" i="4"/>
  <c r="O26" i="4"/>
  <c r="Q26" i="4"/>
  <c r="S26" i="4"/>
  <c r="U26" i="4"/>
  <c r="W26" i="4"/>
  <c r="Y26" i="4"/>
  <c r="AA26" i="4"/>
  <c r="AC26" i="4"/>
  <c r="AE26" i="4"/>
  <c r="AI26" i="4"/>
  <c r="K28" i="4"/>
  <c r="M28" i="4"/>
  <c r="O28" i="4"/>
  <c r="Q28" i="4"/>
  <c r="S28" i="4"/>
  <c r="U28" i="4"/>
  <c r="W28" i="4"/>
  <c r="Y28" i="4"/>
  <c r="AA28" i="4"/>
  <c r="AC28" i="4"/>
  <c r="AE28" i="4"/>
  <c r="AI28" i="4"/>
  <c r="A50" i="4"/>
  <c r="A51" i="4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K17" i="5"/>
  <c r="M17" i="5"/>
  <c r="O17" i="5"/>
  <c r="Q17" i="5"/>
  <c r="S17" i="5"/>
  <c r="U17" i="5"/>
  <c r="W17" i="5"/>
  <c r="Y17" i="5"/>
  <c r="AA17" i="5"/>
  <c r="AC17" i="5"/>
  <c r="AE17" i="5"/>
  <c r="AI17" i="5"/>
  <c r="AK17" i="5"/>
  <c r="K18" i="5"/>
  <c r="M18" i="5"/>
  <c r="O18" i="5"/>
  <c r="Q18" i="5"/>
  <c r="S18" i="5"/>
  <c r="U18" i="5"/>
  <c r="W18" i="5"/>
  <c r="Y18" i="5"/>
  <c r="AA18" i="5"/>
  <c r="AC18" i="5"/>
  <c r="AE18" i="5"/>
  <c r="AI18" i="5"/>
  <c r="AK18" i="5"/>
  <c r="AK19" i="5"/>
  <c r="AK20" i="5"/>
  <c r="AK21" i="5"/>
  <c r="AK22" i="5"/>
  <c r="C24" i="5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47" i="5"/>
  <c r="A48" i="5"/>
  <c r="AG13" i="6"/>
  <c r="AK13" i="6"/>
  <c r="AG14" i="6"/>
  <c r="AK14" i="6"/>
  <c r="K15" i="6"/>
  <c r="M15" i="6"/>
  <c r="AG15" i="6"/>
  <c r="AK15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K17" i="6"/>
  <c r="AK18" i="6"/>
  <c r="AK19" i="6"/>
  <c r="AK20" i="6"/>
  <c r="AK21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47" i="6"/>
  <c r="A48" i="6"/>
</calcChain>
</file>

<file path=xl/sharedStrings.xml><?xml version="1.0" encoding="utf-8"?>
<sst xmlns="http://schemas.openxmlformats.org/spreadsheetml/2006/main" count="221" uniqueCount="47">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</sst>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A2" workbookViewId="0">
      <selection activeCell="A17" sqref="A1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11" customWidth="1"/>
    <col min="37" max="37" width="10.7109375" style="2" customWidth="1"/>
    <col min="38" max="38" width="1.7109375" style="2" customWidth="1"/>
    <col min="39" max="39" width="10.28515625" style="2" bestFit="1" customWidth="1"/>
    <col min="40" max="40" width="1.7109375" style="2" customWidth="1"/>
    <col min="41" max="41" width="10.7109375" style="2" customWidth="1"/>
    <col min="42" max="16384" width="9.140625" style="2"/>
  </cols>
  <sheetData>
    <row r="1" spans="1:42" ht="15.75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">
      <c r="A6" s="4"/>
    </row>
    <row r="8" spans="1:42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">
      <c r="E9" s="6"/>
      <c r="O9" s="6"/>
      <c r="Y9" s="6"/>
      <c r="AM9" s="6" t="s">
        <v>43</v>
      </c>
      <c r="AN9" s="6"/>
    </row>
    <row r="10" spans="1:42" x14ac:dyDescent="0.2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2" x14ac:dyDescent="0.2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2" x14ac:dyDescent="0.2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34</v>
      </c>
      <c r="AL12" s="11"/>
      <c r="AM12" s="7" t="s">
        <v>34</v>
      </c>
      <c r="AN12" s="7"/>
      <c r="AO12" s="7" t="s">
        <v>44</v>
      </c>
      <c r="AP12" s="11"/>
    </row>
    <row r="13" spans="1:42" x14ac:dyDescent="0.2">
      <c r="A13" s="20" t="s">
        <v>6</v>
      </c>
      <c r="C13" s="12">
        <f>71962+2713.6</f>
        <v>74675.600000000006</v>
      </c>
      <c r="D13" s="12"/>
      <c r="E13" s="12">
        <f>C13/10</f>
        <v>7467.56</v>
      </c>
      <c r="F13" s="12"/>
      <c r="G13" s="12">
        <f>7878+200</f>
        <v>8078</v>
      </c>
      <c r="H13" s="12"/>
      <c r="I13" s="12">
        <f>9151+297</f>
        <v>9448</v>
      </c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K13" s="33">
        <f>SUM('Orig ''02 Plan Gross'!K13:AJ13)</f>
        <v>98014.959299264767</v>
      </c>
      <c r="AM13" s="12">
        <f>'Orig ''02 Plan Gross'!AK13</f>
        <v>98014.959299264767</v>
      </c>
      <c r="AN13" s="12"/>
      <c r="AO13" s="33">
        <f t="shared" ref="AO13:AO22" si="0">AK13-AM13</f>
        <v>0</v>
      </c>
      <c r="AP13"/>
    </row>
    <row r="14" spans="1:42" x14ac:dyDescent="0.2">
      <c r="A14" s="20" t="s">
        <v>7</v>
      </c>
      <c r="C14" s="12">
        <f>21961.9+589.8</f>
        <v>22551.7</v>
      </c>
      <c r="D14" s="12"/>
      <c r="E14" s="12">
        <f t="shared" ref="E14:E22" si="1">C14/10</f>
        <v>2255.17</v>
      </c>
      <c r="F14" s="12"/>
      <c r="G14" s="12">
        <f>866.9+43.2</f>
        <v>910.1</v>
      </c>
      <c r="H14" s="12"/>
      <c r="I14" s="12">
        <f>375.8+46.5</f>
        <v>422.3</v>
      </c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K14" s="33">
        <f>SUM('Orig ''02 Plan Gross'!K14:AJ14)</f>
        <v>25629.235425414365</v>
      </c>
      <c r="AM14" s="12">
        <f>'Orig ''02 Plan Gross'!AK14</f>
        <v>25629.235425414365</v>
      </c>
      <c r="AN14" s="12"/>
      <c r="AO14" s="33">
        <f t="shared" si="0"/>
        <v>0</v>
      </c>
      <c r="AP14"/>
    </row>
    <row r="15" spans="1:42" x14ac:dyDescent="0.2">
      <c r="A15" s="20" t="s">
        <v>10</v>
      </c>
      <c r="C15" s="12">
        <v>27044</v>
      </c>
      <c r="D15"/>
      <c r="E15" s="12">
        <f t="shared" si="1"/>
        <v>2704.4</v>
      </c>
      <c r="F15"/>
      <c r="G15" s="12">
        <v>2232.1</v>
      </c>
      <c r="H15" s="39"/>
      <c r="I15" s="12">
        <v>1957.9</v>
      </c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K15" s="33">
        <f>SUM('Orig ''02 Plan Gross'!K15:AJ15)</f>
        <v>36086.916622766708</v>
      </c>
      <c r="AM15" s="12">
        <f>'Orig ''02 Plan Gross'!AK15</f>
        <v>36086.916622766708</v>
      </c>
      <c r="AN15" s="12"/>
      <c r="AO15" s="33">
        <f t="shared" si="0"/>
        <v>0</v>
      </c>
      <c r="AP15"/>
    </row>
    <row r="16" spans="1:42" x14ac:dyDescent="0.2">
      <c r="A16" s="20" t="s">
        <v>9</v>
      </c>
      <c r="C16" s="39">
        <f>9477.8+431+1488.3+51</f>
        <v>11448.099999999999</v>
      </c>
      <c r="D16"/>
      <c r="E16" s="12">
        <f t="shared" si="1"/>
        <v>1144.81</v>
      </c>
      <c r="F16"/>
      <c r="G16" s="39">
        <f>1713.6+35+526.4+9</f>
        <v>2284</v>
      </c>
      <c r="H16" s="39"/>
      <c r="I16" s="39">
        <f>1341+90+526.4+8</f>
        <v>1965.4</v>
      </c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40"/>
      <c r="AK16" s="33">
        <f>SUM('Orig ''02 Plan Gross'!K16:AJ16)</f>
        <v>14221.840084379641</v>
      </c>
      <c r="AM16" s="12">
        <f>'Orig ''02 Plan Gross'!AK16</f>
        <v>14221.840084379641</v>
      </c>
      <c r="AN16" s="12"/>
      <c r="AO16" s="33">
        <f t="shared" si="0"/>
        <v>0</v>
      </c>
      <c r="AP16"/>
    </row>
    <row r="17" spans="1:46" x14ac:dyDescent="0.2">
      <c r="A17" s="20" t="s">
        <v>11</v>
      </c>
      <c r="C17" s="39"/>
      <c r="D17"/>
      <c r="E17" s="12">
        <f t="shared" si="1"/>
        <v>0</v>
      </c>
      <c r="F17"/>
      <c r="G17" s="39"/>
      <c r="H17" s="39"/>
      <c r="I17" s="39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40"/>
      <c r="AK17" s="33">
        <f>SUM('Orig ''02 Plan Gross'!K17:AJ17)</f>
        <v>38813.592000000004</v>
      </c>
      <c r="AM17" s="12">
        <f>'Orig ''02 Plan Gross'!AK17</f>
        <v>38813.592000000004</v>
      </c>
      <c r="AN17" s="12"/>
      <c r="AO17" s="33">
        <f t="shared" si="0"/>
        <v>0</v>
      </c>
      <c r="AP17"/>
    </row>
    <row r="18" spans="1:46" x14ac:dyDescent="0.2">
      <c r="A18" s="20" t="s">
        <v>12</v>
      </c>
      <c r="C18" s="39">
        <f>1258.2-100.5-246.3</f>
        <v>911.40000000000009</v>
      </c>
      <c r="D18"/>
      <c r="E18" s="12">
        <f t="shared" si="1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J18" s="40"/>
      <c r="AK18" s="33">
        <f>SUM('Orig ''02 Plan Gross'!K18:AJ18)</f>
        <v>996.99599999999975</v>
      </c>
      <c r="AM18" s="12">
        <f>'Orig ''02 Plan Gross'!AK18</f>
        <v>996.99599999999975</v>
      </c>
      <c r="AN18" s="12"/>
      <c r="AO18" s="33">
        <f t="shared" si="0"/>
        <v>0</v>
      </c>
      <c r="AP18"/>
    </row>
    <row r="19" spans="1:46" x14ac:dyDescent="0.2">
      <c r="A19" s="20" t="s">
        <v>13</v>
      </c>
      <c r="C19" s="39"/>
      <c r="D19"/>
      <c r="E19" s="12">
        <f t="shared" si="1"/>
        <v>0</v>
      </c>
      <c r="F19"/>
      <c r="G19" s="39"/>
      <c r="H19" s="39"/>
      <c r="I19" s="3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J19" s="40"/>
      <c r="AK19" s="33">
        <f>SUM('Orig ''02 Plan Gross'!K19:AJ19)</f>
        <v>0</v>
      </c>
      <c r="AM19" s="12">
        <f>'Orig ''02 Plan Gross'!AK19</f>
        <v>0</v>
      </c>
      <c r="AN19" s="12"/>
      <c r="AO19" s="33">
        <f t="shared" si="0"/>
        <v>0</v>
      </c>
      <c r="AP19"/>
    </row>
    <row r="20" spans="1:46" x14ac:dyDescent="0.2">
      <c r="A20" s="20" t="s">
        <v>14</v>
      </c>
      <c r="C20" s="39">
        <v>15771.567999999999</v>
      </c>
      <c r="D20"/>
      <c r="E20" s="12">
        <f t="shared" si="1"/>
        <v>1577.1568</v>
      </c>
      <c r="F20"/>
      <c r="G20" s="39">
        <v>1623.384</v>
      </c>
      <c r="H20" s="39"/>
      <c r="I20" s="39">
        <v>1837.7650000000001</v>
      </c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J20" s="40"/>
      <c r="AK20" s="33">
        <f>SUM('Orig ''02 Plan Gross'!K20:AJ20)</f>
        <v>20023.339</v>
      </c>
      <c r="AM20" s="12">
        <f>'Orig ''02 Plan Gross'!AK20</f>
        <v>20023.339</v>
      </c>
      <c r="AN20" s="12"/>
      <c r="AO20" s="33">
        <f t="shared" si="0"/>
        <v>0</v>
      </c>
      <c r="AP20"/>
    </row>
    <row r="21" spans="1:46" x14ac:dyDescent="0.2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>SUM('Orig ''02 Plan Gross'!K21:AJ21)</f>
        <v>0</v>
      </c>
      <c r="AM21" s="12">
        <f>'Orig ''02 Plan Gross'!AK21</f>
        <v>0</v>
      </c>
      <c r="AN21" s="12"/>
      <c r="AO21" s="33">
        <f t="shared" si="0"/>
        <v>0</v>
      </c>
      <c r="AP21"/>
    </row>
    <row r="22" spans="1:46" x14ac:dyDescent="0.2">
      <c r="A22" s="20" t="s">
        <v>15</v>
      </c>
      <c r="C22" s="12"/>
      <c r="D22" s="12"/>
      <c r="E22" s="12">
        <f t="shared" si="1"/>
        <v>0</v>
      </c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 t="e">
        <f>(W22-M22)/M22</f>
        <v>#DIV/0!</v>
      </c>
      <c r="AK22" s="33">
        <f>SUM('Orig ''02 Plan Gross'!K22:AJ22)</f>
        <v>0</v>
      </c>
      <c r="AM22" s="12">
        <f>'Orig ''02 Plan Gross'!AK22</f>
        <v>0</v>
      </c>
      <c r="AN22" s="12"/>
      <c r="AO22" s="33">
        <f t="shared" si="0"/>
        <v>0</v>
      </c>
      <c r="AP22"/>
    </row>
    <row r="23" spans="1:46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  <c r="AP23"/>
    </row>
    <row r="24" spans="1:46" ht="13.5" thickBot="1" x14ac:dyDescent="0.25">
      <c r="A24" s="20" t="s">
        <v>34</v>
      </c>
      <c r="C24" s="16">
        <f>SUM(C13:C23)</f>
        <v>152402.36799999999</v>
      </c>
      <c r="D24" s="12"/>
      <c r="E24" s="16">
        <f>SUM(E13:E23)</f>
        <v>15240.236799999999</v>
      </c>
      <c r="F24" s="14"/>
      <c r="G24" s="16">
        <f>SUM(G13:G23)</f>
        <v>15228.084000000001</v>
      </c>
      <c r="H24" s="14"/>
      <c r="I24" s="16">
        <f>SUM(I13:I23)</f>
        <v>15877.623999999998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J24" s="14"/>
      <c r="AK24" s="16">
        <f>SUM(AK13:AK23)</f>
        <v>233786.87843182549</v>
      </c>
      <c r="AM24" s="16">
        <f>'Orig ''02 Plan Gross'!AK24</f>
        <v>233786.87843182549</v>
      </c>
      <c r="AN24" s="14"/>
      <c r="AO24" s="16">
        <f>AK24-AM24</f>
        <v>0</v>
      </c>
      <c r="AP24"/>
    </row>
    <row r="25" spans="1:46" ht="25.5" customHeight="1" thickTop="1" x14ac:dyDescent="0.2">
      <c r="A25" s="20"/>
      <c r="G25" s="20" t="s">
        <v>46</v>
      </c>
      <c r="AE25" s="22"/>
      <c r="AP25"/>
    </row>
    <row r="26" spans="1:46" x14ac:dyDescent="0.2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Gross'!K24</f>
        <v>18347.483</v>
      </c>
      <c r="L26" s="37"/>
      <c r="M26" s="21">
        <f>'Orig ''02 Plan Gross'!M24</f>
        <v>19756.537000000004</v>
      </c>
      <c r="N26" s="37"/>
      <c r="O26" s="21">
        <f>'Orig ''02 Plan Gross'!O24</f>
        <v>18564.422999999999</v>
      </c>
      <c r="P26" s="37"/>
      <c r="Q26" s="21">
        <f>'Orig ''02 Plan Gross'!Q24</f>
        <v>18764.55</v>
      </c>
      <c r="R26" s="37"/>
      <c r="S26" s="21">
        <f>'Orig ''02 Plan Gross'!S24</f>
        <v>18811.142</v>
      </c>
      <c r="T26" s="37"/>
      <c r="U26" s="21">
        <f>'Orig ''02 Plan Gross'!U24</f>
        <v>19423.252</v>
      </c>
      <c r="V26" s="37"/>
      <c r="W26" s="21">
        <f>'Orig ''02 Plan Gross'!W24</f>
        <v>21235.125</v>
      </c>
      <c r="X26" s="37"/>
      <c r="Y26" s="21">
        <f>'Orig ''02 Plan Gross'!Y24</f>
        <v>19980.7</v>
      </c>
      <c r="Z26" s="37"/>
      <c r="AA26" s="21">
        <f>'Orig ''02 Plan Gross'!AA24</f>
        <v>20241.2</v>
      </c>
      <c r="AB26" s="37"/>
      <c r="AC26" s="21">
        <f>'Orig ''02 Plan Gross'!AC24</f>
        <v>20051.012999999999</v>
      </c>
      <c r="AD26" s="37"/>
      <c r="AE26" s="21">
        <f>'Orig ''02 Plan Gross'!AE24</f>
        <v>19062.952000000001</v>
      </c>
      <c r="AF26" s="37"/>
      <c r="AG26" s="37"/>
      <c r="AH26" s="37"/>
      <c r="AI26" s="21">
        <f>'Orig ''02 Plan Gross'!AI24</f>
        <v>19548.678</v>
      </c>
      <c r="AJ26" s="41"/>
      <c r="AK26" s="38"/>
      <c r="AL26" s="38"/>
      <c r="AM26" s="39"/>
      <c r="AN26" s="39"/>
      <c r="AP26"/>
      <c r="AQ26" s="38"/>
      <c r="AR26" s="38"/>
      <c r="AS26" s="39"/>
      <c r="AT26" s="39"/>
    </row>
    <row r="27" spans="1:4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">
      <c r="A50" s="18" t="str">
        <f ca="1">CELL("filename")</f>
        <v>L:\ETS Operations\4th Qtr Fcst\4th Qtr Fcst Oct Act\LE Files\[OM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">
      <c r="A51" s="19">
        <f ca="1">NOW()</f>
        <v>37221.738514583332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abSelected="1" workbookViewId="0">
      <selection activeCell="A17" sqref="A1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38" max="38" width="1.5703125" style="2" customWidth="1"/>
    <col min="39" max="39" width="10.7109375" style="2" customWidth="1"/>
    <col min="40" max="40" width="1.7109375" style="2" customWidth="1"/>
    <col min="41" max="41" width="10.7109375" style="2" customWidth="1"/>
    <col min="42" max="16384" width="9.140625" style="2"/>
  </cols>
  <sheetData>
    <row r="1" spans="1:42" ht="15.75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">
      <c r="A6" s="4"/>
    </row>
    <row r="8" spans="1:42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">
      <c r="E9" s="6"/>
      <c r="O9" s="6"/>
      <c r="Y9" s="6"/>
      <c r="AM9" s="6" t="s">
        <v>43</v>
      </c>
    </row>
    <row r="10" spans="1:42" x14ac:dyDescent="0.2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2" x14ac:dyDescent="0.2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2" x14ac:dyDescent="0.2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34</v>
      </c>
      <c r="AL12" s="11"/>
      <c r="AM12" s="7" t="s">
        <v>34</v>
      </c>
      <c r="AO12" s="7" t="s">
        <v>44</v>
      </c>
    </row>
    <row r="13" spans="1:42" x14ac:dyDescent="0.2">
      <c r="A13" s="20" t="s">
        <v>6</v>
      </c>
      <c r="C13" s="12">
        <f>74209</f>
        <v>74209</v>
      </c>
      <c r="D13" s="12"/>
      <c r="E13" s="12">
        <f t="shared" ref="E13:E22" si="0">C13/10</f>
        <v>7420.9</v>
      </c>
      <c r="F13" s="12"/>
      <c r="G13" s="12">
        <v>7734.2</v>
      </c>
      <c r="H13" s="12"/>
      <c r="I13" s="12">
        <v>9287.5</v>
      </c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K13" s="33">
        <f t="shared" ref="AK13:AK22" si="1">SUM(K13:AI13)</f>
        <v>92650.959299264767</v>
      </c>
      <c r="AM13" s="33">
        <f>'Orig ''02 Plan Net'!AK13</f>
        <v>92650.959299264767</v>
      </c>
      <c r="AO13" s="33">
        <f t="shared" ref="AO13:AO22" si="2">AK13-AM13</f>
        <v>0</v>
      </c>
    </row>
    <row r="14" spans="1:42" x14ac:dyDescent="0.2">
      <c r="A14" s="20" t="s">
        <v>7</v>
      </c>
      <c r="C14" s="12">
        <v>23324</v>
      </c>
      <c r="D14" s="12"/>
      <c r="E14" s="12">
        <f t="shared" si="0"/>
        <v>2332.4</v>
      </c>
      <c r="F14" s="12"/>
      <c r="G14" s="12">
        <v>958.2</v>
      </c>
      <c r="H14" s="12"/>
      <c r="I14" s="12">
        <v>485.7</v>
      </c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K14" s="33">
        <f t="shared" si="1"/>
        <v>25894.863425414358</v>
      </c>
      <c r="AM14" s="33">
        <f>'Orig ''02 Plan Net'!AK14</f>
        <v>25894.863425414358</v>
      </c>
      <c r="AO14" s="33">
        <f t="shared" si="2"/>
        <v>0</v>
      </c>
    </row>
    <row r="15" spans="1:42" x14ac:dyDescent="0.2">
      <c r="A15" s="20" t="s">
        <v>10</v>
      </c>
      <c r="C15" s="12">
        <f>25699+1058</f>
        <v>26757</v>
      </c>
      <c r="D15"/>
      <c r="E15" s="12">
        <f t="shared" si="0"/>
        <v>2675.7</v>
      </c>
      <c r="F15"/>
      <c r="G15" s="12">
        <f>2189+85</f>
        <v>2274</v>
      </c>
      <c r="H15" s="39"/>
      <c r="I15" s="12">
        <f>1920+85</f>
        <v>2005</v>
      </c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K15" s="33">
        <f t="shared" si="1"/>
        <v>34665.068622766717</v>
      </c>
      <c r="AM15" s="33">
        <f>'Orig ''02 Plan Net'!AK15</f>
        <v>34665.068622766717</v>
      </c>
      <c r="AO15" s="33">
        <f t="shared" si="2"/>
        <v>0</v>
      </c>
    </row>
    <row r="16" spans="1:42" x14ac:dyDescent="0.2">
      <c r="A16" s="20" t="s">
        <v>9</v>
      </c>
      <c r="C16" s="39">
        <f>9927.9+431+1488.3+51</f>
        <v>11898.199999999999</v>
      </c>
      <c r="D16"/>
      <c r="E16" s="12">
        <f t="shared" si="0"/>
        <v>1189.82</v>
      </c>
      <c r="F16"/>
      <c r="G16" s="12">
        <f>1799.9+35+526.4+8</f>
        <v>2369.3000000000002</v>
      </c>
      <c r="H16" s="39"/>
      <c r="I16" s="12">
        <f>526.4+8+1451.9+90</f>
        <v>2076.3000000000002</v>
      </c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K16" s="33">
        <f t="shared" si="1"/>
        <v>14959.94495160513</v>
      </c>
      <c r="AM16" s="33">
        <f>'Orig ''02 Plan Net'!AK16</f>
        <v>14959.94495160513</v>
      </c>
      <c r="AO16" s="33">
        <f t="shared" si="2"/>
        <v>0</v>
      </c>
      <c r="AP16" s="20" t="s">
        <v>46</v>
      </c>
    </row>
    <row r="17" spans="1:44" x14ac:dyDescent="0.2">
      <c r="A17" s="20" t="s">
        <v>11</v>
      </c>
      <c r="C17" s="39"/>
      <c r="D17"/>
      <c r="E17" s="12">
        <f t="shared" si="0"/>
        <v>0</v>
      </c>
      <c r="F17"/>
      <c r="G17" s="12"/>
      <c r="H17" s="39"/>
      <c r="I17" s="12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K17" s="33">
        <f t="shared" si="1"/>
        <v>40607.686000000009</v>
      </c>
      <c r="AM17" s="33">
        <f>'Orig ''02 Plan Net'!AK17</f>
        <v>40607.686000000009</v>
      </c>
      <c r="AO17" s="33">
        <f t="shared" si="2"/>
        <v>0</v>
      </c>
    </row>
    <row r="18" spans="1:44" x14ac:dyDescent="0.2">
      <c r="A18" s="20" t="s">
        <v>12</v>
      </c>
      <c r="C18" s="39">
        <f>1258.2-100.5-246.3</f>
        <v>911.40000000000009</v>
      </c>
      <c r="D18"/>
      <c r="E18" s="12">
        <f t="shared" si="0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K18" s="33">
        <f t="shared" si="1"/>
        <v>1621.9969999999998</v>
      </c>
      <c r="AM18" s="33">
        <f>'Orig ''02 Plan Net'!AK18</f>
        <v>1621.9969999999998</v>
      </c>
      <c r="AO18" s="33">
        <f t="shared" si="2"/>
        <v>0</v>
      </c>
    </row>
    <row r="19" spans="1:44" x14ac:dyDescent="0.2">
      <c r="A19" s="20" t="s">
        <v>13</v>
      </c>
      <c r="C19" s="39"/>
      <c r="D19"/>
      <c r="E19" s="12">
        <f t="shared" si="0"/>
        <v>0</v>
      </c>
      <c r="F19"/>
      <c r="G19" s="39">
        <v>0</v>
      </c>
      <c r="H19" s="39"/>
      <c r="I19" s="39">
        <v>0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K19" s="33">
        <f t="shared" si="1"/>
        <v>0</v>
      </c>
      <c r="AM19" s="33">
        <f>'Orig ''02 Plan Net'!AK19</f>
        <v>0</v>
      </c>
      <c r="AO19" s="33">
        <f t="shared" si="2"/>
        <v>0</v>
      </c>
    </row>
    <row r="20" spans="1:44" x14ac:dyDescent="0.2">
      <c r="A20" s="20" t="s">
        <v>14</v>
      </c>
      <c r="C20" s="39">
        <v>500.49900000000002</v>
      </c>
      <c r="D20"/>
      <c r="E20" s="12">
        <f t="shared" si="0"/>
        <v>50.049900000000001</v>
      </c>
      <c r="F20"/>
      <c r="G20" s="39">
        <f>19.1</f>
        <v>19.100000000000001</v>
      </c>
      <c r="H20" s="39"/>
      <c r="I20" s="39">
        <f>19.1-0.7</f>
        <v>18.400000000000002</v>
      </c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K20" s="33">
        <f t="shared" si="1"/>
        <v>518.38700000000017</v>
      </c>
      <c r="AM20" s="33">
        <f>'Orig ''02 Plan Net'!AK20</f>
        <v>518.38700000000017</v>
      </c>
      <c r="AO20" s="33">
        <f t="shared" si="2"/>
        <v>0</v>
      </c>
    </row>
    <row r="21" spans="1:44" x14ac:dyDescent="0.2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1"/>
        <v>0</v>
      </c>
      <c r="AM21" s="33">
        <f>'Orig ''02 Plan Net'!AK21</f>
        <v>0</v>
      </c>
      <c r="AO21" s="33">
        <f t="shared" si="2"/>
        <v>0</v>
      </c>
    </row>
    <row r="22" spans="1:44" x14ac:dyDescent="0.2">
      <c r="A22" s="20" t="s">
        <v>15</v>
      </c>
      <c r="C22" s="12">
        <f>1417-99-72</f>
        <v>1246</v>
      </c>
      <c r="D22" s="12"/>
      <c r="E22" s="12">
        <f t="shared" si="0"/>
        <v>124.6</v>
      </c>
      <c r="F22" s="12"/>
      <c r="G22" s="12">
        <v>99</v>
      </c>
      <c r="H22" s="12"/>
      <c r="I22" s="12">
        <v>72</v>
      </c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1"/>
        <v>199.96170991432069</v>
      </c>
      <c r="AM22" s="33">
        <f>'Orig ''02 Plan Net'!AK22</f>
        <v>199.96170991432069</v>
      </c>
      <c r="AO22" s="33">
        <f t="shared" si="2"/>
        <v>0</v>
      </c>
    </row>
    <row r="23" spans="1:4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44" ht="13.5" thickBot="1" x14ac:dyDescent="0.25">
      <c r="A24" s="20" t="s">
        <v>34</v>
      </c>
      <c r="C24" s="16">
        <f>SUM(C13:C23)</f>
        <v>138846.09900000002</v>
      </c>
      <c r="D24" s="12"/>
      <c r="E24" s="16">
        <f>SUM(E13:E23)</f>
        <v>13884.609899999999</v>
      </c>
      <c r="F24" s="14"/>
      <c r="G24" s="16">
        <f>SUM(G13:G23)</f>
        <v>13554.300000000001</v>
      </c>
      <c r="H24" s="14"/>
      <c r="I24" s="16">
        <f>SUM(I13:I23)</f>
        <v>14191.159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K24" s="16">
        <f>SUM(AK13:AK23)</f>
        <v>211118.86800896531</v>
      </c>
      <c r="AM24" s="16">
        <f>'Orig ''02 Plan Net'!AK24</f>
        <v>211118.86800896531</v>
      </c>
      <c r="AO24" s="16">
        <f>SUM(AO13:AO23)</f>
        <v>0</v>
      </c>
    </row>
    <row r="25" spans="1:44" ht="25.5" customHeight="1" thickTop="1" x14ac:dyDescent="0.2">
      <c r="A25" s="20"/>
      <c r="G25" s="20" t="s">
        <v>46</v>
      </c>
      <c r="AE25" s="22"/>
    </row>
    <row r="26" spans="1:44" x14ac:dyDescent="0.2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Net'!K24</f>
        <v>16547.598999999998</v>
      </c>
      <c r="L26" s="37"/>
      <c r="M26" s="21">
        <f>'Orig ''02 Plan Net'!M24</f>
        <v>17339.001000000004</v>
      </c>
      <c r="N26" s="37"/>
      <c r="O26" s="21">
        <f>'Orig ''02 Plan Net'!O24</f>
        <v>16757.322999999997</v>
      </c>
      <c r="P26" s="37"/>
      <c r="Q26" s="21">
        <f>'Orig ''02 Plan Net'!Q24</f>
        <v>16973.288999999997</v>
      </c>
      <c r="R26" s="37"/>
      <c r="S26" s="21">
        <f>'Orig ''02 Plan Net'!S24</f>
        <v>17014.996999999996</v>
      </c>
      <c r="T26" s="37"/>
      <c r="U26" s="21">
        <f>'Orig ''02 Plan Net'!U24</f>
        <v>17519.806</v>
      </c>
      <c r="V26" s="37"/>
      <c r="W26" s="21">
        <f>'Orig ''02 Plan Net'!W24</f>
        <v>19099.967999999997</v>
      </c>
      <c r="X26" s="37"/>
      <c r="Y26" s="21">
        <f>'Orig ''02 Plan Net'!Y24</f>
        <v>18135.552</v>
      </c>
      <c r="Z26" s="37"/>
      <c r="AA26" s="21">
        <f>'Orig ''02 Plan Net'!AA24</f>
        <v>18424.243999999995</v>
      </c>
      <c r="AB26" s="37"/>
      <c r="AC26" s="21">
        <f>'Orig ''02 Plan Net'!AC24</f>
        <v>18248.963999999996</v>
      </c>
      <c r="AD26" s="37"/>
      <c r="AE26" s="21">
        <f>'Orig ''02 Plan Net'!AE24</f>
        <v>17263.03</v>
      </c>
      <c r="AF26" s="37"/>
      <c r="AG26" s="37"/>
      <c r="AH26" s="37"/>
      <c r="AI26" s="21">
        <f>'Orig ''02 Plan Net'!AI24</f>
        <v>17795.414000000001</v>
      </c>
      <c r="AJ26" s="38"/>
      <c r="AK26" s="38"/>
      <c r="AL26" s="38"/>
      <c r="AM26" s="39"/>
      <c r="AP26" s="38"/>
      <c r="AQ26" s="38"/>
      <c r="AR26" s="39"/>
    </row>
    <row r="27" spans="1:4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">
      <c r="A50" s="18" t="str">
        <f ca="1">CELL("filename")</f>
        <v>L:\ETS Operations\4th Qtr Fcst\4th Qtr Fcst Oct Act\LE Files\[OM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">
      <c r="A51" s="19">
        <f ca="1">NOW()</f>
        <v>37221.738514583332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topLeftCell="A2" workbookViewId="0">
      <selection activeCell="A32" sqref="A32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5" customWidth="1"/>
    <col min="4" max="4" width="1.7109375" style="25" customWidth="1"/>
    <col min="5" max="5" width="6.7109375" style="25" customWidth="1"/>
    <col min="6" max="6" width="3.7109375" style="25" customWidth="1"/>
    <col min="7" max="7" width="6.7109375" style="25" customWidth="1"/>
    <col min="8" max="8" width="1.7109375" style="25" customWidth="1"/>
    <col min="9" max="9" width="6.7109375" style="25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43" max="16384" width="9.140625" style="2"/>
  </cols>
  <sheetData>
    <row r="1" spans="1:37" ht="15.75" x14ac:dyDescent="0.25">
      <c r="A1" s="1" t="s">
        <v>38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18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45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37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27"/>
      <c r="O9" s="6"/>
      <c r="Y9" s="6"/>
    </row>
    <row r="10" spans="1:37" x14ac:dyDescent="0.2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39</v>
      </c>
    </row>
    <row r="13" spans="1:37" x14ac:dyDescent="0.2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J13" s="12"/>
      <c r="AK13" s="33">
        <f t="shared" ref="AK13:AK22" si="0">SUM(K13:AI13)</f>
        <v>98014.959299264767</v>
      </c>
    </row>
    <row r="14" spans="1:37" x14ac:dyDescent="0.2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J14" s="12"/>
      <c r="AK14" s="33">
        <f t="shared" si="0"/>
        <v>25629.235425414365</v>
      </c>
    </row>
    <row r="15" spans="1:37" x14ac:dyDescent="0.2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J15" s="12"/>
      <c r="AK15" s="33">
        <f t="shared" si="0"/>
        <v>36086.916622766708</v>
      </c>
    </row>
    <row r="16" spans="1:37" x14ac:dyDescent="0.2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12"/>
      <c r="AK16" s="33">
        <f t="shared" si="0"/>
        <v>14221.840084379641</v>
      </c>
    </row>
    <row r="17" spans="1:37" x14ac:dyDescent="0.2">
      <c r="A17" s="20" t="s">
        <v>11</v>
      </c>
      <c r="C17" s="28"/>
      <c r="D17" s="28"/>
      <c r="E17" s="32"/>
      <c r="F17" s="28"/>
      <c r="G17" s="28"/>
      <c r="H17" s="28"/>
      <c r="I17" s="28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12"/>
      <c r="AK17" s="33">
        <f t="shared" si="0"/>
        <v>38813.592000000004</v>
      </c>
    </row>
    <row r="18" spans="1:37" x14ac:dyDescent="0.2">
      <c r="A18" s="20" t="s">
        <v>12</v>
      </c>
      <c r="C18" s="28"/>
      <c r="D18" s="28"/>
      <c r="E18" s="32"/>
      <c r="F18" s="28"/>
      <c r="G18" s="28"/>
      <c r="H18" s="28"/>
      <c r="I18" s="28"/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K18" s="33">
        <f t="shared" si="0"/>
        <v>996.99599999999975</v>
      </c>
    </row>
    <row r="19" spans="1:37" x14ac:dyDescent="0.2">
      <c r="A19" s="20" t="s">
        <v>13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K19" s="33">
        <f t="shared" si="0"/>
        <v>0</v>
      </c>
    </row>
    <row r="20" spans="1:37" x14ac:dyDescent="0.2">
      <c r="A20" s="20" t="s">
        <v>14</v>
      </c>
      <c r="C20" s="28"/>
      <c r="D20" s="28"/>
      <c r="E20" s="32"/>
      <c r="F20" s="28"/>
      <c r="G20" s="28"/>
      <c r="H20" s="28"/>
      <c r="I20" s="28"/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K20" s="33">
        <f t="shared" si="0"/>
        <v>20023.339</v>
      </c>
    </row>
    <row r="21" spans="1:37" x14ac:dyDescent="0.2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15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5" thickBot="1" x14ac:dyDescent="0.25">
      <c r="A24" s="20" t="s">
        <v>34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K24" s="16">
        <f>SUM(AK13:AK23)</f>
        <v>233786.87843182549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">
      <c r="A27" t="s">
        <v>16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">
      <c r="A28"/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 s="18" t="str">
        <f ca="1">CELL("filename")</f>
        <v>L:\ETS Operations\4th Qtr Fcst\4th Qtr Fcst Oct Act\LE Files\[OM EST - OPERATIONS - 2001 - 2002 REVISED FORMAT.xls]Net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">
      <c r="A48" s="19">
        <f ca="1">NOW()</f>
        <v>37221.738514583332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workbookViewId="0">
      <selection activeCell="A7" sqref="A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" customWidth="1"/>
    <col min="4" max="4" width="1.7109375" style="2" customWidth="1"/>
    <col min="5" max="5" width="6.7109375" style="2" customWidth="1"/>
    <col min="6" max="6" width="3.7109375" style="2" customWidth="1"/>
    <col min="7" max="7" width="6.7109375" style="2" customWidth="1"/>
    <col min="8" max="8" width="1.7109375" style="2" customWidth="1"/>
    <col min="9" max="9" width="6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38" max="16384" width="9.140625" style="2"/>
  </cols>
  <sheetData>
    <row r="1" spans="1:37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6"/>
      <c r="O9" s="6"/>
      <c r="Y9" s="6"/>
    </row>
    <row r="10" spans="1:37" x14ac:dyDescent="0.2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39</v>
      </c>
    </row>
    <row r="13" spans="1:37" x14ac:dyDescent="0.2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J13" s="12"/>
      <c r="AK13" s="33">
        <f t="shared" ref="AK13:AK22" si="0">SUM(K13:AI13)</f>
        <v>92650.959299264767</v>
      </c>
    </row>
    <row r="14" spans="1:37" x14ac:dyDescent="0.2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J14" s="12"/>
      <c r="AK14" s="33">
        <f t="shared" si="0"/>
        <v>25894.863425414358</v>
      </c>
    </row>
    <row r="15" spans="1:37" x14ac:dyDescent="0.2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J15" s="12"/>
      <c r="AK15" s="33">
        <f t="shared" si="0"/>
        <v>34665.068622766717</v>
      </c>
    </row>
    <row r="16" spans="1:37" x14ac:dyDescent="0.2">
      <c r="A16" s="20" t="s">
        <v>9</v>
      </c>
      <c r="C16"/>
      <c r="D16"/>
      <c r="E16" s="12"/>
      <c r="F16"/>
      <c r="G16"/>
      <c r="H16"/>
      <c r="I16"/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J16" s="12"/>
      <c r="AK16" s="33">
        <f t="shared" si="0"/>
        <v>14959.94495160513</v>
      </c>
    </row>
    <row r="17" spans="1:37" x14ac:dyDescent="0.2">
      <c r="A17" s="20" t="s">
        <v>11</v>
      </c>
      <c r="C17"/>
      <c r="D17"/>
      <c r="E17" s="12"/>
      <c r="F17"/>
      <c r="G17"/>
      <c r="H17"/>
      <c r="I17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J17" s="12"/>
      <c r="AK17" s="33">
        <f t="shared" si="0"/>
        <v>40607.686000000009</v>
      </c>
    </row>
    <row r="18" spans="1:37" x14ac:dyDescent="0.2">
      <c r="A18" s="20" t="s">
        <v>12</v>
      </c>
      <c r="C18"/>
      <c r="D18"/>
      <c r="E18" s="12"/>
      <c r="F18"/>
      <c r="G18"/>
      <c r="H18"/>
      <c r="I18"/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J18" s="13"/>
      <c r="AK18" s="33">
        <f t="shared" si="0"/>
        <v>1621.9969999999998</v>
      </c>
    </row>
    <row r="19" spans="1:37" x14ac:dyDescent="0.2">
      <c r="A19" s="20" t="s">
        <v>13</v>
      </c>
      <c r="C19"/>
      <c r="D19"/>
      <c r="E19" s="12"/>
      <c r="F19"/>
      <c r="G19"/>
      <c r="H19"/>
      <c r="I1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3"/>
      <c r="AK19" s="33">
        <f t="shared" si="0"/>
        <v>0</v>
      </c>
    </row>
    <row r="20" spans="1:37" x14ac:dyDescent="0.2">
      <c r="A20" s="20" t="s">
        <v>14</v>
      </c>
      <c r="C20"/>
      <c r="D20"/>
      <c r="E20" s="12"/>
      <c r="F20"/>
      <c r="G20"/>
      <c r="H20"/>
      <c r="I20"/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J20" s="13"/>
      <c r="AK20" s="33">
        <f t="shared" si="0"/>
        <v>518.38700000000017</v>
      </c>
    </row>
    <row r="21" spans="1:37" x14ac:dyDescent="0.2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0"/>
        <v>0</v>
      </c>
    </row>
    <row r="22" spans="1:37" x14ac:dyDescent="0.2">
      <c r="A22" s="20" t="s">
        <v>15</v>
      </c>
      <c r="C22" s="12"/>
      <c r="D22" s="12"/>
      <c r="E22" s="12"/>
      <c r="F22" s="12"/>
      <c r="G22" s="12"/>
      <c r="H22" s="12"/>
      <c r="I22" s="12"/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0"/>
        <v>199.96170991432069</v>
      </c>
    </row>
    <row r="23" spans="1:37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5" thickBot="1" x14ac:dyDescent="0.25">
      <c r="A24" s="20" t="s">
        <v>34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J24" s="14"/>
      <c r="AK24" s="16">
        <f>SUM(AK13:AK23)</f>
        <v>211118.86800896531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">
      <c r="A27" t="s">
        <v>16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7" x14ac:dyDescent="0.2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">
      <c r="A47" s="18" t="str">
        <f ca="1">CELL("filename")</f>
        <v>L:\ETS Operations\4th Qtr Fcst\4th Qtr Fcst Oct Act\LE Files\[OM EST - OPERATIONS - 2001 - 2002 REVISED FORMAT.xls]Net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">
      <c r="A48" s="19">
        <f ca="1">NOW()</f>
        <v>37221.738514583332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2001-11-26T22:54:15Z</cp:lastPrinted>
  <dcterms:created xsi:type="dcterms:W3CDTF">2001-07-19T21:53:52Z</dcterms:created>
  <dcterms:modified xsi:type="dcterms:W3CDTF">2023-09-15T19:24:08Z</dcterms:modified>
</cp:coreProperties>
</file>