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851BF1-FD87-4B8E-BC73-289BE34DB205}" xr6:coauthVersionLast="47" xr6:coauthVersionMax="47" xr10:uidLastSave="{00000000-0000-0000-0000-000000000000}"/>
  <bookViews>
    <workbookView xWindow="-120" yWindow="-120" windowWidth="38640" windowHeight="15720" activeTab="3"/>
  </bookViews>
  <sheets>
    <sheet name="Gross" sheetId="1" r:id="rId1"/>
    <sheet name="Net" sheetId="4" r:id="rId2"/>
    <sheet name="Orig '02 Plan Gross" sheetId="5" r:id="rId3"/>
    <sheet name="Orig '02 Plan Net" sheetId="6" r:id="rId4"/>
  </sheets>
  <definedNames>
    <definedName name="_xlnm.Print_Area" localSheetId="0">Gross!$A$1:$AO$51</definedName>
    <definedName name="_xlnm.Print_Area" localSheetId="1">Net!$A$1:$AO$51</definedName>
    <definedName name="_xlnm.Print_Area" localSheetId="2">'Orig ''02 Plan Gross'!$A$1:$AK$47</definedName>
    <definedName name="_xlnm.Print_Area" localSheetId="3">'Orig ''02 Plan Net'!$A$1:$AK$48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E13" i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AK13" i="1"/>
  <c r="AM13" i="1"/>
  <c r="AO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K14" i="1"/>
  <c r="AM14" i="1"/>
  <c r="AO14" i="1"/>
  <c r="C15" i="1"/>
  <c r="E15" i="1"/>
  <c r="G15" i="1"/>
  <c r="I15" i="1"/>
  <c r="K15" i="1"/>
  <c r="M15" i="1"/>
  <c r="O15" i="1"/>
  <c r="Q15" i="1"/>
  <c r="S15" i="1"/>
  <c r="U15" i="1"/>
  <c r="W15" i="1"/>
  <c r="Y15" i="1"/>
  <c r="AA15" i="1"/>
  <c r="AC15" i="1"/>
  <c r="AE15" i="1"/>
  <c r="AG15" i="1"/>
  <c r="AI15" i="1"/>
  <c r="AK15" i="1"/>
  <c r="AM15" i="1"/>
  <c r="AO15" i="1"/>
  <c r="C16" i="1"/>
  <c r="E16" i="1"/>
  <c r="G16" i="1"/>
  <c r="I16" i="1"/>
  <c r="K16" i="1"/>
  <c r="M16" i="1"/>
  <c r="O16" i="1"/>
  <c r="Q16" i="1"/>
  <c r="S16" i="1"/>
  <c r="U16" i="1"/>
  <c r="W16" i="1"/>
  <c r="Y16" i="1"/>
  <c r="AA16" i="1"/>
  <c r="AC16" i="1"/>
  <c r="AE16" i="1"/>
  <c r="AG16" i="1"/>
  <c r="AI16" i="1"/>
  <c r="AK16" i="1"/>
  <c r="AM16" i="1"/>
  <c r="AO16" i="1"/>
  <c r="E17" i="1"/>
  <c r="AK17" i="1"/>
  <c r="AM17" i="1"/>
  <c r="AO17" i="1"/>
  <c r="E18" i="1"/>
  <c r="AK18" i="1"/>
  <c r="AM18" i="1"/>
  <c r="AO18" i="1"/>
  <c r="C19" i="1"/>
  <c r="E19" i="1"/>
  <c r="AK19" i="1"/>
  <c r="AM19" i="1"/>
  <c r="AO19" i="1"/>
  <c r="C20" i="1"/>
  <c r="E20" i="1"/>
  <c r="AK20" i="1"/>
  <c r="AM20" i="1"/>
  <c r="AO20" i="1"/>
  <c r="E21" i="1"/>
  <c r="AK21" i="1"/>
  <c r="AM21" i="1"/>
  <c r="AO21" i="1"/>
  <c r="E22" i="1"/>
  <c r="AG22" i="1"/>
  <c r="AK22" i="1"/>
  <c r="AM22" i="1"/>
  <c r="AO22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K26" i="1"/>
  <c r="M26" i="1"/>
  <c r="O26" i="1"/>
  <c r="Q26" i="1"/>
  <c r="S26" i="1"/>
  <c r="U26" i="1"/>
  <c r="W26" i="1"/>
  <c r="Y26" i="1"/>
  <c r="AA26" i="1"/>
  <c r="AC26" i="1"/>
  <c r="AE26" i="1"/>
  <c r="AI26" i="1"/>
  <c r="K28" i="1"/>
  <c r="M28" i="1"/>
  <c r="O28" i="1"/>
  <c r="Q28" i="1"/>
  <c r="S28" i="1"/>
  <c r="U28" i="1"/>
  <c r="W28" i="1"/>
  <c r="Y28" i="1"/>
  <c r="AA28" i="1"/>
  <c r="AC28" i="1"/>
  <c r="AE28" i="1"/>
  <c r="AI28" i="1"/>
  <c r="A50" i="1"/>
  <c r="A51" i="1"/>
  <c r="C13" i="4"/>
  <c r="E13" i="4"/>
  <c r="G13" i="4"/>
  <c r="I13" i="4"/>
  <c r="K13" i="4"/>
  <c r="M13" i="4"/>
  <c r="O13" i="4"/>
  <c r="Q13" i="4"/>
  <c r="S13" i="4"/>
  <c r="U13" i="4"/>
  <c r="W13" i="4"/>
  <c r="Y13" i="4"/>
  <c r="AA13" i="4"/>
  <c r="AC13" i="4"/>
  <c r="AE13" i="4"/>
  <c r="AG13" i="4"/>
  <c r="AI13" i="4"/>
  <c r="AK13" i="4"/>
  <c r="AM13" i="4"/>
  <c r="AO13" i="4"/>
  <c r="C14" i="4"/>
  <c r="E14" i="4"/>
  <c r="G14" i="4"/>
  <c r="I14" i="4"/>
  <c r="K14" i="4"/>
  <c r="M14" i="4"/>
  <c r="O14" i="4"/>
  <c r="Q14" i="4"/>
  <c r="S14" i="4"/>
  <c r="U14" i="4"/>
  <c r="W14" i="4"/>
  <c r="Y14" i="4"/>
  <c r="AA14" i="4"/>
  <c r="AC14" i="4"/>
  <c r="AE14" i="4"/>
  <c r="AG14" i="4"/>
  <c r="AI14" i="4"/>
  <c r="AK14" i="4"/>
  <c r="AM14" i="4"/>
  <c r="AO14" i="4"/>
  <c r="C15" i="4"/>
  <c r="E15" i="4"/>
  <c r="G15" i="4"/>
  <c r="I15" i="4"/>
  <c r="K15" i="4"/>
  <c r="M15" i="4"/>
  <c r="O15" i="4"/>
  <c r="Q15" i="4"/>
  <c r="S15" i="4"/>
  <c r="U15" i="4"/>
  <c r="W15" i="4"/>
  <c r="Y15" i="4"/>
  <c r="AA15" i="4"/>
  <c r="AC15" i="4"/>
  <c r="AE15" i="4"/>
  <c r="AG15" i="4"/>
  <c r="AI15" i="4"/>
  <c r="AK15" i="4"/>
  <c r="AM15" i="4"/>
  <c r="AO15" i="4"/>
  <c r="C16" i="4"/>
  <c r="E16" i="4"/>
  <c r="G16" i="4"/>
  <c r="I16" i="4"/>
  <c r="K16" i="4"/>
  <c r="M16" i="4"/>
  <c r="O16" i="4"/>
  <c r="Q16" i="4"/>
  <c r="S16" i="4"/>
  <c r="U16" i="4"/>
  <c r="W16" i="4"/>
  <c r="Y16" i="4"/>
  <c r="AA16" i="4"/>
  <c r="AC16" i="4"/>
  <c r="AE16" i="4"/>
  <c r="AG16" i="4"/>
  <c r="AI16" i="4"/>
  <c r="AK16" i="4"/>
  <c r="AM16" i="4"/>
  <c r="AO16" i="4"/>
  <c r="E17" i="4"/>
  <c r="AK17" i="4"/>
  <c r="AM17" i="4"/>
  <c r="AO17" i="4"/>
  <c r="E18" i="4"/>
  <c r="AK18" i="4"/>
  <c r="AM18" i="4"/>
  <c r="AO18" i="4"/>
  <c r="C19" i="4"/>
  <c r="E19" i="4"/>
  <c r="AK19" i="4"/>
  <c r="AM19" i="4"/>
  <c r="AO19" i="4"/>
  <c r="E20" i="4"/>
  <c r="AK20" i="4"/>
  <c r="AM20" i="4"/>
  <c r="AO20" i="4"/>
  <c r="E21" i="4"/>
  <c r="AK21" i="4"/>
  <c r="AM21" i="4"/>
  <c r="AO21" i="4"/>
  <c r="E22" i="4"/>
  <c r="AK22" i="4"/>
  <c r="AM22" i="4"/>
  <c r="AO22" i="4"/>
  <c r="C24" i="4"/>
  <c r="E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K26" i="4"/>
  <c r="M26" i="4"/>
  <c r="O26" i="4"/>
  <c r="Q26" i="4"/>
  <c r="S26" i="4"/>
  <c r="U26" i="4"/>
  <c r="W26" i="4"/>
  <c r="Y26" i="4"/>
  <c r="AA26" i="4"/>
  <c r="AC26" i="4"/>
  <c r="AE26" i="4"/>
  <c r="AI26" i="4"/>
  <c r="K28" i="4"/>
  <c r="M28" i="4"/>
  <c r="O28" i="4"/>
  <c r="Q28" i="4"/>
  <c r="S28" i="4"/>
  <c r="U28" i="4"/>
  <c r="W28" i="4"/>
  <c r="Y28" i="4"/>
  <c r="AA28" i="4"/>
  <c r="AC28" i="4"/>
  <c r="AE28" i="4"/>
  <c r="AI28" i="4"/>
  <c r="A50" i="4"/>
  <c r="A51" i="4"/>
  <c r="K13" i="5"/>
  <c r="M13" i="5"/>
  <c r="O13" i="5"/>
  <c r="Q13" i="5"/>
  <c r="S13" i="5"/>
  <c r="U13" i="5"/>
  <c r="W13" i="5"/>
  <c r="Y13" i="5"/>
  <c r="AA13" i="5"/>
  <c r="AC13" i="5"/>
  <c r="AE13" i="5"/>
  <c r="AG13" i="5"/>
  <c r="AI13" i="5"/>
  <c r="AK13" i="5"/>
  <c r="K14" i="5"/>
  <c r="M14" i="5"/>
  <c r="O14" i="5"/>
  <c r="Q14" i="5"/>
  <c r="S14" i="5"/>
  <c r="U14" i="5"/>
  <c r="W14" i="5"/>
  <c r="Y14" i="5"/>
  <c r="AA14" i="5"/>
  <c r="AC14" i="5"/>
  <c r="AE14" i="5"/>
  <c r="AG14" i="5"/>
  <c r="AI14" i="5"/>
  <c r="AK14" i="5"/>
  <c r="K15" i="5"/>
  <c r="M15" i="5"/>
  <c r="O15" i="5"/>
  <c r="Q15" i="5"/>
  <c r="S15" i="5"/>
  <c r="U15" i="5"/>
  <c r="W15" i="5"/>
  <c r="Y15" i="5"/>
  <c r="AA15" i="5"/>
  <c r="AC15" i="5"/>
  <c r="AE15" i="5"/>
  <c r="AG15" i="5"/>
  <c r="AI15" i="5"/>
  <c r="AK15" i="5"/>
  <c r="K16" i="5"/>
  <c r="M16" i="5"/>
  <c r="O16" i="5"/>
  <c r="Q16" i="5"/>
  <c r="S16" i="5"/>
  <c r="U16" i="5"/>
  <c r="W16" i="5"/>
  <c r="Y16" i="5"/>
  <c r="AA16" i="5"/>
  <c r="AC16" i="5"/>
  <c r="AE16" i="5"/>
  <c r="AG16" i="5"/>
  <c r="AI16" i="5"/>
  <c r="AK16" i="5"/>
  <c r="AK17" i="5"/>
  <c r="AK18" i="5"/>
  <c r="AK19" i="5"/>
  <c r="AK20" i="5"/>
  <c r="AK21" i="5"/>
  <c r="AK22" i="5"/>
  <c r="C24" i="5"/>
  <c r="E24" i="5"/>
  <c r="G24" i="5"/>
  <c r="I24" i="5"/>
  <c r="K24" i="5"/>
  <c r="M24" i="5"/>
  <c r="O24" i="5"/>
  <c r="Q24" i="5"/>
  <c r="S24" i="5"/>
  <c r="U24" i="5"/>
  <c r="W24" i="5"/>
  <c r="Y24" i="5"/>
  <c r="AA24" i="5"/>
  <c r="AC24" i="5"/>
  <c r="AE24" i="5"/>
  <c r="AG24" i="5"/>
  <c r="AI24" i="5"/>
  <c r="AK24" i="5"/>
  <c r="A47" i="5"/>
  <c r="A48" i="5"/>
  <c r="K13" i="6"/>
  <c r="M13" i="6"/>
  <c r="O13" i="6"/>
  <c r="Q13" i="6"/>
  <c r="S13" i="6"/>
  <c r="U13" i="6"/>
  <c r="W13" i="6"/>
  <c r="Y13" i="6"/>
  <c r="AA13" i="6"/>
  <c r="AC13" i="6"/>
  <c r="AE13" i="6"/>
  <c r="AG13" i="6"/>
  <c r="AI13" i="6"/>
  <c r="AK13" i="6"/>
  <c r="K14" i="6"/>
  <c r="M14" i="6"/>
  <c r="O14" i="6"/>
  <c r="Q14" i="6"/>
  <c r="S14" i="6"/>
  <c r="U14" i="6"/>
  <c r="W14" i="6"/>
  <c r="Y14" i="6"/>
  <c r="AA14" i="6"/>
  <c r="AC14" i="6"/>
  <c r="AE14" i="6"/>
  <c r="AG14" i="6"/>
  <c r="AI14" i="6"/>
  <c r="AK14" i="6"/>
  <c r="K15" i="6"/>
  <c r="M15" i="6"/>
  <c r="O15" i="6"/>
  <c r="Q15" i="6"/>
  <c r="S15" i="6"/>
  <c r="U15" i="6"/>
  <c r="W15" i="6"/>
  <c r="Y15" i="6"/>
  <c r="AA15" i="6"/>
  <c r="AC15" i="6"/>
  <c r="AE15" i="6"/>
  <c r="AG15" i="6"/>
  <c r="AI15" i="6"/>
  <c r="AK15" i="6"/>
  <c r="K16" i="6"/>
  <c r="M16" i="6"/>
  <c r="O16" i="6"/>
  <c r="Q16" i="6"/>
  <c r="S16" i="6"/>
  <c r="U16" i="6"/>
  <c r="W16" i="6"/>
  <c r="Y16" i="6"/>
  <c r="AA16" i="6"/>
  <c r="AC16" i="6"/>
  <c r="AE16" i="6"/>
  <c r="AG16" i="6"/>
  <c r="AI16" i="6"/>
  <c r="AK16" i="6"/>
  <c r="AK17" i="6"/>
  <c r="AK18" i="6"/>
  <c r="AK19" i="6"/>
  <c r="AK20" i="6"/>
  <c r="AK21" i="6"/>
  <c r="AK22" i="6"/>
  <c r="C24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47" i="6"/>
  <c r="A48" i="6"/>
</calcChain>
</file>

<file path=xl/sharedStrings.xml><?xml version="1.0" encoding="utf-8"?>
<sst xmlns="http://schemas.openxmlformats.org/spreadsheetml/2006/main" count="226" uniqueCount="48">
  <si>
    <t>Gross O&amp;M</t>
  </si>
  <si>
    <t>Gross</t>
  </si>
  <si>
    <t>Net</t>
  </si>
  <si>
    <t>% O(U)</t>
  </si>
  <si>
    <t>Department</t>
  </si>
  <si>
    <t>2000 Plan</t>
  </si>
  <si>
    <t>NNG</t>
  </si>
  <si>
    <t>TW</t>
  </si>
  <si>
    <t>ETS</t>
  </si>
  <si>
    <t>Northern Border Partners</t>
  </si>
  <si>
    <t>Citrus</t>
  </si>
  <si>
    <t>EMMS</t>
  </si>
  <si>
    <t>EAMR</t>
  </si>
  <si>
    <t>Other *</t>
  </si>
  <si>
    <t>* For companies outside of ETS</t>
  </si>
  <si>
    <t>GROSS  O &amp; M COSTS</t>
  </si>
  <si>
    <t>(including Benefits &amp; Payroll Taxes)</t>
  </si>
  <si>
    <t>Oct</t>
  </si>
  <si>
    <t>YTD</t>
  </si>
  <si>
    <t>Avg</t>
  </si>
  <si>
    <t>Spend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</si>
  <si>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</si>
  <si>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</si>
  <si>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</si>
  <si>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</si>
  <si>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</si>
  <si>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</si>
  <si>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</si>
  <si>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</si>
  <si>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</si>
  <si>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</si>
  <si>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</si>
  <si>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</si>
  <si>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NET  O &amp; M COSTS</t>
  </si>
  <si>
    <t>NOTE:  For Nov. 2001 through Dec. 2002 provide your best guess of minimum spend required</t>
  </si>
  <si>
    <t>( $ In Thousands)</t>
  </si>
  <si>
    <t>ORIGINAL '02 PLAN GROSS  O &amp; M COSTS</t>
  </si>
  <si>
    <t>Sum</t>
  </si>
  <si>
    <t>ORIGINAL '02 PLAN NET  O &amp; M COSTS</t>
  </si>
  <si>
    <t>Total Original 2002 Plan</t>
  </si>
  <si>
    <t>Savings from Original 2002 Plan</t>
  </si>
  <si>
    <t>Original</t>
  </si>
  <si>
    <t>Savings</t>
  </si>
  <si>
    <t>OPERATIONS SUPPORT SERVICES (Included in Finance &amp; Accounting)</t>
  </si>
  <si>
    <t>GCO/HPL</t>
  </si>
  <si>
    <t>EOTT (Co 1195) **</t>
  </si>
  <si>
    <t>**  Exclude Co. 1195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</si>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</sst>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_);_(* \(#,##0.0\);_(* &quot;-&quot;??_);_(@_)"/>
    <numFmt numFmtId="165" formatCode="0.0%"/>
    <numFmt numFmtId="167" formatCode="0.0_);\(0.0\)"/>
    <numFmt numFmtId="168" formatCode="0.0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doubl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5" fontId="1" fillId="0" borderId="0" xfId="3" applyNumberFormat="1"/>
    <xf numFmtId="164" fontId="1" fillId="0" borderId="0" xfId="1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3" applyNumberFormat="1" applyBorder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7" fontId="0" fillId="0" borderId="0" xfId="0" applyNumberFormat="1"/>
    <xf numFmtId="0" fontId="7" fillId="0" borderId="0" xfId="2" applyFont="1"/>
    <xf numFmtId="0" fontId="5" fillId="0" borderId="0" xfId="0" applyFont="1"/>
    <xf numFmtId="0" fontId="2" fillId="0" borderId="0" xfId="2" applyFont="1" applyFill="1" applyAlignment="1">
      <alignment horizontal="centerContinuous"/>
    </xf>
    <xf numFmtId="0" fontId="1" fillId="0" borderId="0" xfId="2" applyFill="1"/>
    <xf numFmtId="0" fontId="5" fillId="0" borderId="0" xfId="2" applyFont="1" applyFill="1" applyBorder="1" applyAlignment="1">
      <alignment horizontal="centerContinuous"/>
    </xf>
    <xf numFmtId="0" fontId="5" fillId="0" borderId="0" xfId="2" applyFont="1" applyFill="1" applyAlignment="1">
      <alignment horizontal="center"/>
    </xf>
    <xf numFmtId="0" fontId="0" fillId="0" borderId="0" xfId="0" applyFill="1"/>
    <xf numFmtId="0" fontId="5" fillId="0" borderId="0" xfId="2" applyFont="1" applyFill="1"/>
    <xf numFmtId="0" fontId="5" fillId="0" borderId="1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164" fontId="1" fillId="0" borderId="0" xfId="1" applyNumberFormat="1" applyFill="1"/>
    <xf numFmtId="164" fontId="1" fillId="0" borderId="0" xfId="2" applyNumberFormat="1"/>
    <xf numFmtId="164" fontId="1" fillId="0" borderId="2" xfId="1" applyNumberFormat="1" applyFill="1" applyBorder="1"/>
    <xf numFmtId="164" fontId="1" fillId="0" borderId="0" xfId="1" applyNumberFormat="1" applyFill="1" applyBorder="1"/>
    <xf numFmtId="164" fontId="6" fillId="0" borderId="0" xfId="1" applyNumberFormat="1" applyFont="1" applyFill="1"/>
    <xf numFmtId="168" fontId="0" fillId="0" borderId="0" xfId="0" applyNumberFormat="1"/>
    <xf numFmtId="168" fontId="1" fillId="0" borderId="0" xfId="2" applyNumberFormat="1"/>
    <xf numFmtId="164" fontId="0" fillId="0" borderId="0" xfId="1" applyNumberFormat="1" applyFont="1"/>
    <xf numFmtId="165" fontId="1" fillId="0" borderId="0" xfId="3" applyNumberFormat="1" applyBorder="1"/>
    <xf numFmtId="167" fontId="0" fillId="0" borderId="0" xfId="0" applyNumberFormat="1" applyBorder="1"/>
    <xf numFmtId="0" fontId="0" fillId="0" borderId="0" xfId="0" applyBorder="1"/>
    <xf numFmtId="164" fontId="1" fillId="0" borderId="1" xfId="1" applyNumberFormat="1" applyBorder="1"/>
    <xf numFmtId="164" fontId="7" fillId="0" borderId="0" xfId="1" applyNumberFormat="1" applyFont="1"/>
    <xf numFmtId="164" fontId="0" fillId="0" borderId="0" xfId="1" applyNumberFormat="1" applyFont="1" applyBorder="1"/>
    <xf numFmtId="164" fontId="1" fillId="0" borderId="0" xfId="1" applyNumberFormat="1" applyFont="1"/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12"/>
  <sheetViews>
    <sheetView showGridLines="0" topLeftCell="Y5" workbookViewId="0">
      <pane xSplit="14910" topLeftCell="AF1"/>
      <selection activeCell="A13" sqref="A13"/>
      <selection pane="topRight" activeCell="AF1" sqref="AF1"/>
    </sheetView>
  </sheetViews>
  <sheetFormatPr defaultRowHeight="12.75" x14ac:dyDescent="0.2"/>
  <cols>
    <col min="1" max="1" width="23.140625" style="2" customWidth="1"/>
    <col min="2" max="2" width="2.140625" style="2" customWidth="1"/>
    <col min="3" max="3" width="10.7109375" style="2" customWidth="1"/>
    <col min="4" max="4" width="1.7109375" style="2" customWidth="1"/>
    <col min="5" max="5" width="10.7109375" style="2" customWidth="1"/>
    <col min="6" max="6" width="3.7109375" style="2" customWidth="1"/>
    <col min="7" max="7" width="10.7109375" style="2" customWidth="1"/>
    <col min="8" max="8" width="1.7109375" style="2" customWidth="1"/>
    <col min="9" max="9" width="10.7109375" style="2" customWidth="1"/>
    <col min="10" max="10" width="1.7109375" style="2" customWidth="1"/>
    <col min="11" max="11" width="10.7109375" style="2" customWidth="1"/>
    <col min="12" max="12" width="1.7109375" style="2" customWidth="1"/>
    <col min="13" max="13" width="10.7109375" style="2" customWidth="1"/>
    <col min="14" max="14" width="1.7109375" style="2" customWidth="1"/>
    <col min="15" max="15" width="10.7109375" style="2" customWidth="1"/>
    <col min="16" max="16" width="1.7109375" style="2" customWidth="1"/>
    <col min="17" max="17" width="10.7109375" style="2" customWidth="1"/>
    <col min="18" max="18" width="1.7109375" style="2" customWidth="1"/>
    <col min="19" max="19" width="10.7109375" style="2" customWidth="1"/>
    <col min="20" max="20" width="1.7109375" style="2" customWidth="1"/>
    <col min="21" max="21" width="10.7109375" style="2" customWidth="1"/>
    <col min="22" max="22" width="1.7109375" style="2" customWidth="1"/>
    <col min="23" max="23" width="10.7109375" style="2" customWidth="1"/>
    <col min="24" max="24" width="1.7109375" style="2" customWidth="1"/>
    <col min="25" max="25" width="10.7109375" style="2" customWidth="1"/>
    <col min="26" max="26" width="1.7109375" style="2" customWidth="1"/>
    <col min="27" max="27" width="10.7109375" style="2" customWidth="1"/>
    <col min="28" max="28" width="1.7109375" style="2" customWidth="1"/>
    <col min="29" max="29" width="10.7109375" style="2" customWidth="1"/>
    <col min="30" max="30" width="1.7109375" style="2" customWidth="1"/>
    <col min="31" max="31" width="10.7109375" style="2" customWidth="1"/>
    <col min="32" max="32" width="1.7109375" style="2" customWidth="1"/>
    <col min="33" max="33" width="11.7109375" style="2" hidden="1" customWidth="1"/>
    <col min="34" max="34" width="1.85546875" style="2" hidden="1" customWidth="1"/>
    <col min="35" max="35" width="10.7109375" style="2" customWidth="1"/>
    <col min="36" max="36" width="1.7109375" style="11" customWidth="1"/>
    <col min="37" max="37" width="10.7109375" style="2" customWidth="1"/>
    <col min="38" max="38" width="1.7109375" style="2" customWidth="1"/>
    <col min="39" max="39" width="10.7109375" style="2" customWidth="1"/>
    <col min="40" max="40" width="1.7109375" style="2" customWidth="1"/>
    <col min="41" max="41" width="10.7109375" style="2" customWidth="1"/>
    <col min="42" max="42" width="9.28515625" style="2" bestFit="1" customWidth="1"/>
    <col min="43" max="16384" width="9.140625" style="2"/>
  </cols>
  <sheetData>
    <row r="1" spans="1:44" ht="15.75" x14ac:dyDescent="0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44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44" ht="15.75" x14ac:dyDescent="0.25">
      <c r="A3" s="1" t="s">
        <v>43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44" ht="15.75" x14ac:dyDescent="0.25">
      <c r="A4" s="3" t="s">
        <v>35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44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44" x14ac:dyDescent="0.2">
      <c r="A6" s="4"/>
    </row>
    <row r="8" spans="1:44" s="11" customFormat="1" x14ac:dyDescent="0.2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44" x14ac:dyDescent="0.2">
      <c r="E9" s="6"/>
      <c r="O9" s="6"/>
      <c r="Y9" s="6"/>
      <c r="AM9" s="6" t="s">
        <v>41</v>
      </c>
      <c r="AN9" s="6"/>
    </row>
    <row r="10" spans="1:44" x14ac:dyDescent="0.2">
      <c r="C10" s="6" t="s">
        <v>1</v>
      </c>
      <c r="D10"/>
      <c r="E10" s="6" t="s">
        <v>1</v>
      </c>
      <c r="F10"/>
      <c r="G10" s="6" t="s">
        <v>1</v>
      </c>
      <c r="H10" s="9"/>
      <c r="I10" s="6" t="s">
        <v>1</v>
      </c>
      <c r="J10"/>
      <c r="K10" s="6" t="s">
        <v>1</v>
      </c>
      <c r="M10" s="6" t="s">
        <v>1</v>
      </c>
      <c r="O10" s="6" t="s">
        <v>1</v>
      </c>
      <c r="P10"/>
      <c r="Q10" s="6" t="s">
        <v>1</v>
      </c>
      <c r="R10" s="9"/>
      <c r="S10" s="6" t="s">
        <v>1</v>
      </c>
      <c r="U10" s="6" t="s">
        <v>1</v>
      </c>
      <c r="W10" s="6" t="s">
        <v>1</v>
      </c>
      <c r="Y10" s="6" t="s">
        <v>1</v>
      </c>
      <c r="AA10" s="6" t="s">
        <v>1</v>
      </c>
      <c r="AB10" s="9"/>
      <c r="AC10" s="6" t="s">
        <v>1</v>
      </c>
      <c r="AE10" s="6" t="s">
        <v>1</v>
      </c>
      <c r="AG10" s="6" t="s">
        <v>0</v>
      </c>
      <c r="AI10" s="6" t="s">
        <v>1</v>
      </c>
      <c r="AJ10" s="10"/>
      <c r="AM10" s="6" t="s">
        <v>1</v>
      </c>
      <c r="AN10" s="6"/>
    </row>
    <row r="11" spans="1:44" x14ac:dyDescent="0.2">
      <c r="C11" s="6" t="s">
        <v>17</v>
      </c>
      <c r="D11" s="6"/>
      <c r="E11" s="6" t="s">
        <v>19</v>
      </c>
      <c r="F11" s="6"/>
      <c r="G11" s="6">
        <v>2001</v>
      </c>
      <c r="H11" s="6"/>
      <c r="I11" s="6">
        <v>2001</v>
      </c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J11" s="10"/>
      <c r="AK11" s="6">
        <v>2002</v>
      </c>
      <c r="AM11" s="6">
        <v>2002</v>
      </c>
      <c r="AN11" s="6"/>
    </row>
    <row r="12" spans="1:44" x14ac:dyDescent="0.2">
      <c r="A12" s="5" t="s">
        <v>4</v>
      </c>
      <c r="C12" s="7" t="s">
        <v>18</v>
      </c>
      <c r="D12" s="6"/>
      <c r="E12" s="7" t="s">
        <v>20</v>
      </c>
      <c r="F12" s="10"/>
      <c r="G12" s="7" t="s">
        <v>21</v>
      </c>
      <c r="H12" s="10"/>
      <c r="I12" s="7" t="s">
        <v>22</v>
      </c>
      <c r="J12" s="6"/>
      <c r="K12" s="7" t="s">
        <v>23</v>
      </c>
      <c r="M12" s="7" t="s">
        <v>24</v>
      </c>
      <c r="N12" s="6"/>
      <c r="O12" s="7" t="s">
        <v>25</v>
      </c>
      <c r="P12" s="10"/>
      <c r="Q12" s="7" t="s">
        <v>26</v>
      </c>
      <c r="R12" s="10"/>
      <c r="S12" s="7" t="s">
        <v>27</v>
      </c>
      <c r="T12" s="6"/>
      <c r="U12" s="7" t="s">
        <v>28</v>
      </c>
      <c r="W12" s="7" t="s">
        <v>29</v>
      </c>
      <c r="Y12" s="7" t="s">
        <v>30</v>
      </c>
      <c r="AA12" s="7" t="s">
        <v>31</v>
      </c>
      <c r="AB12" s="10"/>
      <c r="AC12" s="7" t="s">
        <v>17</v>
      </c>
      <c r="AD12" s="6"/>
      <c r="AE12" s="7" t="s">
        <v>21</v>
      </c>
      <c r="AF12" s="11"/>
      <c r="AG12" s="7" t="s">
        <v>5</v>
      </c>
      <c r="AH12" s="11"/>
      <c r="AI12" s="7" t="s">
        <v>22</v>
      </c>
      <c r="AJ12" s="10"/>
      <c r="AK12" s="7" t="s">
        <v>32</v>
      </c>
      <c r="AL12" s="11"/>
      <c r="AM12" s="7" t="s">
        <v>32</v>
      </c>
      <c r="AN12" s="7"/>
      <c r="AO12" s="7" t="s">
        <v>42</v>
      </c>
      <c r="AP12" s="11"/>
    </row>
    <row r="13" spans="1:44" x14ac:dyDescent="0.2">
      <c r="A13" s="20" t="s">
        <v>6</v>
      </c>
      <c r="C13" s="12">
        <f>5967-643-721+275.288-22.038-22.038</f>
        <v>4834.2120000000014</v>
      </c>
      <c r="D13" s="12"/>
      <c r="E13" s="12">
        <f>C13/10</f>
        <v>483.42120000000011</v>
      </c>
      <c r="F13" s="12"/>
      <c r="G13" s="12">
        <f>643+22.039</f>
        <v>665.03899999999999</v>
      </c>
      <c r="H13" s="12"/>
      <c r="I13" s="12">
        <f>721+22.039</f>
        <v>743.03899999999999</v>
      </c>
      <c r="J13" s="12"/>
      <c r="K13" s="12">
        <f>464.596+21.14</f>
        <v>485.73599999999999</v>
      </c>
      <c r="L13" s="12"/>
      <c r="M13" s="12">
        <f>473.07+33.759</f>
        <v>506.82900000000001</v>
      </c>
      <c r="N13" s="12"/>
      <c r="O13" s="12">
        <f>473.785+22.039</f>
        <v>495.82400000000001</v>
      </c>
      <c r="P13" s="12"/>
      <c r="Q13" s="12">
        <f>471.8+22.039</f>
        <v>493.839</v>
      </c>
      <c r="R13" s="12"/>
      <c r="S13" s="12">
        <f>473.1+22.039</f>
        <v>495.13900000000001</v>
      </c>
      <c r="T13" s="12"/>
      <c r="U13" s="12">
        <f>476.755+22.039</f>
        <v>498.79399999999998</v>
      </c>
      <c r="V13" s="12"/>
      <c r="W13" s="12">
        <f>473.106+22.039</f>
        <v>495.14499999999998</v>
      </c>
      <c r="X13" s="12"/>
      <c r="Y13" s="12">
        <f>471.901+22.039</f>
        <v>493.94</v>
      </c>
      <c r="Z13" s="12"/>
      <c r="AA13" s="12">
        <f>473.826+22.039</f>
        <v>495.86500000000001</v>
      </c>
      <c r="AB13" s="12"/>
      <c r="AC13" s="12">
        <f>474.501+22.039</f>
        <v>496.53999999999996</v>
      </c>
      <c r="AD13" s="12"/>
      <c r="AE13" s="12">
        <f>474.103+22.039</f>
        <v>496.142</v>
      </c>
      <c r="AF13" s="12"/>
      <c r="AG13" s="12">
        <f>-448.4/11017</f>
        <v>-4.070073522737587E-2</v>
      </c>
      <c r="AH13" s="12"/>
      <c r="AI13" s="12">
        <f>464.482+22.039</f>
        <v>486.52100000000002</v>
      </c>
      <c r="AJ13" s="14"/>
      <c r="AK13" s="12">
        <f>SUM('Orig ''02 Plan Gross'!K13:AJ13)</f>
        <v>5940.2732992647716</v>
      </c>
      <c r="AL13" s="12"/>
      <c r="AM13" s="12">
        <f>'Orig ''02 Plan Gross'!AK13</f>
        <v>5940.2732992647716</v>
      </c>
      <c r="AN13" s="12"/>
      <c r="AO13" s="12">
        <f t="shared" ref="AO13:AO22" si="0">AK13-AM13</f>
        <v>0</v>
      </c>
      <c r="AP13"/>
      <c r="AQ13"/>
      <c r="AR13" s="12"/>
    </row>
    <row r="14" spans="1:44" x14ac:dyDescent="0.2">
      <c r="A14" s="20" t="s">
        <v>7</v>
      </c>
      <c r="C14" s="12">
        <f>986-80-79+37.954-3.038-3.038</f>
        <v>858.87799999999993</v>
      </c>
      <c r="D14" s="12"/>
      <c r="E14" s="12">
        <f t="shared" ref="E14:E22" si="1">C14/10</f>
        <v>85.887799999999999</v>
      </c>
      <c r="F14" s="12"/>
      <c r="G14" s="12">
        <f>80+3.038</f>
        <v>83.037999999999997</v>
      </c>
      <c r="H14" s="12"/>
      <c r="I14" s="12">
        <f>79+3.038</f>
        <v>82.037999999999997</v>
      </c>
      <c r="J14" s="12"/>
      <c r="K14" s="12">
        <f>68.439+2.9</f>
        <v>71.338999999999999</v>
      </c>
      <c r="L14" s="12"/>
      <c r="M14" s="12">
        <f>73.174+4.654</f>
        <v>77.828000000000003</v>
      </c>
      <c r="N14" s="12"/>
      <c r="O14" s="12">
        <f>76.624+3.039</f>
        <v>79.662999999999997</v>
      </c>
      <c r="P14" s="12"/>
      <c r="Q14" s="12">
        <f>73.174+3.039</f>
        <v>76.213000000000008</v>
      </c>
      <c r="R14" s="12"/>
      <c r="S14" s="12">
        <f>73.174+3.039</f>
        <v>76.213000000000008</v>
      </c>
      <c r="T14" s="12"/>
      <c r="U14" s="12">
        <f>76.624+3.039</f>
        <v>79.662999999999997</v>
      </c>
      <c r="V14" s="12"/>
      <c r="W14" s="12">
        <f>75.135+3.039</f>
        <v>78.174000000000007</v>
      </c>
      <c r="X14" s="12"/>
      <c r="Y14" s="12">
        <f>73.19+3.039</f>
        <v>76.228999999999999</v>
      </c>
      <c r="Z14" s="12"/>
      <c r="AA14" s="12">
        <f>73.656+3.039</f>
        <v>76.695000000000007</v>
      </c>
      <c r="AB14" s="12"/>
      <c r="AC14" s="12">
        <f>73.194+3.039</f>
        <v>76.233000000000004</v>
      </c>
      <c r="AD14" s="12"/>
      <c r="AE14" s="12">
        <f>73.194+3.039</f>
        <v>76.233000000000004</v>
      </c>
      <c r="AF14" s="12"/>
      <c r="AG14" s="12">
        <f>-102.4/1810</f>
        <v>-5.6574585635359116E-2</v>
      </c>
      <c r="AH14" s="12"/>
      <c r="AI14" s="12">
        <f>72.054+3.039</f>
        <v>75.093000000000004</v>
      </c>
      <c r="AJ14" s="14"/>
      <c r="AK14" s="12">
        <f>SUM('Orig ''02 Plan Gross'!K14:AJ14)</f>
        <v>919.51942541436483</v>
      </c>
      <c r="AL14" s="12"/>
      <c r="AM14" s="12">
        <f>'Orig ''02 Plan Gross'!AK14</f>
        <v>919.51942541436483</v>
      </c>
      <c r="AN14" s="12"/>
      <c r="AO14" s="12">
        <f t="shared" si="0"/>
        <v>0</v>
      </c>
      <c r="AP14"/>
      <c r="AQ14"/>
      <c r="AR14" s="12"/>
    </row>
    <row r="15" spans="1:44" x14ac:dyDescent="0.2">
      <c r="A15" s="20" t="s">
        <v>10</v>
      </c>
      <c r="C15" s="12">
        <f>2852-288-288+107.637-8.617-8.617</f>
        <v>2366.4029999999998</v>
      </c>
      <c r="D15" s="39"/>
      <c r="E15" s="12">
        <f t="shared" si="1"/>
        <v>236.64029999999997</v>
      </c>
      <c r="F15" s="39"/>
      <c r="G15" s="12">
        <f>288+8.617</f>
        <v>296.61700000000002</v>
      </c>
      <c r="H15" s="39"/>
      <c r="I15" s="12">
        <f>288+8.617</f>
        <v>296.61700000000002</v>
      </c>
      <c r="J15" s="12"/>
      <c r="K15" s="12">
        <f>235.838+8.266</f>
        <v>244.10399999999998</v>
      </c>
      <c r="L15" s="12"/>
      <c r="M15" s="12">
        <f>236.11+13.2</f>
        <v>249.31</v>
      </c>
      <c r="N15" s="39"/>
      <c r="O15" s="12">
        <f>8.6+236.11</f>
        <v>244.71</v>
      </c>
      <c r="P15" s="39"/>
      <c r="Q15" s="12">
        <f>8.6+236.11</f>
        <v>244.71</v>
      </c>
      <c r="R15" s="39"/>
      <c r="S15" s="12">
        <f>8.6+236.11</f>
        <v>244.71</v>
      </c>
      <c r="T15" s="12"/>
      <c r="U15" s="12">
        <f>8.6+236.11</f>
        <v>244.71</v>
      </c>
      <c r="V15" s="12"/>
      <c r="W15" s="12">
        <f>8.6+236.11</f>
        <v>244.71</v>
      </c>
      <c r="X15" s="39"/>
      <c r="Y15" s="12">
        <f>8.6+236.11</f>
        <v>244.71</v>
      </c>
      <c r="Z15" s="39"/>
      <c r="AA15" s="12">
        <f>8.6+236.11</f>
        <v>244.71</v>
      </c>
      <c r="AB15" s="39"/>
      <c r="AC15" s="12">
        <f>8.6+236.11</f>
        <v>244.71</v>
      </c>
      <c r="AD15" s="12"/>
      <c r="AE15" s="12">
        <f>8.6+237.11</f>
        <v>245.71</v>
      </c>
      <c r="AF15" s="12"/>
      <c r="AG15" s="43">
        <f>-155.5/1959</f>
        <v>-7.937723328228688E-2</v>
      </c>
      <c r="AH15" s="12"/>
      <c r="AI15" s="12">
        <f>8.6+237.11</f>
        <v>245.71</v>
      </c>
      <c r="AJ15" s="14"/>
      <c r="AK15" s="12">
        <f>SUM('Orig ''02 Plan Gross'!K15:AJ15)</f>
        <v>2942.4346227667179</v>
      </c>
      <c r="AL15" s="12"/>
      <c r="AM15" s="12">
        <f>'Orig ''02 Plan Gross'!AK15</f>
        <v>2942.4346227667179</v>
      </c>
      <c r="AN15" s="12"/>
      <c r="AO15" s="12">
        <f t="shared" si="0"/>
        <v>0</v>
      </c>
      <c r="AP15"/>
      <c r="AQ15"/>
      <c r="AR15" s="12"/>
    </row>
    <row r="16" spans="1:44" x14ac:dyDescent="0.2">
      <c r="A16" s="20" t="s">
        <v>9</v>
      </c>
      <c r="C16" s="39">
        <f>1945-180-219-5.948-5.948+74.3</f>
        <v>1608.4039999999998</v>
      </c>
      <c r="D16" s="39"/>
      <c r="E16" s="12">
        <f t="shared" si="1"/>
        <v>160.84039999999999</v>
      </c>
      <c r="F16" s="39"/>
      <c r="G16" s="39">
        <f>180+5.948</f>
        <v>185.94800000000001</v>
      </c>
      <c r="H16" s="39"/>
      <c r="I16" s="39">
        <f>219+5.948</f>
        <v>224.94800000000001</v>
      </c>
      <c r="J16" s="12"/>
      <c r="K16" s="12">
        <f>186.25+9.095+0.369+5.7</f>
        <v>201.41399999999999</v>
      </c>
      <c r="L16" s="12"/>
      <c r="M16" s="39">
        <f>8.97+188.139+0.59+9.112</f>
        <v>206.81100000000001</v>
      </c>
      <c r="N16" s="39"/>
      <c r="O16" s="39">
        <f>187.229+8.97+5.948+0.385</f>
        <v>202.53200000000001</v>
      </c>
      <c r="P16" s="39"/>
      <c r="Q16" s="39">
        <f>187.114+9.095+5.948+0.385</f>
        <v>202.542</v>
      </c>
      <c r="R16" s="39"/>
      <c r="S16" s="39">
        <f>188.877+8.97+5.948+0.385</f>
        <v>204.18</v>
      </c>
      <c r="T16" s="12"/>
      <c r="U16" s="39">
        <f>186.477+9.17+5.948+0.385</f>
        <v>201.98</v>
      </c>
      <c r="V16" s="12"/>
      <c r="W16" s="39">
        <f>187.177+9.095+5.948+0.385</f>
        <v>202.60499999999999</v>
      </c>
      <c r="X16" s="39"/>
      <c r="Y16" s="39">
        <f>187.477+8.97+5.948+0.385</f>
        <v>202.78</v>
      </c>
      <c r="Z16" s="39"/>
      <c r="AA16" s="39">
        <f>186.547+8.97+5.948+0.385</f>
        <v>201.85</v>
      </c>
      <c r="AB16" s="39"/>
      <c r="AC16" s="39">
        <f>190.077+9.295+5.948+0.385</f>
        <v>205.70499999999998</v>
      </c>
      <c r="AD16" s="12"/>
      <c r="AE16" s="39">
        <f>186.277+8.97+5.948+0.385</f>
        <v>201.57999999999998</v>
      </c>
      <c r="AF16" s="12"/>
      <c r="AG16" s="12">
        <f>(W16-M16)/M16</f>
        <v>-2.0337409518836121E-2</v>
      </c>
      <c r="AH16" s="12"/>
      <c r="AI16" s="39">
        <f>186.234+9.005+5.948+0.385</f>
        <v>201.572</v>
      </c>
      <c r="AJ16" s="14"/>
      <c r="AK16" s="12">
        <f>SUM('Orig ''02 Plan Gross'!K16:AJ16)</f>
        <v>2435.5306625904809</v>
      </c>
      <c r="AL16" s="12"/>
      <c r="AM16" s="12">
        <f>'Orig ''02 Plan Gross'!AK16</f>
        <v>2435.5306625904809</v>
      </c>
      <c r="AN16" s="12"/>
      <c r="AO16" s="12">
        <f t="shared" si="0"/>
        <v>0</v>
      </c>
      <c r="AP16"/>
      <c r="AQ16"/>
      <c r="AR16" s="12"/>
    </row>
    <row r="17" spans="1:46" x14ac:dyDescent="0.2">
      <c r="A17" s="20" t="s">
        <v>45</v>
      </c>
      <c r="C17" s="39"/>
      <c r="D17" s="39"/>
      <c r="E17" s="12">
        <f t="shared" si="1"/>
        <v>0</v>
      </c>
      <c r="F17" s="39"/>
      <c r="G17" s="39"/>
      <c r="H17" s="39"/>
      <c r="I17" s="39"/>
      <c r="J17" s="12"/>
      <c r="K17" s="12"/>
      <c r="L17" s="12"/>
      <c r="M17" s="39"/>
      <c r="N17" s="39"/>
      <c r="O17" s="39"/>
      <c r="P17" s="39"/>
      <c r="Q17" s="39"/>
      <c r="R17" s="39"/>
      <c r="S17" s="39"/>
      <c r="T17" s="12"/>
      <c r="U17" s="12"/>
      <c r="V17" s="12"/>
      <c r="W17" s="39"/>
      <c r="X17" s="39"/>
      <c r="Y17" s="39"/>
      <c r="Z17" s="39"/>
      <c r="AA17" s="39"/>
      <c r="AB17" s="39"/>
      <c r="AC17" s="39"/>
      <c r="AD17" s="12"/>
      <c r="AE17" s="12"/>
      <c r="AF17" s="12"/>
      <c r="AG17" s="12"/>
      <c r="AH17" s="12"/>
      <c r="AI17" s="12"/>
      <c r="AJ17" s="14"/>
      <c r="AK17" s="12">
        <f>SUM('Orig ''02 Plan Gross'!K17:AJ17)</f>
        <v>0</v>
      </c>
      <c r="AL17" s="12"/>
      <c r="AM17" s="12">
        <f>'Orig ''02 Plan Gross'!AK17</f>
        <v>0</v>
      </c>
      <c r="AN17" s="12"/>
      <c r="AO17" s="12">
        <f t="shared" si="0"/>
        <v>0</v>
      </c>
      <c r="AP17"/>
      <c r="AQ17"/>
      <c r="AR17" s="12"/>
    </row>
    <row r="18" spans="1:46" x14ac:dyDescent="0.2">
      <c r="A18" s="20" t="s">
        <v>11</v>
      </c>
      <c r="C18" s="39"/>
      <c r="D18" s="39"/>
      <c r="E18" s="12">
        <f t="shared" si="1"/>
        <v>0</v>
      </c>
      <c r="F18" s="39"/>
      <c r="G18" s="39"/>
      <c r="H18" s="39"/>
      <c r="I18" s="39"/>
      <c r="J18" s="12"/>
      <c r="K18" s="12"/>
      <c r="L18" s="12"/>
      <c r="M18" s="39"/>
      <c r="N18" s="39"/>
      <c r="O18" s="39"/>
      <c r="P18" s="39"/>
      <c r="Q18" s="39"/>
      <c r="R18" s="39"/>
      <c r="S18" s="39"/>
      <c r="T18" s="12"/>
      <c r="U18" s="12"/>
      <c r="V18" s="12"/>
      <c r="W18" s="39"/>
      <c r="X18" s="39"/>
      <c r="Y18" s="39"/>
      <c r="Z18" s="39"/>
      <c r="AA18" s="39"/>
      <c r="AB18" s="39"/>
      <c r="AC18" s="39"/>
      <c r="AD18" s="12"/>
      <c r="AE18" s="12"/>
      <c r="AF18" s="12"/>
      <c r="AG18" s="12"/>
      <c r="AH18" s="12"/>
      <c r="AI18" s="12"/>
      <c r="AJ18" s="14"/>
      <c r="AK18" s="12">
        <f>SUM('Orig ''02 Plan Gross'!K18:AJ18)</f>
        <v>0</v>
      </c>
      <c r="AL18" s="12"/>
      <c r="AM18" s="12">
        <f>'Orig ''02 Plan Gross'!AK18</f>
        <v>0</v>
      </c>
      <c r="AN18" s="12"/>
      <c r="AO18" s="12">
        <f t="shared" si="0"/>
        <v>0</v>
      </c>
      <c r="AP18"/>
      <c r="AQ18"/>
      <c r="AR18" s="12"/>
    </row>
    <row r="19" spans="1:46" x14ac:dyDescent="0.2">
      <c r="A19" s="20" t="s">
        <v>44</v>
      </c>
      <c r="C19" s="39">
        <f>1223-94-94</f>
        <v>1035</v>
      </c>
      <c r="D19" s="39"/>
      <c r="E19" s="12">
        <f t="shared" si="1"/>
        <v>103.5</v>
      </c>
      <c r="F19" s="39"/>
      <c r="G19" s="39">
        <v>94</v>
      </c>
      <c r="H19" s="39"/>
      <c r="I19" s="39">
        <v>94</v>
      </c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/>
      <c r="AF19" s="12"/>
      <c r="AG19" s="12"/>
      <c r="AH19" s="12"/>
      <c r="AI19" s="12"/>
      <c r="AJ19" s="14"/>
      <c r="AK19" s="12">
        <f>SUM('Orig ''02 Plan Gross'!K19:AJ19)</f>
        <v>0</v>
      </c>
      <c r="AL19" s="12"/>
      <c r="AM19" s="12">
        <f>'Orig ''02 Plan Gross'!AK19</f>
        <v>0</v>
      </c>
      <c r="AN19" s="12"/>
      <c r="AO19" s="12">
        <f t="shared" si="0"/>
        <v>0</v>
      </c>
      <c r="AP19"/>
      <c r="AQ19"/>
      <c r="AR19" s="12"/>
    </row>
    <row r="20" spans="1:46" x14ac:dyDescent="0.2">
      <c r="A20" s="20" t="s">
        <v>12</v>
      </c>
      <c r="C20" s="39">
        <f>741-73-58</f>
        <v>610</v>
      </c>
      <c r="D20" s="39"/>
      <c r="E20" s="12">
        <f t="shared" si="1"/>
        <v>61</v>
      </c>
      <c r="F20" s="39"/>
      <c r="G20" s="39">
        <v>73</v>
      </c>
      <c r="H20" s="39"/>
      <c r="I20" s="39">
        <v>58</v>
      </c>
      <c r="J20" s="12"/>
      <c r="K20" s="12">
        <v>312.70999999999998</v>
      </c>
      <c r="L20" s="12"/>
      <c r="M20" s="39">
        <v>307.863</v>
      </c>
      <c r="N20" s="39"/>
      <c r="O20" s="39">
        <v>314.82299999999998</v>
      </c>
      <c r="P20" s="39"/>
      <c r="Q20" s="39">
        <v>315.84800000000001</v>
      </c>
      <c r="R20" s="39"/>
      <c r="S20" s="39">
        <v>313.27300000000002</v>
      </c>
      <c r="T20" s="12"/>
      <c r="U20" s="12">
        <v>314.01799999999997</v>
      </c>
      <c r="V20" s="12"/>
      <c r="W20" s="39">
        <v>307.57299999999998</v>
      </c>
      <c r="X20" s="39"/>
      <c r="Y20" s="39">
        <v>307.71800000000002</v>
      </c>
      <c r="Z20" s="39"/>
      <c r="AA20" s="39">
        <v>316.35300000000001</v>
      </c>
      <c r="AB20" s="39"/>
      <c r="AC20" s="39">
        <v>322.62299999999999</v>
      </c>
      <c r="AD20" s="12"/>
      <c r="AE20" s="12">
        <v>308.363</v>
      </c>
      <c r="AF20" s="12"/>
      <c r="AG20" s="12"/>
      <c r="AH20" s="12"/>
      <c r="AI20" s="12">
        <v>312.38299999999998</v>
      </c>
      <c r="AJ20" s="14"/>
      <c r="AK20" s="12">
        <f>SUM('Orig ''02 Plan Gross'!K20:AJ20)</f>
        <v>3753.5479999999993</v>
      </c>
      <c r="AL20" s="12"/>
      <c r="AM20" s="12">
        <f>'Orig ''02 Plan Gross'!AK20</f>
        <v>3753.5479999999993</v>
      </c>
      <c r="AN20" s="12"/>
      <c r="AO20" s="12">
        <f t="shared" si="0"/>
        <v>0</v>
      </c>
      <c r="AP20"/>
      <c r="AQ20"/>
      <c r="AR20" s="12"/>
    </row>
    <row r="21" spans="1:46" x14ac:dyDescent="0.2">
      <c r="A21" s="20" t="s">
        <v>8</v>
      </c>
      <c r="C21" s="12"/>
      <c r="D21" s="12"/>
      <c r="E21" s="12">
        <f t="shared" si="1"/>
        <v>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4"/>
      <c r="AK21" s="12">
        <f>SUM('Orig ''02 Plan Gross'!K21:AJ21)</f>
        <v>0</v>
      </c>
      <c r="AL21" s="12"/>
      <c r="AM21" s="12">
        <f>'Orig ''02 Plan Gross'!AK21</f>
        <v>0</v>
      </c>
      <c r="AN21" s="12"/>
      <c r="AO21" s="12">
        <f t="shared" si="0"/>
        <v>0</v>
      </c>
      <c r="AP21"/>
      <c r="AQ21"/>
      <c r="AR21" s="12"/>
    </row>
    <row r="22" spans="1:46" x14ac:dyDescent="0.2">
      <c r="A22" s="20" t="s">
        <v>13</v>
      </c>
      <c r="C22" s="12"/>
      <c r="D22" s="12"/>
      <c r="E22" s="12">
        <f t="shared" si="1"/>
        <v>0</v>
      </c>
      <c r="F22" s="12"/>
      <c r="G22" s="12">
        <v>0</v>
      </c>
      <c r="H22" s="12"/>
      <c r="I22" s="12">
        <v>0</v>
      </c>
      <c r="J22" s="12"/>
      <c r="K22" s="12">
        <v>0</v>
      </c>
      <c r="L22" s="12"/>
      <c r="M22" s="12">
        <v>0</v>
      </c>
      <c r="N22" s="12"/>
      <c r="O22" s="12">
        <v>0</v>
      </c>
      <c r="P22" s="12"/>
      <c r="Q22" s="12">
        <v>0</v>
      </c>
      <c r="R22" s="12"/>
      <c r="S22" s="12">
        <v>0</v>
      </c>
      <c r="T22" s="12"/>
      <c r="U22" s="12">
        <v>0</v>
      </c>
      <c r="V22" s="12"/>
      <c r="W22" s="12">
        <v>0</v>
      </c>
      <c r="X22" s="12"/>
      <c r="Y22" s="12">
        <v>0</v>
      </c>
      <c r="Z22" s="12"/>
      <c r="AA22" s="12">
        <v>0</v>
      </c>
      <c r="AB22" s="12"/>
      <c r="AC22" s="12">
        <v>0</v>
      </c>
      <c r="AD22" s="12"/>
      <c r="AE22" s="12">
        <v>0</v>
      </c>
      <c r="AF22" s="12"/>
      <c r="AG22" s="12" t="e">
        <f>(W22-M22)/M22</f>
        <v>#DIV/0!</v>
      </c>
      <c r="AH22" s="12"/>
      <c r="AI22" s="12">
        <v>0</v>
      </c>
      <c r="AJ22" s="14"/>
      <c r="AK22" s="12">
        <f>SUM('Orig ''02 Plan Gross'!K22:AJ22)</f>
        <v>0</v>
      </c>
      <c r="AL22" s="12"/>
      <c r="AM22" s="12">
        <f>'Orig ''02 Plan Gross'!AK22</f>
        <v>0</v>
      </c>
      <c r="AN22" s="12"/>
      <c r="AO22" s="12">
        <f t="shared" si="0"/>
        <v>0</v>
      </c>
      <c r="AP22"/>
      <c r="AQ22"/>
      <c r="AR22" s="12"/>
    </row>
    <row r="23" spans="1:46" x14ac:dyDescent="0.2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4"/>
      <c r="AK23" s="12"/>
      <c r="AL23" s="12"/>
      <c r="AM23" s="12"/>
      <c r="AN23" s="12"/>
      <c r="AO23" s="12"/>
      <c r="AP23"/>
      <c r="AQ23"/>
      <c r="AR23" s="12"/>
    </row>
    <row r="24" spans="1:46" ht="13.5" thickBot="1" x14ac:dyDescent="0.25">
      <c r="A24" s="20" t="s">
        <v>32</v>
      </c>
      <c r="C24" s="16">
        <f>SUM(C13:C23)</f>
        <v>11312.897000000001</v>
      </c>
      <c r="D24" s="12"/>
      <c r="E24" s="16">
        <f>SUM(E13:E23)</f>
        <v>1131.2897</v>
      </c>
      <c r="F24" s="14"/>
      <c r="G24" s="16">
        <f>SUM(G13:G23)</f>
        <v>1397.6420000000001</v>
      </c>
      <c r="H24" s="14"/>
      <c r="I24" s="16">
        <f>SUM(I13:I23)</f>
        <v>1498.6420000000001</v>
      </c>
      <c r="J24" s="12"/>
      <c r="K24" s="16">
        <f>SUM(K13:K23)</f>
        <v>1315.3030000000001</v>
      </c>
      <c r="L24" s="12"/>
      <c r="M24" s="16">
        <f>SUM(M13:M23)</f>
        <v>1348.6410000000001</v>
      </c>
      <c r="N24" s="12"/>
      <c r="O24" s="16">
        <f>SUM(O13:O23)</f>
        <v>1337.5520000000001</v>
      </c>
      <c r="P24" s="14"/>
      <c r="Q24" s="16">
        <f>SUM(Q13:Q23)</f>
        <v>1333.152</v>
      </c>
      <c r="R24" s="14"/>
      <c r="S24" s="16">
        <f>SUM(S13:S23)</f>
        <v>1333.5149999999999</v>
      </c>
      <c r="T24" s="12"/>
      <c r="U24" s="16">
        <f>SUM(U13:U23)</f>
        <v>1339.165</v>
      </c>
      <c r="V24" s="12"/>
      <c r="W24" s="16">
        <f>SUM(W13:W23)</f>
        <v>1328.2069999999999</v>
      </c>
      <c r="X24" s="12"/>
      <c r="Y24" s="16">
        <f>SUM(Y13:Y23)</f>
        <v>1325.377</v>
      </c>
      <c r="Z24" s="14"/>
      <c r="AA24" s="16">
        <f>SUM(AA13:AA23)</f>
        <v>1335.4730000000002</v>
      </c>
      <c r="AB24" s="14"/>
      <c r="AC24" s="16">
        <f>SUM(AC13:AC23)</f>
        <v>1345.8109999999999</v>
      </c>
      <c r="AD24" s="12"/>
      <c r="AE24" s="16">
        <f>SUM(AE13:AE23)</f>
        <v>1328.028</v>
      </c>
      <c r="AF24" s="12"/>
      <c r="AG24" s="16">
        <f>(W24-M24)/M24</f>
        <v>-1.5151548855477622E-2</v>
      </c>
      <c r="AH24" s="12"/>
      <c r="AI24" s="16">
        <f>SUM(AI13:AI23)</f>
        <v>1321.279</v>
      </c>
      <c r="AJ24" s="14"/>
      <c r="AK24" s="16">
        <f>SUM(AK13:AK23)</f>
        <v>15991.306010036335</v>
      </c>
      <c r="AL24" s="12"/>
      <c r="AM24" s="16">
        <f>'Orig ''02 Plan Gross'!AK24</f>
        <v>15991.306010036335</v>
      </c>
      <c r="AN24" s="14"/>
      <c r="AO24" s="16">
        <f>AK24-AM24</f>
        <v>0</v>
      </c>
      <c r="AP24"/>
      <c r="AQ24"/>
      <c r="AR24" s="12"/>
    </row>
    <row r="25" spans="1:46" ht="25.5" customHeight="1" thickTop="1" x14ac:dyDescent="0.2">
      <c r="A25" s="20"/>
      <c r="C25" s="46" t="s">
        <v>47</v>
      </c>
      <c r="D25" s="12"/>
      <c r="E25" s="46" t="s">
        <v>47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44"/>
      <c r="AF25" s="12"/>
      <c r="AG25" s="12"/>
      <c r="AH25" s="12"/>
      <c r="AI25" s="12"/>
      <c r="AJ25" s="14"/>
      <c r="AK25" s="12"/>
      <c r="AL25" s="12"/>
      <c r="AM25" s="12"/>
      <c r="AN25" s="12"/>
      <c r="AO25" s="12"/>
      <c r="AP25" s="46" t="s">
        <v>47</v>
      </c>
      <c r="AQ25" s="12"/>
      <c r="AR25" s="12"/>
    </row>
    <row r="26" spans="1:46" x14ac:dyDescent="0.2">
      <c r="A26" s="20" t="s">
        <v>39</v>
      </c>
      <c r="B26"/>
      <c r="C26" s="39"/>
      <c r="D26" s="39"/>
      <c r="E26" s="39"/>
      <c r="F26" s="39"/>
      <c r="G26" s="39"/>
      <c r="H26" s="39"/>
      <c r="I26" s="39"/>
      <c r="J26" s="39"/>
      <c r="K26" s="39">
        <f>'Orig ''02 Plan Gross'!K24</f>
        <v>1315.3030000000001</v>
      </c>
      <c r="L26" s="39"/>
      <c r="M26" s="39">
        <f>'Orig ''02 Plan Gross'!M24</f>
        <v>1348.6410000000001</v>
      </c>
      <c r="N26" s="39"/>
      <c r="O26" s="39">
        <f>'Orig ''02 Plan Gross'!O24</f>
        <v>1337.5520000000001</v>
      </c>
      <c r="P26" s="39"/>
      <c r="Q26" s="39">
        <f>'Orig ''02 Plan Gross'!Q24</f>
        <v>1333.152</v>
      </c>
      <c r="R26" s="39"/>
      <c r="S26" s="39">
        <f>'Orig ''02 Plan Gross'!S24</f>
        <v>1333.5149999999999</v>
      </c>
      <c r="T26" s="39"/>
      <c r="U26" s="39">
        <f>'Orig ''02 Plan Gross'!U24</f>
        <v>1339.165</v>
      </c>
      <c r="V26" s="39"/>
      <c r="W26" s="39">
        <f>'Orig ''02 Plan Gross'!W24</f>
        <v>1328.2069999999999</v>
      </c>
      <c r="X26" s="39"/>
      <c r="Y26" s="39">
        <f>'Orig ''02 Plan Gross'!Y24</f>
        <v>1325.377</v>
      </c>
      <c r="Z26" s="39"/>
      <c r="AA26" s="39">
        <f>'Orig ''02 Plan Gross'!AA24</f>
        <v>1335.4730000000002</v>
      </c>
      <c r="AB26" s="39"/>
      <c r="AC26" s="39">
        <f>'Orig ''02 Plan Gross'!AC24</f>
        <v>1345.8109999999999</v>
      </c>
      <c r="AD26" s="39"/>
      <c r="AE26" s="39">
        <f>'Orig ''02 Plan Gross'!AE24</f>
        <v>1328.028</v>
      </c>
      <c r="AF26" s="39"/>
      <c r="AG26" s="39"/>
      <c r="AH26" s="39"/>
      <c r="AI26" s="39">
        <f>'Orig ''02 Plan Gross'!AI24</f>
        <v>1321.279</v>
      </c>
      <c r="AJ26" s="45"/>
      <c r="AK26" s="12"/>
      <c r="AL26" s="12"/>
      <c r="AM26" s="39"/>
      <c r="AN26" s="39"/>
      <c r="AO26" s="46" t="s">
        <v>47</v>
      </c>
      <c r="AP26" s="12"/>
      <c r="AQ26" s="12"/>
      <c r="AR26" s="12"/>
      <c r="AS26" s="39"/>
      <c r="AT26" s="39"/>
    </row>
    <row r="27" spans="1:4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 s="42"/>
    </row>
    <row r="28" spans="1:46" x14ac:dyDescent="0.2">
      <c r="A28" t="s">
        <v>40</v>
      </c>
      <c r="B28"/>
      <c r="C28"/>
      <c r="D28"/>
      <c r="E28"/>
      <c r="F28"/>
      <c r="G28"/>
      <c r="H28"/>
      <c r="I28"/>
      <c r="J28"/>
      <c r="K28" s="21">
        <f>K24-K26</f>
        <v>0</v>
      </c>
      <c r="L28"/>
      <c r="M28" s="21">
        <f>M24-M26</f>
        <v>0</v>
      </c>
      <c r="N28"/>
      <c r="O28" s="21">
        <f>O24-O26</f>
        <v>0</v>
      </c>
      <c r="P28"/>
      <c r="Q28" s="21">
        <f>Q24-Q26</f>
        <v>0</v>
      </c>
      <c r="R28"/>
      <c r="S28" s="21">
        <f>S24-S26</f>
        <v>0</v>
      </c>
      <c r="T28"/>
      <c r="U28" s="21">
        <f>U24-U26</f>
        <v>0</v>
      </c>
      <c r="V28"/>
      <c r="W28" s="21">
        <f>W24-W26</f>
        <v>0</v>
      </c>
      <c r="X28"/>
      <c r="Y28" s="21">
        <f>Y24-Y26</f>
        <v>0</v>
      </c>
      <c r="Z28"/>
      <c r="AA28" s="21">
        <f>AA24-AA26</f>
        <v>0</v>
      </c>
      <c r="AB28"/>
      <c r="AC28" s="21">
        <f>AC24-AC26</f>
        <v>0</v>
      </c>
      <c r="AD28"/>
      <c r="AE28" s="21">
        <f>AE24-AE26</f>
        <v>0</v>
      </c>
      <c r="AF28"/>
      <c r="AG28"/>
      <c r="AH28"/>
      <c r="AI28" s="21">
        <f>AI24-AI26</f>
        <v>0</v>
      </c>
      <c r="AJ28" s="41"/>
      <c r="AM28" s="21"/>
      <c r="AN28" s="21"/>
      <c r="AS28" s="21"/>
      <c r="AT28" s="21"/>
    </row>
    <row r="29" spans="1:4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 s="42"/>
    </row>
    <row r="30" spans="1:46" x14ac:dyDescent="0.2">
      <c r="A30" t="s">
        <v>14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 s="42"/>
    </row>
    <row r="31" spans="1:46" x14ac:dyDescent="0.2">
      <c r="A31" t="s">
        <v>46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 s="42"/>
    </row>
    <row r="32" spans="1:46" x14ac:dyDescent="0.2">
      <c r="A32" s="23" t="s">
        <v>34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 s="42"/>
    </row>
    <row r="33" spans="1:3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 s="42"/>
    </row>
    <row r="34" spans="1:3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 s="42"/>
    </row>
    <row r="35" spans="1:3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 s="42"/>
    </row>
    <row r="36" spans="1:3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 s="42"/>
    </row>
    <row r="37" spans="1:3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 s="42"/>
    </row>
    <row r="38" spans="1:3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 s="42"/>
    </row>
    <row r="39" spans="1:3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 s="42"/>
    </row>
    <row r="40" spans="1:3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 s="42"/>
    </row>
    <row r="41" spans="1:3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 s="42"/>
    </row>
    <row r="42" spans="1:3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 s="42"/>
    </row>
    <row r="43" spans="1:3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 s="42"/>
    </row>
    <row r="44" spans="1:3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 s="42"/>
    </row>
    <row r="45" spans="1:3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 s="42"/>
    </row>
    <row r="46" spans="1:3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 s="42"/>
    </row>
    <row r="47" spans="1:3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 s="42"/>
    </row>
    <row r="48" spans="1:3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 s="42"/>
    </row>
    <row r="49" spans="1:3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 s="42"/>
    </row>
    <row r="50" spans="1:36" x14ac:dyDescent="0.2">
      <c r="A50" s="18" t="str">
        <f ca="1">CELL("filename")</f>
        <v>P:\Finance\ETS Operations\4th Qtr Fcst\4th Qtr Fcst Oct Act\LE Files\[OM EST - OPERATIONS - 2001 - 2002 REVISED FORMAT.xls]Gross</v>
      </c>
      <c r="B50" s="18"/>
      <c r="C50" s="15"/>
      <c r="D50" s="15"/>
      <c r="E50" s="15"/>
      <c r="F50" s="15"/>
      <c r="G50" s="15"/>
      <c r="H50" s="15"/>
      <c r="I50" s="15"/>
      <c r="J50" s="15"/>
      <c r="K50" s="15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6" x14ac:dyDescent="0.2">
      <c r="A51" s="19">
        <f ca="1">NOW()</f>
        <v>37221.704173958336</v>
      </c>
      <c r="B51" s="18"/>
      <c r="C51" s="15"/>
      <c r="D51" s="15"/>
      <c r="E51" s="15"/>
      <c r="F51" s="15"/>
      <c r="G51" s="15"/>
      <c r="H51" s="15"/>
      <c r="I51" s="15"/>
      <c r="J51" s="15"/>
      <c r="K51" s="15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6" x14ac:dyDescent="0.2">
      <c r="A52" s="18"/>
      <c r="B52" s="18"/>
      <c r="C52" s="15"/>
      <c r="D52" s="15"/>
      <c r="E52" s="15"/>
      <c r="F52" s="15"/>
      <c r="G52" s="15"/>
      <c r="H52" s="15"/>
      <c r="I52" s="15"/>
      <c r="J52" s="15"/>
      <c r="K52" s="15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6" x14ac:dyDescent="0.2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6" x14ac:dyDescent="0.2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6" x14ac:dyDescent="0.2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6" x14ac:dyDescent="0.2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6" x14ac:dyDescent="0.2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6" x14ac:dyDescent="0.2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6" x14ac:dyDescent="0.2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6" x14ac:dyDescent="0.2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6" x14ac:dyDescent="0.2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6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6" x14ac:dyDescent="0.2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6" x14ac:dyDescent="0.2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3:32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3:32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3:32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</sheetData>
  <phoneticPr fontId="0" type="noConversion"/>
  <printOptions horizontalCentered="1"/>
  <pageMargins left="0" right="0" top="0.75" bottom="1" header="0" footer="0.5"/>
  <pageSetup paperSize="5"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12"/>
  <sheetViews>
    <sheetView showGridLines="0" topLeftCell="P4" workbookViewId="0">
      <selection activeCell="A35" sqref="A35"/>
    </sheetView>
  </sheetViews>
  <sheetFormatPr defaultRowHeight="12.75" x14ac:dyDescent="0.2"/>
  <cols>
    <col min="1" max="1" width="23.140625" style="2" customWidth="1"/>
    <col min="2" max="2" width="2.140625" style="2" customWidth="1"/>
    <col min="3" max="3" width="10.7109375" style="2" customWidth="1"/>
    <col min="4" max="4" width="1.7109375" style="2" customWidth="1"/>
    <col min="5" max="5" width="10.7109375" style="2" customWidth="1"/>
    <col min="6" max="6" width="3.7109375" style="2" customWidth="1"/>
    <col min="7" max="7" width="10.7109375" style="2" customWidth="1"/>
    <col min="8" max="8" width="1.7109375" style="2" customWidth="1"/>
    <col min="9" max="9" width="10.7109375" style="2" customWidth="1"/>
    <col min="10" max="10" width="1.7109375" style="2" customWidth="1"/>
    <col min="11" max="11" width="6.7109375" style="2" customWidth="1"/>
    <col min="12" max="12" width="1.7109375" style="2" customWidth="1"/>
    <col min="13" max="13" width="6.7109375" style="2" customWidth="1"/>
    <col min="14" max="14" width="1.7109375" style="2" customWidth="1"/>
    <col min="15" max="15" width="6.7109375" style="2" customWidth="1"/>
    <col min="16" max="16" width="1.7109375" style="2" customWidth="1"/>
    <col min="17" max="17" width="6.7109375" style="2" customWidth="1"/>
    <col min="18" max="18" width="1.7109375" style="2" customWidth="1"/>
    <col min="19" max="19" width="6.7109375" style="2" customWidth="1"/>
    <col min="20" max="20" width="1.7109375" style="2" customWidth="1"/>
    <col min="21" max="21" width="6.7109375" style="2" customWidth="1"/>
    <col min="22" max="22" width="1.7109375" style="2" customWidth="1"/>
    <col min="23" max="23" width="6.7109375" style="2" customWidth="1"/>
    <col min="24" max="24" width="1.7109375" style="2" customWidth="1"/>
    <col min="25" max="25" width="6.7109375" style="2" customWidth="1"/>
    <col min="26" max="26" width="1.7109375" style="2" customWidth="1"/>
    <col min="27" max="27" width="6.7109375" style="2" customWidth="1"/>
    <col min="28" max="28" width="1.7109375" style="2" customWidth="1"/>
    <col min="29" max="29" width="6.7109375" style="2" customWidth="1"/>
    <col min="30" max="30" width="1.7109375" style="2" customWidth="1"/>
    <col min="31" max="31" width="6.7109375" style="2" customWidth="1"/>
    <col min="32" max="32" width="1.7109375" style="2" customWidth="1"/>
    <col min="33" max="33" width="11.7109375" style="2" hidden="1" customWidth="1"/>
    <col min="34" max="34" width="1.85546875" style="2" hidden="1" customWidth="1"/>
    <col min="35" max="35" width="6.7109375" style="2" customWidth="1"/>
    <col min="36" max="36" width="1.7109375" style="2" customWidth="1"/>
    <col min="37" max="37" width="9" style="2" customWidth="1"/>
    <col min="38" max="38" width="1.5703125" style="2" customWidth="1"/>
    <col min="39" max="39" width="10.28515625" style="2" customWidth="1"/>
    <col min="40" max="40" width="1.7109375" style="2" customWidth="1"/>
    <col min="41" max="41" width="9.140625" style="2"/>
    <col min="42" max="42" width="9.28515625" style="2" bestFit="1" customWidth="1"/>
    <col min="43" max="16384" width="9.140625" style="2"/>
  </cols>
  <sheetData>
    <row r="1" spans="1:44" ht="15.75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44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44" ht="15.75" x14ac:dyDescent="0.25">
      <c r="A3" s="1" t="s">
        <v>43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44" ht="15.75" x14ac:dyDescent="0.25">
      <c r="A4" s="3" t="s">
        <v>35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44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44" x14ac:dyDescent="0.2">
      <c r="A6" s="4"/>
    </row>
    <row r="8" spans="1:44" s="11" customFormat="1" x14ac:dyDescent="0.2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44" x14ac:dyDescent="0.2">
      <c r="E9" s="6"/>
      <c r="O9" s="6"/>
      <c r="Y9" s="6"/>
      <c r="AM9" s="6" t="s">
        <v>41</v>
      </c>
    </row>
    <row r="10" spans="1:44" x14ac:dyDescent="0.2">
      <c r="C10" s="6" t="s">
        <v>2</v>
      </c>
      <c r="D10"/>
      <c r="E10" s="6" t="s">
        <v>2</v>
      </c>
      <c r="F10"/>
      <c r="G10" s="6" t="s">
        <v>2</v>
      </c>
      <c r="H10" s="9"/>
      <c r="I10" s="6" t="s">
        <v>2</v>
      </c>
      <c r="J10"/>
      <c r="K10" s="6" t="s">
        <v>2</v>
      </c>
      <c r="M10" s="6" t="s">
        <v>2</v>
      </c>
      <c r="O10" s="6" t="s">
        <v>2</v>
      </c>
      <c r="P10"/>
      <c r="Q10" s="6" t="s">
        <v>2</v>
      </c>
      <c r="R10" s="9"/>
      <c r="S10" s="6" t="s">
        <v>2</v>
      </c>
      <c r="U10" s="6" t="s">
        <v>2</v>
      </c>
      <c r="W10" s="6" t="s">
        <v>2</v>
      </c>
      <c r="Y10" s="6" t="s">
        <v>2</v>
      </c>
      <c r="AA10" s="6" t="s">
        <v>2</v>
      </c>
      <c r="AB10" s="9"/>
      <c r="AC10" s="6" t="s">
        <v>2</v>
      </c>
      <c r="AE10" s="6" t="s">
        <v>2</v>
      </c>
      <c r="AG10" s="6" t="s">
        <v>0</v>
      </c>
      <c r="AI10" s="6" t="s">
        <v>2</v>
      </c>
      <c r="AM10" s="6" t="s">
        <v>2</v>
      </c>
    </row>
    <row r="11" spans="1:44" x14ac:dyDescent="0.2">
      <c r="C11" s="6" t="s">
        <v>17</v>
      </c>
      <c r="D11" s="6"/>
      <c r="E11" s="6" t="s">
        <v>19</v>
      </c>
      <c r="F11" s="6"/>
      <c r="G11" s="6">
        <v>2001</v>
      </c>
      <c r="H11" s="6"/>
      <c r="I11" s="6">
        <v>2001</v>
      </c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K11" s="6">
        <v>2002</v>
      </c>
      <c r="AM11" s="6">
        <v>2002</v>
      </c>
    </row>
    <row r="12" spans="1:44" x14ac:dyDescent="0.2">
      <c r="A12" s="5" t="s">
        <v>4</v>
      </c>
      <c r="C12" s="7" t="s">
        <v>18</v>
      </c>
      <c r="D12" s="6"/>
      <c r="E12" s="7" t="s">
        <v>20</v>
      </c>
      <c r="F12" s="10"/>
      <c r="G12" s="7" t="s">
        <v>21</v>
      </c>
      <c r="H12" s="10"/>
      <c r="I12" s="7" t="s">
        <v>22</v>
      </c>
      <c r="J12" s="6"/>
      <c r="K12" s="7" t="s">
        <v>23</v>
      </c>
      <c r="M12" s="7" t="s">
        <v>24</v>
      </c>
      <c r="N12" s="6"/>
      <c r="O12" s="7" t="s">
        <v>25</v>
      </c>
      <c r="P12" s="10"/>
      <c r="Q12" s="7" t="s">
        <v>26</v>
      </c>
      <c r="R12" s="10"/>
      <c r="S12" s="7" t="s">
        <v>27</v>
      </c>
      <c r="T12" s="6"/>
      <c r="U12" s="7" t="s">
        <v>28</v>
      </c>
      <c r="W12" s="7" t="s">
        <v>29</v>
      </c>
      <c r="Y12" s="7" t="s">
        <v>30</v>
      </c>
      <c r="AA12" s="7" t="s">
        <v>31</v>
      </c>
      <c r="AB12" s="10"/>
      <c r="AC12" s="7" t="s">
        <v>17</v>
      </c>
      <c r="AD12" s="6"/>
      <c r="AE12" s="7" t="s">
        <v>21</v>
      </c>
      <c r="AF12" s="11"/>
      <c r="AG12" s="7" t="s">
        <v>5</v>
      </c>
      <c r="AH12" s="11"/>
      <c r="AI12" s="7" t="s">
        <v>22</v>
      </c>
      <c r="AJ12" s="11"/>
      <c r="AK12" s="7" t="s">
        <v>32</v>
      </c>
      <c r="AL12" s="11"/>
      <c r="AM12" s="7" t="s">
        <v>32</v>
      </c>
      <c r="AO12" s="7" t="s">
        <v>42</v>
      </c>
    </row>
    <row r="13" spans="1:44" x14ac:dyDescent="0.2">
      <c r="A13" s="20" t="s">
        <v>6</v>
      </c>
      <c r="C13" s="12">
        <f>4301-496-540+275.288-22.038-22.038</f>
        <v>3496.212</v>
      </c>
      <c r="D13" s="12"/>
      <c r="E13" s="12">
        <f t="shared" ref="E13:E22" si="0">C13/10</f>
        <v>349.62119999999999</v>
      </c>
      <c r="F13" s="12"/>
      <c r="G13" s="12">
        <f>496+22.039</f>
        <v>518.03899999999999</v>
      </c>
      <c r="H13" s="12"/>
      <c r="I13" s="12">
        <f>540+22.039</f>
        <v>562.03899999999999</v>
      </c>
      <c r="J13" s="12"/>
      <c r="K13" s="12">
        <f>391.959+21.14</f>
        <v>413.09899999999999</v>
      </c>
      <c r="L13" s="12"/>
      <c r="M13" s="12">
        <f>398.81+33.759</f>
        <v>432.56900000000002</v>
      </c>
      <c r="N13" s="12"/>
      <c r="O13" s="12">
        <f>400.923+22.039</f>
        <v>422.96199999999999</v>
      </c>
      <c r="P13" s="12"/>
      <c r="Q13" s="12">
        <f>400.346+22.039</f>
        <v>422.38499999999999</v>
      </c>
      <c r="R13" s="12"/>
      <c r="S13" s="12">
        <f>398.998+22.039</f>
        <v>421.03699999999998</v>
      </c>
      <c r="T13" s="12"/>
      <c r="U13" s="12">
        <f>402.461+22.039</f>
        <v>424.5</v>
      </c>
      <c r="V13" s="12"/>
      <c r="W13" s="12">
        <f>399.355+22.039</f>
        <v>421.39400000000001</v>
      </c>
      <c r="X13" s="12"/>
      <c r="Y13" s="12">
        <f>399.573+22.039</f>
        <v>421.61199999999997</v>
      </c>
      <c r="Z13" s="12"/>
      <c r="AA13" s="12">
        <f>402.203+22.039</f>
        <v>424.24199999999996</v>
      </c>
      <c r="AB13" s="12"/>
      <c r="AC13" s="12">
        <f>402.967+22.039</f>
        <v>425.00599999999997</v>
      </c>
      <c r="AD13" s="12"/>
      <c r="AE13" s="12">
        <f>401.689+22.039</f>
        <v>423.72800000000001</v>
      </c>
      <c r="AF13" s="12"/>
      <c r="AG13" s="12">
        <f>-448.4/11017</f>
        <v>-4.070073522737587E-2</v>
      </c>
      <c r="AH13" s="12"/>
      <c r="AI13" s="12">
        <f>382.849+22.039</f>
        <v>404.88799999999998</v>
      </c>
      <c r="AJ13" s="12"/>
      <c r="AK13" s="12">
        <f t="shared" ref="AK13:AK22" si="1">SUM(K13:AI13)</f>
        <v>5057.3812992647727</v>
      </c>
      <c r="AL13" s="12"/>
      <c r="AM13" s="12">
        <f>'Orig ''02 Plan Net'!AK13</f>
        <v>5057.3812992647727</v>
      </c>
      <c r="AN13" s="12"/>
      <c r="AO13" s="12">
        <f t="shared" ref="AO13:AO22" si="2">AK13-AM13</f>
        <v>0</v>
      </c>
      <c r="AP13"/>
      <c r="AQ13"/>
      <c r="AR13" s="12"/>
    </row>
    <row r="14" spans="1:44" x14ac:dyDescent="0.2">
      <c r="A14" s="20" t="s">
        <v>7</v>
      </c>
      <c r="C14" s="12">
        <f>1046-89-102+37.954-3.038-3.038</f>
        <v>886.87799999999993</v>
      </c>
      <c r="D14" s="12"/>
      <c r="E14" s="12">
        <f t="shared" si="0"/>
        <v>88.687799999999996</v>
      </c>
      <c r="F14" s="12"/>
      <c r="G14" s="12">
        <f>89+3.038</f>
        <v>92.037999999999997</v>
      </c>
      <c r="H14" s="12"/>
      <c r="I14" s="12">
        <f>102+3.038</f>
        <v>105.038</v>
      </c>
      <c r="J14" s="12"/>
      <c r="K14" s="12">
        <f>87.938+2.9</f>
        <v>90.838000000000008</v>
      </c>
      <c r="L14" s="12"/>
      <c r="M14" s="12">
        <f>91.158+4.654</f>
        <v>95.811999999999998</v>
      </c>
      <c r="N14" s="12"/>
      <c r="O14" s="12">
        <f>96.562+3.039</f>
        <v>99.600999999999999</v>
      </c>
      <c r="P14" s="12"/>
      <c r="Q14" s="12">
        <f>92.413+3.039</f>
        <v>95.451999999999998</v>
      </c>
      <c r="R14" s="12"/>
      <c r="S14" s="12">
        <f>91.27+3.039</f>
        <v>94.308999999999997</v>
      </c>
      <c r="T14" s="12"/>
      <c r="U14" s="12">
        <f>95.394+3.039</f>
        <v>98.433000000000007</v>
      </c>
      <c r="V14" s="12"/>
      <c r="W14" s="12">
        <f>93.517+3.039</f>
        <v>96.555999999999997</v>
      </c>
      <c r="X14" s="12"/>
      <c r="Y14" s="12">
        <f>91.119+3.039</f>
        <v>94.158000000000001</v>
      </c>
      <c r="Z14" s="12"/>
      <c r="AA14" s="12">
        <f>93.579+3.039</f>
        <v>96.617999999999995</v>
      </c>
      <c r="AB14" s="12"/>
      <c r="AC14" s="12">
        <f>92.634+3.039</f>
        <v>95.673000000000002</v>
      </c>
      <c r="AD14" s="12"/>
      <c r="AE14" s="12">
        <f>91.159+3.039</f>
        <v>94.198000000000008</v>
      </c>
      <c r="AF14" s="12"/>
      <c r="AG14" s="12">
        <f>-102.4/1810</f>
        <v>-5.6574585635359116E-2</v>
      </c>
      <c r="AH14" s="12"/>
      <c r="AI14" s="12">
        <f>87.189+3.039</f>
        <v>90.227999999999994</v>
      </c>
      <c r="AJ14" s="12"/>
      <c r="AK14" s="12">
        <f t="shared" si="1"/>
        <v>1141.8194254143648</v>
      </c>
      <c r="AL14" s="12"/>
      <c r="AM14" s="12">
        <f>'Orig ''02 Plan Net'!AK14</f>
        <v>1141.8194254143648</v>
      </c>
      <c r="AN14" s="12"/>
      <c r="AO14" s="12">
        <f t="shared" si="2"/>
        <v>0</v>
      </c>
      <c r="AP14"/>
      <c r="AQ14"/>
      <c r="AR14" s="12"/>
    </row>
    <row r="15" spans="1:44" x14ac:dyDescent="0.2">
      <c r="A15" s="20" t="s">
        <v>10</v>
      </c>
      <c r="C15" s="12">
        <f>2664-275-295+107.637-8.617-8.617</f>
        <v>2184.4029999999998</v>
      </c>
      <c r="D15" s="39"/>
      <c r="E15" s="12">
        <f t="shared" si="0"/>
        <v>218.44029999999998</v>
      </c>
      <c r="F15" s="39"/>
      <c r="G15" s="12">
        <f>275+8.617</f>
        <v>283.61700000000002</v>
      </c>
      <c r="H15" s="39"/>
      <c r="I15" s="12">
        <f>295+8.617</f>
        <v>303.61700000000002</v>
      </c>
      <c r="J15" s="12"/>
      <c r="K15" s="12">
        <f>186.62+8.266</f>
        <v>194.886</v>
      </c>
      <c r="L15" s="12"/>
      <c r="M15" s="12">
        <f>187.639+13.2</f>
        <v>200.839</v>
      </c>
      <c r="N15" s="39"/>
      <c r="O15" s="12">
        <f>8.6+184.346</f>
        <v>192.946</v>
      </c>
      <c r="P15" s="39"/>
      <c r="Q15" s="12">
        <f>8.6+184.324</f>
        <v>192.92400000000001</v>
      </c>
      <c r="R15" s="39"/>
      <c r="S15" s="12">
        <f>8.6+186.744</f>
        <v>195.34399999999999</v>
      </c>
      <c r="T15" s="12"/>
      <c r="U15" s="12">
        <f>8.6+183.373</f>
        <v>191.97299999999998</v>
      </c>
      <c r="V15" s="12"/>
      <c r="W15" s="12">
        <f>8.6+186.718</f>
        <v>195.31799999999998</v>
      </c>
      <c r="X15" s="39"/>
      <c r="Y15" s="12">
        <f>8.6+187.544</f>
        <v>196.14400000000001</v>
      </c>
      <c r="Z15" s="39"/>
      <c r="AA15" s="12">
        <f>8.6+184.353</f>
        <v>192.953</v>
      </c>
      <c r="AB15" s="39"/>
      <c r="AC15" s="12">
        <f>8.6+182.197</f>
        <v>190.797</v>
      </c>
      <c r="AD15" s="12"/>
      <c r="AE15" s="12">
        <f>8.6+187.595</f>
        <v>196.19499999999999</v>
      </c>
      <c r="AF15" s="12"/>
      <c r="AG15" s="43">
        <f>-155.5/1959</f>
        <v>-7.937723328228688E-2</v>
      </c>
      <c r="AH15" s="12"/>
      <c r="AI15" s="12">
        <f>8.6+105.959</f>
        <v>114.559</v>
      </c>
      <c r="AJ15" s="12"/>
      <c r="AK15" s="12">
        <f t="shared" si="1"/>
        <v>2254.7986227667179</v>
      </c>
      <c r="AL15" s="12"/>
      <c r="AM15" s="12">
        <f>'Orig ''02 Plan Net'!AK15</f>
        <v>2254.7986227667179</v>
      </c>
      <c r="AN15" s="12"/>
      <c r="AO15" s="12">
        <f t="shared" si="2"/>
        <v>0</v>
      </c>
      <c r="AP15"/>
      <c r="AQ15"/>
      <c r="AR15" s="12"/>
    </row>
    <row r="16" spans="1:44" x14ac:dyDescent="0.2">
      <c r="A16" s="20" t="s">
        <v>9</v>
      </c>
      <c r="C16" s="39">
        <f>1888-173-217+74.308-5.948-5.948</f>
        <v>1560.4119999999998</v>
      </c>
      <c r="D16" s="39"/>
      <c r="E16" s="12">
        <f t="shared" si="0"/>
        <v>156.04119999999998</v>
      </c>
      <c r="F16" s="39"/>
      <c r="G16" s="39">
        <f>173+5.948</f>
        <v>178.94800000000001</v>
      </c>
      <c r="H16" s="39"/>
      <c r="I16" s="39">
        <f>217+5.948</f>
        <v>222.94800000000001</v>
      </c>
      <c r="J16" s="12"/>
      <c r="K16" s="12">
        <f>180.315+10.843+0.369+5.7</f>
        <v>197.22699999999998</v>
      </c>
      <c r="L16" s="12"/>
      <c r="M16" s="39">
        <f>10.736+180.796+0.59+9.112</f>
        <v>201.23399999999998</v>
      </c>
      <c r="N16" s="39"/>
      <c r="O16" s="39">
        <f>181.167+10.736+5.948+0.385</f>
        <v>198.23599999999999</v>
      </c>
      <c r="P16" s="39"/>
      <c r="Q16" s="39">
        <f>180.964+10.861+5.948+0.385</f>
        <v>198.15799999999999</v>
      </c>
      <c r="R16" s="39"/>
      <c r="S16" s="39">
        <f>181.532+10.736+5.948+0.385</f>
        <v>198.601</v>
      </c>
      <c r="T16" s="12"/>
      <c r="U16" s="39">
        <f>180.518+10.936+5.948+0.385</f>
        <v>197.78700000000001</v>
      </c>
      <c r="V16" s="12"/>
      <c r="W16" s="39">
        <f>180.804+10.861+5.948+0.385</f>
        <v>197.99799999999999</v>
      </c>
      <c r="X16" s="39"/>
      <c r="Y16" s="39">
        <f>181.326+10.736+5.948+0.385</f>
        <v>198.39499999999998</v>
      </c>
      <c r="Z16" s="39"/>
      <c r="AA16" s="39">
        <f>180.568+10.736+5.948+0.385</f>
        <v>197.637</v>
      </c>
      <c r="AB16" s="39"/>
      <c r="AC16" s="39">
        <f>181.59+11.061+5.948+0.385</f>
        <v>198.98400000000001</v>
      </c>
      <c r="AD16" s="12"/>
      <c r="AE16" s="39">
        <f>179.958+10.736+5.948+0.385</f>
        <v>197.02699999999999</v>
      </c>
      <c r="AF16" s="12"/>
      <c r="AG16" s="12">
        <f>(W16-M16)/M16</f>
        <v>-1.6080781577665754E-2</v>
      </c>
      <c r="AH16" s="12"/>
      <c r="AI16" s="39">
        <f>273.855+8.771+5.948+0.385</f>
        <v>288.959</v>
      </c>
      <c r="AJ16" s="12"/>
      <c r="AK16" s="12">
        <f t="shared" si="1"/>
        <v>2470.2269192184217</v>
      </c>
      <c r="AL16" s="12"/>
      <c r="AM16" s="12">
        <f>'Orig ''02 Plan Net'!AK16</f>
        <v>2470.2269192184217</v>
      </c>
      <c r="AN16" s="12"/>
      <c r="AO16" s="12">
        <f t="shared" si="2"/>
        <v>0</v>
      </c>
      <c r="AP16"/>
      <c r="AQ16"/>
      <c r="AR16" s="12"/>
    </row>
    <row r="17" spans="1:44" x14ac:dyDescent="0.2">
      <c r="A17" s="20" t="s">
        <v>45</v>
      </c>
      <c r="C17" s="39"/>
      <c r="D17" s="39"/>
      <c r="E17" s="12">
        <f t="shared" si="0"/>
        <v>0</v>
      </c>
      <c r="F17" s="39"/>
      <c r="G17" s="39"/>
      <c r="H17" s="39"/>
      <c r="I17" s="39"/>
      <c r="J17" s="12"/>
      <c r="K17" s="12"/>
      <c r="L17" s="12"/>
      <c r="M17" s="39"/>
      <c r="N17" s="39"/>
      <c r="O17" s="39"/>
      <c r="P17" s="39"/>
      <c r="Q17" s="39"/>
      <c r="R17" s="39"/>
      <c r="S17" s="39"/>
      <c r="T17" s="12"/>
      <c r="U17" s="12"/>
      <c r="V17" s="12"/>
      <c r="W17" s="39"/>
      <c r="X17" s="39"/>
      <c r="Y17" s="39"/>
      <c r="Z17" s="39"/>
      <c r="AA17" s="39"/>
      <c r="AB17" s="39"/>
      <c r="AC17" s="39"/>
      <c r="AD17" s="12"/>
      <c r="AE17" s="12"/>
      <c r="AF17" s="12"/>
      <c r="AG17" s="12"/>
      <c r="AH17" s="12"/>
      <c r="AI17" s="12"/>
      <c r="AJ17" s="12"/>
      <c r="AK17" s="12">
        <f t="shared" si="1"/>
        <v>0</v>
      </c>
      <c r="AL17" s="12"/>
      <c r="AM17" s="12">
        <f>'Orig ''02 Plan Net'!AK17</f>
        <v>0</v>
      </c>
      <c r="AN17" s="12"/>
      <c r="AO17" s="12">
        <f t="shared" si="2"/>
        <v>0</v>
      </c>
      <c r="AP17"/>
      <c r="AQ17"/>
      <c r="AR17" s="12"/>
    </row>
    <row r="18" spans="1:44" x14ac:dyDescent="0.2">
      <c r="A18" s="20" t="s">
        <v>11</v>
      </c>
      <c r="C18" s="39"/>
      <c r="D18" s="39"/>
      <c r="E18" s="12">
        <f t="shared" si="0"/>
        <v>0</v>
      </c>
      <c r="F18" s="39"/>
      <c r="G18" s="39"/>
      <c r="H18" s="39"/>
      <c r="I18" s="39"/>
      <c r="J18" s="12"/>
      <c r="K18" s="12"/>
      <c r="L18" s="12"/>
      <c r="M18" s="39"/>
      <c r="N18" s="39"/>
      <c r="O18" s="39"/>
      <c r="P18" s="39"/>
      <c r="Q18" s="39"/>
      <c r="R18" s="39"/>
      <c r="S18" s="39"/>
      <c r="T18" s="12"/>
      <c r="U18" s="12"/>
      <c r="V18" s="12"/>
      <c r="W18" s="39"/>
      <c r="X18" s="39"/>
      <c r="Y18" s="39"/>
      <c r="Z18" s="39"/>
      <c r="AA18" s="39"/>
      <c r="AB18" s="39"/>
      <c r="AC18" s="39"/>
      <c r="AD18" s="12"/>
      <c r="AE18" s="12"/>
      <c r="AF18" s="12"/>
      <c r="AG18" s="12"/>
      <c r="AH18" s="12"/>
      <c r="AI18" s="12"/>
      <c r="AJ18" s="12"/>
      <c r="AK18" s="12">
        <f t="shared" si="1"/>
        <v>0</v>
      </c>
      <c r="AL18" s="12"/>
      <c r="AM18" s="12">
        <f>'Orig ''02 Plan Net'!AK18</f>
        <v>0</v>
      </c>
      <c r="AN18" s="12"/>
      <c r="AO18" s="12">
        <f t="shared" si="2"/>
        <v>0</v>
      </c>
      <c r="AP18"/>
      <c r="AQ18"/>
      <c r="AR18" s="12"/>
    </row>
    <row r="19" spans="1:44" x14ac:dyDescent="0.2">
      <c r="A19" s="20" t="s">
        <v>44</v>
      </c>
      <c r="C19" s="39">
        <f>226-7</f>
        <v>219</v>
      </c>
      <c r="D19" s="39"/>
      <c r="E19" s="12">
        <f t="shared" si="0"/>
        <v>21.9</v>
      </c>
      <c r="F19" s="39"/>
      <c r="G19" s="39">
        <v>0</v>
      </c>
      <c r="H19" s="39"/>
      <c r="I19" s="39">
        <v>7</v>
      </c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/>
      <c r="AF19" s="12"/>
      <c r="AG19" s="12"/>
      <c r="AH19" s="12"/>
      <c r="AI19" s="12"/>
      <c r="AJ19" s="12"/>
      <c r="AK19" s="12">
        <f t="shared" si="1"/>
        <v>0</v>
      </c>
      <c r="AL19" s="12"/>
      <c r="AM19" s="12">
        <f>'Orig ''02 Plan Net'!AK19</f>
        <v>0</v>
      </c>
      <c r="AN19" s="12"/>
      <c r="AO19" s="12">
        <f t="shared" si="2"/>
        <v>0</v>
      </c>
      <c r="AP19"/>
      <c r="AQ19"/>
      <c r="AR19" s="12"/>
    </row>
    <row r="20" spans="1:44" x14ac:dyDescent="0.2">
      <c r="A20" s="20" t="s">
        <v>12</v>
      </c>
      <c r="C20" s="39"/>
      <c r="D20" s="39"/>
      <c r="E20" s="12">
        <f t="shared" si="0"/>
        <v>0</v>
      </c>
      <c r="F20" s="39"/>
      <c r="G20" s="39"/>
      <c r="H20" s="39"/>
      <c r="I20" s="39"/>
      <c r="J20" s="12"/>
      <c r="K20" s="12"/>
      <c r="L20" s="12"/>
      <c r="M20" s="39"/>
      <c r="N20" s="39"/>
      <c r="O20" s="39"/>
      <c r="P20" s="39"/>
      <c r="Q20" s="39"/>
      <c r="R20" s="39"/>
      <c r="S20" s="39"/>
      <c r="T20" s="12"/>
      <c r="U20" s="12"/>
      <c r="V20" s="12"/>
      <c r="W20" s="39"/>
      <c r="X20" s="39"/>
      <c r="Y20" s="39"/>
      <c r="Z20" s="39"/>
      <c r="AA20" s="39"/>
      <c r="AB20" s="39"/>
      <c r="AC20" s="39"/>
      <c r="AD20" s="12"/>
      <c r="AE20" s="12"/>
      <c r="AF20" s="12"/>
      <c r="AG20" s="12"/>
      <c r="AH20" s="12"/>
      <c r="AI20" s="12"/>
      <c r="AJ20" s="12"/>
      <c r="AK20" s="12">
        <f t="shared" si="1"/>
        <v>0</v>
      </c>
      <c r="AL20" s="12"/>
      <c r="AM20" s="12">
        <f>'Orig ''02 Plan Net'!AK20</f>
        <v>0</v>
      </c>
      <c r="AN20" s="12"/>
      <c r="AO20" s="12">
        <f t="shared" si="2"/>
        <v>0</v>
      </c>
      <c r="AP20"/>
      <c r="AQ20"/>
      <c r="AR20" s="12"/>
    </row>
    <row r="21" spans="1:44" x14ac:dyDescent="0.2">
      <c r="A21" s="20" t="s">
        <v>8</v>
      </c>
      <c r="C21" s="12"/>
      <c r="D21" s="12"/>
      <c r="E21" s="12">
        <f t="shared" si="0"/>
        <v>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>
        <f t="shared" si="1"/>
        <v>0</v>
      </c>
      <c r="AL21" s="12"/>
      <c r="AM21" s="12">
        <f>'Orig ''02 Plan Net'!AK21</f>
        <v>0</v>
      </c>
      <c r="AN21" s="12"/>
      <c r="AO21" s="12">
        <f t="shared" si="2"/>
        <v>0</v>
      </c>
      <c r="AP21"/>
      <c r="AQ21"/>
      <c r="AR21" s="12"/>
    </row>
    <row r="22" spans="1:44" x14ac:dyDescent="0.2">
      <c r="A22" s="20" t="s">
        <v>13</v>
      </c>
      <c r="C22" s="12"/>
      <c r="D22" s="12"/>
      <c r="E22" s="12">
        <f t="shared" si="0"/>
        <v>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>
        <f t="shared" si="1"/>
        <v>0</v>
      </c>
      <c r="AL22" s="12"/>
      <c r="AM22" s="12">
        <f>'Orig ''02 Plan Net'!AK22</f>
        <v>0</v>
      </c>
      <c r="AN22" s="12"/>
      <c r="AO22" s="12">
        <f t="shared" si="2"/>
        <v>0</v>
      </c>
      <c r="AP22"/>
      <c r="AQ22"/>
      <c r="AR22" s="12"/>
    </row>
    <row r="23" spans="1:44" x14ac:dyDescent="0.2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/>
      <c r="AQ23"/>
      <c r="AR23" s="12"/>
    </row>
    <row r="24" spans="1:44" ht="13.5" thickBot="1" x14ac:dyDescent="0.25">
      <c r="A24" s="20" t="s">
        <v>32</v>
      </c>
      <c r="C24" s="16">
        <f>SUM(C13:C23)</f>
        <v>8346.9050000000007</v>
      </c>
      <c r="D24" s="12"/>
      <c r="E24" s="16">
        <f>SUM(E13:E23)</f>
        <v>834.69049999999993</v>
      </c>
      <c r="F24" s="14"/>
      <c r="G24" s="16">
        <f>SUM(G13:G23)</f>
        <v>1072.6420000000001</v>
      </c>
      <c r="H24" s="14"/>
      <c r="I24" s="16">
        <f>SUM(I13:I23)</f>
        <v>1200.6420000000001</v>
      </c>
      <c r="J24" s="12"/>
      <c r="K24" s="16">
        <f>SUM(K13:K23)</f>
        <v>896.05</v>
      </c>
      <c r="L24" s="12"/>
      <c r="M24" s="16">
        <f>SUM(M13:M23)</f>
        <v>930.45399999999995</v>
      </c>
      <c r="N24" s="12"/>
      <c r="O24" s="16">
        <f>SUM(O13:O23)</f>
        <v>913.745</v>
      </c>
      <c r="P24" s="14"/>
      <c r="Q24" s="16">
        <f>SUM(Q13:Q23)</f>
        <v>908.91899999999998</v>
      </c>
      <c r="R24" s="14"/>
      <c r="S24" s="16">
        <f>SUM(S13:S23)</f>
        <v>909.29100000000005</v>
      </c>
      <c r="T24" s="12"/>
      <c r="U24" s="16">
        <f>SUM(U13:U23)</f>
        <v>912.69299999999998</v>
      </c>
      <c r="V24" s="12"/>
      <c r="W24" s="16">
        <f>SUM(W13:W23)</f>
        <v>911.26600000000008</v>
      </c>
      <c r="X24" s="12"/>
      <c r="Y24" s="16">
        <f>SUM(Y13:Y23)</f>
        <v>910.30899999999997</v>
      </c>
      <c r="Z24" s="14"/>
      <c r="AA24" s="16">
        <f>SUM(AA13:AA23)</f>
        <v>911.44999999999982</v>
      </c>
      <c r="AB24" s="14"/>
      <c r="AC24" s="16">
        <f>SUM(AC13:AC23)</f>
        <v>910.46</v>
      </c>
      <c r="AD24" s="12"/>
      <c r="AE24" s="16">
        <f>SUM(AE13:AE23)</f>
        <v>911.14800000000014</v>
      </c>
      <c r="AF24" s="12"/>
      <c r="AG24" s="16">
        <f>(W24-M24)/M24</f>
        <v>-2.0622190887459108E-2</v>
      </c>
      <c r="AH24" s="12"/>
      <c r="AI24" s="16">
        <f>SUM(AI13:AI23)</f>
        <v>898.63400000000001</v>
      </c>
      <c r="AJ24" s="12"/>
      <c r="AK24" s="16">
        <f>SUM(AK13:AK23)</f>
        <v>10924.226266664276</v>
      </c>
      <c r="AL24" s="12"/>
      <c r="AM24" s="16">
        <f>'Orig ''02 Plan Net'!AK24</f>
        <v>10924.226266664276</v>
      </c>
      <c r="AN24" s="12"/>
      <c r="AO24" s="16">
        <f>SUM(AO13:AO23)</f>
        <v>0</v>
      </c>
      <c r="AP24"/>
      <c r="AQ24"/>
      <c r="AR24" s="12"/>
    </row>
    <row r="25" spans="1:44" ht="25.5" customHeight="1" thickTop="1" x14ac:dyDescent="0.2">
      <c r="A25" s="20"/>
      <c r="AE25" s="22"/>
      <c r="AP25"/>
      <c r="AQ25"/>
    </row>
    <row r="26" spans="1:44" x14ac:dyDescent="0.2">
      <c r="A26" s="20" t="s">
        <v>39</v>
      </c>
      <c r="B26"/>
      <c r="C26"/>
      <c r="D26"/>
      <c r="E26"/>
      <c r="F26"/>
      <c r="G26"/>
      <c r="H26"/>
      <c r="I26"/>
      <c r="J26"/>
      <c r="K26" s="21">
        <f>'Orig ''02 Plan Net'!K24</f>
        <v>896.05</v>
      </c>
      <c r="L26" s="37"/>
      <c r="M26" s="21">
        <f>'Orig ''02 Plan Net'!M24</f>
        <v>930.45399999999995</v>
      </c>
      <c r="N26" s="37"/>
      <c r="O26" s="21">
        <f>'Orig ''02 Plan Net'!O24</f>
        <v>913.745</v>
      </c>
      <c r="P26" s="37"/>
      <c r="Q26" s="21">
        <f>'Orig ''02 Plan Net'!Q24</f>
        <v>908.91899999999998</v>
      </c>
      <c r="R26" s="37"/>
      <c r="S26" s="21">
        <f>'Orig ''02 Plan Net'!S24</f>
        <v>909.29100000000005</v>
      </c>
      <c r="T26" s="37"/>
      <c r="U26" s="21">
        <f>'Orig ''02 Plan Net'!U24</f>
        <v>912.69299999999998</v>
      </c>
      <c r="V26" s="37"/>
      <c r="W26" s="21">
        <f>'Orig ''02 Plan Net'!W24</f>
        <v>911.26600000000008</v>
      </c>
      <c r="X26" s="37"/>
      <c r="Y26" s="21">
        <f>'Orig ''02 Plan Net'!Y24</f>
        <v>910.30899999999997</v>
      </c>
      <c r="Z26" s="37"/>
      <c r="AA26" s="21">
        <f>'Orig ''02 Plan Net'!AA24</f>
        <v>911.44999999999982</v>
      </c>
      <c r="AB26" s="37"/>
      <c r="AC26" s="21">
        <f>'Orig ''02 Plan Net'!AC24</f>
        <v>910.46</v>
      </c>
      <c r="AD26" s="37"/>
      <c r="AE26" s="21">
        <f>'Orig ''02 Plan Net'!AE24</f>
        <v>911.14800000000014</v>
      </c>
      <c r="AF26" s="37"/>
      <c r="AG26" s="37"/>
      <c r="AH26" s="37"/>
      <c r="AI26" s="21">
        <f>'Orig ''02 Plan Net'!AI24</f>
        <v>898.63400000000001</v>
      </c>
      <c r="AJ26" s="38"/>
      <c r="AK26" s="38"/>
      <c r="AL26" s="38"/>
      <c r="AM26" s="39"/>
      <c r="AP26"/>
      <c r="AQ26"/>
      <c r="AR26" s="39"/>
    </row>
    <row r="27" spans="1:44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44" x14ac:dyDescent="0.2">
      <c r="A28" t="s">
        <v>40</v>
      </c>
      <c r="B28"/>
      <c r="C28"/>
      <c r="D28"/>
      <c r="E28"/>
      <c r="F28"/>
      <c r="G28"/>
      <c r="H28"/>
      <c r="I28"/>
      <c r="J28"/>
      <c r="K28" s="21">
        <f>K24-K26</f>
        <v>0</v>
      </c>
      <c r="L28"/>
      <c r="M28" s="21">
        <f>M24-M26</f>
        <v>0</v>
      </c>
      <c r="N28"/>
      <c r="O28" s="21">
        <f>O24-O26</f>
        <v>0</v>
      </c>
      <c r="P28"/>
      <c r="Q28" s="21">
        <f>Q24-Q26</f>
        <v>0</v>
      </c>
      <c r="R28"/>
      <c r="S28" s="21">
        <f>S24-S26</f>
        <v>0</v>
      </c>
      <c r="T28"/>
      <c r="U28" s="21">
        <f>U24-U26</f>
        <v>0</v>
      </c>
      <c r="V28"/>
      <c r="W28" s="21">
        <f>W24-W26</f>
        <v>0</v>
      </c>
      <c r="X28"/>
      <c r="Y28" s="21">
        <f>Y24-Y26</f>
        <v>0</v>
      </c>
      <c r="Z28"/>
      <c r="AA28" s="21">
        <f>AA24-AA26</f>
        <v>0</v>
      </c>
      <c r="AB28"/>
      <c r="AC28" s="21">
        <f>AC24-AC26</f>
        <v>0</v>
      </c>
      <c r="AD28"/>
      <c r="AE28" s="21">
        <f>AE24-AE26</f>
        <v>0</v>
      </c>
      <c r="AF28"/>
      <c r="AG28"/>
      <c r="AH28"/>
      <c r="AI28" s="21">
        <f>AI24-AI26</f>
        <v>0</v>
      </c>
      <c r="AM28" s="21"/>
      <c r="AR28" s="21"/>
    </row>
    <row r="29" spans="1:44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44" x14ac:dyDescent="0.2">
      <c r="A30" t="s">
        <v>14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44" x14ac:dyDescent="0.2">
      <c r="A31" t="s">
        <v>46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44" x14ac:dyDescent="0.2">
      <c r="A32" s="23" t="s">
        <v>34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">
      <c r="A50" s="18" t="str">
        <f ca="1">CELL("filename")</f>
        <v>P:\Finance\ETS Operations\4th Qtr Fcst\4th Qtr Fcst Oct Act\LE Files\[OM EST - OPERATIONS - 2001 - 2002 REVISED FORMAT.xls]Gross</v>
      </c>
      <c r="B50" s="18"/>
      <c r="C50" s="15"/>
      <c r="D50" s="15"/>
      <c r="E50" s="15"/>
      <c r="F50" s="15"/>
      <c r="G50" s="15"/>
      <c r="H50" s="15"/>
      <c r="I50" s="15"/>
      <c r="J50" s="15"/>
      <c r="K50" s="15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5" x14ac:dyDescent="0.2">
      <c r="A51" s="19">
        <f ca="1">NOW()</f>
        <v>37221.704173958336</v>
      </c>
      <c r="B51" s="18"/>
      <c r="C51" s="15"/>
      <c r="D51" s="15"/>
      <c r="E51" s="15"/>
      <c r="F51" s="15"/>
      <c r="G51" s="15"/>
      <c r="H51" s="15"/>
      <c r="I51" s="15"/>
      <c r="J51" s="15"/>
      <c r="K51" s="15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5" x14ac:dyDescent="0.2">
      <c r="A52" s="18"/>
      <c r="B52" s="18"/>
      <c r="C52" s="15"/>
      <c r="D52" s="15"/>
      <c r="E52" s="15"/>
      <c r="F52" s="15"/>
      <c r="G52" s="15"/>
      <c r="H52" s="15"/>
      <c r="I52" s="15"/>
      <c r="J52" s="15"/>
      <c r="K52" s="15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5" x14ac:dyDescent="0.2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5" x14ac:dyDescent="0.2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5" x14ac:dyDescent="0.2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5" x14ac:dyDescent="0.2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5" x14ac:dyDescent="0.2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5" x14ac:dyDescent="0.2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5" x14ac:dyDescent="0.2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5" x14ac:dyDescent="0.2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5" x14ac:dyDescent="0.2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5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5" x14ac:dyDescent="0.2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5" x14ac:dyDescent="0.2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3:32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3:32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3:32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</sheetData>
  <phoneticPr fontId="0" type="noConversion"/>
  <printOptions horizontalCentered="1"/>
  <pageMargins left="0.25" right="0" top="0.75" bottom="1" header="0" footer="0.5"/>
  <pageSetup paperSize="5"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9"/>
  <sheetViews>
    <sheetView showGridLines="0" workbookViewId="0">
      <selection activeCell="AJ28" sqref="AJ28"/>
    </sheetView>
  </sheetViews>
  <sheetFormatPr defaultRowHeight="12.75" x14ac:dyDescent="0.2"/>
  <cols>
    <col min="1" max="1" width="23.140625" style="2" customWidth="1"/>
    <col min="2" max="2" width="2.140625" style="2" customWidth="1"/>
    <col min="3" max="3" width="6.7109375" style="25" customWidth="1"/>
    <col min="4" max="4" width="1.7109375" style="25" customWidth="1"/>
    <col min="5" max="5" width="6.7109375" style="25" customWidth="1"/>
    <col min="6" max="6" width="3.7109375" style="25" customWidth="1"/>
    <col min="7" max="7" width="6.7109375" style="25" customWidth="1"/>
    <col min="8" max="8" width="1.7109375" style="25" customWidth="1"/>
    <col min="9" max="9" width="6.7109375" style="25" customWidth="1"/>
    <col min="10" max="10" width="1.7109375" style="2" customWidth="1"/>
    <col min="11" max="11" width="10.7109375" style="2" customWidth="1"/>
    <col min="12" max="12" width="1.7109375" style="2" customWidth="1"/>
    <col min="13" max="13" width="10.140625" style="2" customWidth="1"/>
    <col min="14" max="14" width="1.7109375" style="2" customWidth="1"/>
    <col min="15" max="15" width="10.7109375" style="2" customWidth="1"/>
    <col min="16" max="16" width="1.7109375" style="2" customWidth="1"/>
    <col min="17" max="17" width="10.7109375" style="2" customWidth="1"/>
    <col min="18" max="18" width="1.7109375" style="2" customWidth="1"/>
    <col min="19" max="19" width="10.7109375" style="2" customWidth="1"/>
    <col min="20" max="20" width="1.7109375" style="2" customWidth="1"/>
    <col min="21" max="21" width="10.7109375" style="2" customWidth="1"/>
    <col min="22" max="22" width="1.7109375" style="2" customWidth="1"/>
    <col min="23" max="23" width="10.7109375" style="2" customWidth="1"/>
    <col min="24" max="24" width="1.7109375" style="2" customWidth="1"/>
    <col min="25" max="25" width="10.7109375" style="2" customWidth="1"/>
    <col min="26" max="26" width="1.7109375" style="2" customWidth="1"/>
    <col min="27" max="27" width="10.7109375" style="2" customWidth="1"/>
    <col min="28" max="28" width="1.7109375" style="2" customWidth="1"/>
    <col min="29" max="29" width="10.7109375" style="2" customWidth="1"/>
    <col min="30" max="30" width="1.7109375" style="2" customWidth="1"/>
    <col min="31" max="31" width="10.7109375" style="2" customWidth="1"/>
    <col min="32" max="32" width="1.7109375" style="2" customWidth="1"/>
    <col min="33" max="33" width="11.7109375" style="2" hidden="1" customWidth="1"/>
    <col min="34" max="34" width="1.85546875" style="2" hidden="1" customWidth="1"/>
    <col min="35" max="35" width="10.7109375" style="2" customWidth="1"/>
    <col min="36" max="36" width="1.7109375" style="2" customWidth="1"/>
    <col min="37" max="37" width="10.7109375" style="2" customWidth="1"/>
    <col min="43" max="16384" width="9.140625" style="2"/>
  </cols>
  <sheetData>
    <row r="1" spans="1:37" ht="15.75" x14ac:dyDescent="0.25">
      <c r="A1" s="1" t="s">
        <v>36</v>
      </c>
      <c r="B1" s="1"/>
      <c r="C1" s="24"/>
      <c r="D1" s="24"/>
      <c r="E1" s="24"/>
      <c r="F1" s="24"/>
      <c r="G1" s="24"/>
      <c r="H1" s="24"/>
      <c r="I1" s="2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7" ht="15.75" x14ac:dyDescent="0.25">
      <c r="A2" s="1" t="s">
        <v>16</v>
      </c>
      <c r="B2" s="1"/>
      <c r="C2" s="24"/>
      <c r="D2" s="24"/>
      <c r="E2" s="24"/>
      <c r="F2" s="24"/>
      <c r="G2" s="24"/>
      <c r="H2" s="24"/>
      <c r="I2" s="2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7" ht="15.75" x14ac:dyDescent="0.25">
      <c r="A3" s="1" t="s">
        <v>43</v>
      </c>
      <c r="B3" s="1"/>
      <c r="C3" s="24"/>
      <c r="D3" s="24"/>
      <c r="E3" s="24"/>
      <c r="F3" s="24"/>
      <c r="G3" s="24"/>
      <c r="H3" s="24"/>
      <c r="I3" s="2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7" ht="15.75" x14ac:dyDescent="0.25">
      <c r="A4" s="3" t="s">
        <v>35</v>
      </c>
      <c r="B4" s="1"/>
      <c r="C4" s="24"/>
      <c r="D4" s="24"/>
      <c r="E4" s="24"/>
      <c r="F4" s="24"/>
      <c r="G4" s="24"/>
      <c r="H4" s="24"/>
      <c r="I4" s="2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7" ht="15.75" x14ac:dyDescent="0.25">
      <c r="A5" s="3"/>
      <c r="B5" s="1"/>
      <c r="C5" s="24"/>
      <c r="D5" s="24"/>
      <c r="E5" s="24"/>
      <c r="F5" s="24"/>
      <c r="G5" s="24"/>
      <c r="H5" s="24"/>
      <c r="I5" s="2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7" x14ac:dyDescent="0.2">
      <c r="A6" s="4"/>
    </row>
    <row r="8" spans="1:37" s="11" customFormat="1" x14ac:dyDescent="0.2">
      <c r="C8" s="26"/>
      <c r="D8" s="26"/>
      <c r="E8" s="26"/>
      <c r="F8" s="26"/>
      <c r="G8" s="26"/>
      <c r="H8" s="26"/>
      <c r="I8" s="26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37" x14ac:dyDescent="0.2">
      <c r="E9" s="27"/>
      <c r="O9" s="6"/>
      <c r="Y9" s="6"/>
    </row>
    <row r="10" spans="1:37" x14ac:dyDescent="0.2">
      <c r="C10" s="27"/>
      <c r="D10" s="28"/>
      <c r="E10" s="27"/>
      <c r="F10" s="28"/>
      <c r="G10" s="27"/>
      <c r="H10" s="29"/>
      <c r="I10" s="27"/>
      <c r="J10"/>
      <c r="K10" s="6" t="s">
        <v>1</v>
      </c>
      <c r="M10" s="6" t="s">
        <v>1</v>
      </c>
      <c r="O10" s="6" t="s">
        <v>1</v>
      </c>
      <c r="P10"/>
      <c r="Q10" s="6" t="s">
        <v>1</v>
      </c>
      <c r="R10" s="9"/>
      <c r="S10" s="6" t="s">
        <v>1</v>
      </c>
      <c r="U10" s="6" t="s">
        <v>1</v>
      </c>
      <c r="W10" s="6" t="s">
        <v>1</v>
      </c>
      <c r="Y10" s="6" t="s">
        <v>1</v>
      </c>
      <c r="AA10" s="6" t="s">
        <v>1</v>
      </c>
      <c r="AB10" s="9"/>
      <c r="AC10" s="6" t="s">
        <v>1</v>
      </c>
      <c r="AE10" s="6" t="s">
        <v>1</v>
      </c>
      <c r="AG10" s="6" t="s">
        <v>0</v>
      </c>
      <c r="AI10" s="6" t="s">
        <v>1</v>
      </c>
      <c r="AK10" s="6" t="s">
        <v>1</v>
      </c>
    </row>
    <row r="11" spans="1:37" x14ac:dyDescent="0.2">
      <c r="C11" s="27"/>
      <c r="D11" s="27"/>
      <c r="E11" s="27"/>
      <c r="F11" s="27"/>
      <c r="G11" s="27"/>
      <c r="H11" s="27"/>
      <c r="I11" s="27"/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K11" s="6">
        <v>2002</v>
      </c>
    </row>
    <row r="12" spans="1:37" x14ac:dyDescent="0.2">
      <c r="A12" s="5" t="s">
        <v>4</v>
      </c>
      <c r="C12" s="30"/>
      <c r="D12" s="27"/>
      <c r="E12" s="30"/>
      <c r="F12" s="31"/>
      <c r="G12" s="30"/>
      <c r="H12" s="31"/>
      <c r="I12" s="30"/>
      <c r="J12" s="6"/>
      <c r="K12" s="7" t="s">
        <v>23</v>
      </c>
      <c r="M12" s="7" t="s">
        <v>24</v>
      </c>
      <c r="N12" s="6"/>
      <c r="O12" s="7" t="s">
        <v>25</v>
      </c>
      <c r="P12" s="10"/>
      <c r="Q12" s="7" t="s">
        <v>26</v>
      </c>
      <c r="R12" s="10"/>
      <c r="S12" s="7" t="s">
        <v>27</v>
      </c>
      <c r="T12" s="6"/>
      <c r="U12" s="7" t="s">
        <v>28</v>
      </c>
      <c r="W12" s="7" t="s">
        <v>29</v>
      </c>
      <c r="Y12" s="7" t="s">
        <v>30</v>
      </c>
      <c r="AA12" s="7" t="s">
        <v>31</v>
      </c>
      <c r="AB12" s="10"/>
      <c r="AC12" s="7" t="s">
        <v>17</v>
      </c>
      <c r="AD12" s="6"/>
      <c r="AE12" s="7" t="s">
        <v>21</v>
      </c>
      <c r="AF12" s="11"/>
      <c r="AG12" s="7" t="s">
        <v>5</v>
      </c>
      <c r="AH12" s="11"/>
      <c r="AI12" s="7" t="s">
        <v>22</v>
      </c>
      <c r="AJ12" s="11"/>
      <c r="AK12" s="7" t="s">
        <v>37</v>
      </c>
    </row>
    <row r="13" spans="1:37" x14ac:dyDescent="0.2">
      <c r="A13" s="20" t="s">
        <v>6</v>
      </c>
      <c r="C13" s="32"/>
      <c r="D13" s="32"/>
      <c r="E13" s="32"/>
      <c r="F13" s="32"/>
      <c r="G13" s="32"/>
      <c r="H13" s="32"/>
      <c r="I13" s="32"/>
      <c r="J13" s="12"/>
      <c r="K13" s="12">
        <f>464.596+21.14</f>
        <v>485.73599999999999</v>
      </c>
      <c r="L13" s="12"/>
      <c r="M13" s="12">
        <f>473.07+33.759</f>
        <v>506.82900000000001</v>
      </c>
      <c r="N13" s="12"/>
      <c r="O13" s="12">
        <f>473.785+22.039</f>
        <v>495.82400000000001</v>
      </c>
      <c r="P13" s="12"/>
      <c r="Q13" s="12">
        <f>471.8+22.039</f>
        <v>493.839</v>
      </c>
      <c r="R13" s="12"/>
      <c r="S13" s="12">
        <f>473.1+22.039</f>
        <v>495.13900000000001</v>
      </c>
      <c r="T13" s="12"/>
      <c r="U13" s="12">
        <f>476.755+22.039</f>
        <v>498.79399999999998</v>
      </c>
      <c r="V13" s="12"/>
      <c r="W13" s="12">
        <f>473.106+22.039</f>
        <v>495.14499999999998</v>
      </c>
      <c r="X13" s="12"/>
      <c r="Y13" s="12">
        <f>471.901+22.039</f>
        <v>493.94</v>
      </c>
      <c r="Z13" s="12"/>
      <c r="AA13" s="12">
        <f>473.826+22.039</f>
        <v>495.86500000000001</v>
      </c>
      <c r="AB13" s="12"/>
      <c r="AC13" s="12">
        <f>474.501+22.039</f>
        <v>496.53999999999996</v>
      </c>
      <c r="AD13" s="12"/>
      <c r="AE13" s="12">
        <f>474.103+22.039</f>
        <v>496.142</v>
      </c>
      <c r="AF13" s="12"/>
      <c r="AG13" s="12">
        <f>-448.4/11017</f>
        <v>-4.070073522737587E-2</v>
      </c>
      <c r="AH13" s="12"/>
      <c r="AI13" s="12">
        <f>464.482+22.039</f>
        <v>486.52100000000002</v>
      </c>
      <c r="AJ13" s="11"/>
      <c r="AK13" s="33">
        <f t="shared" ref="AK13:AK22" si="0">SUM(K13:AI13)</f>
        <v>5940.2732992647716</v>
      </c>
    </row>
    <row r="14" spans="1:37" x14ac:dyDescent="0.2">
      <c r="A14" s="20" t="s">
        <v>7</v>
      </c>
      <c r="C14" s="32"/>
      <c r="D14" s="32"/>
      <c r="E14" s="32"/>
      <c r="F14" s="32"/>
      <c r="G14" s="32"/>
      <c r="H14" s="32"/>
      <c r="I14" s="32"/>
      <c r="J14" s="12"/>
      <c r="K14" s="12">
        <f>68.439+2.9</f>
        <v>71.338999999999999</v>
      </c>
      <c r="L14" s="12"/>
      <c r="M14" s="12">
        <f>73.174+4.654</f>
        <v>77.828000000000003</v>
      </c>
      <c r="N14" s="12"/>
      <c r="O14" s="12">
        <f>76.624+3.039</f>
        <v>79.662999999999997</v>
      </c>
      <c r="P14" s="12"/>
      <c r="Q14" s="12">
        <f>73.174+3.039</f>
        <v>76.213000000000008</v>
      </c>
      <c r="R14" s="12"/>
      <c r="S14" s="12">
        <f>73.174+3.039</f>
        <v>76.213000000000008</v>
      </c>
      <c r="T14" s="12"/>
      <c r="U14" s="12">
        <f>76.624+3.039</f>
        <v>79.662999999999997</v>
      </c>
      <c r="V14" s="12"/>
      <c r="W14" s="12">
        <f>75.135+3.039</f>
        <v>78.174000000000007</v>
      </c>
      <c r="X14" s="12"/>
      <c r="Y14" s="12">
        <f>73.19+3.039</f>
        <v>76.228999999999999</v>
      </c>
      <c r="Z14" s="12"/>
      <c r="AA14" s="12">
        <f>73.656+3.039</f>
        <v>76.695000000000007</v>
      </c>
      <c r="AB14" s="12"/>
      <c r="AC14" s="12">
        <f>73.194+3.039</f>
        <v>76.233000000000004</v>
      </c>
      <c r="AD14" s="12"/>
      <c r="AE14" s="12">
        <f>73.194+3.039</f>
        <v>76.233000000000004</v>
      </c>
      <c r="AF14" s="12"/>
      <c r="AG14" s="12">
        <f>-102.4/1810</f>
        <v>-5.6574585635359116E-2</v>
      </c>
      <c r="AH14" s="12"/>
      <c r="AI14" s="12">
        <f>72.054+3.039</f>
        <v>75.093000000000004</v>
      </c>
      <c r="AJ14" s="11"/>
      <c r="AK14" s="33">
        <f t="shared" si="0"/>
        <v>919.51942541436483</v>
      </c>
    </row>
    <row r="15" spans="1:37" x14ac:dyDescent="0.2">
      <c r="A15" s="20" t="s">
        <v>10</v>
      </c>
      <c r="C15" s="32"/>
      <c r="D15" s="28"/>
      <c r="E15" s="32"/>
      <c r="F15" s="28"/>
      <c r="G15" s="32"/>
      <c r="H15" s="28"/>
      <c r="I15" s="32"/>
      <c r="J15" s="12"/>
      <c r="K15" s="12">
        <f>235.838+8.266</f>
        <v>244.10399999999998</v>
      </c>
      <c r="L15" s="12"/>
      <c r="M15" s="12">
        <f>236.11+13.2</f>
        <v>249.31</v>
      </c>
      <c r="N15" s="39"/>
      <c r="O15" s="12">
        <f>8.6+236.11</f>
        <v>244.71</v>
      </c>
      <c r="P15" s="39"/>
      <c r="Q15" s="12">
        <f>8.6+236.11</f>
        <v>244.71</v>
      </c>
      <c r="R15" s="39"/>
      <c r="S15" s="12">
        <f>8.6+236.11</f>
        <v>244.71</v>
      </c>
      <c r="T15" s="12"/>
      <c r="U15" s="12">
        <f>8.6+236.11</f>
        <v>244.71</v>
      </c>
      <c r="V15" s="12"/>
      <c r="W15" s="12">
        <f>8.6+236.11</f>
        <v>244.71</v>
      </c>
      <c r="X15" s="39"/>
      <c r="Y15" s="12">
        <f>8.6+236.11</f>
        <v>244.71</v>
      </c>
      <c r="Z15" s="39"/>
      <c r="AA15" s="12">
        <f>8.6+236.11</f>
        <v>244.71</v>
      </c>
      <c r="AB15" s="39"/>
      <c r="AC15" s="12">
        <f>8.6+236.11</f>
        <v>244.71</v>
      </c>
      <c r="AD15" s="12"/>
      <c r="AE15" s="12">
        <f>8.6+237.11</f>
        <v>245.71</v>
      </c>
      <c r="AF15" s="12"/>
      <c r="AG15" s="43">
        <f>-155.5/1959</f>
        <v>-7.937723328228688E-2</v>
      </c>
      <c r="AH15" s="12"/>
      <c r="AI15" s="12">
        <f>8.6+237.11</f>
        <v>245.71</v>
      </c>
      <c r="AJ15" s="11"/>
      <c r="AK15" s="33">
        <f t="shared" si="0"/>
        <v>2942.4346227667179</v>
      </c>
    </row>
    <row r="16" spans="1:37" x14ac:dyDescent="0.2">
      <c r="A16" s="20" t="s">
        <v>9</v>
      </c>
      <c r="C16" s="28"/>
      <c r="D16" s="28"/>
      <c r="E16" s="32"/>
      <c r="F16" s="28"/>
      <c r="G16" s="28"/>
      <c r="H16" s="28"/>
      <c r="I16" s="28"/>
      <c r="J16" s="12"/>
      <c r="K16" s="12">
        <f>186.25+9.095+0.369+5.7</f>
        <v>201.41399999999999</v>
      </c>
      <c r="L16" s="12"/>
      <c r="M16" s="39">
        <f>8.97+188.139+0.59+9.112</f>
        <v>206.81100000000001</v>
      </c>
      <c r="N16" s="39"/>
      <c r="O16" s="39">
        <f>187.229+8.97+5.948+0.385</f>
        <v>202.53200000000001</v>
      </c>
      <c r="P16" s="39"/>
      <c r="Q16" s="39">
        <f>187.114+9.095+5.948+0.385</f>
        <v>202.542</v>
      </c>
      <c r="R16" s="39"/>
      <c r="S16" s="39">
        <f>188.877+8.97+5.948+0.385</f>
        <v>204.18</v>
      </c>
      <c r="T16" s="12"/>
      <c r="U16" s="39">
        <f>186.477+9.17+5.948+0.385</f>
        <v>201.98</v>
      </c>
      <c r="V16" s="12"/>
      <c r="W16" s="39">
        <f>187.177+9.095+5.948+0.385</f>
        <v>202.60499999999999</v>
      </c>
      <c r="X16" s="39"/>
      <c r="Y16" s="39">
        <f>187.477+8.97+5.948+0.385</f>
        <v>202.78</v>
      </c>
      <c r="Z16" s="39"/>
      <c r="AA16" s="39">
        <f>186.547+8.97+5.948+0.385</f>
        <v>201.85</v>
      </c>
      <c r="AB16" s="39"/>
      <c r="AC16" s="39">
        <f>190.077+9.295+5.948+0.385</f>
        <v>205.70499999999998</v>
      </c>
      <c r="AD16" s="12"/>
      <c r="AE16" s="39">
        <f>186.277+8.97+5.948+0.385</f>
        <v>201.57999999999998</v>
      </c>
      <c r="AF16" s="12"/>
      <c r="AG16" s="12">
        <f>(W16-M16)/M16</f>
        <v>-2.0337409518836121E-2</v>
      </c>
      <c r="AH16" s="12"/>
      <c r="AI16" s="39">
        <f>186.234+9.005+5.948+0.385</f>
        <v>201.572</v>
      </c>
      <c r="AJ16" s="40"/>
      <c r="AK16" s="33">
        <f t="shared" si="0"/>
        <v>2435.5306625904809</v>
      </c>
    </row>
    <row r="17" spans="1:37" x14ac:dyDescent="0.2">
      <c r="A17" s="20" t="s">
        <v>45</v>
      </c>
      <c r="C17" s="28"/>
      <c r="D17" s="28"/>
      <c r="E17" s="32"/>
      <c r="F17" s="28"/>
      <c r="G17" s="28"/>
      <c r="H17" s="28"/>
      <c r="I17" s="28"/>
      <c r="J17" s="12"/>
      <c r="K17" s="12"/>
      <c r="L17" s="12"/>
      <c r="M17" s="39"/>
      <c r="N17" s="39"/>
      <c r="O17" s="39"/>
      <c r="P17" s="39"/>
      <c r="Q17" s="39"/>
      <c r="R17" s="39"/>
      <c r="S17" s="39"/>
      <c r="T17" s="12"/>
      <c r="U17" s="12"/>
      <c r="V17" s="12"/>
      <c r="W17" s="39"/>
      <c r="X17" s="39"/>
      <c r="Y17" s="39"/>
      <c r="Z17" s="39"/>
      <c r="AA17" s="39"/>
      <c r="AB17" s="39"/>
      <c r="AC17" s="39"/>
      <c r="AD17" s="12"/>
      <c r="AE17" s="12"/>
      <c r="AF17" s="12"/>
      <c r="AG17" s="12"/>
      <c r="AH17" s="12"/>
      <c r="AI17" s="12"/>
      <c r="AJ17" s="40"/>
      <c r="AK17" s="33">
        <f t="shared" si="0"/>
        <v>0</v>
      </c>
    </row>
    <row r="18" spans="1:37" x14ac:dyDescent="0.2">
      <c r="A18" s="20" t="s">
        <v>11</v>
      </c>
      <c r="C18" s="28"/>
      <c r="D18" s="28"/>
      <c r="E18" s="32"/>
      <c r="F18" s="28"/>
      <c r="G18" s="28"/>
      <c r="H18" s="28"/>
      <c r="I18" s="28"/>
      <c r="J18" s="12"/>
      <c r="K18" s="12"/>
      <c r="L18" s="12"/>
      <c r="M18" s="39"/>
      <c r="N18" s="39"/>
      <c r="O18" s="39"/>
      <c r="P18" s="39"/>
      <c r="Q18" s="39"/>
      <c r="R18" s="39"/>
      <c r="S18" s="39"/>
      <c r="T18" s="12"/>
      <c r="U18" s="12"/>
      <c r="V18" s="12"/>
      <c r="W18" s="39"/>
      <c r="X18" s="39"/>
      <c r="Y18" s="39"/>
      <c r="Z18" s="39"/>
      <c r="AA18" s="39"/>
      <c r="AB18" s="39"/>
      <c r="AC18" s="39"/>
      <c r="AD18" s="12"/>
      <c r="AE18" s="12"/>
      <c r="AF18" s="12"/>
      <c r="AG18" s="12"/>
      <c r="AH18" s="12"/>
      <c r="AI18" s="12"/>
      <c r="AJ18" s="40"/>
      <c r="AK18" s="33">
        <f t="shared" si="0"/>
        <v>0</v>
      </c>
    </row>
    <row r="19" spans="1:37" x14ac:dyDescent="0.2">
      <c r="A19" s="20" t="s">
        <v>44</v>
      </c>
      <c r="C19" s="28"/>
      <c r="D19" s="28"/>
      <c r="E19" s="32"/>
      <c r="F19" s="28"/>
      <c r="G19" s="28"/>
      <c r="H19" s="28"/>
      <c r="I19" s="28"/>
      <c r="J19" s="12"/>
      <c r="K19" s="12"/>
      <c r="L19" s="12"/>
      <c r="M19" s="39"/>
      <c r="N19" s="39"/>
      <c r="O19" s="39"/>
      <c r="P19" s="39"/>
      <c r="Q19" s="39"/>
      <c r="R19" s="39"/>
      <c r="S19" s="39"/>
      <c r="T19" s="12"/>
      <c r="U19" s="12"/>
      <c r="V19" s="12"/>
      <c r="W19" s="39"/>
      <c r="X19" s="39"/>
      <c r="Y19" s="39"/>
      <c r="Z19" s="39"/>
      <c r="AA19" s="39"/>
      <c r="AB19" s="39"/>
      <c r="AC19" s="39"/>
      <c r="AD19" s="12"/>
      <c r="AE19" s="12"/>
      <c r="AF19" s="12"/>
      <c r="AG19" s="12"/>
      <c r="AH19" s="12"/>
      <c r="AI19" s="12"/>
      <c r="AJ19" s="40"/>
      <c r="AK19" s="33">
        <f t="shared" si="0"/>
        <v>0</v>
      </c>
    </row>
    <row r="20" spans="1:37" x14ac:dyDescent="0.2">
      <c r="A20" s="20" t="s">
        <v>12</v>
      </c>
      <c r="C20" s="28"/>
      <c r="D20" s="28"/>
      <c r="E20" s="32"/>
      <c r="F20" s="28"/>
      <c r="G20" s="28"/>
      <c r="H20" s="28"/>
      <c r="I20" s="28"/>
      <c r="J20" s="12"/>
      <c r="K20" s="12">
        <v>312.70999999999998</v>
      </c>
      <c r="L20" s="12"/>
      <c r="M20" s="39">
        <v>307.863</v>
      </c>
      <c r="N20" s="39"/>
      <c r="O20" s="39">
        <v>314.82299999999998</v>
      </c>
      <c r="P20" s="39"/>
      <c r="Q20" s="39">
        <v>315.84800000000001</v>
      </c>
      <c r="R20" s="39"/>
      <c r="S20" s="39">
        <v>313.27300000000002</v>
      </c>
      <c r="T20" s="12"/>
      <c r="U20" s="12">
        <v>314.01799999999997</v>
      </c>
      <c r="V20" s="12"/>
      <c r="W20" s="39">
        <v>307.57299999999998</v>
      </c>
      <c r="X20" s="39"/>
      <c r="Y20" s="39">
        <v>307.71800000000002</v>
      </c>
      <c r="Z20" s="39"/>
      <c r="AA20" s="39">
        <v>316.35300000000001</v>
      </c>
      <c r="AB20" s="39"/>
      <c r="AC20" s="39">
        <v>322.62299999999999</v>
      </c>
      <c r="AD20" s="12"/>
      <c r="AE20" s="12">
        <v>308.363</v>
      </c>
      <c r="AF20" s="12"/>
      <c r="AG20" s="12"/>
      <c r="AH20" s="12"/>
      <c r="AI20" s="12">
        <v>312.38299999999998</v>
      </c>
      <c r="AJ20" s="40"/>
      <c r="AK20" s="33">
        <f t="shared" si="0"/>
        <v>3753.5479999999993</v>
      </c>
    </row>
    <row r="21" spans="1:37" x14ac:dyDescent="0.2">
      <c r="A21" s="20" t="s">
        <v>8</v>
      </c>
      <c r="C21" s="32"/>
      <c r="D21" s="32"/>
      <c r="E21" s="32"/>
      <c r="F21" s="32"/>
      <c r="G21" s="32"/>
      <c r="H21" s="32"/>
      <c r="I21" s="32"/>
      <c r="J21" s="12"/>
      <c r="K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K21" s="33">
        <f t="shared" si="0"/>
        <v>0</v>
      </c>
    </row>
    <row r="22" spans="1:37" x14ac:dyDescent="0.2">
      <c r="A22" s="20" t="s">
        <v>13</v>
      </c>
      <c r="C22" s="32"/>
      <c r="D22" s="32"/>
      <c r="E22" s="32"/>
      <c r="F22" s="32"/>
      <c r="G22" s="32"/>
      <c r="H22" s="32"/>
      <c r="I22" s="32"/>
      <c r="J22" s="12"/>
      <c r="K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G22" s="13"/>
      <c r="AK22" s="33">
        <f t="shared" si="0"/>
        <v>0</v>
      </c>
    </row>
    <row r="23" spans="1:37" x14ac:dyDescent="0.2">
      <c r="C23" s="32"/>
      <c r="D23" s="32"/>
      <c r="E23" s="32"/>
      <c r="F23" s="32"/>
      <c r="G23" s="32"/>
      <c r="H23" s="32"/>
      <c r="I23" s="3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</row>
    <row r="24" spans="1:37" ht="13.5" thickBot="1" x14ac:dyDescent="0.25">
      <c r="A24" s="20" t="s">
        <v>32</v>
      </c>
      <c r="C24" s="34">
        <f>SUM(C13:C23)</f>
        <v>0</v>
      </c>
      <c r="D24" s="32"/>
      <c r="E24" s="34">
        <f>SUM(E13:E23)</f>
        <v>0</v>
      </c>
      <c r="F24" s="35"/>
      <c r="G24" s="34">
        <f>SUM(G13:G23)</f>
        <v>0</v>
      </c>
      <c r="H24" s="35"/>
      <c r="I24" s="34">
        <f>SUM(I13:I23)</f>
        <v>0</v>
      </c>
      <c r="J24" s="12"/>
      <c r="K24" s="16">
        <f>SUM(K13:K23)</f>
        <v>1315.3030000000001</v>
      </c>
      <c r="L24" s="12"/>
      <c r="M24" s="16">
        <f>SUM(M13:M23)</f>
        <v>1348.6410000000001</v>
      </c>
      <c r="N24" s="12"/>
      <c r="O24" s="16">
        <f>SUM(O13:O23)</f>
        <v>1337.5520000000001</v>
      </c>
      <c r="P24" s="14"/>
      <c r="Q24" s="16">
        <f>SUM(Q13:Q23)</f>
        <v>1333.152</v>
      </c>
      <c r="R24" s="14"/>
      <c r="S24" s="16">
        <f>SUM(S13:S23)</f>
        <v>1333.5149999999999</v>
      </c>
      <c r="T24" s="12"/>
      <c r="U24" s="16">
        <f>SUM(U13:U23)</f>
        <v>1339.165</v>
      </c>
      <c r="V24" s="12"/>
      <c r="W24" s="16">
        <f>SUM(W13:W23)</f>
        <v>1328.2069999999999</v>
      </c>
      <c r="X24" s="12"/>
      <c r="Y24" s="16">
        <f>SUM(Y13:Y23)</f>
        <v>1325.377</v>
      </c>
      <c r="Z24" s="14"/>
      <c r="AA24" s="16">
        <f>SUM(AA13:AA23)</f>
        <v>1335.4730000000002</v>
      </c>
      <c r="AB24" s="14"/>
      <c r="AC24" s="16">
        <f>SUM(AC13:AC23)</f>
        <v>1345.8109999999999</v>
      </c>
      <c r="AD24" s="12"/>
      <c r="AE24" s="16">
        <f>SUM(AE13:AE23)</f>
        <v>1328.028</v>
      </c>
      <c r="AF24" s="12"/>
      <c r="AG24" s="17">
        <f>(W24-M24)/M24</f>
        <v>-1.5151548855477622E-2</v>
      </c>
      <c r="AI24" s="16">
        <f>SUM(AI13:AI23)</f>
        <v>1321.279</v>
      </c>
      <c r="AK24" s="16">
        <f>SUM(AK13:AK23)</f>
        <v>15991.306010036335</v>
      </c>
    </row>
    <row r="25" spans="1:37" ht="25.5" customHeight="1" thickTop="1" x14ac:dyDescent="0.2">
      <c r="A25" s="20"/>
      <c r="AE25" s="22"/>
    </row>
    <row r="26" spans="1:37" x14ac:dyDescent="0.2">
      <c r="A26"/>
      <c r="B26"/>
      <c r="C26" s="28"/>
      <c r="D26" s="28"/>
      <c r="E26" s="28"/>
      <c r="F26" s="28"/>
      <c r="G26" s="28"/>
      <c r="H26" s="28"/>
      <c r="I26" s="2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7" x14ac:dyDescent="0.2">
      <c r="A27" t="s">
        <v>14</v>
      </c>
      <c r="B27"/>
      <c r="C27" s="28"/>
      <c r="D27" s="28"/>
      <c r="E27" s="28"/>
      <c r="F27" s="28"/>
      <c r="G27" s="28"/>
      <c r="H27" s="28"/>
      <c r="I27" s="28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37" x14ac:dyDescent="0.2">
      <c r="A28" t="s">
        <v>46</v>
      </c>
      <c r="B28"/>
      <c r="C28" s="28"/>
      <c r="D28" s="28"/>
      <c r="E28" s="28"/>
      <c r="F28" s="28"/>
      <c r="G28" s="28"/>
      <c r="H28" s="28"/>
      <c r="I28" s="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7" x14ac:dyDescent="0.2">
      <c r="A29" s="23"/>
      <c r="B29"/>
      <c r="C29" s="28"/>
      <c r="D29" s="28"/>
      <c r="E29" s="28"/>
      <c r="F29" s="28"/>
      <c r="G29" s="28"/>
      <c r="H29" s="28"/>
      <c r="I29" s="2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7" x14ac:dyDescent="0.2">
      <c r="A30"/>
      <c r="B30"/>
      <c r="C30" s="28"/>
      <c r="D30" s="28"/>
      <c r="E30" s="28"/>
      <c r="F30" s="28"/>
      <c r="G30" s="28"/>
      <c r="H30" s="28"/>
      <c r="I30" s="28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7" x14ac:dyDescent="0.2">
      <c r="A31"/>
      <c r="B31"/>
      <c r="C31" s="28"/>
      <c r="D31" s="28"/>
      <c r="E31" s="28"/>
      <c r="F31" s="28"/>
      <c r="G31" s="28"/>
      <c r="H31" s="28"/>
      <c r="I31" s="28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7" x14ac:dyDescent="0.2">
      <c r="A32"/>
      <c r="B32"/>
      <c r="C32" s="28"/>
      <c r="D32" s="28"/>
      <c r="E32" s="28"/>
      <c r="F32" s="28"/>
      <c r="G32" s="28"/>
      <c r="H32" s="28"/>
      <c r="I32" s="2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2">
      <c r="A33"/>
      <c r="B33"/>
      <c r="C33" s="28"/>
      <c r="D33" s="28"/>
      <c r="E33" s="28"/>
      <c r="F33" s="28"/>
      <c r="G33" s="28"/>
      <c r="H33" s="28"/>
      <c r="I33" s="28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2">
      <c r="A34"/>
      <c r="B34"/>
      <c r="C34" s="28"/>
      <c r="D34" s="28"/>
      <c r="E34" s="28"/>
      <c r="F34" s="28"/>
      <c r="G34" s="28"/>
      <c r="H34" s="28"/>
      <c r="I34" s="28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2">
      <c r="A35"/>
      <c r="B35"/>
      <c r="C35" s="28"/>
      <c r="D35" s="28"/>
      <c r="E35" s="28"/>
      <c r="F35" s="28"/>
      <c r="G35" s="28"/>
      <c r="H35" s="28"/>
      <c r="I35" s="2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">
      <c r="A36"/>
      <c r="B36"/>
      <c r="C36" s="28"/>
      <c r="D36" s="28"/>
      <c r="E36" s="28"/>
      <c r="F36" s="28"/>
      <c r="G36" s="28"/>
      <c r="H36" s="28"/>
      <c r="I36" s="28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2">
      <c r="A37"/>
      <c r="B37"/>
      <c r="C37" s="28"/>
      <c r="D37" s="28"/>
      <c r="E37" s="28"/>
      <c r="F37" s="28"/>
      <c r="G37" s="28"/>
      <c r="H37" s="28"/>
      <c r="I37" s="28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2">
      <c r="A38"/>
      <c r="B38"/>
      <c r="C38" s="28"/>
      <c r="D38" s="28"/>
      <c r="E38" s="28"/>
      <c r="F38" s="28"/>
      <c r="G38" s="28"/>
      <c r="H38" s="28"/>
      <c r="I38" s="2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2">
      <c r="A39"/>
      <c r="B39"/>
      <c r="C39" s="28"/>
      <c r="D39" s="28"/>
      <c r="E39" s="28"/>
      <c r="F39" s="28"/>
      <c r="G39" s="28"/>
      <c r="H39" s="28"/>
      <c r="I39" s="28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2">
      <c r="A40"/>
      <c r="B40"/>
      <c r="C40" s="28"/>
      <c r="D40" s="28"/>
      <c r="E40" s="28"/>
      <c r="F40" s="28"/>
      <c r="G40" s="28"/>
      <c r="H40" s="28"/>
      <c r="I40" s="28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">
      <c r="A41"/>
      <c r="B41"/>
      <c r="C41" s="28"/>
      <c r="D41" s="28"/>
      <c r="E41" s="28"/>
      <c r="F41" s="28"/>
      <c r="G41" s="28"/>
      <c r="H41" s="28"/>
      <c r="I41" s="28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2">
      <c r="A42"/>
      <c r="B42"/>
      <c r="C42" s="28"/>
      <c r="D42" s="28"/>
      <c r="E42" s="28"/>
      <c r="F42" s="28"/>
      <c r="G42" s="28"/>
      <c r="H42" s="28"/>
      <c r="I42" s="28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">
      <c r="A43"/>
      <c r="B43"/>
      <c r="C43" s="28"/>
      <c r="D43" s="28"/>
      <c r="E43" s="28"/>
      <c r="F43" s="28"/>
      <c r="G43" s="28"/>
      <c r="H43" s="28"/>
      <c r="I43" s="28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">
      <c r="A44"/>
      <c r="B44"/>
      <c r="C44" s="28"/>
      <c r="D44" s="28"/>
      <c r="E44" s="28"/>
      <c r="F44" s="28"/>
      <c r="G44" s="28"/>
      <c r="H44" s="28"/>
      <c r="I44" s="28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2">
      <c r="A45"/>
      <c r="B45"/>
      <c r="C45" s="28"/>
      <c r="D45" s="28"/>
      <c r="E45" s="28"/>
      <c r="F45" s="28"/>
      <c r="G45" s="28"/>
      <c r="H45" s="28"/>
      <c r="I45" s="28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2">
      <c r="A46"/>
      <c r="B46"/>
      <c r="C46" s="28"/>
      <c r="D46" s="28"/>
      <c r="E46" s="28"/>
      <c r="F46" s="28"/>
      <c r="G46" s="28"/>
      <c r="H46" s="28"/>
      <c r="I46" s="28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">
      <c r="A47" s="18" t="str">
        <f ca="1">CELL("filename")</f>
        <v>P:\Finance\ETS Operations\4th Qtr Fcst\4th Qtr Fcst Oct Act\LE Files\[OM EST - OPERATIONS - 2001 - 2002 REVISED FORMAT.xls]Gross</v>
      </c>
      <c r="B47" s="18"/>
      <c r="C47" s="36"/>
      <c r="D47" s="36"/>
      <c r="E47" s="36"/>
      <c r="F47" s="36"/>
      <c r="G47" s="36"/>
      <c r="H47" s="36"/>
      <c r="I47" s="36"/>
      <c r="J47" s="15"/>
      <c r="K47" s="15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5" x14ac:dyDescent="0.2">
      <c r="A48" s="19">
        <f ca="1">NOW()</f>
        <v>37221.704173958336</v>
      </c>
      <c r="B48" s="18"/>
      <c r="C48" s="36"/>
      <c r="D48" s="36"/>
      <c r="E48" s="36"/>
      <c r="F48" s="36"/>
      <c r="G48" s="36"/>
      <c r="H48" s="36"/>
      <c r="I48" s="36"/>
      <c r="J48" s="15"/>
      <c r="K48" s="15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x14ac:dyDescent="0.2">
      <c r="A49" s="18"/>
      <c r="B49" s="18"/>
      <c r="C49" s="36"/>
      <c r="D49" s="36"/>
      <c r="E49" s="36"/>
      <c r="F49" s="36"/>
      <c r="G49" s="36"/>
      <c r="H49" s="36"/>
      <c r="I49" s="36"/>
      <c r="J49" s="15"/>
      <c r="K49" s="15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">
      <c r="C50" s="32"/>
      <c r="D50" s="32"/>
      <c r="E50" s="32"/>
      <c r="F50" s="32"/>
      <c r="G50" s="32"/>
      <c r="H50" s="32"/>
      <c r="I50" s="3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">
      <c r="C51" s="32"/>
      <c r="D51" s="32"/>
      <c r="E51" s="32"/>
      <c r="F51" s="32"/>
      <c r="G51" s="32"/>
      <c r="H51" s="32"/>
      <c r="I51" s="3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x14ac:dyDescent="0.2">
      <c r="C52" s="32"/>
      <c r="D52" s="32"/>
      <c r="E52" s="32"/>
      <c r="F52" s="32"/>
      <c r="G52" s="32"/>
      <c r="H52" s="32"/>
      <c r="I52" s="3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x14ac:dyDescent="0.2">
      <c r="C53" s="32"/>
      <c r="D53" s="32"/>
      <c r="E53" s="32"/>
      <c r="F53" s="32"/>
      <c r="G53" s="32"/>
      <c r="H53" s="32"/>
      <c r="I53" s="3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x14ac:dyDescent="0.2">
      <c r="C54" s="32"/>
      <c r="D54" s="32"/>
      <c r="E54" s="32"/>
      <c r="F54" s="32"/>
      <c r="G54" s="32"/>
      <c r="H54" s="32"/>
      <c r="I54" s="3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2">
      <c r="C55" s="32"/>
      <c r="D55" s="32"/>
      <c r="E55" s="32"/>
      <c r="F55" s="32"/>
      <c r="G55" s="32"/>
      <c r="H55" s="32"/>
      <c r="I55" s="3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x14ac:dyDescent="0.2">
      <c r="C56" s="32"/>
      <c r="D56" s="32"/>
      <c r="E56" s="32"/>
      <c r="F56" s="32"/>
      <c r="G56" s="32"/>
      <c r="H56" s="32"/>
      <c r="I56" s="3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x14ac:dyDescent="0.2">
      <c r="C57" s="32"/>
      <c r="D57" s="32"/>
      <c r="E57" s="32"/>
      <c r="F57" s="32"/>
      <c r="G57" s="32"/>
      <c r="H57" s="32"/>
      <c r="I57" s="3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x14ac:dyDescent="0.2">
      <c r="C58" s="32"/>
      <c r="D58" s="32"/>
      <c r="E58" s="32"/>
      <c r="F58" s="32"/>
      <c r="G58" s="32"/>
      <c r="H58" s="32"/>
      <c r="I58" s="3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x14ac:dyDescent="0.2">
      <c r="C59" s="32"/>
      <c r="D59" s="32"/>
      <c r="E59" s="32"/>
      <c r="F59" s="32"/>
      <c r="G59" s="32"/>
      <c r="H59" s="32"/>
      <c r="I59" s="3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x14ac:dyDescent="0.2">
      <c r="C60" s="32"/>
      <c r="D60" s="32"/>
      <c r="E60" s="32"/>
      <c r="F60" s="32"/>
      <c r="G60" s="32"/>
      <c r="H60" s="32"/>
      <c r="I60" s="3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x14ac:dyDescent="0.2">
      <c r="C61" s="32"/>
      <c r="D61" s="32"/>
      <c r="E61" s="32"/>
      <c r="F61" s="32"/>
      <c r="G61" s="32"/>
      <c r="H61" s="32"/>
      <c r="I61" s="3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x14ac:dyDescent="0.2">
      <c r="C62" s="32"/>
      <c r="D62" s="32"/>
      <c r="E62" s="32"/>
      <c r="F62" s="32"/>
      <c r="G62" s="32"/>
      <c r="H62" s="32"/>
      <c r="I62" s="3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x14ac:dyDescent="0.2">
      <c r="C63" s="32"/>
      <c r="D63" s="32"/>
      <c r="E63" s="32"/>
      <c r="F63" s="32"/>
      <c r="G63" s="32"/>
      <c r="H63" s="32"/>
      <c r="I63" s="3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x14ac:dyDescent="0.2">
      <c r="C64" s="32"/>
      <c r="D64" s="32"/>
      <c r="E64" s="32"/>
      <c r="F64" s="32"/>
      <c r="G64" s="32"/>
      <c r="H64" s="32"/>
      <c r="I64" s="3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">
      <c r="C65" s="32"/>
      <c r="D65" s="32"/>
      <c r="E65" s="32"/>
      <c r="F65" s="32"/>
      <c r="G65" s="32"/>
      <c r="H65" s="32"/>
      <c r="I65" s="3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">
      <c r="C66" s="32"/>
      <c r="D66" s="32"/>
      <c r="E66" s="32"/>
      <c r="F66" s="32"/>
      <c r="G66" s="32"/>
      <c r="H66" s="32"/>
      <c r="I66" s="3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">
      <c r="C67" s="32"/>
      <c r="D67" s="32"/>
      <c r="E67" s="32"/>
      <c r="F67" s="32"/>
      <c r="G67" s="32"/>
      <c r="H67" s="32"/>
      <c r="I67" s="3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">
      <c r="C68" s="32"/>
      <c r="D68" s="32"/>
      <c r="E68" s="32"/>
      <c r="F68" s="32"/>
      <c r="G68" s="32"/>
      <c r="H68" s="32"/>
      <c r="I68" s="3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">
      <c r="C69" s="32"/>
      <c r="D69" s="32"/>
      <c r="E69" s="32"/>
      <c r="F69" s="32"/>
      <c r="G69" s="32"/>
      <c r="H69" s="32"/>
      <c r="I69" s="3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">
      <c r="C70" s="32"/>
      <c r="D70" s="32"/>
      <c r="E70" s="32"/>
      <c r="F70" s="32"/>
      <c r="G70" s="32"/>
      <c r="H70" s="32"/>
      <c r="I70" s="3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">
      <c r="C71" s="32"/>
      <c r="D71" s="32"/>
      <c r="E71" s="32"/>
      <c r="F71" s="32"/>
      <c r="G71" s="32"/>
      <c r="H71" s="32"/>
      <c r="I71" s="3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">
      <c r="C72" s="32"/>
      <c r="D72" s="32"/>
      <c r="E72" s="32"/>
      <c r="F72" s="32"/>
      <c r="G72" s="32"/>
      <c r="H72" s="32"/>
      <c r="I72" s="3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">
      <c r="C73" s="32"/>
      <c r="D73" s="32"/>
      <c r="E73" s="32"/>
      <c r="F73" s="32"/>
      <c r="G73" s="32"/>
      <c r="H73" s="32"/>
      <c r="I73" s="3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">
      <c r="C74" s="32"/>
      <c r="D74" s="32"/>
      <c r="E74" s="32"/>
      <c r="F74" s="32"/>
      <c r="G74" s="32"/>
      <c r="H74" s="32"/>
      <c r="I74" s="3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">
      <c r="C75" s="32"/>
      <c r="D75" s="32"/>
      <c r="E75" s="32"/>
      <c r="F75" s="32"/>
      <c r="G75" s="32"/>
      <c r="H75" s="32"/>
      <c r="I75" s="3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">
      <c r="C76" s="32"/>
      <c r="D76" s="32"/>
      <c r="E76" s="32"/>
      <c r="F76" s="32"/>
      <c r="G76" s="32"/>
      <c r="H76" s="32"/>
      <c r="I76" s="3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">
      <c r="C77" s="32"/>
      <c r="D77" s="32"/>
      <c r="E77" s="32"/>
      <c r="F77" s="32"/>
      <c r="G77" s="32"/>
      <c r="H77" s="32"/>
      <c r="I77" s="3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">
      <c r="C78" s="32"/>
      <c r="D78" s="32"/>
      <c r="E78" s="32"/>
      <c r="F78" s="32"/>
      <c r="G78" s="32"/>
      <c r="H78" s="32"/>
      <c r="I78" s="3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">
      <c r="C79" s="32"/>
      <c r="D79" s="32"/>
      <c r="E79" s="32"/>
      <c r="F79" s="32"/>
      <c r="G79" s="32"/>
      <c r="H79" s="32"/>
      <c r="I79" s="3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">
      <c r="C80" s="32"/>
      <c r="D80" s="32"/>
      <c r="E80" s="32"/>
      <c r="F80" s="32"/>
      <c r="G80" s="32"/>
      <c r="H80" s="32"/>
      <c r="I80" s="3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">
      <c r="C81" s="32"/>
      <c r="D81" s="32"/>
      <c r="E81" s="32"/>
      <c r="F81" s="32"/>
      <c r="G81" s="32"/>
      <c r="H81" s="32"/>
      <c r="I81" s="3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">
      <c r="C82" s="32"/>
      <c r="D82" s="32"/>
      <c r="E82" s="32"/>
      <c r="F82" s="32"/>
      <c r="G82" s="32"/>
      <c r="H82" s="32"/>
      <c r="I82" s="3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">
      <c r="C83" s="32"/>
      <c r="D83" s="32"/>
      <c r="E83" s="32"/>
      <c r="F83" s="32"/>
      <c r="G83" s="32"/>
      <c r="H83" s="32"/>
      <c r="I83" s="3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">
      <c r="C84" s="32"/>
      <c r="D84" s="32"/>
      <c r="E84" s="32"/>
      <c r="F84" s="32"/>
      <c r="G84" s="32"/>
      <c r="H84" s="32"/>
      <c r="I84" s="3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">
      <c r="C85" s="32"/>
      <c r="D85" s="32"/>
      <c r="E85" s="32"/>
      <c r="F85" s="32"/>
      <c r="G85" s="32"/>
      <c r="H85" s="32"/>
      <c r="I85" s="3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">
      <c r="C86" s="32"/>
      <c r="D86" s="32"/>
      <c r="E86" s="32"/>
      <c r="F86" s="32"/>
      <c r="G86" s="32"/>
      <c r="H86" s="32"/>
      <c r="I86" s="3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">
      <c r="C87" s="32"/>
      <c r="D87" s="32"/>
      <c r="E87" s="32"/>
      <c r="F87" s="32"/>
      <c r="G87" s="32"/>
      <c r="H87" s="32"/>
      <c r="I87" s="3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">
      <c r="C88" s="32"/>
      <c r="D88" s="32"/>
      <c r="E88" s="32"/>
      <c r="F88" s="32"/>
      <c r="G88" s="32"/>
      <c r="H88" s="32"/>
      <c r="I88" s="3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">
      <c r="C89" s="32"/>
      <c r="D89" s="32"/>
      <c r="E89" s="32"/>
      <c r="F89" s="32"/>
      <c r="G89" s="32"/>
      <c r="H89" s="32"/>
      <c r="I89" s="3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">
      <c r="C90" s="32"/>
      <c r="D90" s="32"/>
      <c r="E90" s="32"/>
      <c r="F90" s="32"/>
      <c r="G90" s="32"/>
      <c r="H90" s="32"/>
      <c r="I90" s="3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">
      <c r="C91" s="32"/>
      <c r="D91" s="32"/>
      <c r="E91" s="32"/>
      <c r="F91" s="32"/>
      <c r="G91" s="32"/>
      <c r="H91" s="32"/>
      <c r="I91" s="3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">
      <c r="C92" s="32"/>
      <c r="D92" s="32"/>
      <c r="E92" s="32"/>
      <c r="F92" s="32"/>
      <c r="G92" s="32"/>
      <c r="H92" s="32"/>
      <c r="I92" s="3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">
      <c r="C93" s="32"/>
      <c r="D93" s="32"/>
      <c r="E93" s="32"/>
      <c r="F93" s="32"/>
      <c r="G93" s="32"/>
      <c r="H93" s="32"/>
      <c r="I93" s="3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">
      <c r="C94" s="32"/>
      <c r="D94" s="32"/>
      <c r="E94" s="32"/>
      <c r="F94" s="32"/>
      <c r="G94" s="32"/>
      <c r="H94" s="32"/>
      <c r="I94" s="3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">
      <c r="C95" s="32"/>
      <c r="D95" s="32"/>
      <c r="E95" s="32"/>
      <c r="F95" s="32"/>
      <c r="G95" s="32"/>
      <c r="H95" s="32"/>
      <c r="I95" s="3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">
      <c r="C96" s="32"/>
      <c r="D96" s="32"/>
      <c r="E96" s="32"/>
      <c r="F96" s="32"/>
      <c r="G96" s="32"/>
      <c r="H96" s="32"/>
      <c r="I96" s="3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">
      <c r="C97" s="32"/>
      <c r="D97" s="32"/>
      <c r="E97" s="32"/>
      <c r="F97" s="32"/>
      <c r="G97" s="32"/>
      <c r="H97" s="32"/>
      <c r="I97" s="3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">
      <c r="C98" s="32"/>
      <c r="D98" s="32"/>
      <c r="E98" s="32"/>
      <c r="F98" s="32"/>
      <c r="G98" s="32"/>
      <c r="H98" s="32"/>
      <c r="I98" s="3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">
      <c r="C99" s="32"/>
      <c r="D99" s="32"/>
      <c r="E99" s="32"/>
      <c r="F99" s="32"/>
      <c r="G99" s="32"/>
      <c r="H99" s="32"/>
      <c r="I99" s="3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">
      <c r="C100" s="32"/>
      <c r="D100" s="32"/>
      <c r="E100" s="32"/>
      <c r="F100" s="32"/>
      <c r="G100" s="32"/>
      <c r="H100" s="32"/>
      <c r="I100" s="3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">
      <c r="C101" s="32"/>
      <c r="D101" s="32"/>
      <c r="E101" s="32"/>
      <c r="F101" s="32"/>
      <c r="G101" s="32"/>
      <c r="H101" s="32"/>
      <c r="I101" s="3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">
      <c r="C102" s="32"/>
      <c r="D102" s="32"/>
      <c r="E102" s="32"/>
      <c r="F102" s="32"/>
      <c r="G102" s="32"/>
      <c r="H102" s="32"/>
      <c r="I102" s="3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">
      <c r="C103" s="32"/>
      <c r="D103" s="32"/>
      <c r="E103" s="32"/>
      <c r="F103" s="32"/>
      <c r="G103" s="32"/>
      <c r="H103" s="32"/>
      <c r="I103" s="3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">
      <c r="C104" s="32"/>
      <c r="D104" s="32"/>
      <c r="E104" s="32"/>
      <c r="F104" s="32"/>
      <c r="G104" s="32"/>
      <c r="H104" s="32"/>
      <c r="I104" s="3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">
      <c r="C105" s="32"/>
      <c r="D105" s="32"/>
      <c r="E105" s="32"/>
      <c r="F105" s="32"/>
      <c r="G105" s="32"/>
      <c r="H105" s="32"/>
      <c r="I105" s="3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">
      <c r="C106" s="32"/>
      <c r="D106" s="32"/>
      <c r="E106" s="32"/>
      <c r="F106" s="32"/>
      <c r="G106" s="32"/>
      <c r="H106" s="32"/>
      <c r="I106" s="3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">
      <c r="C107" s="32"/>
      <c r="D107" s="32"/>
      <c r="E107" s="32"/>
      <c r="F107" s="32"/>
      <c r="G107" s="32"/>
      <c r="H107" s="32"/>
      <c r="I107" s="3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">
      <c r="C108" s="32"/>
      <c r="D108" s="32"/>
      <c r="E108" s="32"/>
      <c r="F108" s="32"/>
      <c r="G108" s="32"/>
      <c r="H108" s="32"/>
      <c r="I108" s="3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">
      <c r="C109" s="32"/>
      <c r="D109" s="32"/>
      <c r="E109" s="32"/>
      <c r="F109" s="32"/>
      <c r="G109" s="32"/>
      <c r="H109" s="32"/>
      <c r="I109" s="3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</sheetData>
  <phoneticPr fontId="0" type="noConversion"/>
  <printOptions horizontalCentered="1"/>
  <pageMargins left="0" right="0" top="0.75" bottom="1" header="0" footer="0.5"/>
  <pageSetup paperSize="5" scale="7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9"/>
  <sheetViews>
    <sheetView showGridLines="0" tabSelected="1" workbookViewId="0">
      <selection activeCell="A18" sqref="A18"/>
    </sheetView>
  </sheetViews>
  <sheetFormatPr defaultRowHeight="12.75" x14ac:dyDescent="0.2"/>
  <cols>
    <col min="1" max="1" width="23.140625" style="2" customWidth="1"/>
    <col min="2" max="2" width="2.140625" style="2" customWidth="1"/>
    <col min="3" max="3" width="6.7109375" style="2" customWidth="1"/>
    <col min="4" max="4" width="1.7109375" style="2" customWidth="1"/>
    <col min="5" max="5" width="6.7109375" style="2" customWidth="1"/>
    <col min="6" max="6" width="3.7109375" style="2" customWidth="1"/>
    <col min="7" max="7" width="6.7109375" style="2" customWidth="1"/>
    <col min="8" max="8" width="1.7109375" style="2" customWidth="1"/>
    <col min="9" max="9" width="6.7109375" style="2" customWidth="1"/>
    <col min="10" max="10" width="1.7109375" style="2" customWidth="1"/>
    <col min="11" max="11" width="6.7109375" style="2" customWidth="1"/>
    <col min="12" max="12" width="1.7109375" style="2" customWidth="1"/>
    <col min="13" max="13" width="6.7109375" style="2" customWidth="1"/>
    <col min="14" max="14" width="1.7109375" style="2" customWidth="1"/>
    <col min="15" max="15" width="6.7109375" style="2" customWidth="1"/>
    <col min="16" max="16" width="1.7109375" style="2" customWidth="1"/>
    <col min="17" max="17" width="6.7109375" style="2" customWidth="1"/>
    <col min="18" max="18" width="1.7109375" style="2" customWidth="1"/>
    <col min="19" max="19" width="6.7109375" style="2" customWidth="1"/>
    <col min="20" max="20" width="1.7109375" style="2" customWidth="1"/>
    <col min="21" max="21" width="6.7109375" style="2" customWidth="1"/>
    <col min="22" max="22" width="1.7109375" style="2" customWidth="1"/>
    <col min="23" max="23" width="6.7109375" style="2" customWidth="1"/>
    <col min="24" max="24" width="1.7109375" style="2" customWidth="1"/>
    <col min="25" max="25" width="6.7109375" style="2" customWidth="1"/>
    <col min="26" max="26" width="1.7109375" style="2" customWidth="1"/>
    <col min="27" max="27" width="6.7109375" style="2" customWidth="1"/>
    <col min="28" max="28" width="1.7109375" style="2" customWidth="1"/>
    <col min="29" max="29" width="6.7109375" style="2" customWidth="1"/>
    <col min="30" max="30" width="1.7109375" style="2" customWidth="1"/>
    <col min="31" max="31" width="6.7109375" style="2" customWidth="1"/>
    <col min="32" max="32" width="1.7109375" style="2" customWidth="1"/>
    <col min="33" max="33" width="11.7109375" style="2" hidden="1" customWidth="1"/>
    <col min="34" max="34" width="1.85546875" style="2" hidden="1" customWidth="1"/>
    <col min="35" max="35" width="6.7109375" style="2" customWidth="1"/>
    <col min="36" max="36" width="1.7109375" style="2" customWidth="1"/>
    <col min="37" max="37" width="10.7109375" style="2" customWidth="1"/>
    <col min="38" max="16384" width="9.140625" style="2"/>
  </cols>
  <sheetData>
    <row r="1" spans="1:37" ht="15.75" x14ac:dyDescent="0.25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7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7" ht="15.75" x14ac:dyDescent="0.25">
      <c r="A3" s="1" t="s">
        <v>43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7" ht="15.75" x14ac:dyDescent="0.25">
      <c r="A4" s="3" t="s">
        <v>35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7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7" x14ac:dyDescent="0.2">
      <c r="A6" s="4"/>
    </row>
    <row r="8" spans="1:37" s="11" customFormat="1" x14ac:dyDescent="0.2">
      <c r="C8" s="8"/>
      <c r="D8" s="8"/>
      <c r="E8" s="8"/>
      <c r="F8" s="8"/>
      <c r="G8" s="8"/>
      <c r="H8" s="8"/>
      <c r="I8" s="8"/>
      <c r="J8" s="8"/>
      <c r="K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</row>
    <row r="9" spans="1:37" x14ac:dyDescent="0.2">
      <c r="E9" s="6"/>
      <c r="O9" s="6"/>
      <c r="Y9" s="6"/>
    </row>
    <row r="10" spans="1:37" x14ac:dyDescent="0.2">
      <c r="C10" s="6"/>
      <c r="D10"/>
      <c r="E10" s="6"/>
      <c r="F10"/>
      <c r="G10" s="6"/>
      <c r="H10" s="9"/>
      <c r="I10" s="6"/>
      <c r="J10"/>
      <c r="K10" s="6" t="s">
        <v>2</v>
      </c>
      <c r="M10" s="6" t="s">
        <v>2</v>
      </c>
      <c r="O10" s="6" t="s">
        <v>2</v>
      </c>
      <c r="P10"/>
      <c r="Q10" s="6" t="s">
        <v>2</v>
      </c>
      <c r="R10" s="9"/>
      <c r="S10" s="6" t="s">
        <v>2</v>
      </c>
      <c r="U10" s="6" t="s">
        <v>2</v>
      </c>
      <c r="W10" s="6" t="s">
        <v>2</v>
      </c>
      <c r="Y10" s="6" t="s">
        <v>2</v>
      </c>
      <c r="AA10" s="6" t="s">
        <v>2</v>
      </c>
      <c r="AB10" s="9"/>
      <c r="AC10" s="6" t="s">
        <v>2</v>
      </c>
      <c r="AE10" s="6" t="s">
        <v>2</v>
      </c>
      <c r="AG10" s="6" t="s">
        <v>0</v>
      </c>
      <c r="AI10" s="6" t="s">
        <v>2</v>
      </c>
      <c r="AJ10" s="6"/>
      <c r="AK10" s="6" t="s">
        <v>2</v>
      </c>
    </row>
    <row r="11" spans="1:37" x14ac:dyDescent="0.2">
      <c r="C11" s="6"/>
      <c r="D11" s="6"/>
      <c r="E11" s="6"/>
      <c r="F11" s="6"/>
      <c r="G11" s="6"/>
      <c r="H11" s="6"/>
      <c r="I11" s="6"/>
      <c r="J11" s="6"/>
      <c r="K11" s="6">
        <v>2002</v>
      </c>
      <c r="M11" s="6">
        <v>2002</v>
      </c>
      <c r="N11" s="6"/>
      <c r="O11" s="6">
        <v>2002</v>
      </c>
      <c r="P11" s="6"/>
      <c r="Q11" s="6">
        <v>2002</v>
      </c>
      <c r="R11" s="6"/>
      <c r="S11" s="6">
        <v>2002</v>
      </c>
      <c r="T11" s="6"/>
      <c r="U11" s="6">
        <v>2002</v>
      </c>
      <c r="W11" s="6">
        <v>2002</v>
      </c>
      <c r="Y11" s="6">
        <v>2002</v>
      </c>
      <c r="AA11" s="6">
        <v>2002</v>
      </c>
      <c r="AB11" s="6"/>
      <c r="AC11" s="6">
        <v>2002</v>
      </c>
      <c r="AD11" s="6"/>
      <c r="AE11" s="6">
        <v>2002</v>
      </c>
      <c r="AG11" s="10" t="s">
        <v>3</v>
      </c>
      <c r="AI11" s="6">
        <v>2002</v>
      </c>
      <c r="AJ11" s="6"/>
      <c r="AK11" s="6">
        <v>2002</v>
      </c>
    </row>
    <row r="12" spans="1:37" x14ac:dyDescent="0.2">
      <c r="A12" s="5" t="s">
        <v>4</v>
      </c>
      <c r="C12" s="7"/>
      <c r="D12" s="6"/>
      <c r="E12" s="7"/>
      <c r="F12" s="10"/>
      <c r="G12" s="7"/>
      <c r="H12" s="10"/>
      <c r="I12" s="7"/>
      <c r="J12" s="6"/>
      <c r="K12" s="7" t="s">
        <v>23</v>
      </c>
      <c r="M12" s="7" t="s">
        <v>24</v>
      </c>
      <c r="N12" s="6"/>
      <c r="O12" s="7" t="s">
        <v>25</v>
      </c>
      <c r="P12" s="10"/>
      <c r="Q12" s="7" t="s">
        <v>26</v>
      </c>
      <c r="R12" s="10"/>
      <c r="S12" s="7" t="s">
        <v>27</v>
      </c>
      <c r="T12" s="6"/>
      <c r="U12" s="7" t="s">
        <v>28</v>
      </c>
      <c r="W12" s="7" t="s">
        <v>29</v>
      </c>
      <c r="Y12" s="7" t="s">
        <v>30</v>
      </c>
      <c r="AA12" s="7" t="s">
        <v>31</v>
      </c>
      <c r="AB12" s="10"/>
      <c r="AC12" s="7" t="s">
        <v>17</v>
      </c>
      <c r="AD12" s="6"/>
      <c r="AE12" s="7" t="s">
        <v>21</v>
      </c>
      <c r="AF12" s="11"/>
      <c r="AG12" s="7" t="s">
        <v>5</v>
      </c>
      <c r="AH12" s="11"/>
      <c r="AI12" s="7" t="s">
        <v>22</v>
      </c>
      <c r="AJ12" s="10"/>
      <c r="AK12" s="7" t="s">
        <v>37</v>
      </c>
    </row>
    <row r="13" spans="1:37" x14ac:dyDescent="0.2">
      <c r="A13" s="20" t="s">
        <v>6</v>
      </c>
      <c r="C13" s="12"/>
      <c r="D13" s="12"/>
      <c r="E13" s="12"/>
      <c r="F13" s="12"/>
      <c r="G13" s="12"/>
      <c r="H13" s="12"/>
      <c r="I13" s="12"/>
      <c r="J13" s="12"/>
      <c r="K13" s="12">
        <f>391.959+21.14</f>
        <v>413.09899999999999</v>
      </c>
      <c r="L13" s="12"/>
      <c r="M13" s="12">
        <f>398.81+33.759</f>
        <v>432.56900000000002</v>
      </c>
      <c r="N13" s="12"/>
      <c r="O13" s="12">
        <f>400.923+22.039</f>
        <v>422.96199999999999</v>
      </c>
      <c r="P13" s="12"/>
      <c r="Q13" s="12">
        <f>400.346+22.039</f>
        <v>422.38499999999999</v>
      </c>
      <c r="R13" s="12"/>
      <c r="S13" s="12">
        <f>398.998+22.039</f>
        <v>421.03699999999998</v>
      </c>
      <c r="T13" s="12"/>
      <c r="U13" s="12">
        <f>402.461+22.039</f>
        <v>424.5</v>
      </c>
      <c r="V13" s="12"/>
      <c r="W13" s="12">
        <f>399.355+22.039</f>
        <v>421.39400000000001</v>
      </c>
      <c r="X13" s="12"/>
      <c r="Y13" s="12">
        <f>399.573+22.039</f>
        <v>421.61199999999997</v>
      </c>
      <c r="Z13" s="12"/>
      <c r="AA13" s="12">
        <f>402.203+22.039</f>
        <v>424.24199999999996</v>
      </c>
      <c r="AB13" s="12"/>
      <c r="AC13" s="12">
        <f>402.967+22.039</f>
        <v>425.00599999999997</v>
      </c>
      <c r="AD13" s="12"/>
      <c r="AE13" s="12">
        <f>401.689+22.039</f>
        <v>423.72800000000001</v>
      </c>
      <c r="AF13" s="12"/>
      <c r="AG13" s="12">
        <f>-448.4/11017</f>
        <v>-4.070073522737587E-2</v>
      </c>
      <c r="AH13" s="12"/>
      <c r="AI13" s="12">
        <f>382.849+22.039</f>
        <v>404.88799999999998</v>
      </c>
      <c r="AJ13" s="12"/>
      <c r="AK13" s="33">
        <f t="shared" ref="AK13:AK22" si="0">SUM(K13:AI13)</f>
        <v>5057.3812992647727</v>
      </c>
    </row>
    <row r="14" spans="1:37" x14ac:dyDescent="0.2">
      <c r="A14" s="20" t="s">
        <v>7</v>
      </c>
      <c r="C14" s="12"/>
      <c r="D14" s="12"/>
      <c r="E14" s="12"/>
      <c r="F14" s="12"/>
      <c r="G14" s="12"/>
      <c r="H14" s="12"/>
      <c r="I14" s="12"/>
      <c r="J14" s="12"/>
      <c r="K14" s="12">
        <f>87.938+2.9</f>
        <v>90.838000000000008</v>
      </c>
      <c r="L14" s="12"/>
      <c r="M14" s="12">
        <f>91.158+4.654</f>
        <v>95.811999999999998</v>
      </c>
      <c r="N14" s="12"/>
      <c r="O14" s="12">
        <f>96.562+3.039</f>
        <v>99.600999999999999</v>
      </c>
      <c r="P14" s="12"/>
      <c r="Q14" s="12">
        <f>92.413+3.039</f>
        <v>95.451999999999998</v>
      </c>
      <c r="R14" s="12"/>
      <c r="S14" s="12">
        <f>91.27+3.039</f>
        <v>94.308999999999997</v>
      </c>
      <c r="T14" s="12"/>
      <c r="U14" s="12">
        <f>95.394+3.039</f>
        <v>98.433000000000007</v>
      </c>
      <c r="V14" s="12"/>
      <c r="W14" s="12">
        <f>93.517+3.039</f>
        <v>96.555999999999997</v>
      </c>
      <c r="X14" s="12"/>
      <c r="Y14" s="12">
        <f>91.119+3.039</f>
        <v>94.158000000000001</v>
      </c>
      <c r="Z14" s="12"/>
      <c r="AA14" s="12">
        <f>93.579+3.039</f>
        <v>96.617999999999995</v>
      </c>
      <c r="AB14" s="12"/>
      <c r="AC14" s="12">
        <f>92.634+3.039</f>
        <v>95.673000000000002</v>
      </c>
      <c r="AD14" s="12"/>
      <c r="AE14" s="12">
        <f>91.159+3.039</f>
        <v>94.198000000000008</v>
      </c>
      <c r="AF14" s="12"/>
      <c r="AG14" s="12">
        <f>-102.4/1810</f>
        <v>-5.6574585635359116E-2</v>
      </c>
      <c r="AH14" s="12"/>
      <c r="AI14" s="12">
        <f>87.189+3.039</f>
        <v>90.227999999999994</v>
      </c>
      <c r="AJ14" s="12"/>
      <c r="AK14" s="33">
        <f t="shared" si="0"/>
        <v>1141.8194254143648</v>
      </c>
    </row>
    <row r="15" spans="1:37" x14ac:dyDescent="0.2">
      <c r="A15" s="20" t="s">
        <v>10</v>
      </c>
      <c r="C15" s="12"/>
      <c r="D15"/>
      <c r="E15" s="12"/>
      <c r="F15"/>
      <c r="G15" s="12"/>
      <c r="H15"/>
      <c r="I15" s="12"/>
      <c r="J15" s="12"/>
      <c r="K15" s="12">
        <f>186.62+8.266</f>
        <v>194.886</v>
      </c>
      <c r="L15" s="12"/>
      <c r="M15" s="12">
        <f>187.639+13.2</f>
        <v>200.839</v>
      </c>
      <c r="N15" s="39"/>
      <c r="O15" s="12">
        <f>8.6+184.346</f>
        <v>192.946</v>
      </c>
      <c r="P15" s="39"/>
      <c r="Q15" s="12">
        <f>8.6+184.324</f>
        <v>192.92400000000001</v>
      </c>
      <c r="R15" s="39"/>
      <c r="S15" s="12">
        <f>8.6+186.744</f>
        <v>195.34399999999999</v>
      </c>
      <c r="T15" s="12"/>
      <c r="U15" s="12">
        <f>8.6+183.373</f>
        <v>191.97299999999998</v>
      </c>
      <c r="V15" s="12"/>
      <c r="W15" s="12">
        <f>8.6+186.718</f>
        <v>195.31799999999998</v>
      </c>
      <c r="X15" s="39"/>
      <c r="Y15" s="12">
        <f>8.6+187.544</f>
        <v>196.14400000000001</v>
      </c>
      <c r="Z15" s="39"/>
      <c r="AA15" s="12">
        <f>8.6+184.353</f>
        <v>192.953</v>
      </c>
      <c r="AB15" s="39"/>
      <c r="AC15" s="12">
        <f>8.6+182.197</f>
        <v>190.797</v>
      </c>
      <c r="AD15" s="12"/>
      <c r="AE15" s="12">
        <f>8.6+187.595</f>
        <v>196.19499999999999</v>
      </c>
      <c r="AF15" s="12"/>
      <c r="AG15" s="43">
        <f>-155.5/1959</f>
        <v>-7.937723328228688E-2</v>
      </c>
      <c r="AH15" s="12"/>
      <c r="AI15" s="12">
        <f>8.6+105.959</f>
        <v>114.559</v>
      </c>
      <c r="AJ15" s="12"/>
      <c r="AK15" s="33">
        <f t="shared" si="0"/>
        <v>2254.7986227667179</v>
      </c>
    </row>
    <row r="16" spans="1:37" x14ac:dyDescent="0.2">
      <c r="A16" s="20" t="s">
        <v>9</v>
      </c>
      <c r="C16"/>
      <c r="D16"/>
      <c r="E16" s="12"/>
      <c r="F16"/>
      <c r="G16"/>
      <c r="H16"/>
      <c r="I16"/>
      <c r="J16" s="12"/>
      <c r="K16" s="12">
        <f>180.315+10.843+0.369+5.7</f>
        <v>197.22699999999998</v>
      </c>
      <c r="L16" s="12"/>
      <c r="M16" s="39">
        <f>10.736+180.796+0.59+9.112</f>
        <v>201.23399999999998</v>
      </c>
      <c r="N16" s="39"/>
      <c r="O16" s="39">
        <f>181.167+10.736+5.948+0.385</f>
        <v>198.23599999999999</v>
      </c>
      <c r="P16" s="39"/>
      <c r="Q16" s="39">
        <f>180.964+10.861+5.948+0.385</f>
        <v>198.15799999999999</v>
      </c>
      <c r="R16" s="39"/>
      <c r="S16" s="39">
        <f>181.532+10.736+5.948+0.385</f>
        <v>198.601</v>
      </c>
      <c r="T16" s="12"/>
      <c r="U16" s="39">
        <f>180.518+10.936+5.948+0.385</f>
        <v>197.78700000000001</v>
      </c>
      <c r="V16" s="12"/>
      <c r="W16" s="39">
        <f>180.804+10.861+5.948+0.385</f>
        <v>197.99799999999999</v>
      </c>
      <c r="X16" s="39"/>
      <c r="Y16" s="39">
        <f>181.326+10.736+5.948+0.385</f>
        <v>198.39499999999998</v>
      </c>
      <c r="Z16" s="39"/>
      <c r="AA16" s="39">
        <f>180.568+10.736+5.948+0.385</f>
        <v>197.637</v>
      </c>
      <c r="AB16" s="39"/>
      <c r="AC16" s="39">
        <f>181.59+11.061+5.948+0.385</f>
        <v>198.98400000000001</v>
      </c>
      <c r="AD16" s="12"/>
      <c r="AE16" s="39">
        <f>179.958+10.736+5.948+0.385</f>
        <v>197.02699999999999</v>
      </c>
      <c r="AF16" s="12"/>
      <c r="AG16" s="12">
        <f>(W16-M16)/M16</f>
        <v>-1.6080781577665754E-2</v>
      </c>
      <c r="AH16" s="12"/>
      <c r="AI16" s="39">
        <f>273.855+8.771+5.948+0.385</f>
        <v>288.959</v>
      </c>
      <c r="AJ16" s="12"/>
      <c r="AK16" s="33">
        <f t="shared" si="0"/>
        <v>2470.2269192184217</v>
      </c>
    </row>
    <row r="17" spans="1:37" x14ac:dyDescent="0.2">
      <c r="A17" s="20" t="s">
        <v>45</v>
      </c>
      <c r="C17"/>
      <c r="D17"/>
      <c r="E17" s="12"/>
      <c r="F17"/>
      <c r="G17"/>
      <c r="H17"/>
      <c r="I17"/>
      <c r="J17" s="12"/>
      <c r="K17" s="12"/>
      <c r="M17"/>
      <c r="N17"/>
      <c r="O17"/>
      <c r="P17"/>
      <c r="Q17"/>
      <c r="R17"/>
      <c r="S17"/>
      <c r="T17" s="12"/>
      <c r="U17" s="12"/>
      <c r="V17" s="12"/>
      <c r="W17"/>
      <c r="X17"/>
      <c r="Y17"/>
      <c r="Z17"/>
      <c r="AA17"/>
      <c r="AB17"/>
      <c r="AC17"/>
      <c r="AD17" s="12"/>
      <c r="AE17" s="12"/>
      <c r="AG17" s="13"/>
      <c r="AI17" s="13"/>
      <c r="AJ17" s="12"/>
      <c r="AK17" s="33">
        <f t="shared" si="0"/>
        <v>0</v>
      </c>
    </row>
    <row r="18" spans="1:37" x14ac:dyDescent="0.2">
      <c r="A18" s="20" t="s">
        <v>11</v>
      </c>
      <c r="C18"/>
      <c r="D18"/>
      <c r="E18" s="12"/>
      <c r="F18"/>
      <c r="G18"/>
      <c r="H18"/>
      <c r="I18"/>
      <c r="J18" s="12"/>
      <c r="K18" s="12"/>
      <c r="M18"/>
      <c r="N18"/>
      <c r="O18"/>
      <c r="P18"/>
      <c r="Q18"/>
      <c r="R18"/>
      <c r="S18"/>
      <c r="T18" s="12"/>
      <c r="U18" s="12"/>
      <c r="V18" s="12"/>
      <c r="W18"/>
      <c r="X18"/>
      <c r="Y18"/>
      <c r="Z18"/>
      <c r="AA18"/>
      <c r="AB18"/>
      <c r="AC18"/>
      <c r="AD18" s="12"/>
      <c r="AE18" s="12"/>
      <c r="AG18" s="13"/>
      <c r="AI18" s="13"/>
      <c r="AJ18" s="13"/>
      <c r="AK18" s="33">
        <f t="shared" si="0"/>
        <v>0</v>
      </c>
    </row>
    <row r="19" spans="1:37" x14ac:dyDescent="0.2">
      <c r="A19" s="20" t="s">
        <v>44</v>
      </c>
      <c r="C19"/>
      <c r="D19"/>
      <c r="E19" s="12"/>
      <c r="F19"/>
      <c r="G19"/>
      <c r="H19"/>
      <c r="I19"/>
      <c r="J19" s="12"/>
      <c r="K19" s="12"/>
      <c r="M19"/>
      <c r="N19"/>
      <c r="O19"/>
      <c r="P19"/>
      <c r="Q19"/>
      <c r="R19"/>
      <c r="S19"/>
      <c r="T19" s="12"/>
      <c r="U19" s="12"/>
      <c r="V19" s="12"/>
      <c r="W19"/>
      <c r="X19"/>
      <c r="Y19"/>
      <c r="Z19"/>
      <c r="AA19"/>
      <c r="AB19"/>
      <c r="AC19"/>
      <c r="AD19" s="12"/>
      <c r="AE19" s="12"/>
      <c r="AG19" s="13"/>
      <c r="AI19" s="13"/>
      <c r="AJ19" s="13"/>
      <c r="AK19" s="33">
        <f t="shared" si="0"/>
        <v>0</v>
      </c>
    </row>
    <row r="20" spans="1:37" x14ac:dyDescent="0.2">
      <c r="A20" s="20" t="s">
        <v>12</v>
      </c>
      <c r="C20"/>
      <c r="D20"/>
      <c r="E20" s="12"/>
      <c r="F20"/>
      <c r="G20"/>
      <c r="H20"/>
      <c r="I20"/>
      <c r="J20" s="12"/>
      <c r="K20" s="12"/>
      <c r="M20"/>
      <c r="N20"/>
      <c r="O20"/>
      <c r="P20"/>
      <c r="Q20"/>
      <c r="R20"/>
      <c r="S20"/>
      <c r="T20" s="12"/>
      <c r="U20" s="12"/>
      <c r="V20" s="12"/>
      <c r="W20"/>
      <c r="X20"/>
      <c r="Y20"/>
      <c r="Z20"/>
      <c r="AA20"/>
      <c r="AB20"/>
      <c r="AC20"/>
      <c r="AD20" s="12"/>
      <c r="AE20" s="12"/>
      <c r="AG20" s="13"/>
      <c r="AI20" s="13"/>
      <c r="AJ20" s="13"/>
      <c r="AK20" s="33">
        <f t="shared" si="0"/>
        <v>0</v>
      </c>
    </row>
    <row r="21" spans="1:37" x14ac:dyDescent="0.2">
      <c r="A21" s="20" t="s">
        <v>8</v>
      </c>
      <c r="C21" s="12"/>
      <c r="D21" s="12"/>
      <c r="E21" s="12"/>
      <c r="F21" s="12"/>
      <c r="G21" s="12"/>
      <c r="H21" s="12"/>
      <c r="I21" s="12"/>
      <c r="J21" s="12"/>
      <c r="K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K21" s="33">
        <f t="shared" si="0"/>
        <v>0</v>
      </c>
    </row>
    <row r="22" spans="1:37" x14ac:dyDescent="0.2">
      <c r="A22" s="20" t="s">
        <v>13</v>
      </c>
      <c r="C22" s="12"/>
      <c r="D22" s="12"/>
      <c r="E22" s="12"/>
      <c r="F22" s="12"/>
      <c r="G22" s="12"/>
      <c r="H22" s="12"/>
      <c r="I22" s="12"/>
      <c r="J22" s="12"/>
      <c r="K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G22" s="13"/>
      <c r="AK22" s="33">
        <f t="shared" si="0"/>
        <v>0</v>
      </c>
    </row>
    <row r="23" spans="1:37" x14ac:dyDescent="0.2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3"/>
      <c r="AI23" s="12"/>
      <c r="AJ23" s="14"/>
    </row>
    <row r="24" spans="1:37" ht="13.5" thickBot="1" x14ac:dyDescent="0.25">
      <c r="A24" s="20" t="s">
        <v>32</v>
      </c>
      <c r="C24" s="16">
        <f>SUM(C13:C23)</f>
        <v>0</v>
      </c>
      <c r="D24" s="12"/>
      <c r="E24" s="16">
        <f>SUM(E13:E23)</f>
        <v>0</v>
      </c>
      <c r="F24" s="14"/>
      <c r="G24" s="16">
        <f>SUM(G13:G23)</f>
        <v>0</v>
      </c>
      <c r="H24" s="14"/>
      <c r="I24" s="16">
        <f>SUM(I13:I23)</f>
        <v>0</v>
      </c>
      <c r="J24" s="12"/>
      <c r="K24" s="16">
        <f>SUM(K13:K23)</f>
        <v>896.05</v>
      </c>
      <c r="L24" s="12"/>
      <c r="M24" s="16">
        <f>SUM(M13:M23)</f>
        <v>930.45399999999995</v>
      </c>
      <c r="N24" s="12"/>
      <c r="O24" s="16">
        <f>SUM(O13:O23)</f>
        <v>913.745</v>
      </c>
      <c r="P24" s="14"/>
      <c r="Q24" s="16">
        <f>SUM(Q13:Q23)</f>
        <v>908.91899999999998</v>
      </c>
      <c r="R24" s="14"/>
      <c r="S24" s="16">
        <f>SUM(S13:S23)</f>
        <v>909.29100000000005</v>
      </c>
      <c r="T24" s="12"/>
      <c r="U24" s="16">
        <f>SUM(U13:U23)</f>
        <v>912.69299999999998</v>
      </c>
      <c r="V24" s="12"/>
      <c r="W24" s="16">
        <f>SUM(W13:W23)</f>
        <v>911.26600000000008</v>
      </c>
      <c r="X24" s="12"/>
      <c r="Y24" s="16">
        <f>SUM(Y13:Y23)</f>
        <v>910.30899999999997</v>
      </c>
      <c r="Z24" s="14"/>
      <c r="AA24" s="16">
        <f>SUM(AA13:AA23)</f>
        <v>911.44999999999982</v>
      </c>
      <c r="AB24" s="14"/>
      <c r="AC24" s="16">
        <f>SUM(AC13:AC23)</f>
        <v>910.46</v>
      </c>
      <c r="AD24" s="12"/>
      <c r="AE24" s="16">
        <f>SUM(AE13:AE23)</f>
        <v>911.14800000000014</v>
      </c>
      <c r="AF24" s="12"/>
      <c r="AG24" s="17">
        <f>(W24-M24)/M24</f>
        <v>-2.0622190887459108E-2</v>
      </c>
      <c r="AI24" s="16">
        <f>SUM(AI13:AI23)</f>
        <v>898.63400000000001</v>
      </c>
      <c r="AJ24" s="14"/>
      <c r="AK24" s="16">
        <f>SUM(AK13:AK23)</f>
        <v>10924.226266664276</v>
      </c>
    </row>
    <row r="25" spans="1:37" ht="25.5" customHeight="1" thickTop="1" x14ac:dyDescent="0.2">
      <c r="A25" s="20"/>
      <c r="AE25" s="22"/>
    </row>
    <row r="26" spans="1:3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7" x14ac:dyDescent="0.2">
      <c r="A27" t="s">
        <v>14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7" x14ac:dyDescent="0.2">
      <c r="A28" t="s">
        <v>46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 s="20" t="s">
        <v>47</v>
      </c>
    </row>
    <row r="29" spans="1:37" x14ac:dyDescent="0.2">
      <c r="A29" s="2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 s="20" t="s">
        <v>47</v>
      </c>
    </row>
    <row r="30" spans="1:3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2">
      <c r="A47" s="18" t="str">
        <f ca="1">CELL("filename")</f>
        <v>P:\Finance\ETS Operations\4th Qtr Fcst\4th Qtr Fcst Oct Act\LE Files\[OM EST - OPERATIONS - 2001 - 2002 REVISED FORMAT.xls]Gross</v>
      </c>
      <c r="B47" s="18"/>
      <c r="C47" s="15"/>
      <c r="D47" s="15"/>
      <c r="E47" s="15"/>
      <c r="F47" s="15"/>
      <c r="G47" s="15"/>
      <c r="H47" s="15"/>
      <c r="I47" s="15"/>
      <c r="J47" s="15"/>
      <c r="K47" s="15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6" x14ac:dyDescent="0.2">
      <c r="A48" s="19">
        <f ca="1">NOW()</f>
        <v>37221.704173958336</v>
      </c>
      <c r="B48" s="18"/>
      <c r="C48" s="15"/>
      <c r="D48" s="15"/>
      <c r="E48" s="15"/>
      <c r="F48" s="15"/>
      <c r="G48" s="15"/>
      <c r="H48" s="15"/>
      <c r="I48" s="15"/>
      <c r="J48" s="15"/>
      <c r="K48" s="15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x14ac:dyDescent="0.2">
      <c r="A49" s="18"/>
      <c r="B49" s="18"/>
      <c r="C49" s="15"/>
      <c r="D49" s="15"/>
      <c r="E49" s="15"/>
      <c r="F49" s="15"/>
      <c r="G49" s="15"/>
      <c r="H49" s="15"/>
      <c r="I49" s="15"/>
      <c r="J49" s="15"/>
      <c r="K49" s="15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"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2"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x14ac:dyDescent="0.2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x14ac:dyDescent="0.2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x14ac:dyDescent="0.2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2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x14ac:dyDescent="0.2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x14ac:dyDescent="0.2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x14ac:dyDescent="0.2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x14ac:dyDescent="0.2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x14ac:dyDescent="0.2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x14ac:dyDescent="0.2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x14ac:dyDescent="0.2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x14ac:dyDescent="0.2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3:32" x14ac:dyDescent="0.2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3:32" x14ac:dyDescent="0.2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3:32" x14ac:dyDescent="0.2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3:32" x14ac:dyDescent="0.2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3:32" x14ac:dyDescent="0.2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3:32" x14ac:dyDescent="0.2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3:32" x14ac:dyDescent="0.2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3:32" x14ac:dyDescent="0.2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3:32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3:32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3:32" x14ac:dyDescent="0.2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3:32" x14ac:dyDescent="0.2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3:32" x14ac:dyDescent="0.2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3:32" x14ac:dyDescent="0.2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3:32" x14ac:dyDescent="0.2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3:32" x14ac:dyDescent="0.2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3:32" x14ac:dyDescent="0.2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3:32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3:32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3:32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3:32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3:32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3:32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3:32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3:32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3:32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3:32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3:32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3:32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3:32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3:32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3:32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3:32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3:32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3:32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3:32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3:32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3:32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3:32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3:32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3:32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3:32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3:32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3:32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3:32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</sheetData>
  <phoneticPr fontId="0" type="noConversion"/>
  <printOptions horizontalCentered="1"/>
  <pageMargins left="0.25" right="0" top="0.75" bottom="1" header="0" footer="0.5"/>
  <pageSetup paperSize="5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Gross</vt:lpstr>
      <vt:lpstr>Net</vt:lpstr>
      <vt:lpstr>Orig '02 Plan Gross</vt:lpstr>
      <vt:lpstr>Orig '02 Plan Net</vt:lpstr>
      <vt:lpstr>Gross!Print_Area</vt:lpstr>
      <vt:lpstr>Net!Print_Area</vt:lpstr>
      <vt:lpstr>'Orig ''02 Plan Gross'!Print_Area</vt:lpstr>
      <vt:lpstr>'Orig ''02 Plan Net'!Print_Area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Jan Havlíček</cp:lastModifiedBy>
  <cp:lastPrinted>2001-11-26T19:23:09Z</cp:lastPrinted>
  <dcterms:created xsi:type="dcterms:W3CDTF">2001-07-19T21:53:52Z</dcterms:created>
  <dcterms:modified xsi:type="dcterms:W3CDTF">2023-09-15T19:24:19Z</dcterms:modified>
</cp:coreProperties>
</file>