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79FF3-1482-4423-BA2A-DC612A415049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Summary" sheetId="4" state="hidden" r:id="rId1"/>
    <sheet name="ty" sheetId="1" state="hidden" r:id="rId2"/>
    <sheet name="qtr summary" sheetId="6" r:id="rId3"/>
    <sheet name="2q vs PSR" sheetId="7" state="hidden" r:id="rId4"/>
    <sheet name="EECC" sheetId="2" r:id="rId5"/>
    <sheet name="NEPCO" sheetId="5" r:id="rId6"/>
    <sheet name="up-down" sheetId="3" state="hidden" r:id="rId7"/>
  </sheets>
  <externalReferences>
    <externalReference r:id="rId8"/>
  </externalReferences>
  <definedNames>
    <definedName name="_xlnm.Print_Area" localSheetId="3">'2q vs PSR'!$A$1:$P$36</definedName>
    <definedName name="_xlnm.Print_Area" localSheetId="4">EECC!$A$1:$AD$40</definedName>
    <definedName name="_xlnm.Print_Area" localSheetId="5">NEPCO!$A$1:$L$34</definedName>
    <definedName name="_xlnm.Print_Area" localSheetId="2">'qtr summary'!$A$1:$G$27</definedName>
    <definedName name="_xlnm.Print_Area" localSheetId="0">Summary!$A$1:$R$14</definedName>
    <definedName name="_xlnm.Print_Area" localSheetId="1">ty!$A$1:$K$39</definedName>
    <definedName name="_xlnm.Print_Area" localSheetId="6">'up-down'!$A$1:$M$44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P7" i="7"/>
  <c r="G8" i="7"/>
  <c r="I8" i="7"/>
  <c r="P8" i="7"/>
  <c r="I9" i="7"/>
  <c r="P9" i="7"/>
  <c r="I10" i="7"/>
  <c r="P10" i="7"/>
  <c r="I11" i="7"/>
  <c r="P11" i="7"/>
  <c r="G12" i="7"/>
  <c r="I12" i="7"/>
  <c r="N12" i="7"/>
  <c r="P12" i="7"/>
  <c r="I13" i="7"/>
  <c r="P13" i="7"/>
  <c r="I14" i="7"/>
  <c r="P14" i="7"/>
  <c r="I15" i="7"/>
  <c r="P15" i="7"/>
  <c r="I16" i="7"/>
  <c r="P16" i="7"/>
  <c r="I17" i="7"/>
  <c r="P17" i="7"/>
  <c r="G18" i="7"/>
  <c r="I18" i="7"/>
  <c r="P18" i="7"/>
  <c r="I19" i="7"/>
  <c r="P19" i="7"/>
  <c r="E20" i="7"/>
  <c r="G20" i="7"/>
  <c r="I20" i="7"/>
  <c r="P20" i="7"/>
  <c r="I21" i="7"/>
  <c r="P21" i="7"/>
  <c r="E23" i="7"/>
  <c r="G23" i="7"/>
  <c r="I23" i="7"/>
  <c r="L23" i="7"/>
  <c r="N23" i="7"/>
  <c r="P23" i="7"/>
  <c r="E25" i="7"/>
  <c r="I25" i="7"/>
  <c r="I27" i="7"/>
  <c r="G29" i="7"/>
  <c r="I29" i="7"/>
  <c r="E31" i="7"/>
  <c r="G31" i="7"/>
  <c r="I31" i="7"/>
  <c r="E33" i="7"/>
  <c r="I33" i="7"/>
  <c r="E35" i="7"/>
  <c r="G35" i="7"/>
  <c r="I35" i="7"/>
  <c r="L7" i="2"/>
  <c r="W7" i="2"/>
  <c r="AC7" i="2"/>
  <c r="L8" i="2"/>
  <c r="W8" i="2"/>
  <c r="AC8" i="2"/>
  <c r="L9" i="2"/>
  <c r="Q9" i="2"/>
  <c r="W9" i="2"/>
  <c r="AC9" i="2"/>
  <c r="L10" i="2"/>
  <c r="W10" i="2"/>
  <c r="AC10" i="2"/>
  <c r="L11" i="2"/>
  <c r="W11" i="2"/>
  <c r="AC11" i="2"/>
  <c r="L12" i="2"/>
  <c r="Q12" i="2"/>
  <c r="W12" i="2"/>
  <c r="AC12" i="2"/>
  <c r="L13" i="2"/>
  <c r="U13" i="2"/>
  <c r="W13" i="2"/>
  <c r="AC13" i="2"/>
  <c r="L14" i="2"/>
  <c r="U14" i="2"/>
  <c r="W14" i="2"/>
  <c r="AC14" i="2"/>
  <c r="L15" i="2"/>
  <c r="W15" i="2"/>
  <c r="AC15" i="2"/>
  <c r="L16" i="2"/>
  <c r="W16" i="2"/>
  <c r="AA16" i="2"/>
  <c r="AC16" i="2"/>
  <c r="L17" i="2"/>
  <c r="W17" i="2"/>
  <c r="AC17" i="2"/>
  <c r="L18" i="2"/>
  <c r="W18" i="2"/>
  <c r="AC18" i="2"/>
  <c r="L19" i="2"/>
  <c r="Q19" i="2"/>
  <c r="W19" i="2"/>
  <c r="AC19" i="2"/>
  <c r="L20" i="2"/>
  <c r="W20" i="2"/>
  <c r="AA20" i="2"/>
  <c r="AC20" i="2"/>
  <c r="L21" i="2"/>
  <c r="U21" i="2"/>
  <c r="W21" i="2"/>
  <c r="AA21" i="2"/>
  <c r="AC21" i="2"/>
  <c r="L22" i="2"/>
  <c r="W22" i="2"/>
  <c r="AC22" i="2"/>
  <c r="E24" i="2"/>
  <c r="H24" i="2"/>
  <c r="J24" i="2"/>
  <c r="L24" i="2"/>
  <c r="O24" i="2"/>
  <c r="Q24" i="2"/>
  <c r="S24" i="2"/>
  <c r="U24" i="2"/>
  <c r="W24" i="2"/>
  <c r="Y24" i="2"/>
  <c r="AA24" i="2"/>
  <c r="AC24" i="2"/>
  <c r="E26" i="2"/>
  <c r="L26" i="2"/>
  <c r="O26" i="2"/>
  <c r="Q26" i="2"/>
  <c r="S26" i="2"/>
  <c r="U26" i="2"/>
  <c r="W26" i="2"/>
  <c r="AC26" i="2"/>
  <c r="L28" i="2"/>
  <c r="W28" i="2"/>
  <c r="AC28" i="2"/>
  <c r="L30" i="2"/>
  <c r="Q30" i="2"/>
  <c r="W30" i="2"/>
  <c r="AC30" i="2"/>
  <c r="E32" i="2"/>
  <c r="H32" i="2"/>
  <c r="J32" i="2"/>
  <c r="L32" i="2"/>
  <c r="O32" i="2"/>
  <c r="Q32" i="2"/>
  <c r="S32" i="2"/>
  <c r="U32" i="2"/>
  <c r="W32" i="2"/>
  <c r="Y32" i="2"/>
  <c r="AA32" i="2"/>
  <c r="AC32" i="2"/>
  <c r="L34" i="2"/>
  <c r="S34" i="2"/>
  <c r="U34" i="2"/>
  <c r="W34" i="2"/>
  <c r="AC34" i="2"/>
  <c r="E36" i="2"/>
  <c r="H36" i="2"/>
  <c r="J36" i="2"/>
  <c r="L36" i="2"/>
  <c r="O36" i="2"/>
  <c r="Q36" i="2"/>
  <c r="S36" i="2"/>
  <c r="U36" i="2"/>
  <c r="W36" i="2"/>
  <c r="Y36" i="2"/>
  <c r="AA36" i="2"/>
  <c r="AC36" i="2"/>
  <c r="AC41" i="2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E23" i="5"/>
  <c r="J23" i="5"/>
  <c r="L23" i="5"/>
  <c r="E25" i="5"/>
  <c r="H25" i="5"/>
  <c r="J25" i="5"/>
  <c r="L25" i="5"/>
  <c r="E27" i="5"/>
  <c r="L27" i="5"/>
  <c r="L29" i="5"/>
  <c r="L31" i="5"/>
  <c r="E33" i="5"/>
  <c r="H33" i="5"/>
  <c r="J33" i="5"/>
  <c r="L33" i="5"/>
  <c r="C4" i="6"/>
  <c r="E4" i="6"/>
  <c r="G4" i="6"/>
  <c r="C5" i="6"/>
  <c r="E5" i="6"/>
  <c r="G5" i="6"/>
  <c r="C7" i="6"/>
  <c r="E7" i="6"/>
  <c r="G7" i="6"/>
  <c r="C10" i="6"/>
  <c r="E10" i="6"/>
  <c r="G10" i="6"/>
  <c r="C11" i="6"/>
  <c r="E11" i="6"/>
  <c r="G11" i="6"/>
  <c r="C13" i="6"/>
  <c r="E13" i="6"/>
  <c r="G13" i="6"/>
  <c r="C14" i="6"/>
  <c r="E14" i="6"/>
  <c r="G14" i="6"/>
  <c r="C16" i="6"/>
  <c r="E16" i="6"/>
  <c r="G16" i="6"/>
  <c r="C17" i="6"/>
  <c r="E17" i="6"/>
  <c r="G17" i="6"/>
  <c r="C19" i="6"/>
  <c r="E19" i="6"/>
  <c r="G19" i="6"/>
  <c r="C21" i="6"/>
  <c r="E21" i="6"/>
  <c r="G21" i="6"/>
  <c r="H5" i="4"/>
  <c r="J5" i="4"/>
  <c r="Q5" i="4"/>
  <c r="D6" i="4"/>
  <c r="F6" i="4"/>
  <c r="H6" i="4"/>
  <c r="J6" i="4"/>
  <c r="Q6" i="4"/>
  <c r="D7" i="4"/>
  <c r="F7" i="4"/>
  <c r="H7" i="4"/>
  <c r="J7" i="4"/>
  <c r="M7" i="4"/>
  <c r="O7" i="4"/>
  <c r="Q7" i="4"/>
  <c r="Q10" i="4"/>
  <c r="O11" i="4"/>
  <c r="Q11" i="4"/>
  <c r="D12" i="4"/>
  <c r="F12" i="4"/>
  <c r="H12" i="4"/>
  <c r="J12" i="4"/>
  <c r="M12" i="4"/>
  <c r="O12" i="4"/>
  <c r="Q12" i="4"/>
  <c r="O18" i="4"/>
  <c r="D19" i="4"/>
  <c r="F19" i="4"/>
  <c r="H19" i="4"/>
  <c r="J19" i="4"/>
  <c r="O19" i="4"/>
  <c r="I4" i="1"/>
  <c r="G5" i="1"/>
  <c r="I5" i="1"/>
  <c r="I7" i="1"/>
  <c r="I8" i="1"/>
  <c r="I9" i="1"/>
  <c r="I10" i="1"/>
  <c r="I11" i="1"/>
  <c r="I12" i="1"/>
  <c r="I13" i="1"/>
  <c r="I14" i="1"/>
  <c r="G15" i="1"/>
  <c r="I15" i="1"/>
  <c r="I16" i="1"/>
  <c r="E18" i="1"/>
  <c r="G18" i="1"/>
  <c r="I18" i="1"/>
  <c r="I20" i="1"/>
  <c r="I22" i="1"/>
  <c r="I24" i="1"/>
  <c r="I26" i="1"/>
  <c r="G28" i="1"/>
  <c r="I28" i="1"/>
  <c r="G30" i="1"/>
  <c r="I30" i="1"/>
  <c r="G32" i="1"/>
  <c r="I32" i="1"/>
  <c r="I34" i="1"/>
  <c r="E36" i="1"/>
  <c r="G36" i="1"/>
  <c r="I36" i="1"/>
  <c r="G12" i="3"/>
  <c r="M12" i="3"/>
  <c r="G13" i="3"/>
  <c r="K13" i="3"/>
  <c r="G17" i="3"/>
  <c r="I17" i="3"/>
  <c r="K17" i="3"/>
  <c r="M17" i="3"/>
  <c r="G25" i="3"/>
  <c r="K25" i="3"/>
  <c r="M25" i="3"/>
  <c r="G28" i="3"/>
  <c r="M28" i="3"/>
  <c r="G31" i="3"/>
  <c r="K31" i="3"/>
  <c r="M31" i="3"/>
  <c r="M39" i="3"/>
  <c r="G41" i="3"/>
  <c r="I41" i="3"/>
  <c r="K41" i="3"/>
  <c r="M41" i="3"/>
</calcChain>
</file>

<file path=xl/comments1.xml><?xml version="1.0" encoding="utf-8"?>
<comments xmlns="http://schemas.openxmlformats.org/spreadsheetml/2006/main">
  <authors>
    <author>Erin Copeland</author>
  </authors>
  <commentList>
    <comment ref="S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tempest -1.0, epc 63 -.2, demar -.3, wty -.3, dighton -.1</t>
        </r>
      </text>
    </comment>
    <comment ref="U21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-.5 accro wty, -.2 saipuru/yapacani, -.8 Sutton bridge</t>
        </r>
      </text>
    </comment>
  </commentList>
</comments>
</file>

<file path=xl/comments2.xml><?xml version="1.0" encoding="utf-8"?>
<comments xmlns="http://schemas.openxmlformats.org/spreadsheetml/2006/main">
  <authors>
    <author>Erin Copeland</author>
  </authors>
  <commentList>
    <comment ref="E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Riogen 1.1, Eletrobolt .8, .7 indust. Div, coyote .2, overview 2.7</t>
        </r>
      </text>
    </comment>
    <comment ref="J23" authorId="0" shapeId="0">
      <text>
        <r>
          <rPr>
            <b/>
            <sz val="8"/>
            <color indexed="81"/>
            <rFont val="Tahoma"/>
          </rPr>
          <t>Erin Copeland:</t>
        </r>
        <r>
          <rPr>
            <sz val="8"/>
            <color indexed="81"/>
            <rFont val="Tahoma"/>
          </rPr>
          <t xml:space="preserve">
coyote .8, nelson .6, coyote springs .8, thermo .4, 3q payne creek -1.2</t>
        </r>
      </text>
    </comment>
  </commentList>
</comments>
</file>

<file path=xl/sharedStrings.xml><?xml version="1.0" encoding="utf-8"?>
<sst xmlns="http://schemas.openxmlformats.org/spreadsheetml/2006/main" count="240" uniqueCount="125">
  <si>
    <t>Profit Adjustments</t>
  </si>
  <si>
    <t>Turkey</t>
  </si>
  <si>
    <t>Poland</t>
  </si>
  <si>
    <t>Lagos</t>
  </si>
  <si>
    <t>Cuiaba</t>
  </si>
  <si>
    <t>India P.II - Power</t>
  </si>
  <si>
    <t>Puerto Rico</t>
  </si>
  <si>
    <t>Accro</t>
  </si>
  <si>
    <t>Arcos</t>
  </si>
  <si>
    <t>Projects</t>
  </si>
  <si>
    <t>Plan</t>
  </si>
  <si>
    <t>1CE</t>
  </si>
  <si>
    <t>Variance</t>
  </si>
  <si>
    <t>Explanation</t>
  </si>
  <si>
    <t>Accro Selldown</t>
  </si>
  <si>
    <t>Misc. Projects Solddown</t>
  </si>
  <si>
    <t>Project Reserves</t>
  </si>
  <si>
    <t>Credit Reserve</t>
  </si>
  <si>
    <t>G&amp;A Expense</t>
  </si>
  <si>
    <t>Business Development Expense</t>
  </si>
  <si>
    <t>3rd Party Interest Income</t>
  </si>
  <si>
    <t>Deferred Profit Amortization</t>
  </si>
  <si>
    <t xml:space="preserve">     Total IBIT - EECC</t>
  </si>
  <si>
    <t>Includes ($14.0) for B&amp;V claim, ($5.0) PDM settlement, ($4.0) settlement with owner</t>
  </si>
  <si>
    <t>Siemens settlement and final project close out costs</t>
  </si>
  <si>
    <t>Project delayed</t>
  </si>
  <si>
    <t>HRSG claim with Siemens</t>
  </si>
  <si>
    <t>Final close out costs</t>
  </si>
  <si>
    <t>Tribasa land reserve ($2.5), Severnaya ($1.0), Sonora ($.3)</t>
  </si>
  <si>
    <t>2Q</t>
  </si>
  <si>
    <t>Stretch</t>
  </si>
  <si>
    <t>Other Misc. projects</t>
  </si>
  <si>
    <t>Subtotal Project Adjustments</t>
  </si>
  <si>
    <t>Failure to complete rotor repairs timely</t>
  </si>
  <si>
    <t>Minimal recovery forecasted on claims due to Pemex failure to provide pipe on schedule and</t>
  </si>
  <si>
    <t xml:space="preserve">     weather delays on base scope caused by extra work provided at direction of Pemex</t>
  </si>
  <si>
    <t>Bachequero, Other projects</t>
  </si>
  <si>
    <t xml:space="preserve">Includes ($14.3) of G&amp;A not billed to business units.  Also, includes ($7.8) of Corp. charges </t>
  </si>
  <si>
    <t xml:space="preserve">      associated with redeployed staff.</t>
  </si>
  <si>
    <t xml:space="preserve">Current </t>
  </si>
  <si>
    <t>Forecast</t>
  </si>
  <si>
    <t>Upside</t>
  </si>
  <si>
    <t>Downside</t>
  </si>
  <si>
    <t>Total IBIT per Plan</t>
  </si>
  <si>
    <t>$</t>
  </si>
  <si>
    <t>Puerto Rico - $0 to ($23.0)</t>
  </si>
  <si>
    <t>EPC 63/64 - $5.7 to $.3</t>
  </si>
  <si>
    <t>Turkey - $33.7 to $31.5</t>
  </si>
  <si>
    <t>*</t>
  </si>
  <si>
    <t>India LNG - $26.0 to $6.3</t>
  </si>
  <si>
    <t>Cuiaba - $16.6 to $15.6</t>
  </si>
  <si>
    <t>Poland - $5.6 to $3.4</t>
  </si>
  <si>
    <t>Arcos - delayed</t>
  </si>
  <si>
    <t>Additional G&amp;A</t>
  </si>
  <si>
    <t>Corporate Charges</t>
  </si>
  <si>
    <t>Increased Development Expense</t>
  </si>
  <si>
    <t>India Selldown</t>
  </si>
  <si>
    <t>Remaining Assets Solddown</t>
  </si>
  <si>
    <t>Lagos Performance Test</t>
  </si>
  <si>
    <t>India - 4th Tank</t>
  </si>
  <si>
    <t xml:space="preserve">Total IBIT per Forecast </t>
  </si>
  <si>
    <t>*Total profit decrease is $(7.8) offset by +$.3 of progress</t>
  </si>
  <si>
    <t>Project Reserves in Plan</t>
  </si>
  <si>
    <t>EPC 63/64</t>
  </si>
  <si>
    <t>India P.II - LNG &amp; Marine</t>
  </si>
  <si>
    <t>Effect of Besix and Kvaerner claims</t>
  </si>
  <si>
    <t>Abandoned project initiatives - Tecaso, Steel, etc.</t>
  </si>
  <si>
    <t>G&amp;A not billed to BU's</t>
  </si>
  <si>
    <t>1Q</t>
  </si>
  <si>
    <t>3Q</t>
  </si>
  <si>
    <t>4Q</t>
  </si>
  <si>
    <t>Total Year</t>
  </si>
  <si>
    <t>CASH FLOW</t>
  </si>
  <si>
    <t>Total Forecast</t>
  </si>
  <si>
    <t>Total Plan</t>
  </si>
  <si>
    <t xml:space="preserve">Total Variance </t>
  </si>
  <si>
    <t>Total IBIT</t>
  </si>
  <si>
    <t>2ND Quarter</t>
  </si>
  <si>
    <t>NEPCO</t>
  </si>
  <si>
    <t>EECC</t>
  </si>
  <si>
    <t>Fcst</t>
  </si>
  <si>
    <t xml:space="preserve">     NEPCO</t>
  </si>
  <si>
    <t xml:space="preserve">     Total IBIT - EEOS</t>
  </si>
  <si>
    <t>Actual</t>
  </si>
  <si>
    <t>Peaker Closeout</t>
  </si>
  <si>
    <t>OEC</t>
  </si>
  <si>
    <t>NEPCO-Europe/Caxios</t>
  </si>
  <si>
    <t>Cogentrix/Jenks, OK</t>
  </si>
  <si>
    <t>LS Power, Kendall</t>
  </si>
  <si>
    <t>East Coast Power/Linden</t>
  </si>
  <si>
    <t>GenPower/Dell</t>
  </si>
  <si>
    <t>GenPower/McAdams</t>
  </si>
  <si>
    <t>Ouachita / Sterlington, LA</t>
  </si>
  <si>
    <t>AES Wolf Hollow/Grandbury</t>
  </si>
  <si>
    <t>NESCO/Goldendale WA</t>
  </si>
  <si>
    <t>Union Power/El Dorado</t>
  </si>
  <si>
    <t>Gila River Power/Gila River</t>
  </si>
  <si>
    <t>Austin Energy</t>
  </si>
  <si>
    <t xml:space="preserve">     Total IBIT - NEPCO</t>
  </si>
  <si>
    <t>Subtotal Project Margin</t>
  </si>
  <si>
    <t xml:space="preserve">Total </t>
  </si>
  <si>
    <t>Year</t>
  </si>
  <si>
    <t>Business Development</t>
  </si>
  <si>
    <t>Total Project Margin</t>
  </si>
  <si>
    <t>Net Expenses</t>
  </si>
  <si>
    <t>all business units increase their plan for the NQ Stock Option and</t>
  </si>
  <si>
    <t>is $1.2 million per quarter for those charges.</t>
  </si>
  <si>
    <t>AESOP expenses that Corp. is not charging out.  The total EEOS amount</t>
  </si>
  <si>
    <t>Cash Flow</t>
  </si>
  <si>
    <t>Total</t>
  </si>
  <si>
    <t>Profit</t>
  </si>
  <si>
    <t>PSR</t>
  </si>
  <si>
    <t>*Total CIGSA profit</t>
  </si>
  <si>
    <t>Other Income</t>
  </si>
  <si>
    <t>This</t>
  </si>
  <si>
    <t>Last</t>
  </si>
  <si>
    <t>from Last</t>
  </si>
  <si>
    <t>Cogentrix, Caledonia, MS</t>
  </si>
  <si>
    <t>3CE</t>
  </si>
  <si>
    <t>2000 Peakers</t>
  </si>
  <si>
    <t>Cogentrix, Southhaven, MS</t>
  </si>
  <si>
    <t>LS Power, Pike County, MS</t>
  </si>
  <si>
    <t>Overview</t>
  </si>
  <si>
    <t>*The original plan IBIT is $30.5 million.  Wholesale has requested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</si>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</sst>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  <numFmt numFmtId="167" formatCode=";;;"/>
  </numFmts>
  <fonts count="15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5.5"/>
      <name val="Small Fonts"/>
      <family val="2"/>
    </font>
    <font>
      <sz val="10"/>
      <name val="Arial"/>
      <family val="2"/>
    </font>
    <font>
      <sz val="6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164" fontId="3" fillId="0" borderId="2" xfId="1" applyNumberFormat="1" applyFont="1" applyBorder="1"/>
    <xf numFmtId="0" fontId="5" fillId="0" borderId="0" xfId="0" applyFont="1"/>
    <xf numFmtId="164" fontId="5" fillId="0" borderId="0" xfId="1" applyNumberFormat="1" applyFont="1"/>
    <xf numFmtId="164" fontId="5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1" applyNumberFormat="1" applyFont="1" applyBorder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0" fontId="0" fillId="0" borderId="0" xfId="0" quotePrefix="1" applyAlignment="1">
      <alignment horizontal="right"/>
    </xf>
    <xf numFmtId="164" fontId="0" fillId="0" borderId="0" xfId="1" quotePrefix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/>
    <xf numFmtId="164" fontId="7" fillId="0" borderId="0" xfId="1" applyNumberFormat="1" applyFont="1" applyBorder="1"/>
    <xf numFmtId="164" fontId="7" fillId="0" borderId="0" xfId="1" applyNumberFormat="1" applyFont="1"/>
    <xf numFmtId="164" fontId="0" fillId="0" borderId="0" xfId="1" applyNumberFormat="1" applyFont="1" applyAlignment="1"/>
    <xf numFmtId="164" fontId="7" fillId="0" borderId="1" xfId="1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3" xfId="1" applyNumberFormat="1" applyFont="1" applyBorder="1"/>
    <xf numFmtId="164" fontId="2" fillId="0" borderId="1" xfId="1" applyNumberFormat="1" applyFont="1" applyBorder="1"/>
    <xf numFmtId="167" fontId="2" fillId="0" borderId="0" xfId="1" applyNumberFormat="1" applyFont="1" applyBorder="1"/>
    <xf numFmtId="0" fontId="11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right"/>
    </xf>
    <xf numFmtId="164" fontId="10" fillId="0" borderId="3" xfId="1" applyNumberFormat="1" applyFont="1" applyBorder="1"/>
    <xf numFmtId="0" fontId="11" fillId="0" borderId="3" xfId="0" applyFont="1" applyBorder="1"/>
    <xf numFmtId="166" fontId="10" fillId="0" borderId="0" xfId="1" applyNumberFormat="1" applyFont="1" applyBorder="1"/>
    <xf numFmtId="166" fontId="10" fillId="0" borderId="1" xfId="1" applyNumberFormat="1" applyFont="1" applyBorder="1"/>
    <xf numFmtId="166" fontId="10" fillId="0" borderId="3" xfId="1" applyNumberFormat="1" applyFont="1" applyBorder="1"/>
    <xf numFmtId="0" fontId="10" fillId="0" borderId="0" xfId="0" applyFont="1" applyBorder="1" applyAlignment="1">
      <alignment horizontal="center"/>
    </xf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5" fontId="5" fillId="0" borderId="0" xfId="0" applyNumberFormat="1" applyFont="1"/>
    <xf numFmtId="165" fontId="5" fillId="0" borderId="1" xfId="0" applyNumberFormat="1" applyFont="1" applyBorder="1"/>
    <xf numFmtId="0" fontId="0" fillId="0" borderId="4" xfId="0" applyBorder="1"/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164" fontId="5" fillId="0" borderId="4" xfId="1" applyNumberFormat="1" applyFont="1" applyBorder="1"/>
    <xf numFmtId="164" fontId="0" fillId="0" borderId="4" xfId="1" applyNumberFormat="1" applyFont="1" applyBorder="1"/>
    <xf numFmtId="164" fontId="3" fillId="0" borderId="4" xfId="1" applyNumberFormat="1" applyFont="1" applyBorder="1"/>
    <xf numFmtId="164" fontId="4" fillId="0" borderId="4" xfId="1" applyNumberFormat="1" applyFont="1" applyBorder="1"/>
    <xf numFmtId="165" fontId="7" fillId="0" borderId="0" xfId="0" applyNumberFormat="1" applyFont="1" applyBorder="1" applyAlignment="1">
      <alignment horizontal="center"/>
    </xf>
    <xf numFmtId="165" fontId="7" fillId="0" borderId="0" xfId="0" applyNumberFormat="1" applyFont="1"/>
    <xf numFmtId="0" fontId="5" fillId="0" borderId="0" xfId="0" applyFont="1" applyBorder="1"/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right"/>
    </xf>
    <xf numFmtId="164" fontId="3" fillId="0" borderId="3" xfId="1" applyNumberFormat="1" applyFont="1" applyBorder="1"/>
    <xf numFmtId="0" fontId="7" fillId="0" borderId="0" xfId="0" applyFont="1"/>
    <xf numFmtId="165" fontId="5" fillId="0" borderId="0" xfId="0" applyNumberFormat="1" applyFont="1" applyBorder="1"/>
    <xf numFmtId="164" fontId="5" fillId="0" borderId="5" xfId="1" applyNumberFormat="1" applyFont="1" applyBorder="1"/>
    <xf numFmtId="164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5" fillId="0" borderId="1" xfId="1" applyFont="1" applyBorder="1"/>
    <xf numFmtId="0" fontId="5" fillId="0" borderId="1" xfId="0" applyFont="1" applyBorder="1"/>
    <xf numFmtId="164" fontId="5" fillId="0" borderId="2" xfId="0" applyNumberFormat="1" applyFont="1" applyBorder="1"/>
    <xf numFmtId="0" fontId="5" fillId="0" borderId="2" xfId="0" applyFont="1" applyBorder="1"/>
    <xf numFmtId="0" fontId="2" fillId="0" borderId="0" xfId="0" applyFont="1" applyBorder="1" applyAlignment="1">
      <alignment horizontal="center"/>
    </xf>
    <xf numFmtId="43" fontId="5" fillId="0" borderId="0" xfId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/>
    <xf numFmtId="164" fontId="3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ECC/Finance%20and%20Accounting/eecrept/2001/Forecast/ty%20ibit%20-%20q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p1"/>
      <sheetName val="var ty p2"/>
      <sheetName val="ibit by qtr p3"/>
      <sheetName val="var 1Q p4"/>
      <sheetName val="wkg cap p5"/>
      <sheetName val="G&amp;A p6"/>
    </sheetNames>
    <sheetDataSet>
      <sheetData sheetId="0"/>
      <sheetData sheetId="1"/>
      <sheetData sheetId="2">
        <row r="49">
          <cell r="D49">
            <v>8.1</v>
          </cell>
          <cell r="F49">
            <v>-5.9999999999999973</v>
          </cell>
          <cell r="H49">
            <v>22</v>
          </cell>
          <cell r="J49">
            <v>30.87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11" sqref="O11"/>
    </sheetView>
  </sheetViews>
  <sheetFormatPr defaultRowHeight="12.75" x14ac:dyDescent="0.2"/>
  <cols>
    <col min="2" max="2" width="12" customWidth="1"/>
    <col min="3" max="3" width="4.28515625" customWidth="1"/>
    <col min="4" max="4" width="0" hidden="1" customWidth="1"/>
    <col min="5" max="5" width="3.85546875" hidden="1" customWidth="1"/>
    <col min="6" max="6" width="0" hidden="1" customWidth="1"/>
    <col min="7" max="7" width="4.28515625" hidden="1" customWidth="1"/>
    <col min="8" max="8" width="0" hidden="1" customWidth="1"/>
    <col min="9" max="9" width="4.140625" hidden="1" customWidth="1"/>
    <col min="10" max="10" width="0" hidden="1" customWidth="1"/>
    <col min="11" max="11" width="3.85546875" hidden="1" customWidth="1"/>
    <col min="12" max="12" width="3.85546875" customWidth="1"/>
    <col min="13" max="13" width="11.7109375" customWidth="1"/>
    <col min="14" max="14" width="3.85546875" customWidth="1"/>
    <col min="15" max="15" width="12" customWidth="1"/>
    <col min="16" max="16" width="2.5703125" customWidth="1"/>
    <col min="17" max="17" width="11.5703125" bestFit="1" customWidth="1"/>
    <col min="18" max="18" width="2.5703125" customWidth="1"/>
  </cols>
  <sheetData>
    <row r="1" spans="1:17" x14ac:dyDescent="0.2">
      <c r="A1" s="33"/>
    </row>
    <row r="2" spans="1:17" ht="18" x14ac:dyDescent="0.25">
      <c r="A2" s="40"/>
      <c r="B2" s="40"/>
      <c r="C2" s="40"/>
      <c r="D2" s="41" t="s">
        <v>68</v>
      </c>
      <c r="E2" s="41"/>
      <c r="F2" s="41" t="s">
        <v>29</v>
      </c>
      <c r="G2" s="41"/>
      <c r="H2" s="41" t="s">
        <v>69</v>
      </c>
      <c r="I2" s="41"/>
      <c r="J2" s="41" t="s">
        <v>70</v>
      </c>
      <c r="K2" s="41"/>
      <c r="L2" s="53"/>
    </row>
    <row r="3" spans="1:17" ht="18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6"/>
      <c r="M3" s="41" t="s">
        <v>10</v>
      </c>
      <c r="N3" s="53"/>
      <c r="O3" s="41" t="s">
        <v>40</v>
      </c>
      <c r="P3" s="40"/>
      <c r="Q3" s="41" t="s">
        <v>12</v>
      </c>
    </row>
    <row r="4" spans="1:17" ht="18" x14ac:dyDescent="0.25">
      <c r="A4" s="42" t="s">
        <v>71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6"/>
      <c r="M4" s="40"/>
      <c r="N4" s="46"/>
      <c r="O4" s="40"/>
      <c r="P4" s="40"/>
      <c r="Q4" s="40"/>
    </row>
    <row r="5" spans="1:17" ht="18" x14ac:dyDescent="0.25">
      <c r="A5" s="43" t="s">
        <v>78</v>
      </c>
      <c r="B5" s="43"/>
      <c r="C5" s="43"/>
      <c r="D5" s="44">
        <v>16.399999999999999</v>
      </c>
      <c r="E5" s="44"/>
      <c r="F5" s="44">
        <v>16</v>
      </c>
      <c r="G5" s="44"/>
      <c r="H5" s="44">
        <f>11.9+6.3+2</f>
        <v>20.2</v>
      </c>
      <c r="I5" s="44"/>
      <c r="J5" s="44">
        <f>24.2+4.2+4</f>
        <v>32.4</v>
      </c>
      <c r="K5" s="44"/>
      <c r="L5" s="44"/>
      <c r="M5" s="44">
        <v>54</v>
      </c>
      <c r="N5" s="44"/>
      <c r="O5" s="44">
        <v>85</v>
      </c>
      <c r="P5" s="40"/>
      <c r="Q5" s="44">
        <f>+O5-M5</f>
        <v>31</v>
      </c>
    </row>
    <row r="6" spans="1:17" ht="18" x14ac:dyDescent="0.25">
      <c r="A6" s="43" t="s">
        <v>79</v>
      </c>
      <c r="B6" s="43"/>
      <c r="C6" s="43"/>
      <c r="D6" s="44">
        <f>+'[1]ibit by qtr p3'!D49-D5</f>
        <v>-8.2999999999999989</v>
      </c>
      <c r="E6" s="44"/>
      <c r="F6" s="44">
        <f>+'[1]ibit by qtr p3'!F49-F5</f>
        <v>-21.999999999999996</v>
      </c>
      <c r="G6" s="44"/>
      <c r="H6" s="44">
        <f>+'[1]ibit by qtr p3'!H49-H5</f>
        <v>1.8000000000000007</v>
      </c>
      <c r="I6" s="44"/>
      <c r="J6" s="44">
        <f>+'[1]ibit by qtr p3'!J49-J5</f>
        <v>-1.5299999999999976</v>
      </c>
      <c r="K6" s="44"/>
      <c r="L6" s="44"/>
      <c r="M6" s="45">
        <v>11</v>
      </c>
      <c r="N6" s="44"/>
      <c r="O6" s="44">
        <v>-30</v>
      </c>
      <c r="P6" s="40"/>
      <c r="Q6" s="44">
        <f>+O6-M6</f>
        <v>-41</v>
      </c>
    </row>
    <row r="7" spans="1:17" ht="18.75" thickBot="1" x14ac:dyDescent="0.3">
      <c r="A7" s="46"/>
      <c r="B7" s="47" t="s">
        <v>76</v>
      </c>
      <c r="C7" s="46"/>
      <c r="D7" s="48">
        <f>+D5+D6</f>
        <v>8.1</v>
      </c>
      <c r="E7" s="49"/>
      <c r="F7" s="48">
        <f>+F5+F6</f>
        <v>-5.9999999999999964</v>
      </c>
      <c r="G7" s="49"/>
      <c r="H7" s="48">
        <f>+H5+H6</f>
        <v>22</v>
      </c>
      <c r="I7" s="49"/>
      <c r="J7" s="48">
        <f>+J5+J6</f>
        <v>30.87</v>
      </c>
      <c r="K7" s="49"/>
      <c r="L7" s="46"/>
      <c r="M7" s="48">
        <f>SUM(M5:M6)</f>
        <v>65</v>
      </c>
      <c r="N7" s="46"/>
      <c r="O7" s="48">
        <f>+O5+O6</f>
        <v>55</v>
      </c>
      <c r="P7" s="40"/>
      <c r="Q7" s="48">
        <f>+Q5+Q6</f>
        <v>-10</v>
      </c>
    </row>
    <row r="8" spans="1:17" ht="18.75" thickTop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  <c r="M8" s="40"/>
      <c r="N8" s="46"/>
      <c r="O8" s="40"/>
      <c r="P8" s="40"/>
      <c r="Q8" s="40"/>
    </row>
    <row r="9" spans="1:17" ht="18" x14ac:dyDescent="0.25">
      <c r="A9" s="42" t="s">
        <v>77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  <c r="M9" s="40"/>
      <c r="N9" s="46"/>
      <c r="O9" s="40"/>
      <c r="P9" s="40"/>
      <c r="Q9" s="40"/>
    </row>
    <row r="10" spans="1:17" ht="18" x14ac:dyDescent="0.25">
      <c r="A10" s="43" t="s">
        <v>78</v>
      </c>
      <c r="B10" s="43"/>
      <c r="C10" s="43"/>
      <c r="D10" s="44">
        <v>6.5</v>
      </c>
      <c r="E10" s="50"/>
      <c r="F10" s="44">
        <v>11.4</v>
      </c>
      <c r="G10" s="50"/>
      <c r="H10" s="44">
        <v>11.9</v>
      </c>
      <c r="I10" s="50"/>
      <c r="J10" s="44">
        <v>24.2</v>
      </c>
      <c r="K10" s="50"/>
      <c r="L10" s="50"/>
      <c r="M10" s="44">
        <v>11.4</v>
      </c>
      <c r="N10" s="50"/>
      <c r="O10" s="44">
        <v>18</v>
      </c>
      <c r="P10" s="40"/>
      <c r="Q10" s="44">
        <f>+O10-M10</f>
        <v>6.6</v>
      </c>
    </row>
    <row r="11" spans="1:17" ht="18" x14ac:dyDescent="0.25">
      <c r="A11" s="43" t="s">
        <v>79</v>
      </c>
      <c r="B11" s="43"/>
      <c r="C11" s="43"/>
      <c r="D11" s="45">
        <v>2.4</v>
      </c>
      <c r="E11" s="51"/>
      <c r="F11" s="45">
        <v>1.9</v>
      </c>
      <c r="G11" s="51"/>
      <c r="H11" s="45">
        <v>0.4</v>
      </c>
      <c r="I11" s="51"/>
      <c r="J11" s="45">
        <v>6.3</v>
      </c>
      <c r="K11" s="51"/>
      <c r="L11" s="50"/>
      <c r="M11" s="45">
        <v>1.9</v>
      </c>
      <c r="N11" s="50"/>
      <c r="O11" s="44">
        <f>+EECC!J32</f>
        <v>-32.5</v>
      </c>
      <c r="P11" s="40"/>
      <c r="Q11" s="44">
        <f>+O11-M11</f>
        <v>-34.4</v>
      </c>
    </row>
    <row r="12" spans="1:17" ht="18.75" thickBot="1" x14ac:dyDescent="0.3">
      <c r="A12" s="46"/>
      <c r="B12" s="47" t="s">
        <v>76</v>
      </c>
      <c r="C12" s="46"/>
      <c r="D12" s="48">
        <f>SUM(D10:D11)</f>
        <v>8.9</v>
      </c>
      <c r="E12" s="52"/>
      <c r="F12" s="48">
        <f>SUM(F10:F11)</f>
        <v>13.3</v>
      </c>
      <c r="G12" s="52"/>
      <c r="H12" s="48">
        <f>SUM(H10:H11)</f>
        <v>12.3</v>
      </c>
      <c r="I12" s="52"/>
      <c r="J12" s="48">
        <f>SUM(J10:J11)</f>
        <v>30.5</v>
      </c>
      <c r="K12" s="52"/>
      <c r="L12" s="50"/>
      <c r="M12" s="48">
        <f>SUM(M10:M11)</f>
        <v>13.3</v>
      </c>
      <c r="N12" s="50"/>
      <c r="O12" s="48">
        <f>+O10+O11</f>
        <v>-14.5</v>
      </c>
      <c r="P12" s="40"/>
      <c r="Q12" s="48">
        <f>+Q10+Q11</f>
        <v>-27.799999999999997</v>
      </c>
    </row>
    <row r="13" spans="1:17" ht="13.5" thickTop="1" x14ac:dyDescent="0.2">
      <c r="L13" s="18"/>
      <c r="N13" s="18"/>
    </row>
    <row r="16" spans="1:17" ht="15" x14ac:dyDescent="0.25">
      <c r="A16" s="34" t="s">
        <v>72</v>
      </c>
    </row>
    <row r="17" spans="1:15" ht="15" x14ac:dyDescent="0.25">
      <c r="A17" s="35" t="s">
        <v>73</v>
      </c>
      <c r="B17" s="35"/>
      <c r="C17" s="35"/>
      <c r="D17" s="39"/>
      <c r="E17" s="39"/>
      <c r="F17" s="39"/>
      <c r="G17" s="39"/>
      <c r="H17" s="39"/>
      <c r="I17" s="39"/>
      <c r="J17" s="39">
        <v>150</v>
      </c>
      <c r="K17" s="39"/>
      <c r="L17" s="39"/>
      <c r="M17" s="39"/>
      <c r="N17" s="39"/>
      <c r="O17" s="36">
        <v>150</v>
      </c>
    </row>
    <row r="18" spans="1:15" ht="15" x14ac:dyDescent="0.25">
      <c r="A18" s="35" t="s">
        <v>74</v>
      </c>
      <c r="B18" s="35"/>
      <c r="C18" s="35"/>
      <c r="D18" s="39"/>
      <c r="E18" s="39"/>
      <c r="F18" s="39"/>
      <c r="G18" s="39"/>
      <c r="H18" s="39"/>
      <c r="I18" s="39"/>
      <c r="J18" s="39">
        <v>83</v>
      </c>
      <c r="K18" s="39"/>
      <c r="L18" s="39"/>
      <c r="M18" s="39"/>
      <c r="N18" s="39"/>
      <c r="O18" s="38">
        <f>SUM(D18:K18)</f>
        <v>83</v>
      </c>
    </row>
    <row r="19" spans="1:15" ht="15.75" thickBot="1" x14ac:dyDescent="0.3">
      <c r="A19" s="18"/>
      <c r="B19" s="35" t="s">
        <v>75</v>
      </c>
      <c r="C19" s="18"/>
      <c r="D19" s="39">
        <f>SUM(D17:D18)</f>
        <v>0</v>
      </c>
      <c r="E19" s="39"/>
      <c r="F19" s="39">
        <f>SUM(F17:F18)</f>
        <v>0</v>
      </c>
      <c r="G19" s="39"/>
      <c r="H19" s="39">
        <f>SUM(H17:H18)</f>
        <v>0</v>
      </c>
      <c r="I19" s="39"/>
      <c r="J19" s="39">
        <f>SUM(J17:J18)</f>
        <v>233</v>
      </c>
      <c r="K19" s="39"/>
      <c r="L19" s="39"/>
      <c r="M19" s="39"/>
      <c r="N19" s="39"/>
      <c r="O19" s="37">
        <f>+O17-O18</f>
        <v>67</v>
      </c>
    </row>
    <row r="20" spans="1:15" ht="13.5" thickTop="1" x14ac:dyDescent="0.2"/>
  </sheetData>
  <phoneticPr fontId="0" type="noConversion"/>
  <printOptions horizontalCentered="1"/>
  <pageMargins left="0.75" right="0.75" top="2" bottom="1" header="1" footer="0.5"/>
  <pageSetup scale="115" orientation="landscape" r:id="rId1"/>
  <headerFooter alignWithMargins="0">
    <oddHeader>&amp;C&amp;"Arial,Bold"&amp;18Enron Engineering and Operations Services
IBIT Summary&amp;16
&amp;14(millions)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workbookViewId="0">
      <selection activeCell="G15" sqref="G15"/>
    </sheetView>
  </sheetViews>
  <sheetFormatPr defaultRowHeight="12.75" x14ac:dyDescent="0.2"/>
  <cols>
    <col min="3" max="3" width="11.28515625" customWidth="1"/>
    <col min="4" max="4" width="6.85546875" customWidth="1"/>
    <col min="5" max="5" width="8.140625" customWidth="1"/>
    <col min="6" max="6" width="3" customWidth="1"/>
    <col min="7" max="7" width="7.5703125" customWidth="1"/>
    <col min="8" max="8" width="3.7109375" customWidth="1"/>
    <col min="9" max="9" width="8.140625" customWidth="1"/>
    <col min="10" max="10" width="4.7109375" customWidth="1"/>
    <col min="11" max="11" width="85.5703125" customWidth="1"/>
  </cols>
  <sheetData>
    <row r="1" spans="1:11" ht="15.75" x14ac:dyDescent="0.25">
      <c r="E1" s="13" t="s">
        <v>10</v>
      </c>
      <c r="F1" s="13"/>
      <c r="G1" s="13" t="s">
        <v>11</v>
      </c>
      <c r="H1" s="13"/>
      <c r="I1" s="13" t="s">
        <v>12</v>
      </c>
      <c r="J1" s="6"/>
      <c r="K1" s="14" t="s">
        <v>13</v>
      </c>
    </row>
    <row r="2" spans="1:11" ht="14.25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11" ht="15" x14ac:dyDescent="0.25">
      <c r="A3" s="1" t="s">
        <v>9</v>
      </c>
      <c r="B3" s="10"/>
      <c r="C3" s="10"/>
      <c r="D3" s="10"/>
      <c r="E3" s="10"/>
      <c r="F3" s="10"/>
      <c r="G3" s="10"/>
      <c r="H3" s="10"/>
      <c r="I3" s="10"/>
    </row>
    <row r="4" spans="1:11" ht="15" x14ac:dyDescent="0.25">
      <c r="A4" s="1"/>
      <c r="B4" s="10" t="s">
        <v>6</v>
      </c>
      <c r="C4" s="10"/>
      <c r="D4" s="10"/>
      <c r="E4" s="11">
        <v>0</v>
      </c>
      <c r="F4" s="11"/>
      <c r="G4" s="11">
        <v>-23</v>
      </c>
      <c r="H4" s="11"/>
      <c r="I4" s="11">
        <f>+G4-E4</f>
        <v>-23</v>
      </c>
      <c r="K4" s="10" t="s">
        <v>23</v>
      </c>
    </row>
    <row r="5" spans="1:11" ht="15" x14ac:dyDescent="0.25">
      <c r="A5" s="1"/>
      <c r="B5" s="10" t="s">
        <v>63</v>
      </c>
      <c r="C5" s="10"/>
      <c r="D5" s="10"/>
      <c r="E5" s="11">
        <v>2.4</v>
      </c>
      <c r="F5" s="11"/>
      <c r="G5" s="11">
        <f>-3.9+0.9</f>
        <v>-3</v>
      </c>
      <c r="H5" s="11"/>
      <c r="I5" s="11">
        <f>+G5-E5</f>
        <v>-5.4</v>
      </c>
      <c r="K5" s="10" t="s">
        <v>34</v>
      </c>
    </row>
    <row r="6" spans="1:11" ht="15" x14ac:dyDescent="0.25">
      <c r="A6" s="1"/>
      <c r="B6" s="10"/>
      <c r="C6" s="10"/>
      <c r="D6" s="10"/>
      <c r="E6" s="11"/>
      <c r="F6" s="11"/>
      <c r="G6" s="11"/>
      <c r="H6" s="11"/>
      <c r="I6" s="11"/>
      <c r="K6" s="10" t="s">
        <v>35</v>
      </c>
    </row>
    <row r="7" spans="1:11" ht="15" x14ac:dyDescent="0.25">
      <c r="A7" s="1"/>
      <c r="B7" s="10" t="s">
        <v>8</v>
      </c>
      <c r="C7" s="10"/>
      <c r="D7" s="10"/>
      <c r="E7" s="11">
        <v>4</v>
      </c>
      <c r="F7" s="11"/>
      <c r="G7" s="11">
        <v>0</v>
      </c>
      <c r="H7" s="11"/>
      <c r="I7" s="11">
        <f>+G7-E7</f>
        <v>-4</v>
      </c>
      <c r="K7" s="10" t="s">
        <v>25</v>
      </c>
    </row>
    <row r="8" spans="1:11" ht="14.25" x14ac:dyDescent="0.2">
      <c r="A8" s="10"/>
      <c r="B8" s="10" t="s">
        <v>1</v>
      </c>
      <c r="C8" s="10"/>
      <c r="D8" s="10"/>
      <c r="E8" s="11">
        <v>0</v>
      </c>
      <c r="F8" s="11"/>
      <c r="G8" s="11">
        <v>-2.1</v>
      </c>
      <c r="H8" s="11"/>
      <c r="I8" s="11">
        <f>+G8-E8</f>
        <v>-2.1</v>
      </c>
      <c r="K8" s="10" t="s">
        <v>24</v>
      </c>
    </row>
    <row r="9" spans="1:11" ht="14.25" x14ac:dyDescent="0.2">
      <c r="A9" s="10"/>
      <c r="B9" s="10" t="s">
        <v>3</v>
      </c>
      <c r="C9" s="10"/>
      <c r="D9" s="10"/>
      <c r="E9" s="11">
        <v>5.5</v>
      </c>
      <c r="F9" s="11"/>
      <c r="G9" s="11">
        <v>5.5</v>
      </c>
      <c r="H9" s="11"/>
      <c r="I9" s="11">
        <f t="shared" ref="I9:I36" si="0">+G9-E9</f>
        <v>0</v>
      </c>
      <c r="K9" s="10"/>
    </row>
    <row r="10" spans="1:11" ht="14.25" x14ac:dyDescent="0.2">
      <c r="A10" s="10"/>
      <c r="B10" s="10" t="s">
        <v>64</v>
      </c>
      <c r="C10" s="10"/>
      <c r="D10" s="10"/>
      <c r="E10" s="11">
        <v>-0.2</v>
      </c>
      <c r="F10" s="11"/>
      <c r="G10" s="11">
        <v>-7.7</v>
      </c>
      <c r="H10" s="11"/>
      <c r="I10" s="11">
        <f t="shared" si="0"/>
        <v>-7.5</v>
      </c>
      <c r="K10" s="10" t="s">
        <v>65</v>
      </c>
    </row>
    <row r="11" spans="1:11" ht="14.25" x14ac:dyDescent="0.2">
      <c r="A11" s="10"/>
      <c r="B11" s="10" t="s">
        <v>5</v>
      </c>
      <c r="C11" s="10"/>
      <c r="D11" s="10"/>
      <c r="E11" s="11">
        <v>0.8</v>
      </c>
      <c r="F11" s="11"/>
      <c r="G11" s="11">
        <v>0.8</v>
      </c>
      <c r="H11" s="11"/>
      <c r="I11" s="11">
        <f t="shared" si="0"/>
        <v>0</v>
      </c>
      <c r="K11" s="10"/>
    </row>
    <row r="12" spans="1:11" ht="14.25" x14ac:dyDescent="0.2">
      <c r="A12" s="10"/>
      <c r="B12" s="10" t="s">
        <v>2</v>
      </c>
      <c r="C12" s="10"/>
      <c r="D12" s="10"/>
      <c r="E12" s="11">
        <v>0</v>
      </c>
      <c r="F12" s="11"/>
      <c r="G12" s="11">
        <v>-1</v>
      </c>
      <c r="H12" s="11"/>
      <c r="I12" s="11">
        <f>+G12-E12</f>
        <v>-1</v>
      </c>
      <c r="K12" s="10" t="s">
        <v>33</v>
      </c>
    </row>
    <row r="13" spans="1:11" ht="14.25" x14ac:dyDescent="0.2">
      <c r="A13" s="10"/>
      <c r="B13" s="10" t="s">
        <v>4</v>
      </c>
      <c r="C13" s="10"/>
      <c r="D13" s="10"/>
      <c r="E13" s="11">
        <v>0</v>
      </c>
      <c r="F13" s="11"/>
      <c r="G13" s="11">
        <v>-0.5</v>
      </c>
      <c r="H13" s="11"/>
      <c r="I13" s="11">
        <f>+G13-E13</f>
        <v>-0.5</v>
      </c>
      <c r="K13" s="10" t="s">
        <v>26</v>
      </c>
    </row>
    <row r="14" spans="1:11" ht="14.25" x14ac:dyDescent="0.2">
      <c r="A14" s="10"/>
      <c r="B14" s="10" t="s">
        <v>7</v>
      </c>
      <c r="C14" s="10"/>
      <c r="D14" s="10"/>
      <c r="E14" s="11">
        <v>0.6</v>
      </c>
      <c r="F14" s="11"/>
      <c r="G14" s="11">
        <v>0.6</v>
      </c>
      <c r="H14" s="11"/>
      <c r="I14" s="11">
        <f t="shared" si="0"/>
        <v>0</v>
      </c>
      <c r="K14" s="10"/>
    </row>
    <row r="15" spans="1:11" ht="14.25" x14ac:dyDescent="0.2">
      <c r="A15" s="10"/>
      <c r="B15" s="10" t="s">
        <v>31</v>
      </c>
      <c r="C15" s="10"/>
      <c r="D15" s="10"/>
      <c r="E15" s="11">
        <v>0.8</v>
      </c>
      <c r="F15" s="11"/>
      <c r="G15" s="11">
        <f>-0.3+0.8</f>
        <v>0.5</v>
      </c>
      <c r="H15" s="11"/>
      <c r="I15" s="11">
        <f t="shared" si="0"/>
        <v>-0.30000000000000004</v>
      </c>
      <c r="K15" s="10" t="s">
        <v>27</v>
      </c>
    </row>
    <row r="16" spans="1:11" ht="14.25" x14ac:dyDescent="0.2">
      <c r="A16" s="10"/>
      <c r="B16" s="10" t="s">
        <v>16</v>
      </c>
      <c r="C16" s="10"/>
      <c r="D16" s="10"/>
      <c r="E16" s="12">
        <v>-20</v>
      </c>
      <c r="F16" s="12"/>
      <c r="G16" s="12">
        <v>0</v>
      </c>
      <c r="H16" s="12"/>
      <c r="I16" s="12">
        <f t="shared" si="0"/>
        <v>20</v>
      </c>
      <c r="K16" s="10"/>
    </row>
    <row r="17" spans="1:11" ht="7.5" customHeight="1" x14ac:dyDescent="0.2">
      <c r="A17" s="10"/>
      <c r="B17" s="10"/>
      <c r="C17" s="10"/>
      <c r="D17" s="10"/>
      <c r="E17" s="11"/>
      <c r="F17" s="11"/>
      <c r="G17" s="11"/>
      <c r="H17" s="11"/>
      <c r="I17" s="11"/>
      <c r="K17" s="10"/>
    </row>
    <row r="18" spans="1:11" ht="14.25" x14ac:dyDescent="0.2">
      <c r="A18" s="10"/>
      <c r="B18" s="10" t="s">
        <v>32</v>
      </c>
      <c r="C18" s="10"/>
      <c r="D18" s="10"/>
      <c r="E18" s="11">
        <f>SUM(E4:E17)</f>
        <v>-6.0999999999999979</v>
      </c>
      <c r="F18" s="11"/>
      <c r="G18" s="11">
        <f>SUM(G4:G17)</f>
        <v>-29.9</v>
      </c>
      <c r="H18" s="11"/>
      <c r="I18" s="11">
        <f>+G18-E18</f>
        <v>-23.8</v>
      </c>
      <c r="K18" s="10"/>
    </row>
    <row r="19" spans="1:11" ht="14.25" x14ac:dyDescent="0.2">
      <c r="A19" s="10"/>
      <c r="B19" s="10"/>
      <c r="C19" s="10"/>
      <c r="D19" s="10"/>
      <c r="E19" s="11"/>
      <c r="F19" s="11"/>
      <c r="G19" s="11"/>
      <c r="H19" s="11"/>
      <c r="I19" s="11"/>
    </row>
    <row r="20" spans="1:11" ht="15" x14ac:dyDescent="0.25">
      <c r="A20" s="1" t="s">
        <v>14</v>
      </c>
      <c r="B20" s="10"/>
      <c r="C20" s="10"/>
      <c r="D20" s="10"/>
      <c r="E20" s="11">
        <v>21.5</v>
      </c>
      <c r="F20" s="11"/>
      <c r="G20" s="11">
        <v>21.5</v>
      </c>
      <c r="H20" s="11"/>
      <c r="I20" s="11">
        <f t="shared" si="0"/>
        <v>0</v>
      </c>
      <c r="K20" s="10"/>
    </row>
    <row r="21" spans="1:11" ht="14.25" x14ac:dyDescent="0.2">
      <c r="A21" s="10"/>
      <c r="B21" s="10"/>
      <c r="C21" s="10"/>
      <c r="D21" s="10"/>
      <c r="E21" s="11"/>
      <c r="F21" s="11"/>
      <c r="G21" s="11"/>
      <c r="H21" s="11"/>
      <c r="I21" s="11"/>
      <c r="K21" s="10"/>
    </row>
    <row r="22" spans="1:11" ht="15" x14ac:dyDescent="0.25">
      <c r="A22" s="1" t="s">
        <v>15</v>
      </c>
      <c r="B22" s="10"/>
      <c r="C22" s="10"/>
      <c r="D22" s="10"/>
      <c r="E22" s="11">
        <v>0</v>
      </c>
      <c r="F22" s="11"/>
      <c r="G22" s="11">
        <v>2.8</v>
      </c>
      <c r="H22" s="11"/>
      <c r="I22" s="11">
        <f t="shared" si="0"/>
        <v>2.8</v>
      </c>
      <c r="K22" s="10" t="s">
        <v>36</v>
      </c>
    </row>
    <row r="23" spans="1:11" ht="15" x14ac:dyDescent="0.25">
      <c r="A23" s="1"/>
      <c r="B23" s="10"/>
      <c r="C23" s="10"/>
      <c r="D23" s="10"/>
      <c r="E23" s="11"/>
      <c r="F23" s="11"/>
      <c r="G23" s="11"/>
      <c r="H23" s="11"/>
      <c r="I23" s="11"/>
      <c r="K23" s="10"/>
    </row>
    <row r="24" spans="1:11" ht="15" x14ac:dyDescent="0.25">
      <c r="A24" s="1" t="s">
        <v>21</v>
      </c>
      <c r="B24" s="10"/>
      <c r="C24" s="10"/>
      <c r="D24" s="10"/>
      <c r="E24" s="11">
        <v>1</v>
      </c>
      <c r="F24" s="11"/>
      <c r="G24" s="11">
        <v>1</v>
      </c>
      <c r="H24" s="11"/>
      <c r="I24" s="11">
        <f t="shared" si="0"/>
        <v>0</v>
      </c>
      <c r="K24" s="10"/>
    </row>
    <row r="25" spans="1:11" ht="15" x14ac:dyDescent="0.25">
      <c r="A25" s="1"/>
      <c r="B25" s="10"/>
      <c r="C25" s="10"/>
      <c r="D25" s="10"/>
      <c r="E25" s="11"/>
      <c r="F25" s="11"/>
      <c r="G25" s="11"/>
      <c r="H25" s="11"/>
      <c r="I25" s="11"/>
      <c r="K25" s="10"/>
    </row>
    <row r="26" spans="1:11" ht="15" x14ac:dyDescent="0.25">
      <c r="A26" s="1" t="s">
        <v>17</v>
      </c>
      <c r="B26" s="10"/>
      <c r="C26" s="10"/>
      <c r="D26" s="10"/>
      <c r="E26" s="11">
        <v>0</v>
      </c>
      <c r="F26" s="11"/>
      <c r="G26" s="11">
        <v>-3.8</v>
      </c>
      <c r="H26" s="11"/>
      <c r="I26" s="11">
        <f t="shared" si="0"/>
        <v>-3.8</v>
      </c>
      <c r="K26" s="10" t="s">
        <v>28</v>
      </c>
    </row>
    <row r="27" spans="1:11" ht="15" x14ac:dyDescent="0.25">
      <c r="A27" s="1"/>
      <c r="B27" s="10"/>
      <c r="C27" s="10"/>
      <c r="D27" s="10"/>
      <c r="E27" s="11"/>
      <c r="F27" s="11"/>
      <c r="G27" s="11"/>
      <c r="H27" s="11"/>
      <c r="I27" s="11"/>
      <c r="K27" s="10"/>
    </row>
    <row r="28" spans="1:11" ht="15" x14ac:dyDescent="0.25">
      <c r="A28" s="1" t="s">
        <v>18</v>
      </c>
      <c r="B28" s="10"/>
      <c r="C28" s="10"/>
      <c r="D28" s="10"/>
      <c r="E28" s="11">
        <v>-7</v>
      </c>
      <c r="F28" s="11"/>
      <c r="G28" s="11">
        <f>-26-1.3-1.5-0.3</f>
        <v>-29.1</v>
      </c>
      <c r="H28" s="11"/>
      <c r="I28" s="11">
        <f t="shared" si="0"/>
        <v>-22.1</v>
      </c>
      <c r="K28" s="10" t="s">
        <v>37</v>
      </c>
    </row>
    <row r="29" spans="1:11" ht="15" x14ac:dyDescent="0.25">
      <c r="A29" s="1"/>
      <c r="B29" s="10"/>
      <c r="C29" s="10"/>
      <c r="D29" s="10"/>
      <c r="E29" s="11"/>
      <c r="F29" s="11"/>
      <c r="G29" s="11"/>
      <c r="H29" s="11"/>
      <c r="I29" s="11"/>
      <c r="K29" s="10" t="s">
        <v>38</v>
      </c>
    </row>
    <row r="30" spans="1:11" ht="15" x14ac:dyDescent="0.25">
      <c r="A30" s="1" t="s">
        <v>19</v>
      </c>
      <c r="B30" s="10"/>
      <c r="C30" s="10"/>
      <c r="D30" s="10"/>
      <c r="E30" s="11">
        <v>-1</v>
      </c>
      <c r="F30" s="11"/>
      <c r="G30" s="11">
        <f>-3.9+1.6-0.8-0.1-0.2-1.1-0.1+0.2</f>
        <v>-4.3999999999999995</v>
      </c>
      <c r="H30" s="11"/>
      <c r="I30" s="11">
        <f t="shared" si="0"/>
        <v>-3.3999999999999995</v>
      </c>
      <c r="K30" s="10" t="s">
        <v>66</v>
      </c>
    </row>
    <row r="31" spans="1:11" ht="15" x14ac:dyDescent="0.25">
      <c r="A31" s="1"/>
      <c r="B31" s="10"/>
      <c r="C31" s="10"/>
      <c r="D31" s="10"/>
      <c r="E31" s="11"/>
      <c r="F31" s="11"/>
      <c r="G31" s="11"/>
      <c r="H31" s="11"/>
      <c r="I31" s="11"/>
    </row>
    <row r="32" spans="1:11" ht="15" x14ac:dyDescent="0.25">
      <c r="A32" s="1" t="s">
        <v>20</v>
      </c>
      <c r="B32" s="10"/>
      <c r="C32" s="10"/>
      <c r="D32" s="10"/>
      <c r="E32" s="17">
        <v>2.6</v>
      </c>
      <c r="F32" s="17"/>
      <c r="G32" s="17">
        <f>1.1+1.3+1+0.4+0.2+0.6+0.3</f>
        <v>4.8999999999999995</v>
      </c>
      <c r="H32" s="17"/>
      <c r="I32" s="17">
        <f t="shared" si="0"/>
        <v>2.2999999999999994</v>
      </c>
      <c r="J32" s="18"/>
    </row>
    <row r="33" spans="1:9" ht="15" x14ac:dyDescent="0.25">
      <c r="A33" s="1"/>
      <c r="B33" s="10"/>
      <c r="C33" s="10"/>
      <c r="D33" s="10"/>
      <c r="E33" s="17"/>
      <c r="F33" s="17"/>
      <c r="G33" s="17"/>
      <c r="H33" s="17"/>
      <c r="I33" s="17"/>
    </row>
    <row r="34" spans="1:9" ht="15" x14ac:dyDescent="0.25">
      <c r="A34" s="1" t="s">
        <v>30</v>
      </c>
      <c r="B34" s="10"/>
      <c r="C34" s="10"/>
      <c r="D34" s="10"/>
      <c r="E34" s="12">
        <v>0</v>
      </c>
      <c r="F34" s="12"/>
      <c r="G34" s="12">
        <v>7</v>
      </c>
      <c r="H34" s="12"/>
      <c r="I34" s="12">
        <f>+G34-E34</f>
        <v>7</v>
      </c>
    </row>
    <row r="35" spans="1:9" x14ac:dyDescent="0.2">
      <c r="E35" s="3"/>
      <c r="F35" s="3"/>
      <c r="G35" s="3"/>
      <c r="H35" s="3"/>
      <c r="I35" s="3"/>
    </row>
    <row r="36" spans="1:9" ht="16.5" thickBot="1" x14ac:dyDescent="0.3">
      <c r="A36" s="5" t="s">
        <v>22</v>
      </c>
      <c r="B36" s="6"/>
      <c r="C36" s="6"/>
      <c r="D36" s="6"/>
      <c r="E36" s="9">
        <f>SUM(E4:E35)-E18</f>
        <v>11.000000000000002</v>
      </c>
      <c r="F36" s="9"/>
      <c r="G36" s="9">
        <f>SUM(G4:G35)-G18</f>
        <v>-30.000000000000007</v>
      </c>
      <c r="H36" s="9"/>
      <c r="I36" s="9">
        <f t="shared" si="0"/>
        <v>-41.000000000000007</v>
      </c>
    </row>
    <row r="37" spans="1:9" ht="15.75" thickTop="1" x14ac:dyDescent="0.2">
      <c r="A37" s="6"/>
      <c r="B37" s="6"/>
      <c r="C37" s="6"/>
      <c r="D37" s="6"/>
      <c r="E37" s="8"/>
      <c r="F37" s="8"/>
      <c r="G37" s="8"/>
      <c r="H37" s="8"/>
      <c r="I37" s="8"/>
    </row>
    <row r="38" spans="1:9" x14ac:dyDescent="0.2">
      <c r="E38" s="3"/>
      <c r="F38" s="3"/>
      <c r="G38" s="3"/>
      <c r="H38" s="3"/>
      <c r="I38" s="3"/>
    </row>
    <row r="39" spans="1:9" x14ac:dyDescent="0.2">
      <c r="E39" s="3"/>
      <c r="F39" s="3"/>
      <c r="G39" s="3"/>
      <c r="H39" s="3"/>
      <c r="I39" s="3"/>
    </row>
    <row r="40" spans="1:9" x14ac:dyDescent="0.2">
      <c r="E40" s="3"/>
      <c r="F40" s="3"/>
      <c r="G40" s="3"/>
      <c r="H40" s="3"/>
      <c r="I40" s="3"/>
    </row>
    <row r="41" spans="1:9" x14ac:dyDescent="0.2">
      <c r="E41" s="3"/>
      <c r="F41" s="3"/>
      <c r="G41" s="3"/>
      <c r="H41" s="3"/>
      <c r="I41" s="3"/>
    </row>
    <row r="42" spans="1:9" x14ac:dyDescent="0.2">
      <c r="E42" s="3"/>
      <c r="F42" s="3"/>
      <c r="G42" s="3"/>
      <c r="H42" s="3"/>
      <c r="I42" s="3"/>
    </row>
    <row r="43" spans="1:9" x14ac:dyDescent="0.2">
      <c r="E43" s="3"/>
      <c r="F43" s="3"/>
      <c r="G43" s="3"/>
      <c r="H43" s="3"/>
      <c r="I43" s="3"/>
    </row>
    <row r="44" spans="1:9" x14ac:dyDescent="0.2">
      <c r="E44" s="3"/>
      <c r="F44" s="3"/>
      <c r="G44" s="3"/>
      <c r="H44" s="3"/>
      <c r="I44" s="3"/>
    </row>
    <row r="45" spans="1:9" x14ac:dyDescent="0.2">
      <c r="E45" s="3"/>
      <c r="F45" s="3"/>
      <c r="G45" s="3"/>
      <c r="H45" s="3"/>
      <c r="I45" s="3"/>
    </row>
    <row r="46" spans="1:9" x14ac:dyDescent="0.2">
      <c r="E46" s="3"/>
      <c r="F46" s="3"/>
      <c r="G46" s="3"/>
      <c r="H46" s="3"/>
      <c r="I46" s="3"/>
    </row>
    <row r="47" spans="1:9" x14ac:dyDescent="0.2">
      <c r="E47" s="3"/>
      <c r="F47" s="3"/>
      <c r="G47" s="3"/>
      <c r="H47" s="3"/>
      <c r="I47" s="3"/>
    </row>
    <row r="48" spans="1:9" x14ac:dyDescent="0.2">
      <c r="E48" s="3"/>
      <c r="F48" s="3"/>
      <c r="G48" s="3"/>
      <c r="H48" s="3"/>
      <c r="I48" s="3"/>
    </row>
    <row r="49" spans="5:9" x14ac:dyDescent="0.2">
      <c r="E49" s="3"/>
      <c r="F49" s="3"/>
      <c r="G49" s="3"/>
      <c r="H49" s="3"/>
      <c r="I49" s="3"/>
    </row>
    <row r="50" spans="5:9" x14ac:dyDescent="0.2">
      <c r="E50" s="3"/>
      <c r="F50" s="3"/>
      <c r="G50" s="3"/>
      <c r="H50" s="3"/>
      <c r="I50" s="3"/>
    </row>
    <row r="51" spans="5:9" x14ac:dyDescent="0.2">
      <c r="E51" s="3"/>
      <c r="F51" s="3"/>
      <c r="G51" s="3"/>
      <c r="H51" s="3"/>
      <c r="I51" s="3"/>
    </row>
    <row r="52" spans="5:9" x14ac:dyDescent="0.2">
      <c r="E52" s="3"/>
      <c r="F52" s="3"/>
      <c r="G52" s="3"/>
      <c r="H52" s="3"/>
      <c r="I52" s="3"/>
    </row>
    <row r="53" spans="5:9" x14ac:dyDescent="0.2">
      <c r="E53" s="3"/>
      <c r="F53" s="3"/>
      <c r="G53" s="3"/>
      <c r="H53" s="3"/>
      <c r="I53" s="3"/>
    </row>
    <row r="54" spans="5:9" x14ac:dyDescent="0.2">
      <c r="E54" s="3"/>
      <c r="F54" s="3"/>
      <c r="G54" s="3"/>
      <c r="H54" s="3"/>
      <c r="I54" s="3"/>
    </row>
    <row r="55" spans="5:9" x14ac:dyDescent="0.2">
      <c r="E55" s="3"/>
      <c r="F55" s="3"/>
      <c r="G55" s="3"/>
      <c r="H55" s="3"/>
      <c r="I55" s="3"/>
    </row>
    <row r="56" spans="5:9" x14ac:dyDescent="0.2">
      <c r="E56" s="3"/>
      <c r="F56" s="3"/>
      <c r="G56" s="3"/>
      <c r="H56" s="3"/>
      <c r="I56" s="3"/>
    </row>
    <row r="57" spans="5:9" x14ac:dyDescent="0.2">
      <c r="E57" s="3"/>
      <c r="F57" s="3"/>
      <c r="G57" s="3"/>
      <c r="H57" s="3"/>
      <c r="I57" s="3"/>
    </row>
    <row r="58" spans="5:9" x14ac:dyDescent="0.2">
      <c r="E58" s="3"/>
      <c r="F58" s="3"/>
      <c r="G58" s="3"/>
      <c r="H58" s="3"/>
      <c r="I58" s="3"/>
    </row>
    <row r="59" spans="5:9" x14ac:dyDescent="0.2">
      <c r="E59" s="3"/>
      <c r="F59" s="3"/>
      <c r="G59" s="3"/>
      <c r="H59" s="3"/>
      <c r="I59" s="3"/>
    </row>
    <row r="60" spans="5:9" x14ac:dyDescent="0.2">
      <c r="E60" s="3"/>
      <c r="F60" s="3"/>
      <c r="G60" s="3"/>
      <c r="H60" s="3"/>
      <c r="I60" s="3"/>
    </row>
    <row r="61" spans="5:9" x14ac:dyDescent="0.2">
      <c r="E61" s="3"/>
      <c r="F61" s="3"/>
      <c r="G61" s="3"/>
      <c r="H61" s="3"/>
      <c r="I61" s="3"/>
    </row>
    <row r="62" spans="5:9" x14ac:dyDescent="0.2">
      <c r="E62" s="3"/>
      <c r="F62" s="3"/>
      <c r="G62" s="3"/>
      <c r="H62" s="3"/>
      <c r="I62" s="3"/>
    </row>
    <row r="63" spans="5:9" x14ac:dyDescent="0.2">
      <c r="E63" s="3"/>
      <c r="F63" s="3"/>
      <c r="G63" s="3"/>
      <c r="H63" s="3"/>
      <c r="I63" s="3"/>
    </row>
    <row r="64" spans="5:9" x14ac:dyDescent="0.2">
      <c r="E64" s="3"/>
      <c r="F64" s="3"/>
      <c r="G64" s="3"/>
      <c r="H64" s="3"/>
      <c r="I64" s="3"/>
    </row>
  </sheetData>
  <phoneticPr fontId="0" type="noConversion"/>
  <pageMargins left="0.25" right="0.25" top="1.5" bottom="0.25" header="0.5" footer="0.5"/>
  <pageSetup scale="86" orientation="landscape" r:id="rId1"/>
  <headerFooter alignWithMargins="0">
    <oddHeader>&amp;C&amp;"Arial,Bold"&amp;18Enron Engineering and Operations Services
2001 Plan vs. 1st Current Estimate&amp;14
&amp;16(millions)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2" sqref="I22"/>
    </sheetView>
  </sheetViews>
  <sheetFormatPr defaultRowHeight="15" x14ac:dyDescent="0.2"/>
  <cols>
    <col min="1" max="1" width="11.7109375" style="6" customWidth="1"/>
    <col min="2" max="2" width="14" style="6" customWidth="1"/>
    <col min="3" max="3" width="9.140625" style="6"/>
    <col min="4" max="4" width="4.42578125" style="6" customWidth="1"/>
    <col min="5" max="5" width="9.140625" style="6"/>
    <col min="6" max="6" width="4.42578125" style="6" customWidth="1"/>
    <col min="7" max="16384" width="9.140625" style="6"/>
  </cols>
  <sheetData>
    <row r="1" spans="1:7" ht="15.75" x14ac:dyDescent="0.25">
      <c r="C1" s="16" t="s">
        <v>70</v>
      </c>
      <c r="D1" s="16"/>
      <c r="E1" s="16" t="s">
        <v>70</v>
      </c>
    </row>
    <row r="2" spans="1:7" ht="15.75" x14ac:dyDescent="0.25">
      <c r="C2" s="13" t="s">
        <v>10</v>
      </c>
      <c r="D2" s="13"/>
      <c r="E2" s="13" t="s">
        <v>40</v>
      </c>
      <c r="F2" s="13"/>
      <c r="G2" s="13" t="s">
        <v>12</v>
      </c>
    </row>
    <row r="4" spans="1:7" x14ac:dyDescent="0.2">
      <c r="B4" s="10" t="s">
        <v>79</v>
      </c>
      <c r="C4" s="11">
        <f>+EECC!E24</f>
        <v>8.1999999999999993</v>
      </c>
      <c r="D4" s="10"/>
      <c r="E4" s="11">
        <f>+EECC!U24</f>
        <v>-22.07</v>
      </c>
      <c r="F4" s="10"/>
      <c r="G4" s="11">
        <f>+E4-C4</f>
        <v>-30.27</v>
      </c>
    </row>
    <row r="5" spans="1:7" x14ac:dyDescent="0.2">
      <c r="B5" s="10" t="s">
        <v>78</v>
      </c>
      <c r="C5" s="12">
        <f>+NEPCO!E25</f>
        <v>30.099999999999998</v>
      </c>
      <c r="D5" s="10"/>
      <c r="E5" s="12">
        <f>+NEPCO!J25</f>
        <v>6.4</v>
      </c>
      <c r="F5" s="10"/>
      <c r="G5" s="12">
        <f>+E5-C5</f>
        <v>-23.699999999999996</v>
      </c>
    </row>
    <row r="6" spans="1:7" ht="6" customHeight="1" x14ac:dyDescent="0.2">
      <c r="C6" s="8"/>
      <c r="E6" s="8"/>
      <c r="G6" s="8"/>
    </row>
    <row r="7" spans="1:7" ht="15.75" x14ac:dyDescent="0.25">
      <c r="B7" s="72" t="s">
        <v>103</v>
      </c>
      <c r="C7" s="7">
        <f>SUM(C4:C6)</f>
        <v>38.299999999999997</v>
      </c>
      <c r="D7" s="5"/>
      <c r="E7" s="7">
        <f>SUM(E4:E6)</f>
        <v>-15.67</v>
      </c>
      <c r="F7" s="5"/>
      <c r="G7" s="7">
        <f>SUM(G4:G6)</f>
        <v>-53.97</v>
      </c>
    </row>
    <row r="8" spans="1:7" x14ac:dyDescent="0.2">
      <c r="C8" s="8"/>
      <c r="E8" s="8"/>
      <c r="G8" s="8"/>
    </row>
    <row r="9" spans="1:7" x14ac:dyDescent="0.2">
      <c r="A9" s="10" t="s">
        <v>18</v>
      </c>
      <c r="B9" s="10"/>
      <c r="C9" s="11"/>
      <c r="D9" s="10"/>
      <c r="E9" s="11"/>
      <c r="F9" s="10"/>
      <c r="G9" s="11"/>
    </row>
    <row r="10" spans="1:7" x14ac:dyDescent="0.2">
      <c r="A10" s="10"/>
      <c r="B10" s="10" t="s">
        <v>79</v>
      </c>
      <c r="C10" s="11">
        <f>+EECC!E26</f>
        <v>-1.2000000000000002</v>
      </c>
      <c r="D10" s="10"/>
      <c r="E10" s="11">
        <f>+EECC!U26</f>
        <v>-9.3000000000000007</v>
      </c>
      <c r="F10" s="10"/>
      <c r="G10" s="11">
        <f>+E10-C10</f>
        <v>-8.1000000000000014</v>
      </c>
    </row>
    <row r="11" spans="1:7" x14ac:dyDescent="0.2">
      <c r="A11" s="10"/>
      <c r="B11" s="10" t="s">
        <v>78</v>
      </c>
      <c r="C11" s="11">
        <f>+NEPCO!E27</f>
        <v>-3.6</v>
      </c>
      <c r="D11" s="10"/>
      <c r="E11" s="11">
        <f>+NEPCO!J27</f>
        <v>-7.2</v>
      </c>
      <c r="F11" s="10"/>
      <c r="G11" s="11">
        <f>+E11-C11</f>
        <v>-3.6</v>
      </c>
    </row>
    <row r="12" spans="1:7" x14ac:dyDescent="0.2">
      <c r="A12" s="10" t="s">
        <v>102</v>
      </c>
      <c r="B12" s="10"/>
      <c r="C12" s="11"/>
      <c r="D12" s="10"/>
      <c r="E12" s="11"/>
      <c r="F12" s="10"/>
      <c r="G12" s="11"/>
    </row>
    <row r="13" spans="1:7" x14ac:dyDescent="0.2">
      <c r="A13" s="10"/>
      <c r="B13" s="10" t="s">
        <v>79</v>
      </c>
      <c r="C13" s="11">
        <f>+EECC!E28</f>
        <v>-0.7</v>
      </c>
      <c r="D13" s="10"/>
      <c r="E13" s="11">
        <f>+EECC!U28</f>
        <v>-1.5</v>
      </c>
      <c r="F13" s="10"/>
      <c r="G13" s="11">
        <f>+E13-C13</f>
        <v>-0.8</v>
      </c>
    </row>
    <row r="14" spans="1:7" x14ac:dyDescent="0.2">
      <c r="A14" s="10"/>
      <c r="B14" s="10" t="s">
        <v>78</v>
      </c>
      <c r="C14" s="11">
        <f>+NEPCO!E29</f>
        <v>-1.6</v>
      </c>
      <c r="D14" s="10"/>
      <c r="E14" s="11">
        <f>+NEPCO!J29</f>
        <v>-2.5</v>
      </c>
      <c r="F14" s="10"/>
      <c r="G14" s="11">
        <f>+E14-C14</f>
        <v>-0.89999999999999991</v>
      </c>
    </row>
    <row r="15" spans="1:7" x14ac:dyDescent="0.2">
      <c r="A15" s="10" t="s">
        <v>20</v>
      </c>
      <c r="B15" s="10"/>
      <c r="C15" s="11"/>
      <c r="D15" s="10"/>
      <c r="E15" s="11"/>
      <c r="F15" s="10"/>
      <c r="G15" s="11"/>
    </row>
    <row r="16" spans="1:7" x14ac:dyDescent="0.2">
      <c r="A16" s="10"/>
      <c r="B16" s="10" t="s">
        <v>79</v>
      </c>
      <c r="C16" s="11">
        <f>+EECC!E30</f>
        <v>0.6</v>
      </c>
      <c r="D16" s="10"/>
      <c r="E16" s="11">
        <f>+EECC!U30</f>
        <v>0.4</v>
      </c>
      <c r="F16" s="10"/>
      <c r="G16" s="11">
        <f>+E16-C16</f>
        <v>-0.19999999999999996</v>
      </c>
    </row>
    <row r="17" spans="1:8" x14ac:dyDescent="0.2">
      <c r="A17" s="10"/>
      <c r="B17" s="10" t="s">
        <v>78</v>
      </c>
      <c r="C17" s="12">
        <f>+NEPCO!E31</f>
        <v>-0.1</v>
      </c>
      <c r="D17" s="10"/>
      <c r="E17" s="12">
        <f>+NEPCO!J31</f>
        <v>-0.1</v>
      </c>
      <c r="F17" s="10"/>
      <c r="G17" s="12">
        <f>+E17-C17</f>
        <v>0</v>
      </c>
    </row>
    <row r="18" spans="1:8" ht="6" customHeight="1" x14ac:dyDescent="0.2">
      <c r="C18" s="8"/>
      <c r="E18" s="8"/>
      <c r="G18" s="8"/>
    </row>
    <row r="19" spans="1:8" ht="15.75" x14ac:dyDescent="0.25">
      <c r="B19" s="72" t="s">
        <v>104</v>
      </c>
      <c r="C19" s="7">
        <f>SUM(C10:C18)</f>
        <v>-6.6000000000000014</v>
      </c>
      <c r="D19" s="5"/>
      <c r="E19" s="7">
        <f>SUM(E10:E18)</f>
        <v>-20.200000000000003</v>
      </c>
      <c r="F19" s="5"/>
      <c r="G19" s="7">
        <f>SUM(G10:G18)</f>
        <v>-13.600000000000001</v>
      </c>
    </row>
    <row r="20" spans="1:8" x14ac:dyDescent="0.2">
      <c r="C20" s="8"/>
      <c r="E20" s="8"/>
      <c r="G20" s="8"/>
    </row>
    <row r="21" spans="1:8" ht="16.5" thickBot="1" x14ac:dyDescent="0.3">
      <c r="B21" s="16" t="s">
        <v>76</v>
      </c>
      <c r="C21" s="73">
        <f>+C7+C19</f>
        <v>31.699999999999996</v>
      </c>
      <c r="D21" s="5" t="s">
        <v>48</v>
      </c>
      <c r="E21" s="73">
        <f>+E7+E19</f>
        <v>-35.870000000000005</v>
      </c>
      <c r="F21" s="5"/>
      <c r="G21" s="73">
        <f>+G7+G19</f>
        <v>-67.569999999999993</v>
      </c>
    </row>
    <row r="22" spans="1:8" ht="15.75" thickTop="1" x14ac:dyDescent="0.2"/>
    <row r="23" spans="1:8" x14ac:dyDescent="0.2">
      <c r="A23" s="74" t="s">
        <v>123</v>
      </c>
      <c r="B23" s="74"/>
      <c r="C23" s="74"/>
      <c r="D23" s="74"/>
      <c r="E23" s="74"/>
      <c r="F23" s="74"/>
      <c r="G23" s="74"/>
      <c r="H23" s="74"/>
    </row>
    <row r="24" spans="1:8" x14ac:dyDescent="0.2">
      <c r="A24" s="74" t="s">
        <v>105</v>
      </c>
      <c r="B24" s="74"/>
      <c r="C24" s="74"/>
      <c r="D24" s="74"/>
      <c r="E24" s="74"/>
      <c r="F24" s="74"/>
      <c r="G24" s="74"/>
      <c r="H24" s="74"/>
    </row>
    <row r="25" spans="1:8" x14ac:dyDescent="0.2">
      <c r="A25" s="74" t="s">
        <v>107</v>
      </c>
      <c r="B25" s="74"/>
      <c r="C25" s="74"/>
      <c r="D25" s="74"/>
      <c r="E25" s="74"/>
      <c r="F25" s="74"/>
      <c r="G25" s="74"/>
      <c r="H25" s="74"/>
    </row>
    <row r="26" spans="1:8" x14ac:dyDescent="0.2">
      <c r="A26" s="74" t="s">
        <v>106</v>
      </c>
      <c r="B26" s="74"/>
      <c r="C26" s="74"/>
      <c r="D26" s="74"/>
      <c r="E26" s="74"/>
      <c r="F26" s="74"/>
      <c r="G26" s="74"/>
      <c r="H26" s="74"/>
    </row>
  </sheetData>
  <phoneticPr fontId="0" type="noConversion"/>
  <printOptions horizontalCentered="1"/>
  <pageMargins left="0.75" right="0.75" top="2" bottom="1" header="1" footer="0.5"/>
  <pageSetup orientation="landscape" r:id="rId1"/>
  <headerFooter alignWithMargins="0">
    <oddHeader xml:space="preserve">&amp;C&amp;"Arial,Bold"&amp;16Enron Engineering and Operational Services
2001 4Q Summary&amp;"Arial,Regular"&amp;10
&amp;"Arial,Bold"&amp;14(millions)&amp;"Arial,Regular"&amp;10
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9"/>
  <sheetViews>
    <sheetView topLeftCell="A13" workbookViewId="0">
      <selection activeCell="L26" sqref="L26"/>
    </sheetView>
  </sheetViews>
  <sheetFormatPr defaultRowHeight="12.75" x14ac:dyDescent="0.2"/>
  <cols>
    <col min="3" max="3" width="12" customWidth="1"/>
    <col min="4" max="4" width="6.85546875" customWidth="1"/>
    <col min="5" max="5" width="8.140625" customWidth="1"/>
    <col min="6" max="6" width="3" customWidth="1"/>
    <col min="7" max="7" width="7.5703125" customWidth="1"/>
    <col min="8" max="8" width="3.7109375" customWidth="1"/>
    <col min="9" max="9" width="8.7109375" customWidth="1"/>
    <col min="10" max="10" width="3.28515625" customWidth="1"/>
    <col min="11" max="11" width="2.85546875" customWidth="1"/>
    <col min="13" max="13" width="3" customWidth="1"/>
    <col min="15" max="15" width="3" customWidth="1"/>
    <col min="17" max="17" width="2" customWidth="1"/>
  </cols>
  <sheetData>
    <row r="2" spans="1:16" ht="15" x14ac:dyDescent="0.25">
      <c r="L2" s="78" t="s">
        <v>109</v>
      </c>
      <c r="M2" s="78"/>
      <c r="N2" s="78" t="s">
        <v>100</v>
      </c>
      <c r="O2" s="78"/>
      <c r="P2" s="78"/>
    </row>
    <row r="3" spans="1:16" ht="15.75" x14ac:dyDescent="0.25">
      <c r="E3" s="16" t="s">
        <v>29</v>
      </c>
      <c r="F3" s="16"/>
      <c r="G3" s="16" t="s">
        <v>29</v>
      </c>
      <c r="J3" s="59"/>
      <c r="L3" s="78" t="s">
        <v>110</v>
      </c>
      <c r="M3" s="78"/>
      <c r="N3" s="78" t="s">
        <v>110</v>
      </c>
      <c r="O3" s="78"/>
      <c r="P3" s="78"/>
    </row>
    <row r="4" spans="1:16" ht="15.75" x14ac:dyDescent="0.25">
      <c r="E4" s="13" t="s">
        <v>10</v>
      </c>
      <c r="F4" s="13"/>
      <c r="G4" s="13" t="s">
        <v>80</v>
      </c>
      <c r="H4" s="13"/>
      <c r="I4" s="13" t="s">
        <v>12</v>
      </c>
      <c r="J4" s="60"/>
      <c r="K4" s="6"/>
      <c r="L4" s="79" t="s">
        <v>111</v>
      </c>
      <c r="M4" s="79"/>
      <c r="N4" s="79" t="s">
        <v>40</v>
      </c>
      <c r="O4" s="79"/>
      <c r="P4" s="79" t="s">
        <v>12</v>
      </c>
    </row>
    <row r="5" spans="1:16" ht="14.25" x14ac:dyDescent="0.2">
      <c r="A5" s="10"/>
      <c r="B5" s="10"/>
      <c r="C5" s="10"/>
      <c r="D5" s="10"/>
      <c r="E5" s="10"/>
      <c r="F5" s="10"/>
      <c r="G5" s="10"/>
      <c r="H5" s="10"/>
      <c r="I5" s="10"/>
      <c r="J5" s="61"/>
    </row>
    <row r="6" spans="1:16" ht="15" x14ac:dyDescent="0.25">
      <c r="A6" s="1" t="s">
        <v>9</v>
      </c>
      <c r="B6" s="10"/>
      <c r="C6" s="10"/>
      <c r="D6" s="10"/>
      <c r="E6" s="10"/>
      <c r="F6" s="10"/>
      <c r="G6" s="10"/>
      <c r="H6" s="10"/>
      <c r="I6" s="10"/>
      <c r="J6" s="61"/>
    </row>
    <row r="7" spans="1:16" ht="14.25" x14ac:dyDescent="0.2">
      <c r="A7" s="10"/>
      <c r="B7" s="10" t="s">
        <v>3</v>
      </c>
      <c r="C7" s="10"/>
      <c r="D7" s="10"/>
      <c r="E7" s="11">
        <v>2.2000000000000002</v>
      </c>
      <c r="F7" s="11"/>
      <c r="G7" s="11">
        <v>2.5</v>
      </c>
      <c r="H7" s="11"/>
      <c r="I7" s="11">
        <f t="shared" ref="I7:I17" si="0">+G7-E7</f>
        <v>0.29999999999999982</v>
      </c>
      <c r="J7" s="62"/>
      <c r="L7" s="11">
        <v>8.1999999999999993</v>
      </c>
      <c r="M7" s="11"/>
      <c r="N7" s="11">
        <v>8.1999999999999993</v>
      </c>
      <c r="O7" s="11"/>
      <c r="P7" s="11">
        <f>+L7-N7</f>
        <v>0</v>
      </c>
    </row>
    <row r="8" spans="1:16" ht="14.25" x14ac:dyDescent="0.2">
      <c r="A8" s="10"/>
      <c r="B8" s="10" t="s">
        <v>64</v>
      </c>
      <c r="C8" s="10"/>
      <c r="D8" s="10"/>
      <c r="E8" s="11">
        <v>-0.1</v>
      </c>
      <c r="F8" s="11"/>
      <c r="G8" s="11">
        <f>-4.7-0.3</f>
        <v>-5</v>
      </c>
      <c r="H8" s="11"/>
      <c r="I8" s="11">
        <f t="shared" si="0"/>
        <v>-4.9000000000000004</v>
      </c>
      <c r="J8" s="62"/>
      <c r="L8" s="11">
        <v>19</v>
      </c>
      <c r="M8" s="11"/>
      <c r="N8" s="11">
        <v>19</v>
      </c>
      <c r="O8" s="11"/>
      <c r="P8" s="11">
        <f t="shared" ref="P8:P21" si="1">+L8-N8</f>
        <v>0</v>
      </c>
    </row>
    <row r="9" spans="1:16" ht="14.25" x14ac:dyDescent="0.2">
      <c r="A9" s="10"/>
      <c r="B9" s="10" t="s">
        <v>5</v>
      </c>
      <c r="C9" s="10"/>
      <c r="D9" s="10"/>
      <c r="E9" s="11">
        <v>0.2</v>
      </c>
      <c r="F9" s="11"/>
      <c r="G9" s="11">
        <v>4.2</v>
      </c>
      <c r="H9" s="11"/>
      <c r="I9" s="11">
        <f t="shared" si="0"/>
        <v>4</v>
      </c>
      <c r="J9" s="62"/>
      <c r="L9" s="11">
        <v>19.100000000000001</v>
      </c>
      <c r="M9" s="11"/>
      <c r="N9" s="11">
        <v>29.2</v>
      </c>
      <c r="O9" s="11"/>
      <c r="P9" s="11">
        <f t="shared" si="1"/>
        <v>-10.099999999999998</v>
      </c>
    </row>
    <row r="10" spans="1:16" ht="14.25" x14ac:dyDescent="0.2">
      <c r="A10" s="10"/>
      <c r="B10" s="10" t="s">
        <v>63</v>
      </c>
      <c r="C10" s="10"/>
      <c r="D10" s="10"/>
      <c r="E10" s="11">
        <v>0.2</v>
      </c>
      <c r="F10" s="11"/>
      <c r="G10" s="11">
        <v>1.8</v>
      </c>
      <c r="H10" s="11"/>
      <c r="I10" s="11">
        <f>+G10-E10</f>
        <v>1.6</v>
      </c>
      <c r="J10" s="62"/>
      <c r="L10" s="11">
        <v>6.2</v>
      </c>
      <c r="M10" s="11"/>
      <c r="N10" s="11">
        <v>6.2</v>
      </c>
      <c r="O10" s="11"/>
      <c r="P10" s="11">
        <f t="shared" si="1"/>
        <v>0</v>
      </c>
    </row>
    <row r="11" spans="1:16" ht="14.25" x14ac:dyDescent="0.2">
      <c r="A11" s="10"/>
      <c r="B11" s="10" t="s">
        <v>2</v>
      </c>
      <c r="C11" s="10"/>
      <c r="D11" s="10"/>
      <c r="E11" s="11">
        <v>0</v>
      </c>
      <c r="F11" s="11"/>
      <c r="G11" s="11">
        <v>0</v>
      </c>
      <c r="H11" s="11"/>
      <c r="I11" s="11">
        <f t="shared" si="0"/>
        <v>0</v>
      </c>
      <c r="J11" s="62"/>
      <c r="L11" s="11">
        <v>5.6</v>
      </c>
      <c r="M11" s="11"/>
      <c r="N11" s="11">
        <v>5.6</v>
      </c>
      <c r="O11" s="11"/>
      <c r="P11" s="11">
        <f t="shared" si="1"/>
        <v>0</v>
      </c>
    </row>
    <row r="12" spans="1:16" ht="14.25" x14ac:dyDescent="0.2">
      <c r="A12" s="10"/>
      <c r="B12" s="10" t="s">
        <v>4</v>
      </c>
      <c r="C12" s="10"/>
      <c r="D12" s="10"/>
      <c r="E12" s="11">
        <v>0</v>
      </c>
      <c r="F12" s="11"/>
      <c r="G12" s="11">
        <f>-0.5+0.3</f>
        <v>-0.2</v>
      </c>
      <c r="H12" s="11"/>
      <c r="I12" s="11">
        <f t="shared" si="0"/>
        <v>-0.2</v>
      </c>
      <c r="J12" s="62"/>
      <c r="L12" s="11">
        <v>16.100000000000001</v>
      </c>
      <c r="M12" s="11"/>
      <c r="N12" s="11">
        <f>11.5+4.6</f>
        <v>16.100000000000001</v>
      </c>
      <c r="O12" s="11"/>
      <c r="P12" s="11">
        <f t="shared" si="1"/>
        <v>0</v>
      </c>
    </row>
    <row r="13" spans="1:16" ht="14.25" x14ac:dyDescent="0.2">
      <c r="A13" s="10"/>
      <c r="B13" s="10" t="s">
        <v>6</v>
      </c>
      <c r="C13" s="10"/>
      <c r="D13" s="10"/>
      <c r="E13" s="11">
        <v>0</v>
      </c>
      <c r="F13" s="11"/>
      <c r="G13" s="11">
        <v>0</v>
      </c>
      <c r="H13" s="11"/>
      <c r="I13" s="11">
        <f>+G13-E13</f>
        <v>0</v>
      </c>
      <c r="J13" s="62"/>
      <c r="L13" s="11">
        <v>-5</v>
      </c>
      <c r="M13" s="11"/>
      <c r="N13" s="11">
        <v>-5</v>
      </c>
      <c r="O13" s="11"/>
      <c r="P13" s="11">
        <f t="shared" si="1"/>
        <v>0</v>
      </c>
    </row>
    <row r="14" spans="1:16" ht="14.25" x14ac:dyDescent="0.2">
      <c r="A14" s="10"/>
      <c r="B14" s="10" t="s">
        <v>1</v>
      </c>
      <c r="C14" s="10"/>
      <c r="D14" s="10"/>
      <c r="E14" s="11">
        <v>0</v>
      </c>
      <c r="F14" s="11"/>
      <c r="G14" s="11">
        <v>0</v>
      </c>
      <c r="H14" s="11"/>
      <c r="I14" s="11">
        <f t="shared" si="0"/>
        <v>0</v>
      </c>
      <c r="J14" s="62"/>
      <c r="L14" s="11">
        <v>31.5</v>
      </c>
      <c r="M14" s="11"/>
      <c r="N14" s="11">
        <v>31.5</v>
      </c>
      <c r="O14" s="11"/>
      <c r="P14" s="11">
        <f t="shared" si="1"/>
        <v>0</v>
      </c>
    </row>
    <row r="15" spans="1:16" ht="14.25" x14ac:dyDescent="0.2">
      <c r="A15" s="10"/>
      <c r="B15" s="10" t="s">
        <v>7</v>
      </c>
      <c r="C15" s="10"/>
      <c r="D15" s="10"/>
      <c r="E15" s="11">
        <v>0</v>
      </c>
      <c r="F15" s="11"/>
      <c r="G15" s="11">
        <v>0</v>
      </c>
      <c r="H15" s="11"/>
      <c r="I15" s="11">
        <f t="shared" si="0"/>
        <v>0</v>
      </c>
      <c r="J15" s="62"/>
      <c r="L15" s="11">
        <v>40.799999999999997</v>
      </c>
      <c r="M15" s="11"/>
      <c r="N15" s="11">
        <v>43</v>
      </c>
      <c r="O15" s="11"/>
      <c r="P15" s="11">
        <f t="shared" si="1"/>
        <v>-2.2000000000000028</v>
      </c>
    </row>
    <row r="16" spans="1:16" ht="14.25" x14ac:dyDescent="0.2">
      <c r="A16" s="10"/>
      <c r="B16" s="10" t="s">
        <v>84</v>
      </c>
      <c r="C16" s="10"/>
      <c r="D16" s="10"/>
      <c r="E16" s="11">
        <v>0</v>
      </c>
      <c r="F16" s="11"/>
      <c r="G16" s="11">
        <v>0</v>
      </c>
      <c r="H16" s="11"/>
      <c r="I16" s="11">
        <f t="shared" si="0"/>
        <v>0</v>
      </c>
      <c r="J16" s="62"/>
      <c r="L16" s="11">
        <v>0</v>
      </c>
      <c r="M16" s="11"/>
      <c r="N16" s="11">
        <v>0</v>
      </c>
      <c r="O16" s="11"/>
      <c r="P16" s="11">
        <f t="shared" si="1"/>
        <v>0</v>
      </c>
    </row>
    <row r="17" spans="1:16" ht="14.25" x14ac:dyDescent="0.2">
      <c r="A17" s="10"/>
      <c r="B17" s="10" t="s">
        <v>85</v>
      </c>
      <c r="C17" s="10"/>
      <c r="D17" s="10"/>
      <c r="E17" s="11">
        <v>0.8</v>
      </c>
      <c r="F17" s="11"/>
      <c r="G17" s="11">
        <v>0</v>
      </c>
      <c r="H17" s="11"/>
      <c r="I17" s="11">
        <f t="shared" si="0"/>
        <v>-0.8</v>
      </c>
      <c r="J17" s="62"/>
      <c r="L17" s="11">
        <v>0</v>
      </c>
      <c r="M17" s="11"/>
      <c r="N17" s="11">
        <v>0</v>
      </c>
      <c r="O17" s="11"/>
      <c r="P17" s="11">
        <f t="shared" si="1"/>
        <v>0</v>
      </c>
    </row>
    <row r="18" spans="1:16" ht="14.25" x14ac:dyDescent="0.2">
      <c r="A18" s="10"/>
      <c r="B18" s="10" t="s">
        <v>17</v>
      </c>
      <c r="C18" s="10"/>
      <c r="D18" s="10"/>
      <c r="E18" s="11">
        <v>0</v>
      </c>
      <c r="F18" s="11"/>
      <c r="G18" s="11">
        <f>-3.8+1.3</f>
        <v>-2.5</v>
      </c>
      <c r="H18" s="11"/>
      <c r="I18" s="11">
        <f>+G18-E18</f>
        <v>-2.5</v>
      </c>
      <c r="J18" s="62"/>
      <c r="L18" s="11">
        <v>0</v>
      </c>
      <c r="M18" s="11"/>
      <c r="N18" s="11">
        <v>0</v>
      </c>
      <c r="O18" s="11"/>
      <c r="P18" s="11">
        <f t="shared" si="1"/>
        <v>0</v>
      </c>
    </row>
    <row r="19" spans="1:16" ht="14.25" x14ac:dyDescent="0.2">
      <c r="B19" s="10" t="s">
        <v>21</v>
      </c>
      <c r="C19" s="10"/>
      <c r="D19" s="10"/>
      <c r="E19" s="11">
        <v>0.2</v>
      </c>
      <c r="F19" s="11"/>
      <c r="G19" s="11">
        <v>0.2</v>
      </c>
      <c r="H19" s="11"/>
      <c r="I19" s="11">
        <f>+G19-E19</f>
        <v>0</v>
      </c>
      <c r="J19" s="62"/>
      <c r="L19" s="11">
        <v>0</v>
      </c>
      <c r="M19" s="11"/>
      <c r="N19" s="11">
        <v>0</v>
      </c>
      <c r="O19" s="11"/>
      <c r="P19" s="11">
        <f t="shared" si="1"/>
        <v>0</v>
      </c>
    </row>
    <row r="20" spans="1:16" ht="14.25" x14ac:dyDescent="0.2">
      <c r="A20" s="10"/>
      <c r="B20" s="10" t="s">
        <v>31</v>
      </c>
      <c r="C20" s="10"/>
      <c r="D20" s="10"/>
      <c r="E20" s="17">
        <f>0.3-0.8</f>
        <v>-0.5</v>
      </c>
      <c r="F20" s="17"/>
      <c r="G20" s="17">
        <f>-1.1-0.4</f>
        <v>-1.5</v>
      </c>
      <c r="H20" s="17"/>
      <c r="I20" s="17">
        <f>+G20-E20</f>
        <v>-1</v>
      </c>
      <c r="J20" s="62"/>
      <c r="K20" s="87" t="s">
        <v>48</v>
      </c>
      <c r="L20" s="11">
        <v>6.8</v>
      </c>
      <c r="M20" s="11"/>
      <c r="N20" s="11">
        <v>7.5</v>
      </c>
      <c r="O20" s="11"/>
      <c r="P20" s="11">
        <f t="shared" si="1"/>
        <v>-0.70000000000000018</v>
      </c>
    </row>
    <row r="21" spans="1:16" ht="14.25" x14ac:dyDescent="0.2">
      <c r="A21" s="10"/>
      <c r="B21" s="10" t="s">
        <v>30</v>
      </c>
      <c r="C21" s="10"/>
      <c r="D21" s="10"/>
      <c r="E21" s="12">
        <v>0</v>
      </c>
      <c r="F21" s="12"/>
      <c r="G21" s="12">
        <v>0</v>
      </c>
      <c r="H21" s="12"/>
      <c r="I21" s="12">
        <f>+G21-E21</f>
        <v>0</v>
      </c>
      <c r="J21" s="76"/>
      <c r="K21" s="70"/>
      <c r="L21" s="80">
        <v>0</v>
      </c>
      <c r="M21" s="80"/>
      <c r="N21" s="80">
        <v>0</v>
      </c>
      <c r="O21" s="81"/>
      <c r="P21" s="12">
        <f t="shared" si="1"/>
        <v>0</v>
      </c>
    </row>
    <row r="22" spans="1:16" ht="6.75" customHeight="1" x14ac:dyDescent="0.2">
      <c r="A22" s="10"/>
      <c r="B22" s="10"/>
      <c r="C22" s="10"/>
      <c r="D22" s="10"/>
      <c r="E22" s="11"/>
      <c r="F22" s="11"/>
      <c r="G22" s="11"/>
      <c r="H22" s="11"/>
      <c r="I22" s="11"/>
      <c r="J22" s="62"/>
      <c r="L22" s="10"/>
      <c r="M22" s="10"/>
      <c r="N22" s="10"/>
      <c r="O22" s="10"/>
      <c r="P22" s="10"/>
    </row>
    <row r="23" spans="1:16" ht="15" thickBot="1" x14ac:dyDescent="0.25">
      <c r="A23" s="10"/>
      <c r="B23" s="10" t="s">
        <v>99</v>
      </c>
      <c r="C23" s="10"/>
      <c r="D23" s="10"/>
      <c r="E23" s="11">
        <f>SUM(E7:E22)</f>
        <v>3.0000000000000009</v>
      </c>
      <c r="F23" s="11"/>
      <c r="G23" s="11">
        <f>SUM(G7:G22)</f>
        <v>-0.50000000000000022</v>
      </c>
      <c r="H23" s="11"/>
      <c r="I23" s="11">
        <f>+G23-E23</f>
        <v>-3.5000000000000009</v>
      </c>
      <c r="J23" s="62"/>
      <c r="L23" s="82">
        <f>SUM(L7:L22)</f>
        <v>148.30000000000001</v>
      </c>
      <c r="M23" s="83"/>
      <c r="N23" s="82">
        <f>SUM(N7:N22)</f>
        <v>161.30000000000001</v>
      </c>
      <c r="O23" s="83"/>
      <c r="P23" s="82">
        <f>SUM(P7:P22)</f>
        <v>-13</v>
      </c>
    </row>
    <row r="24" spans="1:16" ht="15" thickTop="1" x14ac:dyDescent="0.2">
      <c r="A24" s="10"/>
      <c r="B24" s="10"/>
      <c r="C24" s="10"/>
      <c r="D24" s="10"/>
      <c r="E24" s="11"/>
      <c r="F24" s="11"/>
      <c r="G24" s="11"/>
      <c r="H24" s="11"/>
      <c r="I24" s="11"/>
      <c r="J24" s="62"/>
    </row>
    <row r="25" spans="1:16" ht="15" x14ac:dyDescent="0.25">
      <c r="A25" s="1" t="s">
        <v>18</v>
      </c>
      <c r="B25" s="10"/>
      <c r="C25" s="10"/>
      <c r="D25" s="10"/>
      <c r="E25" s="11">
        <f>-1.1+0.6</f>
        <v>-0.50000000000000011</v>
      </c>
      <c r="F25" s="11"/>
      <c r="G25" s="11">
        <v>-8.1</v>
      </c>
      <c r="H25" s="11"/>
      <c r="I25" s="11">
        <f>+G25-E25</f>
        <v>-7.6</v>
      </c>
      <c r="J25" s="62"/>
      <c r="L25" t="s">
        <v>112</v>
      </c>
    </row>
    <row r="26" spans="1:16" ht="15" x14ac:dyDescent="0.25">
      <c r="A26" s="1"/>
      <c r="B26" s="10"/>
      <c r="C26" s="10"/>
      <c r="D26" s="10"/>
      <c r="E26" s="11"/>
      <c r="F26" s="11"/>
      <c r="G26" s="11"/>
      <c r="H26" s="11"/>
      <c r="I26" s="11"/>
      <c r="J26" s="62"/>
    </row>
    <row r="27" spans="1:16" ht="15" x14ac:dyDescent="0.25">
      <c r="A27" s="1" t="s">
        <v>19</v>
      </c>
      <c r="B27" s="10"/>
      <c r="C27" s="10"/>
      <c r="D27" s="10"/>
      <c r="E27" s="11">
        <v>-0.5</v>
      </c>
      <c r="F27" s="11"/>
      <c r="G27" s="11">
        <v>-1.5</v>
      </c>
      <c r="H27" s="11"/>
      <c r="I27" s="11">
        <f>+G27-E27</f>
        <v>-1</v>
      </c>
      <c r="J27" s="62"/>
    </row>
    <row r="28" spans="1:16" ht="15" x14ac:dyDescent="0.25">
      <c r="A28" s="1"/>
      <c r="B28" s="10"/>
      <c r="C28" s="10"/>
      <c r="D28" s="10"/>
      <c r="E28" s="11"/>
      <c r="F28" s="11"/>
      <c r="G28" s="11"/>
      <c r="H28" s="11"/>
      <c r="I28" s="11"/>
      <c r="J28" s="62"/>
    </row>
    <row r="29" spans="1:16" ht="15" x14ac:dyDescent="0.25">
      <c r="A29" s="1" t="s">
        <v>20</v>
      </c>
      <c r="B29" s="10"/>
      <c r="C29" s="10"/>
      <c r="D29" s="10"/>
      <c r="E29" s="12">
        <v>0.5</v>
      </c>
      <c r="F29" s="12"/>
      <c r="G29" s="12">
        <f>0.9+0.2-0.6+0.1</f>
        <v>0.60000000000000009</v>
      </c>
      <c r="H29" s="12"/>
      <c r="I29" s="12">
        <f>+G29-E29</f>
        <v>0.10000000000000009</v>
      </c>
      <c r="J29" s="62"/>
    </row>
    <row r="30" spans="1:16" x14ac:dyDescent="0.2">
      <c r="E30" s="3"/>
      <c r="F30" s="3"/>
      <c r="G30" s="3"/>
      <c r="H30" s="3"/>
      <c r="I30" s="3"/>
      <c r="J30" s="63"/>
    </row>
    <row r="31" spans="1:16" ht="15.75" x14ac:dyDescent="0.25">
      <c r="A31" s="5" t="s">
        <v>22</v>
      </c>
      <c r="B31" s="6"/>
      <c r="C31" s="6"/>
      <c r="D31" s="6"/>
      <c r="E31" s="54">
        <f>SUM(E7:E30)-E23</f>
        <v>2.5000000000000009</v>
      </c>
      <c r="F31" s="54"/>
      <c r="G31" s="54">
        <f>SUM(G7:G30)-G23</f>
        <v>-9.5</v>
      </c>
      <c r="H31" s="54"/>
      <c r="I31" s="54">
        <f>+G31-E31</f>
        <v>-12</v>
      </c>
      <c r="J31" s="64"/>
    </row>
    <row r="32" spans="1:16" ht="15" x14ac:dyDescent="0.2">
      <c r="A32" s="6"/>
      <c r="B32" s="6"/>
      <c r="C32" s="6"/>
      <c r="D32" s="6"/>
      <c r="E32" s="55"/>
      <c r="F32" s="55"/>
      <c r="G32" s="55"/>
      <c r="H32" s="55"/>
      <c r="I32" s="55"/>
      <c r="J32" s="65"/>
    </row>
    <row r="33" spans="1:10" ht="15.75" x14ac:dyDescent="0.25">
      <c r="A33" s="5" t="s">
        <v>81</v>
      </c>
      <c r="E33" s="56">
        <f>11.4+0.6</f>
        <v>12</v>
      </c>
      <c r="F33" s="56"/>
      <c r="G33" s="56">
        <v>10</v>
      </c>
      <c r="H33" s="56"/>
      <c r="I33" s="56">
        <f>+G33-E33</f>
        <v>-2</v>
      </c>
      <c r="J33" s="64"/>
    </row>
    <row r="34" spans="1:10" ht="15.75" x14ac:dyDescent="0.25">
      <c r="A34" s="5"/>
      <c r="E34" s="54"/>
      <c r="F34" s="54"/>
      <c r="G34" s="54"/>
      <c r="H34" s="54"/>
      <c r="I34" s="54"/>
      <c r="J34" s="64"/>
    </row>
    <row r="35" spans="1:10" ht="16.5" thickBot="1" x14ac:dyDescent="0.3">
      <c r="A35" s="5" t="s">
        <v>82</v>
      </c>
      <c r="E35" s="9">
        <f>+E31+E33</f>
        <v>14.5</v>
      </c>
      <c r="F35" s="9"/>
      <c r="G35" s="9">
        <f>+G31+G33</f>
        <v>0.5</v>
      </c>
      <c r="H35" s="9"/>
      <c r="I35" s="9">
        <f>+I31+I33</f>
        <v>-14</v>
      </c>
      <c r="J35" s="64"/>
    </row>
    <row r="36" spans="1:10" ht="13.5" thickTop="1" x14ac:dyDescent="0.2">
      <c r="E36" s="3"/>
      <c r="F36" s="3"/>
      <c r="G36" s="3"/>
      <c r="H36" s="3"/>
      <c r="I36" s="3"/>
      <c r="J36" s="3"/>
    </row>
    <row r="37" spans="1:10" ht="15" x14ac:dyDescent="0.25">
      <c r="A37" s="1"/>
      <c r="E37" s="3"/>
      <c r="F37" s="3"/>
      <c r="G37" s="3"/>
      <c r="H37" s="3"/>
      <c r="I37" s="3"/>
      <c r="J37" s="3"/>
    </row>
    <row r="38" spans="1:10" x14ac:dyDescent="0.2">
      <c r="E38" s="3"/>
      <c r="F38" s="3"/>
      <c r="G38" s="3"/>
      <c r="H38" s="3"/>
      <c r="I38" s="3"/>
      <c r="J38" s="3"/>
    </row>
    <row r="39" spans="1:10" x14ac:dyDescent="0.2">
      <c r="E39" s="3"/>
      <c r="F39" s="3"/>
      <c r="G39" s="3"/>
      <c r="H39" s="3"/>
      <c r="I39" s="3"/>
      <c r="J39" s="3"/>
    </row>
    <row r="40" spans="1:10" x14ac:dyDescent="0.2">
      <c r="E40" s="3"/>
      <c r="F40" s="3"/>
      <c r="G40" s="3"/>
      <c r="H40" s="3"/>
      <c r="I40" s="3"/>
      <c r="J40" s="3"/>
    </row>
    <row r="41" spans="1:10" x14ac:dyDescent="0.2">
      <c r="E41" s="3"/>
      <c r="F41" s="3"/>
      <c r="G41" s="3"/>
      <c r="H41" s="3"/>
      <c r="I41" s="3"/>
      <c r="J41" s="3"/>
    </row>
    <row r="42" spans="1:10" x14ac:dyDescent="0.2">
      <c r="E42" s="3"/>
      <c r="F42" s="3"/>
      <c r="G42" s="3"/>
      <c r="H42" s="3"/>
      <c r="I42" s="3"/>
      <c r="J42" s="3"/>
    </row>
    <row r="43" spans="1:10" x14ac:dyDescent="0.2">
      <c r="E43" s="3"/>
      <c r="F43" s="3"/>
      <c r="G43" s="3"/>
      <c r="H43" s="3"/>
      <c r="I43" s="3"/>
      <c r="J43" s="3"/>
    </row>
    <row r="44" spans="1:10" x14ac:dyDescent="0.2">
      <c r="E44" s="3"/>
      <c r="F44" s="3"/>
      <c r="G44" s="3"/>
      <c r="H44" s="3"/>
      <c r="I44" s="3"/>
      <c r="J44" s="3"/>
    </row>
    <row r="45" spans="1:10" x14ac:dyDescent="0.2">
      <c r="E45" s="3"/>
      <c r="F45" s="3"/>
      <c r="G45" s="3"/>
      <c r="H45" s="3"/>
      <c r="I45" s="3"/>
      <c r="J45" s="3"/>
    </row>
    <row r="46" spans="1:10" x14ac:dyDescent="0.2">
      <c r="E46" s="3"/>
      <c r="F46" s="3"/>
      <c r="G46" s="3"/>
      <c r="H46" s="3"/>
      <c r="I46" s="3"/>
      <c r="J46" s="3"/>
    </row>
    <row r="47" spans="1:10" x14ac:dyDescent="0.2">
      <c r="E47" s="3"/>
      <c r="F47" s="3"/>
      <c r="G47" s="3"/>
      <c r="H47" s="3"/>
      <c r="I47" s="3"/>
      <c r="J47" s="3"/>
    </row>
    <row r="48" spans="1:10" x14ac:dyDescent="0.2">
      <c r="E48" s="3"/>
      <c r="F48" s="3"/>
      <c r="G48" s="3"/>
      <c r="H48" s="3"/>
      <c r="I48" s="3"/>
      <c r="J48" s="3"/>
    </row>
    <row r="49" spans="5:10" x14ac:dyDescent="0.2">
      <c r="E49" s="3"/>
      <c r="F49" s="3"/>
      <c r="G49" s="3"/>
      <c r="H49" s="3"/>
      <c r="I49" s="3"/>
      <c r="J49" s="3"/>
    </row>
    <row r="50" spans="5:10" x14ac:dyDescent="0.2">
      <c r="E50" s="3"/>
      <c r="F50" s="3"/>
      <c r="G50" s="3"/>
      <c r="H50" s="3"/>
      <c r="I50" s="3"/>
      <c r="J50" s="3"/>
    </row>
    <row r="51" spans="5:10" x14ac:dyDescent="0.2">
      <c r="E51" s="3"/>
      <c r="F51" s="3"/>
      <c r="G51" s="3"/>
      <c r="H51" s="3"/>
      <c r="I51" s="3"/>
      <c r="J51" s="3"/>
    </row>
    <row r="52" spans="5:10" x14ac:dyDescent="0.2">
      <c r="E52" s="3"/>
      <c r="F52" s="3"/>
      <c r="G52" s="3"/>
      <c r="H52" s="3"/>
      <c r="I52" s="3"/>
      <c r="J52" s="3"/>
    </row>
    <row r="53" spans="5:10" x14ac:dyDescent="0.2">
      <c r="E53" s="3"/>
      <c r="F53" s="3"/>
      <c r="G53" s="3"/>
      <c r="H53" s="3"/>
      <c r="I53" s="3"/>
      <c r="J53" s="3"/>
    </row>
    <row r="54" spans="5:10" x14ac:dyDescent="0.2">
      <c r="E54" s="3"/>
      <c r="F54" s="3"/>
      <c r="G54" s="3"/>
      <c r="H54" s="3"/>
      <c r="I54" s="3"/>
      <c r="J54" s="3"/>
    </row>
    <row r="55" spans="5:10" x14ac:dyDescent="0.2">
      <c r="E55" s="3"/>
      <c r="F55" s="3"/>
      <c r="G55" s="3"/>
      <c r="H55" s="3"/>
      <c r="I55" s="3"/>
      <c r="J55" s="3"/>
    </row>
    <row r="56" spans="5:10" x14ac:dyDescent="0.2">
      <c r="E56" s="3"/>
      <c r="F56" s="3"/>
      <c r="G56" s="3"/>
      <c r="H56" s="3"/>
      <c r="I56" s="3"/>
      <c r="J56" s="3"/>
    </row>
    <row r="57" spans="5:10" x14ac:dyDescent="0.2">
      <c r="E57" s="3"/>
      <c r="F57" s="3"/>
      <c r="G57" s="3"/>
      <c r="H57" s="3"/>
      <c r="I57" s="3"/>
      <c r="J57" s="3"/>
    </row>
    <row r="58" spans="5:10" x14ac:dyDescent="0.2">
      <c r="E58" s="3"/>
      <c r="F58" s="3"/>
      <c r="G58" s="3"/>
      <c r="H58" s="3"/>
      <c r="I58" s="3"/>
      <c r="J58" s="3"/>
    </row>
    <row r="59" spans="5:10" x14ac:dyDescent="0.2">
      <c r="E59" s="3"/>
      <c r="F59" s="3"/>
      <c r="G59" s="3"/>
      <c r="H59" s="3"/>
      <c r="I59" s="3"/>
      <c r="J59" s="3"/>
    </row>
  </sheetData>
  <phoneticPr fontId="0" type="noConversion"/>
  <printOptions horizontalCentered="1"/>
  <pageMargins left="0.75" right="0.75" top="1.25" bottom="0.5" header="0.5" footer="0.5"/>
  <pageSetup scale="96" orientation="landscape" r:id="rId1"/>
  <headerFooter alignWithMargins="0">
    <oddHeader>&amp;C&amp;"Arial,Bold"&amp;18Enron Engineering and Operational Services
2001 2Q Forecast
&amp;14(millions)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3"/>
  <sheetViews>
    <sheetView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W18" sqref="W18"/>
    </sheetView>
  </sheetViews>
  <sheetFormatPr defaultRowHeight="12.75" x14ac:dyDescent="0.2"/>
  <cols>
    <col min="3" max="3" width="12" customWidth="1"/>
    <col min="4" max="4" width="6.85546875" customWidth="1"/>
    <col min="5" max="5" width="8.140625" customWidth="1"/>
    <col min="6" max="6" width="3.28515625" customWidth="1"/>
    <col min="7" max="7" width="3" customWidth="1"/>
    <col min="8" max="8" width="8.85546875" customWidth="1"/>
    <col min="9" max="9" width="3" customWidth="1"/>
    <col min="10" max="10" width="7.5703125" customWidth="1"/>
    <col min="11" max="11" width="3.7109375" customWidth="1"/>
    <col min="12" max="12" width="8.7109375" customWidth="1"/>
    <col min="13" max="13" width="3.28515625" customWidth="1"/>
    <col min="14" max="14" width="2.85546875" customWidth="1"/>
    <col min="16" max="16" width="2.140625" customWidth="1"/>
    <col min="18" max="18" width="1.5703125" customWidth="1"/>
    <col min="19" max="19" width="8.85546875" customWidth="1"/>
    <col min="20" max="20" width="1.5703125" customWidth="1"/>
    <col min="22" max="22" width="1.42578125" customWidth="1"/>
    <col min="24" max="24" width="2.85546875" customWidth="1"/>
    <col min="25" max="25" width="8.42578125" customWidth="1"/>
    <col min="26" max="26" width="2.85546875" customWidth="1"/>
    <col min="27" max="27" width="0" hidden="1" customWidth="1"/>
    <col min="28" max="28" width="2.42578125" hidden="1" customWidth="1"/>
    <col min="30" max="30" width="2.85546875" customWidth="1"/>
    <col min="31" max="31" width="9.5703125" customWidth="1"/>
    <col min="33" max="33" width="3" customWidth="1"/>
    <col min="35" max="35" width="3" customWidth="1"/>
    <col min="37" max="37" width="2" customWidth="1"/>
  </cols>
  <sheetData>
    <row r="1" spans="1:36" ht="15.75" x14ac:dyDescent="0.25">
      <c r="F1" s="60"/>
      <c r="H1" s="16" t="s">
        <v>70</v>
      </c>
      <c r="J1" s="16" t="s">
        <v>70</v>
      </c>
      <c r="M1" s="59"/>
    </row>
    <row r="2" spans="1:36" ht="15.75" x14ac:dyDescent="0.25">
      <c r="F2" s="60"/>
      <c r="H2" s="20" t="s">
        <v>40</v>
      </c>
      <c r="J2" s="20" t="s">
        <v>40</v>
      </c>
      <c r="L2" s="20" t="s">
        <v>12</v>
      </c>
      <c r="M2" s="59"/>
      <c r="AF2" s="84"/>
      <c r="AG2" s="84"/>
      <c r="AH2" s="84"/>
      <c r="AI2" s="84"/>
      <c r="AJ2" s="84"/>
    </row>
    <row r="3" spans="1:36" ht="15.75" x14ac:dyDescent="0.25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  <c r="M3" s="59"/>
      <c r="O3" s="16" t="s">
        <v>68</v>
      </c>
      <c r="P3" s="16"/>
      <c r="Q3" s="16" t="s">
        <v>29</v>
      </c>
      <c r="R3" s="16"/>
      <c r="S3" s="16" t="s">
        <v>69</v>
      </c>
      <c r="T3" s="16"/>
      <c r="U3" s="16" t="s">
        <v>70</v>
      </c>
      <c r="W3" s="16" t="s">
        <v>100</v>
      </c>
      <c r="AA3" s="16"/>
      <c r="AB3" s="16"/>
      <c r="AC3" s="16"/>
      <c r="AF3" s="84"/>
      <c r="AG3" s="84"/>
      <c r="AH3" s="84"/>
      <c r="AI3" s="84"/>
      <c r="AJ3" s="84"/>
    </row>
    <row r="4" spans="1:36" ht="15.75" x14ac:dyDescent="0.25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  <c r="M4" s="60"/>
      <c r="N4" s="6"/>
      <c r="O4" s="13" t="s">
        <v>83</v>
      </c>
      <c r="P4" s="13"/>
      <c r="Q4" s="13" t="s">
        <v>83</v>
      </c>
      <c r="R4" s="13"/>
      <c r="S4" s="13" t="s">
        <v>83</v>
      </c>
      <c r="T4" s="13"/>
      <c r="U4" s="13" t="s">
        <v>40</v>
      </c>
      <c r="V4" s="13"/>
      <c r="W4" s="13" t="s">
        <v>101</v>
      </c>
      <c r="X4" s="70"/>
      <c r="Y4" s="13" t="s">
        <v>118</v>
      </c>
      <c r="Z4" s="70"/>
      <c r="AA4" s="13" t="s">
        <v>11</v>
      </c>
      <c r="AB4" s="13"/>
      <c r="AC4" s="13" t="s">
        <v>12</v>
      </c>
      <c r="AF4" s="84"/>
      <c r="AG4" s="84"/>
      <c r="AH4" s="84"/>
      <c r="AI4" s="84"/>
      <c r="AJ4" s="84"/>
    </row>
    <row r="5" spans="1:36" ht="14.25" x14ac:dyDescent="0.2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  <c r="M5" s="61"/>
      <c r="AF5" s="18"/>
      <c r="AG5" s="18"/>
      <c r="AH5" s="18"/>
      <c r="AI5" s="18"/>
      <c r="AJ5" s="18"/>
    </row>
    <row r="6" spans="1:36" ht="15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  <c r="M6" s="61"/>
      <c r="AF6" s="18"/>
      <c r="AG6" s="18"/>
      <c r="AH6" s="18"/>
      <c r="AI6" s="18"/>
      <c r="AJ6" s="18"/>
    </row>
    <row r="7" spans="1:36" ht="14.25" x14ac:dyDescent="0.2">
      <c r="A7" s="10"/>
      <c r="B7" s="10" t="s">
        <v>3</v>
      </c>
      <c r="C7" s="10"/>
      <c r="D7" s="10"/>
      <c r="E7" s="11">
        <v>0</v>
      </c>
      <c r="F7" s="62"/>
      <c r="G7" s="11"/>
      <c r="H7" s="11">
        <v>0</v>
      </c>
      <c r="I7" s="11"/>
      <c r="J7" s="11">
        <v>0</v>
      </c>
      <c r="K7" s="11"/>
      <c r="L7" s="11">
        <f>+J7-H7</f>
        <v>0</v>
      </c>
      <c r="M7" s="62"/>
      <c r="O7" s="11">
        <v>1.4</v>
      </c>
      <c r="Q7" s="11">
        <v>2.9</v>
      </c>
      <c r="R7" s="11"/>
      <c r="S7" s="11">
        <v>-0.9</v>
      </c>
      <c r="T7" s="11"/>
      <c r="U7" s="11">
        <v>0</v>
      </c>
      <c r="W7" s="57">
        <f>SUM(O7:V7)</f>
        <v>3.4</v>
      </c>
      <c r="Y7" s="11">
        <v>3.4</v>
      </c>
      <c r="AA7" s="57">
        <v>5.5</v>
      </c>
      <c r="AC7" s="57">
        <f t="shared" ref="AC7:AC22" si="0">+W7-Y7</f>
        <v>0</v>
      </c>
      <c r="AF7" s="17"/>
      <c r="AG7" s="17"/>
      <c r="AH7" s="17"/>
      <c r="AI7" s="17"/>
      <c r="AJ7" s="17"/>
    </row>
    <row r="8" spans="1:36" ht="14.25" x14ac:dyDescent="0.2">
      <c r="A8" s="10"/>
      <c r="B8" s="10" t="s">
        <v>64</v>
      </c>
      <c r="C8" s="10"/>
      <c r="D8" s="10"/>
      <c r="E8" s="11">
        <v>-0.2</v>
      </c>
      <c r="F8" s="62"/>
      <c r="G8" s="11"/>
      <c r="H8" s="11">
        <v>0</v>
      </c>
      <c r="I8" s="11"/>
      <c r="J8" s="11">
        <v>0</v>
      </c>
      <c r="K8" s="11"/>
      <c r="L8" s="11">
        <f t="shared" ref="L8:L22" si="1">+J8-H8</f>
        <v>0</v>
      </c>
      <c r="M8" s="62"/>
      <c r="O8" s="11">
        <v>1.4</v>
      </c>
      <c r="Q8" s="11">
        <v>-4.8</v>
      </c>
      <c r="R8" s="11"/>
      <c r="S8" s="11">
        <v>0</v>
      </c>
      <c r="T8" s="11"/>
      <c r="U8" s="11">
        <v>0</v>
      </c>
      <c r="W8" s="57">
        <f t="shared" ref="W8:W21" si="2">SUM(O8:V8)</f>
        <v>-3.4</v>
      </c>
      <c r="Y8" s="11">
        <v>-3.4</v>
      </c>
      <c r="AA8" s="57">
        <v>-7.7</v>
      </c>
      <c r="AC8" s="57">
        <f t="shared" si="0"/>
        <v>0</v>
      </c>
      <c r="AF8" s="17"/>
      <c r="AG8" s="17"/>
      <c r="AH8" s="17"/>
      <c r="AI8" s="17"/>
      <c r="AJ8" s="17"/>
    </row>
    <row r="9" spans="1:36" ht="14.25" x14ac:dyDescent="0.2">
      <c r="A9" s="10"/>
      <c r="B9" s="10" t="s">
        <v>5</v>
      </c>
      <c r="C9" s="10"/>
      <c r="D9" s="10"/>
      <c r="E9" s="11">
        <v>0</v>
      </c>
      <c r="F9" s="62"/>
      <c r="G9" s="11"/>
      <c r="H9" s="11">
        <v>0</v>
      </c>
      <c r="I9" s="11"/>
      <c r="J9" s="11">
        <v>0</v>
      </c>
      <c r="K9" s="11"/>
      <c r="L9" s="11">
        <f t="shared" si="1"/>
        <v>0</v>
      </c>
      <c r="M9" s="62"/>
      <c r="O9" s="11">
        <v>0.4</v>
      </c>
      <c r="Q9" s="11">
        <f>3.2</f>
        <v>3.2</v>
      </c>
      <c r="R9" s="11"/>
      <c r="S9" s="11">
        <v>0</v>
      </c>
      <c r="T9" s="11"/>
      <c r="U9" s="11">
        <v>0</v>
      </c>
      <c r="W9" s="57">
        <f t="shared" si="2"/>
        <v>3.6</v>
      </c>
      <c r="Y9" s="11">
        <v>3.6</v>
      </c>
      <c r="AA9" s="57">
        <v>0.8</v>
      </c>
      <c r="AC9" s="57">
        <f t="shared" si="0"/>
        <v>0</v>
      </c>
      <c r="AF9" s="17"/>
      <c r="AG9" s="17"/>
      <c r="AH9" s="17"/>
      <c r="AI9" s="17"/>
      <c r="AJ9" s="17"/>
    </row>
    <row r="10" spans="1:36" ht="14.25" x14ac:dyDescent="0.2">
      <c r="A10" s="10"/>
      <c r="B10" s="10" t="s">
        <v>63</v>
      </c>
      <c r="C10" s="10"/>
      <c r="D10" s="10"/>
      <c r="E10" s="11">
        <v>1.7</v>
      </c>
      <c r="F10" s="62"/>
      <c r="G10" s="11"/>
      <c r="H10" s="11">
        <v>0</v>
      </c>
      <c r="I10" s="11"/>
      <c r="J10" s="11">
        <v>0</v>
      </c>
      <c r="K10" s="11"/>
      <c r="L10" s="11">
        <f t="shared" si="1"/>
        <v>0</v>
      </c>
      <c r="M10" s="62"/>
      <c r="O10" s="11">
        <v>-1.1000000000000001</v>
      </c>
      <c r="Q10" s="11">
        <v>1.8</v>
      </c>
      <c r="R10" s="11"/>
      <c r="S10" s="11">
        <v>0</v>
      </c>
      <c r="T10" s="11"/>
      <c r="U10" s="11">
        <v>0</v>
      </c>
      <c r="W10" s="57">
        <f t="shared" si="2"/>
        <v>0.7</v>
      </c>
      <c r="Y10" s="11">
        <v>0.7</v>
      </c>
      <c r="AA10" s="57">
        <v>-3</v>
      </c>
      <c r="AC10" s="57">
        <f t="shared" si="0"/>
        <v>0</v>
      </c>
      <c r="AF10" s="17"/>
      <c r="AG10" s="17"/>
      <c r="AH10" s="17"/>
      <c r="AI10" s="17"/>
      <c r="AJ10" s="17"/>
    </row>
    <row r="11" spans="1:36" ht="14.25" x14ac:dyDescent="0.2">
      <c r="A11" s="10"/>
      <c r="B11" s="10" t="s">
        <v>2</v>
      </c>
      <c r="C11" s="10"/>
      <c r="D11" s="10"/>
      <c r="E11" s="11">
        <v>0</v>
      </c>
      <c r="F11" s="62"/>
      <c r="G11" s="11"/>
      <c r="H11" s="11">
        <v>-1</v>
      </c>
      <c r="I11" s="11"/>
      <c r="J11" s="11">
        <v>-1</v>
      </c>
      <c r="K11" s="11"/>
      <c r="L11" s="11">
        <f t="shared" si="1"/>
        <v>0</v>
      </c>
      <c r="M11" s="62"/>
      <c r="O11" s="11">
        <v>0</v>
      </c>
      <c r="Q11" s="11">
        <v>0</v>
      </c>
      <c r="R11" s="11"/>
      <c r="S11" s="11">
        <v>0</v>
      </c>
      <c r="T11" s="11"/>
      <c r="U11" s="11">
        <v>-1</v>
      </c>
      <c r="W11" s="57">
        <f t="shared" si="2"/>
        <v>-1</v>
      </c>
      <c r="Y11" s="11">
        <v>-1</v>
      </c>
      <c r="AA11" s="57">
        <v>-1</v>
      </c>
      <c r="AC11" s="57">
        <f t="shared" si="0"/>
        <v>0</v>
      </c>
      <c r="AF11" s="17"/>
      <c r="AG11" s="17"/>
      <c r="AH11" s="17"/>
      <c r="AI11" s="17"/>
      <c r="AJ11" s="17"/>
    </row>
    <row r="12" spans="1:36" ht="14.25" x14ac:dyDescent="0.2">
      <c r="A12" s="10"/>
      <c r="B12" s="10" t="s">
        <v>4</v>
      </c>
      <c r="C12" s="10"/>
      <c r="D12" s="10"/>
      <c r="E12" s="11">
        <v>0</v>
      </c>
      <c r="F12" s="62"/>
      <c r="G12" s="11"/>
      <c r="H12" s="11">
        <v>0</v>
      </c>
      <c r="I12" s="11"/>
      <c r="J12" s="11">
        <v>0</v>
      </c>
      <c r="K12" s="11"/>
      <c r="L12" s="11">
        <f t="shared" si="1"/>
        <v>0</v>
      </c>
      <c r="M12" s="62"/>
      <c r="O12" s="11">
        <v>0</v>
      </c>
      <c r="Q12" s="11">
        <f>-0.5+0.3</f>
        <v>-0.2</v>
      </c>
      <c r="R12" s="11"/>
      <c r="S12" s="11">
        <v>-0.3</v>
      </c>
      <c r="T12" s="11"/>
      <c r="U12" s="11">
        <v>0</v>
      </c>
      <c r="W12" s="57">
        <f t="shared" si="2"/>
        <v>-0.5</v>
      </c>
      <c r="Y12" s="11">
        <v>-0.5</v>
      </c>
      <c r="AA12" s="57">
        <v>-0.5</v>
      </c>
      <c r="AC12" s="57">
        <f t="shared" si="0"/>
        <v>0</v>
      </c>
      <c r="AF12" s="17"/>
      <c r="AG12" s="17"/>
      <c r="AH12" s="17"/>
      <c r="AI12" s="17"/>
      <c r="AJ12" s="17"/>
    </row>
    <row r="13" spans="1:36" ht="14.25" x14ac:dyDescent="0.2">
      <c r="A13" s="10"/>
      <c r="B13" s="10" t="s">
        <v>6</v>
      </c>
      <c r="C13" s="10"/>
      <c r="D13" s="10"/>
      <c r="E13" s="11">
        <v>0</v>
      </c>
      <c r="F13" s="62"/>
      <c r="G13" s="11"/>
      <c r="H13" s="11">
        <v>-17</v>
      </c>
      <c r="I13" s="11"/>
      <c r="J13" s="11">
        <v>-15</v>
      </c>
      <c r="K13" s="11"/>
      <c r="L13" s="11">
        <f t="shared" si="1"/>
        <v>2</v>
      </c>
      <c r="M13" s="62"/>
      <c r="O13" s="11">
        <v>-5</v>
      </c>
      <c r="Q13" s="11">
        <v>0</v>
      </c>
      <c r="R13" s="11"/>
      <c r="S13" s="11">
        <v>0</v>
      </c>
      <c r="T13" s="11"/>
      <c r="U13" s="11">
        <f>-25+0.8+9.2</f>
        <v>-15</v>
      </c>
      <c r="W13" s="57">
        <f t="shared" si="2"/>
        <v>-20</v>
      </c>
      <c r="Y13" s="11">
        <v>-20</v>
      </c>
      <c r="AA13" s="57">
        <v>-23</v>
      </c>
      <c r="AC13" s="57">
        <f t="shared" si="0"/>
        <v>0</v>
      </c>
      <c r="AF13" s="17"/>
      <c r="AG13" s="17"/>
      <c r="AH13" s="17"/>
      <c r="AI13" s="17"/>
      <c r="AJ13" s="17"/>
    </row>
    <row r="14" spans="1:36" ht="14.25" x14ac:dyDescent="0.2">
      <c r="A14" s="10"/>
      <c r="B14" s="10" t="s">
        <v>1</v>
      </c>
      <c r="C14" s="10"/>
      <c r="D14" s="10"/>
      <c r="E14" s="11">
        <v>0</v>
      </c>
      <c r="F14" s="62"/>
      <c r="G14" s="11"/>
      <c r="H14" s="11">
        <v>-5.2</v>
      </c>
      <c r="I14" s="11"/>
      <c r="J14" s="11">
        <v>-5.2</v>
      </c>
      <c r="K14" s="11"/>
      <c r="L14" s="11">
        <f t="shared" si="1"/>
        <v>0</v>
      </c>
      <c r="M14" s="62"/>
      <c r="O14" s="11">
        <v>-2.1</v>
      </c>
      <c r="Q14" s="11">
        <v>0</v>
      </c>
      <c r="R14" s="11"/>
      <c r="S14" s="11">
        <v>-0.3</v>
      </c>
      <c r="T14" s="11"/>
      <c r="U14" s="11">
        <f>-5.5*0.94</f>
        <v>-5.17</v>
      </c>
      <c r="W14" s="57">
        <f t="shared" si="2"/>
        <v>-7.57</v>
      </c>
      <c r="Y14" s="11">
        <v>-7.6</v>
      </c>
      <c r="AA14" s="57">
        <v>-2.1</v>
      </c>
      <c r="AC14" s="57">
        <f t="shared" si="0"/>
        <v>2.9999999999999361E-2</v>
      </c>
      <c r="AF14" s="17"/>
      <c r="AG14" s="17"/>
      <c r="AH14" s="17"/>
      <c r="AI14" s="17"/>
      <c r="AJ14" s="17"/>
    </row>
    <row r="15" spans="1:36" ht="14.25" x14ac:dyDescent="0.2">
      <c r="A15" s="10"/>
      <c r="B15" s="10" t="s">
        <v>8</v>
      </c>
      <c r="C15" s="10"/>
      <c r="D15" s="10"/>
      <c r="E15" s="11">
        <v>4</v>
      </c>
      <c r="F15" s="62"/>
      <c r="G15" s="11"/>
      <c r="H15" s="11">
        <v>0</v>
      </c>
      <c r="I15" s="11"/>
      <c r="J15" s="11">
        <v>0</v>
      </c>
      <c r="K15" s="11"/>
      <c r="L15" s="11">
        <f t="shared" si="1"/>
        <v>0</v>
      </c>
      <c r="M15" s="62"/>
      <c r="O15" s="11">
        <v>0</v>
      </c>
      <c r="Q15" s="11">
        <v>0</v>
      </c>
      <c r="R15" s="11"/>
      <c r="S15" s="11">
        <v>0</v>
      </c>
      <c r="T15" s="11"/>
      <c r="U15" s="11">
        <v>0</v>
      </c>
      <c r="W15" s="57">
        <f t="shared" si="2"/>
        <v>0</v>
      </c>
      <c r="Y15" s="11">
        <v>0</v>
      </c>
      <c r="AA15" s="57">
        <v>0</v>
      </c>
      <c r="AC15" s="57">
        <f t="shared" si="0"/>
        <v>0</v>
      </c>
      <c r="AF15" s="17"/>
      <c r="AG15" s="17"/>
      <c r="AH15" s="17"/>
      <c r="AI15" s="17"/>
      <c r="AJ15" s="17"/>
    </row>
    <row r="16" spans="1:36" ht="14.25" x14ac:dyDescent="0.2">
      <c r="A16" s="10"/>
      <c r="B16" s="10" t="s">
        <v>7</v>
      </c>
      <c r="C16" s="10"/>
      <c r="D16" s="10"/>
      <c r="E16" s="11">
        <v>0</v>
      </c>
      <c r="F16" s="62"/>
      <c r="G16" s="11"/>
      <c r="H16" s="11">
        <v>0</v>
      </c>
      <c r="I16" s="11"/>
      <c r="J16" s="11">
        <v>0</v>
      </c>
      <c r="K16" s="11"/>
      <c r="L16" s="11">
        <f t="shared" si="1"/>
        <v>0</v>
      </c>
      <c r="M16" s="62"/>
      <c r="O16" s="11">
        <v>0.4</v>
      </c>
      <c r="Q16" s="11">
        <v>0</v>
      </c>
      <c r="R16" s="11"/>
      <c r="S16" s="11">
        <v>-2.4</v>
      </c>
      <c r="T16" s="11"/>
      <c r="U16" s="11">
        <v>0</v>
      </c>
      <c r="W16" s="57">
        <f t="shared" si="2"/>
        <v>-2</v>
      </c>
      <c r="Y16" s="11">
        <v>-2</v>
      </c>
      <c r="AA16" s="57">
        <f>0.6</f>
        <v>0.6</v>
      </c>
      <c r="AC16" s="57">
        <f t="shared" si="0"/>
        <v>0</v>
      </c>
      <c r="AF16" s="17"/>
      <c r="AG16" s="17"/>
      <c r="AH16" s="17"/>
      <c r="AI16" s="17"/>
      <c r="AJ16" s="17"/>
    </row>
    <row r="17" spans="1:36" ht="14.25" x14ac:dyDescent="0.2">
      <c r="A17" s="10"/>
      <c r="B17" s="10" t="s">
        <v>84</v>
      </c>
      <c r="C17" s="10"/>
      <c r="D17" s="10"/>
      <c r="E17" s="11">
        <v>0</v>
      </c>
      <c r="F17" s="62"/>
      <c r="G17" s="11"/>
      <c r="H17" s="11">
        <v>0</v>
      </c>
      <c r="I17" s="11"/>
      <c r="J17" s="11">
        <v>0</v>
      </c>
      <c r="K17" s="11"/>
      <c r="L17" s="11">
        <f t="shared" si="1"/>
        <v>0</v>
      </c>
      <c r="M17" s="62"/>
      <c r="O17" s="11">
        <v>1.6</v>
      </c>
      <c r="Q17" s="11">
        <v>0</v>
      </c>
      <c r="R17" s="11"/>
      <c r="S17" s="11">
        <v>0</v>
      </c>
      <c r="T17" s="11"/>
      <c r="U17" s="11">
        <v>0</v>
      </c>
      <c r="W17" s="57">
        <f t="shared" si="2"/>
        <v>1.6</v>
      </c>
      <c r="Y17" s="11">
        <v>1.6</v>
      </c>
      <c r="AA17" s="57">
        <v>1.6</v>
      </c>
      <c r="AC17" s="57">
        <f t="shared" si="0"/>
        <v>0</v>
      </c>
      <c r="AF17" s="17"/>
      <c r="AG17" s="17"/>
      <c r="AH17" s="17"/>
      <c r="AI17" s="17"/>
      <c r="AJ17" s="17"/>
    </row>
    <row r="18" spans="1:36" ht="14.25" x14ac:dyDescent="0.2">
      <c r="A18" s="10"/>
      <c r="B18" s="10" t="s">
        <v>85</v>
      </c>
      <c r="C18" s="10"/>
      <c r="D18" s="10"/>
      <c r="E18" s="11">
        <v>0</v>
      </c>
      <c r="F18" s="62"/>
      <c r="G18" s="11"/>
      <c r="H18" s="11">
        <v>0.3</v>
      </c>
      <c r="I18" s="11"/>
      <c r="J18" s="11">
        <v>0.3</v>
      </c>
      <c r="K18" s="11"/>
      <c r="L18" s="11">
        <f t="shared" si="1"/>
        <v>0</v>
      </c>
      <c r="M18" s="62"/>
      <c r="O18" s="11">
        <v>1.1000000000000001</v>
      </c>
      <c r="Q18" s="11">
        <v>1.8</v>
      </c>
      <c r="R18" s="11"/>
      <c r="S18" s="11">
        <v>0.4</v>
      </c>
      <c r="T18" s="11"/>
      <c r="U18" s="11">
        <v>0.3</v>
      </c>
      <c r="W18" s="57">
        <f t="shared" si="2"/>
        <v>3.6</v>
      </c>
      <c r="Y18" s="11">
        <v>3.6</v>
      </c>
      <c r="AA18" s="57">
        <v>0</v>
      </c>
      <c r="AC18" s="57">
        <f t="shared" si="0"/>
        <v>0</v>
      </c>
      <c r="AF18" s="17"/>
      <c r="AG18" s="17"/>
      <c r="AH18" s="17"/>
      <c r="AI18" s="17"/>
      <c r="AJ18" s="17"/>
    </row>
    <row r="19" spans="1:36" ht="14.25" x14ac:dyDescent="0.2">
      <c r="A19" s="10"/>
      <c r="B19" s="10" t="s">
        <v>17</v>
      </c>
      <c r="C19" s="10"/>
      <c r="D19" s="10"/>
      <c r="E19" s="11">
        <v>0</v>
      </c>
      <c r="F19" s="62"/>
      <c r="G19" s="11"/>
      <c r="H19" s="11">
        <v>0</v>
      </c>
      <c r="I19" s="11"/>
      <c r="J19" s="11">
        <v>0</v>
      </c>
      <c r="K19" s="11"/>
      <c r="L19" s="11">
        <f t="shared" si="1"/>
        <v>0</v>
      </c>
      <c r="M19" s="62"/>
      <c r="O19" s="11">
        <v>0</v>
      </c>
      <c r="Q19" s="11">
        <f>-3.8+1.3</f>
        <v>-2.5</v>
      </c>
      <c r="R19" s="11"/>
      <c r="S19" s="11">
        <v>-0.3</v>
      </c>
      <c r="T19" s="11"/>
      <c r="U19" s="11">
        <v>0</v>
      </c>
      <c r="W19" s="57">
        <f t="shared" si="2"/>
        <v>-2.8</v>
      </c>
      <c r="Y19" s="11">
        <v>-2.8</v>
      </c>
      <c r="AA19" s="57">
        <v>-3.8</v>
      </c>
      <c r="AC19" s="57">
        <f t="shared" si="0"/>
        <v>0</v>
      </c>
      <c r="AF19" s="17"/>
      <c r="AG19" s="17"/>
      <c r="AH19" s="17"/>
      <c r="AI19" s="17"/>
      <c r="AJ19" s="17"/>
    </row>
    <row r="20" spans="1:36" ht="14.25" x14ac:dyDescent="0.2">
      <c r="B20" s="10" t="s">
        <v>21</v>
      </c>
      <c r="C20" s="10"/>
      <c r="D20" s="10"/>
      <c r="E20" s="11">
        <v>0.2</v>
      </c>
      <c r="F20" s="62"/>
      <c r="G20" s="11"/>
      <c r="H20" s="11">
        <v>0.3</v>
      </c>
      <c r="I20" s="11"/>
      <c r="J20" s="11">
        <v>0.3</v>
      </c>
      <c r="K20" s="11"/>
      <c r="L20" s="11">
        <f t="shared" si="1"/>
        <v>0</v>
      </c>
      <c r="M20" s="62"/>
      <c r="O20" s="11">
        <v>0.1</v>
      </c>
      <c r="Q20" s="11">
        <v>0.3</v>
      </c>
      <c r="R20" s="11"/>
      <c r="S20" s="11">
        <v>0.3</v>
      </c>
      <c r="T20" s="11"/>
      <c r="U20" s="11">
        <v>0.3</v>
      </c>
      <c r="W20" s="57">
        <f t="shared" si="2"/>
        <v>1</v>
      </c>
      <c r="Y20" s="11">
        <v>1</v>
      </c>
      <c r="AA20" s="57">
        <f>1+2.8</f>
        <v>3.8</v>
      </c>
      <c r="AC20" s="57">
        <f t="shared" si="0"/>
        <v>0</v>
      </c>
      <c r="AF20" s="17"/>
      <c r="AG20" s="17"/>
      <c r="AH20" s="17"/>
      <c r="AI20" s="17"/>
      <c r="AJ20" s="17"/>
    </row>
    <row r="21" spans="1:36" ht="14.25" x14ac:dyDescent="0.2">
      <c r="A21" s="10"/>
      <c r="B21" s="10" t="s">
        <v>31</v>
      </c>
      <c r="C21" s="10"/>
      <c r="D21" s="10"/>
      <c r="E21" s="17">
        <v>0.2</v>
      </c>
      <c r="F21" s="62"/>
      <c r="G21" s="17"/>
      <c r="H21" s="17">
        <v>-0.7</v>
      </c>
      <c r="I21" s="17"/>
      <c r="J21" s="17">
        <v>-1.5</v>
      </c>
      <c r="K21" s="17"/>
      <c r="L21" s="11">
        <f t="shared" si="1"/>
        <v>-0.8</v>
      </c>
      <c r="M21" s="62"/>
      <c r="N21" s="18"/>
      <c r="O21" s="17">
        <v>0.3</v>
      </c>
      <c r="P21" s="18"/>
      <c r="Q21" s="17">
        <v>-0.2</v>
      </c>
      <c r="R21" s="17"/>
      <c r="S21" s="17">
        <v>-1.9</v>
      </c>
      <c r="T21" s="17"/>
      <c r="U21" s="17">
        <f>-0.5-0.2-0.8</f>
        <v>-1.5</v>
      </c>
      <c r="V21" s="18"/>
      <c r="W21" s="75">
        <f t="shared" si="2"/>
        <v>-3.3</v>
      </c>
      <c r="X21" s="18"/>
      <c r="Y21" s="17">
        <v>-3.3</v>
      </c>
      <c r="Z21" s="18"/>
      <c r="AA21" s="75">
        <f>0.5-1.6</f>
        <v>-1.1000000000000001</v>
      </c>
      <c r="AC21" s="57">
        <f t="shared" si="0"/>
        <v>0</v>
      </c>
      <c r="AF21" s="17"/>
      <c r="AG21" s="17"/>
      <c r="AH21" s="17"/>
      <c r="AI21" s="17"/>
      <c r="AJ21" s="17"/>
    </row>
    <row r="22" spans="1:36" ht="14.25" x14ac:dyDescent="0.2">
      <c r="A22" s="10"/>
      <c r="B22" s="10" t="s">
        <v>122</v>
      </c>
      <c r="C22" s="10"/>
      <c r="D22" s="10"/>
      <c r="E22" s="12">
        <v>2.2999999999999998</v>
      </c>
      <c r="F22" s="76"/>
      <c r="G22" s="12"/>
      <c r="H22" s="12">
        <v>0</v>
      </c>
      <c r="I22" s="12"/>
      <c r="J22" s="12">
        <v>0</v>
      </c>
      <c r="K22" s="12"/>
      <c r="L22" s="12">
        <f t="shared" si="1"/>
        <v>0</v>
      </c>
      <c r="M22" s="76"/>
      <c r="N22" s="70"/>
      <c r="O22" s="12">
        <v>0</v>
      </c>
      <c r="P22" s="70"/>
      <c r="Q22" s="12">
        <v>0</v>
      </c>
      <c r="R22" s="12"/>
      <c r="S22" s="12">
        <v>0</v>
      </c>
      <c r="T22" s="12"/>
      <c r="U22" s="12">
        <v>0</v>
      </c>
      <c r="V22" s="70"/>
      <c r="W22" s="58">
        <f>SUM(O22:V22)</f>
        <v>0</v>
      </c>
      <c r="X22" s="70"/>
      <c r="Y22" s="12">
        <v>0</v>
      </c>
      <c r="Z22" s="70"/>
      <c r="AA22" s="58">
        <v>7</v>
      </c>
      <c r="AB22" s="70"/>
      <c r="AC22" s="58">
        <f t="shared" si="0"/>
        <v>0</v>
      </c>
      <c r="AF22" s="85"/>
      <c r="AG22" s="85"/>
      <c r="AH22" s="85"/>
      <c r="AI22" s="68"/>
      <c r="AJ22" s="17"/>
    </row>
    <row r="23" spans="1:36" ht="6.75" customHeight="1" x14ac:dyDescent="0.2">
      <c r="A23" s="10"/>
      <c r="B23" s="10"/>
      <c r="C23" s="10"/>
      <c r="D23" s="10"/>
      <c r="E23" s="11"/>
      <c r="F23" s="62"/>
      <c r="G23" s="11"/>
      <c r="H23" s="11"/>
      <c r="I23" s="11"/>
      <c r="J23" s="11"/>
      <c r="K23" s="11"/>
      <c r="L23" s="11"/>
      <c r="M23" s="62"/>
      <c r="O23" s="11"/>
      <c r="Q23" s="11"/>
      <c r="R23" s="11"/>
      <c r="S23" s="11"/>
      <c r="T23" s="11"/>
      <c r="U23" s="11"/>
      <c r="W23" s="10"/>
      <c r="Y23" s="11"/>
      <c r="AA23" s="10"/>
      <c r="AF23" s="68"/>
      <c r="AG23" s="68"/>
      <c r="AH23" s="68"/>
      <c r="AI23" s="68"/>
      <c r="AJ23" s="68"/>
    </row>
    <row r="24" spans="1:36" ht="14.25" x14ac:dyDescent="0.2">
      <c r="A24" s="10"/>
      <c r="B24" s="10" t="s">
        <v>99</v>
      </c>
      <c r="C24" s="10"/>
      <c r="D24" s="10"/>
      <c r="E24" s="11">
        <f>SUM(E7:E23)</f>
        <v>8.1999999999999993</v>
      </c>
      <c r="F24" s="62"/>
      <c r="G24" s="11"/>
      <c r="H24" s="11">
        <f>SUM(H7:H23)</f>
        <v>-23.299999999999997</v>
      </c>
      <c r="I24" s="11"/>
      <c r="J24" s="11">
        <f>SUM(J7:J23)</f>
        <v>-22.099999999999998</v>
      </c>
      <c r="K24" s="11"/>
      <c r="L24" s="11">
        <f>+J24-H24</f>
        <v>1.1999999999999993</v>
      </c>
      <c r="M24" s="62"/>
      <c r="O24" s="11">
        <f>SUM(O7:O23)</f>
        <v>-1.4999999999999993</v>
      </c>
      <c r="Q24" s="11">
        <f>SUM(Q7:Q23)</f>
        <v>2.2999999999999998</v>
      </c>
      <c r="R24" s="11"/>
      <c r="S24" s="11">
        <f>SUM(S7:S23)</f>
        <v>-5.4</v>
      </c>
      <c r="T24" s="11"/>
      <c r="U24" s="11">
        <f>SUM(U7:U23)</f>
        <v>-22.07</v>
      </c>
      <c r="W24" s="57">
        <f>SUM(W7:W23)</f>
        <v>-26.669999999999998</v>
      </c>
      <c r="Y24" s="11">
        <f>SUM(Y7:Y23)</f>
        <v>-26.699999999999996</v>
      </c>
      <c r="AA24" s="57">
        <f>SUM(AA7:AA23)</f>
        <v>-22.899999999999995</v>
      </c>
      <c r="AC24" s="57">
        <f>SUM(AC7:AC23)</f>
        <v>2.9999999999999361E-2</v>
      </c>
      <c r="AF24" s="86"/>
      <c r="AG24" s="68"/>
      <c r="AH24" s="86"/>
      <c r="AI24" s="68"/>
      <c r="AJ24" s="86"/>
    </row>
    <row r="25" spans="1:36" ht="14.25" x14ac:dyDescent="0.2">
      <c r="A25" s="10"/>
      <c r="B25" s="10"/>
      <c r="C25" s="10"/>
      <c r="D25" s="10"/>
      <c r="E25" s="11"/>
      <c r="F25" s="62"/>
      <c r="G25" s="11"/>
      <c r="H25" s="11"/>
      <c r="I25" s="11"/>
      <c r="J25" s="11"/>
      <c r="K25" s="11"/>
      <c r="L25" s="11"/>
      <c r="M25" s="62"/>
      <c r="O25" s="11"/>
      <c r="Q25" s="11"/>
      <c r="R25" s="11"/>
      <c r="S25" s="11"/>
      <c r="T25" s="11"/>
      <c r="U25" s="11"/>
      <c r="W25" s="57"/>
      <c r="Y25" s="11"/>
      <c r="AA25" s="57"/>
      <c r="AC25" s="10"/>
      <c r="AF25" s="18"/>
      <c r="AG25" s="18"/>
      <c r="AH25" s="18"/>
      <c r="AI25" s="18"/>
      <c r="AJ25" s="18"/>
    </row>
    <row r="26" spans="1:36" ht="15" x14ac:dyDescent="0.25">
      <c r="A26" s="1" t="s">
        <v>18</v>
      </c>
      <c r="B26" s="10"/>
      <c r="C26" s="10"/>
      <c r="D26" s="10"/>
      <c r="E26" s="11">
        <f>-1.8+0.6</f>
        <v>-1.2000000000000002</v>
      </c>
      <c r="F26" s="62"/>
      <c r="G26" s="11"/>
      <c r="H26" s="11">
        <v>-8.3000000000000007</v>
      </c>
      <c r="I26" s="11"/>
      <c r="J26" s="11">
        <v>-9.3000000000000007</v>
      </c>
      <c r="K26" s="11"/>
      <c r="L26" s="11">
        <f>+J26-H26</f>
        <v>-1</v>
      </c>
      <c r="M26" s="62"/>
      <c r="O26" s="11">
        <f>-8-0.8</f>
        <v>-8.8000000000000007</v>
      </c>
      <c r="Q26" s="11">
        <f>-7.8-0.3-2.2+0.7+0.4-0.1+1.2-1.3+5.6-1.5</f>
        <v>-5.3000000000000025</v>
      </c>
      <c r="R26" s="11"/>
      <c r="S26" s="11">
        <f>-4-2+1.6</f>
        <v>-4.4000000000000004</v>
      </c>
      <c r="T26" s="11"/>
      <c r="U26" s="11">
        <f>-0.3-4.3-3.7-1</f>
        <v>-9.3000000000000007</v>
      </c>
      <c r="W26" s="57">
        <f>SUM(O26:V26)</f>
        <v>-27.800000000000004</v>
      </c>
      <c r="Y26" s="11">
        <v>-27.8</v>
      </c>
      <c r="AA26" s="57">
        <v>-29.1</v>
      </c>
      <c r="AC26" s="57">
        <f>+W26-Y26</f>
        <v>0</v>
      </c>
    </row>
    <row r="27" spans="1:36" ht="15" x14ac:dyDescent="0.25">
      <c r="A27" s="1"/>
      <c r="B27" s="10"/>
      <c r="C27" s="10"/>
      <c r="D27" s="10"/>
      <c r="E27" s="11"/>
      <c r="F27" s="62"/>
      <c r="G27" s="11"/>
      <c r="H27" s="11"/>
      <c r="I27" s="11"/>
      <c r="J27" s="11"/>
      <c r="K27" s="11"/>
      <c r="L27" s="11"/>
      <c r="M27" s="62"/>
      <c r="O27" s="11"/>
      <c r="Q27" s="11"/>
      <c r="R27" s="11"/>
      <c r="S27" s="11"/>
      <c r="T27" s="11"/>
      <c r="U27" s="11"/>
      <c r="W27" s="57"/>
      <c r="Y27" s="11"/>
      <c r="AA27" s="57"/>
      <c r="AC27" s="10"/>
    </row>
    <row r="28" spans="1:36" ht="15" x14ac:dyDescent="0.25">
      <c r="A28" s="1" t="s">
        <v>19</v>
      </c>
      <c r="B28" s="10"/>
      <c r="C28" s="10"/>
      <c r="D28" s="10"/>
      <c r="E28" s="11">
        <v>-0.7</v>
      </c>
      <c r="F28" s="62"/>
      <c r="G28" s="11"/>
      <c r="H28" s="11">
        <v>-1.5</v>
      </c>
      <c r="I28" s="11"/>
      <c r="J28" s="11">
        <v>-1.5</v>
      </c>
      <c r="K28" s="11"/>
      <c r="L28" s="11">
        <f>+J28-H28</f>
        <v>0</v>
      </c>
      <c r="M28" s="62"/>
      <c r="O28" s="11">
        <v>-0.7</v>
      </c>
      <c r="Q28" s="11">
        <v>-5.6</v>
      </c>
      <c r="R28" s="11"/>
      <c r="S28" s="11">
        <v>-1.5</v>
      </c>
      <c r="T28" s="11"/>
      <c r="U28" s="11">
        <v>-1.5</v>
      </c>
      <c r="W28" s="57">
        <f>SUM(O28:V28)</f>
        <v>-9.3000000000000007</v>
      </c>
      <c r="Y28" s="11">
        <v>-9.3000000000000007</v>
      </c>
      <c r="AA28" s="57">
        <v>-4.4000000000000004</v>
      </c>
      <c r="AC28" s="57">
        <f>+W28-Y28</f>
        <v>0</v>
      </c>
    </row>
    <row r="29" spans="1:36" ht="15" x14ac:dyDescent="0.25">
      <c r="A29" s="1"/>
      <c r="B29" s="10"/>
      <c r="C29" s="10"/>
      <c r="D29" s="10"/>
      <c r="E29" s="11"/>
      <c r="F29" s="62"/>
      <c r="G29" s="11"/>
      <c r="H29" s="11"/>
      <c r="I29" s="11"/>
      <c r="J29" s="11"/>
      <c r="K29" s="11"/>
      <c r="L29" s="11"/>
      <c r="M29" s="62"/>
      <c r="O29" s="11"/>
      <c r="Q29" s="11"/>
      <c r="R29" s="11"/>
      <c r="S29" s="11"/>
      <c r="T29" s="11"/>
      <c r="U29" s="11"/>
      <c r="W29" s="57"/>
      <c r="Y29" s="11"/>
      <c r="AA29" s="57"/>
      <c r="AC29" s="10"/>
    </row>
    <row r="30" spans="1:36" ht="15" x14ac:dyDescent="0.25">
      <c r="A30" s="1" t="s">
        <v>113</v>
      </c>
      <c r="B30" s="10"/>
      <c r="C30" s="10"/>
      <c r="D30" s="10"/>
      <c r="E30" s="12">
        <v>0.6</v>
      </c>
      <c r="F30" s="76"/>
      <c r="G30" s="12"/>
      <c r="H30" s="12">
        <v>0.4</v>
      </c>
      <c r="I30" s="12"/>
      <c r="J30" s="12">
        <v>0.4</v>
      </c>
      <c r="K30" s="12"/>
      <c r="L30" s="12">
        <f>+J30-H30</f>
        <v>0</v>
      </c>
      <c r="M30" s="62"/>
      <c r="O30" s="12">
        <v>2.8</v>
      </c>
      <c r="P30" s="70"/>
      <c r="Q30" s="12">
        <f>1-2.2+0.3</f>
        <v>-0.90000000000000013</v>
      </c>
      <c r="R30" s="12"/>
      <c r="S30" s="12">
        <v>0.6</v>
      </c>
      <c r="T30" s="12"/>
      <c r="U30" s="12">
        <v>0.4</v>
      </c>
      <c r="V30" s="70"/>
      <c r="W30" s="58">
        <f>SUM(O30:V30)</f>
        <v>2.8999999999999995</v>
      </c>
      <c r="X30" s="70"/>
      <c r="Y30" s="12">
        <v>2.9</v>
      </c>
      <c r="Z30" s="70"/>
      <c r="AA30" s="58">
        <v>4.9000000000000004</v>
      </c>
      <c r="AB30" s="70"/>
      <c r="AC30" s="58">
        <f>+W30-Y30</f>
        <v>0</v>
      </c>
    </row>
    <row r="31" spans="1:36" x14ac:dyDescent="0.2">
      <c r="E31" s="3"/>
      <c r="F31" s="63"/>
      <c r="G31" s="3"/>
      <c r="H31" s="3"/>
      <c r="I31" s="3"/>
      <c r="J31" s="3"/>
      <c r="K31" s="3"/>
      <c r="L31" s="3"/>
      <c r="M31" s="63"/>
      <c r="O31" s="3"/>
      <c r="Q31" s="3"/>
      <c r="R31" s="3"/>
      <c r="S31" s="3"/>
      <c r="T31" s="3"/>
      <c r="U31" s="3"/>
    </row>
    <row r="32" spans="1:36" ht="15.75" x14ac:dyDescent="0.25">
      <c r="A32" s="5" t="s">
        <v>22</v>
      </c>
      <c r="B32" s="6"/>
      <c r="C32" s="6"/>
      <c r="D32" s="6"/>
      <c r="E32" s="54">
        <f>SUM(E7:E31)-E24</f>
        <v>6.9</v>
      </c>
      <c r="F32" s="64"/>
      <c r="G32" s="54"/>
      <c r="H32" s="54">
        <f>SUM(H7:H31)-H24</f>
        <v>-32.699999999999996</v>
      </c>
      <c r="I32" s="54"/>
      <c r="J32" s="54">
        <f>SUM(J7:J31)-J24</f>
        <v>-32.5</v>
      </c>
      <c r="K32" s="54"/>
      <c r="L32" s="54">
        <f>+J32-H32</f>
        <v>0.19999999999999574</v>
      </c>
      <c r="M32" s="64"/>
      <c r="O32" s="54">
        <f>SUM(O24:O31)</f>
        <v>-8.1999999999999993</v>
      </c>
      <c r="Q32" s="54">
        <f>SUM(Q7:Q31)-Q24</f>
        <v>-9.5000000000000036</v>
      </c>
      <c r="R32" s="54"/>
      <c r="S32" s="54">
        <f>SUM(S7:S31)-S24</f>
        <v>-10.700000000000001</v>
      </c>
      <c r="T32" s="54"/>
      <c r="U32" s="54">
        <f>SUM(U7:U31)-U24</f>
        <v>-32.47</v>
      </c>
      <c r="W32" s="54">
        <f>SUM(O32:U32)</f>
        <v>-60.870000000000005</v>
      </c>
      <c r="Y32" s="54">
        <f>SUM(Y24:Y31)</f>
        <v>-60.9</v>
      </c>
      <c r="AA32" s="54">
        <f>SUM(AA24:AA31)</f>
        <v>-51.5</v>
      </c>
      <c r="AC32" s="7">
        <f>SUM(AC24:AC31)</f>
        <v>2.9999999999999361E-2</v>
      </c>
    </row>
    <row r="33" spans="1:29" ht="15" x14ac:dyDescent="0.2">
      <c r="A33" s="6"/>
      <c r="B33" s="6"/>
      <c r="C33" s="6"/>
      <c r="D33" s="6"/>
      <c r="E33" s="55"/>
      <c r="F33" s="65"/>
      <c r="G33" s="55"/>
      <c r="H33" s="55"/>
      <c r="I33" s="55"/>
      <c r="J33" s="55"/>
      <c r="K33" s="55"/>
      <c r="L33" s="55"/>
      <c r="M33" s="65"/>
      <c r="O33" s="55"/>
      <c r="Q33" s="55"/>
      <c r="R33" s="55"/>
      <c r="S33" s="55"/>
      <c r="T33" s="55"/>
      <c r="U33" s="55"/>
      <c r="W33" s="55"/>
      <c r="Y33" s="55"/>
      <c r="AA33" s="55"/>
    </row>
    <row r="34" spans="1:29" ht="15.75" x14ac:dyDescent="0.25">
      <c r="A34" s="5" t="s">
        <v>81</v>
      </c>
      <c r="E34" s="56">
        <v>24.2</v>
      </c>
      <c r="F34" s="89"/>
      <c r="G34" s="56"/>
      <c r="H34" s="56">
        <v>6.1</v>
      </c>
      <c r="I34" s="56"/>
      <c r="J34" s="56">
        <v>-3.4</v>
      </c>
      <c r="K34" s="56"/>
      <c r="L34" s="56">
        <f>+J34-H34</f>
        <v>-9.5</v>
      </c>
      <c r="M34" s="64"/>
      <c r="O34" s="56">
        <v>16.3</v>
      </c>
      <c r="P34" s="70"/>
      <c r="Q34" s="56">
        <v>10</v>
      </c>
      <c r="R34" s="56"/>
      <c r="S34" s="56">
        <f>14.2</f>
        <v>14.2</v>
      </c>
      <c r="T34" s="56"/>
      <c r="U34" s="56">
        <f>14.1-8-8.5-1</f>
        <v>-3.4000000000000004</v>
      </c>
      <c r="V34" s="70"/>
      <c r="W34" s="56">
        <f>SUM(O34:V34)</f>
        <v>37.1</v>
      </c>
      <c r="X34" s="70"/>
      <c r="Y34" s="56">
        <v>37.1</v>
      </c>
      <c r="Z34" s="70"/>
      <c r="AA34" s="56">
        <v>85</v>
      </c>
      <c r="AB34" s="70"/>
      <c r="AC34" s="56">
        <f>+W34-Y34</f>
        <v>0</v>
      </c>
    </row>
    <row r="35" spans="1:29" ht="15.75" x14ac:dyDescent="0.25">
      <c r="A35" s="5"/>
      <c r="E35" s="54"/>
      <c r="F35" s="64"/>
      <c r="G35" s="54"/>
      <c r="H35" s="54"/>
      <c r="I35" s="54"/>
      <c r="J35" s="54"/>
      <c r="K35" s="54"/>
      <c r="L35" s="54"/>
      <c r="M35" s="64"/>
      <c r="O35" s="54"/>
      <c r="Q35" s="54"/>
      <c r="R35" s="54"/>
      <c r="S35" s="54"/>
      <c r="T35" s="54"/>
      <c r="U35" s="54"/>
      <c r="W35" s="54"/>
      <c r="Y35" s="54"/>
      <c r="AA35" s="54"/>
    </row>
    <row r="36" spans="1:29" ht="16.5" thickBot="1" x14ac:dyDescent="0.3">
      <c r="A36" s="5" t="s">
        <v>82</v>
      </c>
      <c r="E36" s="9">
        <f>+E32+E34</f>
        <v>31.1</v>
      </c>
      <c r="F36" s="65"/>
      <c r="G36" s="54"/>
      <c r="H36" s="9">
        <f>+H32+H34</f>
        <v>-26.599999999999994</v>
      </c>
      <c r="I36" s="9"/>
      <c r="J36" s="9">
        <f>+J32+J34</f>
        <v>-35.9</v>
      </c>
      <c r="K36" s="9"/>
      <c r="L36" s="9">
        <f>+L32+L34</f>
        <v>-9.3000000000000043</v>
      </c>
      <c r="M36" s="64"/>
      <c r="O36" s="9">
        <f>+O34+O32</f>
        <v>8.1000000000000014</v>
      </c>
      <c r="P36" s="71"/>
      <c r="Q36" s="9">
        <f>+Q32+Q34</f>
        <v>0.49999999999999645</v>
      </c>
      <c r="R36" s="9"/>
      <c r="S36" s="9">
        <f>+S32+S34</f>
        <v>3.4999999999999982</v>
      </c>
      <c r="T36" s="9"/>
      <c r="U36" s="9">
        <f>+U32+U34</f>
        <v>-35.869999999999997</v>
      </c>
      <c r="V36" s="71"/>
      <c r="W36" s="9">
        <f>+W32+W34</f>
        <v>-23.770000000000003</v>
      </c>
      <c r="X36" s="71"/>
      <c r="Y36" s="9">
        <f>+Y32+Y34</f>
        <v>-23.799999999999997</v>
      </c>
      <c r="Z36" s="71"/>
      <c r="AA36" s="9">
        <f>+AA32+AA34</f>
        <v>33.5</v>
      </c>
      <c r="AB36" s="71"/>
      <c r="AC36" s="9">
        <f>+AC32+AC34</f>
        <v>2.9999999999999361E-2</v>
      </c>
    </row>
    <row r="37" spans="1:29" ht="13.5" thickTop="1" x14ac:dyDescent="0.2">
      <c r="E37" s="3"/>
      <c r="F37" s="3"/>
      <c r="G37" s="3"/>
      <c r="H37" s="3"/>
      <c r="I37" s="3"/>
      <c r="J37" s="3"/>
      <c r="K37" s="3"/>
      <c r="L37" s="3"/>
      <c r="M37" s="3"/>
    </row>
    <row r="38" spans="1:29" x14ac:dyDescent="0.2">
      <c r="E38" s="3"/>
      <c r="F38" s="3"/>
      <c r="G38" s="3"/>
      <c r="H38" s="3"/>
      <c r="I38" s="3"/>
      <c r="J38" s="3"/>
      <c r="K38" s="3"/>
      <c r="L38" s="3"/>
      <c r="M38" s="3"/>
    </row>
    <row r="39" spans="1:29" x14ac:dyDescent="0.2">
      <c r="E39" s="3"/>
      <c r="F39" s="3"/>
      <c r="G39" s="3"/>
      <c r="H39" s="3"/>
      <c r="I39" s="3"/>
      <c r="J39" s="3"/>
      <c r="K39" s="3"/>
      <c r="L39" s="3"/>
      <c r="M39" s="3"/>
    </row>
    <row r="40" spans="1:29" ht="15.75" x14ac:dyDescent="0.25">
      <c r="E40" s="3"/>
      <c r="F40" s="3"/>
      <c r="G40" s="3"/>
      <c r="H40" s="3"/>
      <c r="I40" s="3"/>
      <c r="J40" s="3"/>
      <c r="K40" s="3"/>
      <c r="L40" s="3"/>
      <c r="M40" s="3"/>
      <c r="S40" s="7"/>
    </row>
    <row r="41" spans="1:29" ht="16.5" thickBot="1" x14ac:dyDescent="0.3">
      <c r="A41" s="1" t="s">
        <v>108</v>
      </c>
      <c r="E41" s="3"/>
      <c r="F41" s="3"/>
      <c r="G41" s="3"/>
      <c r="H41" s="3"/>
      <c r="I41" s="3"/>
      <c r="J41" s="3"/>
      <c r="K41" s="3"/>
      <c r="L41" s="3"/>
      <c r="M41" s="3"/>
      <c r="W41" s="9">
        <v>150</v>
      </c>
      <c r="AA41" s="9">
        <v>150</v>
      </c>
      <c r="AC41" s="77">
        <f>+W41-AA41</f>
        <v>0</v>
      </c>
    </row>
    <row r="42" spans="1:29" ht="13.5" thickTop="1" x14ac:dyDescent="0.2">
      <c r="E42" s="3"/>
      <c r="F42" s="3"/>
      <c r="G42" s="3"/>
      <c r="H42" s="3"/>
      <c r="I42" s="3"/>
      <c r="J42" s="3"/>
      <c r="K42" s="3"/>
      <c r="L42" s="3"/>
      <c r="M42" s="3"/>
    </row>
    <row r="43" spans="1:29" x14ac:dyDescent="0.2">
      <c r="E43" s="3"/>
      <c r="F43" s="3"/>
      <c r="G43" s="3"/>
      <c r="H43" s="3"/>
      <c r="I43" s="3"/>
      <c r="J43" s="3"/>
      <c r="K43" s="3"/>
      <c r="L43" s="3"/>
      <c r="M43" s="3"/>
    </row>
    <row r="44" spans="1:29" x14ac:dyDescent="0.2">
      <c r="E44" s="3"/>
      <c r="F44" s="3"/>
      <c r="G44" s="3"/>
      <c r="H44" s="3"/>
      <c r="I44" s="3"/>
      <c r="J44" s="3"/>
      <c r="K44" s="3"/>
      <c r="L44" s="3"/>
      <c r="M44" s="3"/>
    </row>
    <row r="45" spans="1:29" x14ac:dyDescent="0.2">
      <c r="E45" s="3"/>
      <c r="F45" s="3"/>
      <c r="G45" s="3"/>
      <c r="H45" s="3"/>
      <c r="I45" s="3"/>
      <c r="J45" s="3"/>
      <c r="K45" s="3"/>
      <c r="L45" s="3"/>
      <c r="M45" s="3"/>
    </row>
    <row r="46" spans="1:29" x14ac:dyDescent="0.2">
      <c r="E46" s="3"/>
      <c r="F46" s="3"/>
      <c r="G46" s="3"/>
      <c r="H46" s="3"/>
      <c r="I46" s="3"/>
      <c r="J46" s="3"/>
      <c r="K46" s="3"/>
      <c r="L46" s="3"/>
      <c r="M46" s="3"/>
    </row>
    <row r="47" spans="1:29" x14ac:dyDescent="0.2">
      <c r="E47" s="3"/>
      <c r="F47" s="3"/>
      <c r="G47" s="3"/>
      <c r="H47" s="3"/>
      <c r="I47" s="3"/>
      <c r="J47" s="3"/>
      <c r="K47" s="3"/>
      <c r="L47" s="3"/>
      <c r="M47" s="3"/>
    </row>
    <row r="48" spans="1:29" x14ac:dyDescent="0.2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">
      <c r="E63" s="3"/>
      <c r="F63" s="3"/>
      <c r="G63" s="3"/>
      <c r="H63" s="3"/>
      <c r="I63" s="3"/>
      <c r="J63" s="3"/>
      <c r="K63" s="3"/>
      <c r="L63" s="3"/>
      <c r="M63" s="3"/>
    </row>
  </sheetData>
  <phoneticPr fontId="0" type="noConversion"/>
  <printOptions horizontalCentered="1"/>
  <pageMargins left="0.5" right="0.5" top="1.25" bottom="0.5" header="0.5" footer="0.5"/>
  <pageSetup scale="77" firstPageNumber="2" orientation="landscape" useFirstPageNumber="1" r:id="rId1"/>
  <headerFooter alignWithMargins="0">
    <oddHeader>&amp;C&amp;"Arial,Bold"&amp;16Enron Engineering and Operational Services
2001 4Q and Total Year Forecast
&amp;14(millions)</oddHeader>
    <oddFooter>&amp;C&amp;P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4" workbookViewId="0">
      <selection activeCell="J33" sqref="J33"/>
    </sheetView>
  </sheetViews>
  <sheetFormatPr defaultRowHeight="12.75" x14ac:dyDescent="0.2"/>
  <cols>
    <col min="6" max="7" width="2.85546875" customWidth="1"/>
    <col min="8" max="8" width="9.5703125" customWidth="1"/>
    <col min="9" max="9" width="2.85546875" customWidth="1"/>
    <col min="11" max="11" width="2.85546875" customWidth="1"/>
  </cols>
  <sheetData>
    <row r="1" spans="1:12" ht="15.75" x14ac:dyDescent="0.25">
      <c r="F1" s="60"/>
      <c r="G1" s="16"/>
      <c r="H1" s="16" t="s">
        <v>70</v>
      </c>
      <c r="J1" s="16" t="s">
        <v>70</v>
      </c>
    </row>
    <row r="2" spans="1:12" ht="15.75" x14ac:dyDescent="0.25">
      <c r="E2" s="16"/>
      <c r="F2" s="60"/>
      <c r="G2" s="16"/>
      <c r="H2" s="20" t="s">
        <v>40</v>
      </c>
      <c r="J2" s="20" t="s">
        <v>40</v>
      </c>
      <c r="L2" s="20" t="s">
        <v>12</v>
      </c>
    </row>
    <row r="3" spans="1:12" ht="15.75" x14ac:dyDescent="0.25">
      <c r="E3" s="16" t="s">
        <v>70</v>
      </c>
      <c r="F3" s="60"/>
      <c r="G3" s="16"/>
      <c r="H3" s="20" t="s">
        <v>115</v>
      </c>
      <c r="I3" s="16"/>
      <c r="J3" s="20" t="s">
        <v>114</v>
      </c>
      <c r="L3" s="20" t="s">
        <v>116</v>
      </c>
    </row>
    <row r="4" spans="1:12" ht="15.75" x14ac:dyDescent="0.25">
      <c r="E4" s="13" t="s">
        <v>10</v>
      </c>
      <c r="F4" s="88"/>
      <c r="G4" s="13"/>
      <c r="H4" s="13" t="s">
        <v>124</v>
      </c>
      <c r="I4" s="13"/>
      <c r="J4" s="13" t="s">
        <v>124</v>
      </c>
      <c r="K4" s="13"/>
      <c r="L4" s="13" t="s">
        <v>124</v>
      </c>
    </row>
    <row r="5" spans="1:12" ht="14.25" x14ac:dyDescent="0.2">
      <c r="A5" s="10"/>
      <c r="B5" s="10"/>
      <c r="C5" s="10"/>
      <c r="D5" s="10"/>
      <c r="E5" s="10"/>
      <c r="F5" s="61"/>
      <c r="G5" s="10"/>
      <c r="H5" s="10"/>
      <c r="I5" s="10"/>
      <c r="J5" s="10"/>
      <c r="K5" s="10"/>
      <c r="L5" s="10"/>
    </row>
    <row r="6" spans="1:12" ht="15" x14ac:dyDescent="0.25">
      <c r="A6" s="1" t="s">
        <v>9</v>
      </c>
      <c r="B6" s="10"/>
      <c r="C6" s="10"/>
      <c r="D6" s="10"/>
      <c r="E6" s="10"/>
      <c r="F6" s="61"/>
      <c r="G6" s="10"/>
      <c r="H6" s="10"/>
      <c r="I6" s="10"/>
      <c r="J6" s="10"/>
      <c r="K6" s="10"/>
      <c r="L6" s="10"/>
    </row>
    <row r="7" spans="1:12" ht="15" x14ac:dyDescent="0.25">
      <c r="A7" s="1"/>
      <c r="B7" s="68" t="s">
        <v>86</v>
      </c>
      <c r="C7" s="10"/>
      <c r="D7" s="66"/>
      <c r="E7" s="11">
        <v>7.4</v>
      </c>
      <c r="F7" s="62"/>
      <c r="G7" s="11"/>
      <c r="H7" s="11">
        <v>1.4</v>
      </c>
      <c r="I7" s="11"/>
      <c r="J7" s="11">
        <v>0.4</v>
      </c>
      <c r="K7" s="11"/>
      <c r="L7" s="11">
        <f>+J7-H7</f>
        <v>-0.99999999999999989</v>
      </c>
    </row>
    <row r="8" spans="1:12" ht="15" x14ac:dyDescent="0.25">
      <c r="A8" s="1"/>
      <c r="B8" s="69" t="s">
        <v>90</v>
      </c>
      <c r="C8" s="10"/>
      <c r="D8" s="66"/>
      <c r="E8" s="11">
        <v>1.3</v>
      </c>
      <c r="F8" s="62"/>
      <c r="G8" s="11"/>
      <c r="H8" s="11">
        <v>1.9</v>
      </c>
      <c r="I8" s="11"/>
      <c r="J8" s="11">
        <v>1.7</v>
      </c>
      <c r="K8" s="11"/>
      <c r="L8" s="11">
        <f t="shared" ref="L8:L33" si="0">+J8-H8</f>
        <v>-0.19999999999999996</v>
      </c>
    </row>
    <row r="9" spans="1:12" ht="15" x14ac:dyDescent="0.25">
      <c r="A9" s="1"/>
      <c r="B9" s="69" t="s">
        <v>91</v>
      </c>
      <c r="C9" s="10"/>
      <c r="D9" s="67"/>
      <c r="E9" s="11">
        <v>1.3</v>
      </c>
      <c r="F9" s="62"/>
      <c r="G9" s="11"/>
      <c r="H9" s="11">
        <v>1.2</v>
      </c>
      <c r="I9" s="11"/>
      <c r="J9" s="11">
        <v>0.6</v>
      </c>
      <c r="K9" s="11"/>
      <c r="L9" s="11">
        <f t="shared" si="0"/>
        <v>-0.6</v>
      </c>
    </row>
    <row r="10" spans="1:12" ht="15" x14ac:dyDescent="0.25">
      <c r="A10" s="1"/>
      <c r="B10" s="69" t="s">
        <v>88</v>
      </c>
      <c r="C10" s="10"/>
      <c r="D10" s="66"/>
      <c r="E10" s="11">
        <v>1.4</v>
      </c>
      <c r="F10" s="62"/>
      <c r="G10" s="11"/>
      <c r="H10" s="11">
        <v>0</v>
      </c>
      <c r="I10" s="11"/>
      <c r="J10" s="11">
        <v>-5.5</v>
      </c>
      <c r="K10" s="11"/>
      <c r="L10" s="11">
        <f t="shared" si="0"/>
        <v>-5.5</v>
      </c>
    </row>
    <row r="11" spans="1:12" ht="15" x14ac:dyDescent="0.25">
      <c r="A11" s="1"/>
      <c r="B11" s="68" t="s">
        <v>87</v>
      </c>
      <c r="C11" s="10"/>
      <c r="D11" s="66"/>
      <c r="E11" s="11">
        <v>0.1</v>
      </c>
      <c r="F11" s="62"/>
      <c r="G11" s="11"/>
      <c r="H11" s="11">
        <v>0</v>
      </c>
      <c r="I11" s="11"/>
      <c r="J11" s="11">
        <v>-4</v>
      </c>
      <c r="K11" s="11"/>
      <c r="L11" s="11">
        <f t="shared" si="0"/>
        <v>-4</v>
      </c>
    </row>
    <row r="12" spans="1:12" ht="14.25" x14ac:dyDescent="0.2">
      <c r="A12" s="10"/>
      <c r="B12" s="10" t="s">
        <v>94</v>
      </c>
      <c r="C12" s="10"/>
      <c r="D12" s="67"/>
      <c r="E12" s="11">
        <v>0.8</v>
      </c>
      <c r="F12" s="62"/>
      <c r="G12" s="11"/>
      <c r="H12" s="11">
        <v>2.2999999999999998</v>
      </c>
      <c r="I12" s="11"/>
      <c r="J12" s="11">
        <v>2.7</v>
      </c>
      <c r="K12" s="11"/>
      <c r="L12" s="11">
        <f t="shared" si="0"/>
        <v>0.40000000000000036</v>
      </c>
    </row>
    <row r="13" spans="1:12" ht="14.25" x14ac:dyDescent="0.2">
      <c r="A13" s="10"/>
      <c r="B13" s="69" t="s">
        <v>89</v>
      </c>
      <c r="C13" s="10"/>
      <c r="D13" s="66"/>
      <c r="E13" s="11">
        <v>0.1</v>
      </c>
      <c r="F13" s="62"/>
      <c r="G13" s="11"/>
      <c r="H13" s="11">
        <v>-6.5</v>
      </c>
      <c r="I13" s="11"/>
      <c r="J13" s="11">
        <v>-6.9</v>
      </c>
      <c r="K13" s="11"/>
      <c r="L13" s="11">
        <f t="shared" si="0"/>
        <v>-0.40000000000000036</v>
      </c>
    </row>
    <row r="14" spans="1:12" ht="14.25" x14ac:dyDescent="0.2">
      <c r="A14" s="10"/>
      <c r="B14" s="69" t="s">
        <v>92</v>
      </c>
      <c r="C14" s="10"/>
      <c r="D14" s="67"/>
      <c r="E14" s="11">
        <v>1.5</v>
      </c>
      <c r="F14" s="62"/>
      <c r="G14" s="11"/>
      <c r="H14" s="11">
        <v>1.3</v>
      </c>
      <c r="I14" s="11"/>
      <c r="J14" s="11">
        <v>1.5</v>
      </c>
      <c r="K14" s="11"/>
      <c r="L14" s="11">
        <f t="shared" si="0"/>
        <v>0.19999999999999996</v>
      </c>
    </row>
    <row r="15" spans="1:12" ht="14.25" x14ac:dyDescent="0.2">
      <c r="A15" s="10"/>
      <c r="B15" s="69" t="s">
        <v>93</v>
      </c>
      <c r="C15" s="10"/>
      <c r="D15" s="67"/>
      <c r="E15" s="11">
        <v>0.6</v>
      </c>
      <c r="F15" s="62"/>
      <c r="G15" s="11"/>
      <c r="H15" s="11">
        <v>1.1000000000000001</v>
      </c>
      <c r="I15" s="11"/>
      <c r="J15" s="11">
        <v>1.3</v>
      </c>
      <c r="K15" s="11"/>
      <c r="L15" s="11">
        <f t="shared" si="0"/>
        <v>0.19999999999999996</v>
      </c>
    </row>
    <row r="16" spans="1:12" ht="14.25" hidden="1" x14ac:dyDescent="0.2">
      <c r="A16" s="10"/>
      <c r="B16" s="10" t="s">
        <v>97</v>
      </c>
      <c r="C16" s="10"/>
      <c r="D16" s="10"/>
      <c r="E16" s="11">
        <v>0</v>
      </c>
      <c r="F16" s="62"/>
      <c r="G16" s="11"/>
      <c r="H16" s="11"/>
      <c r="I16" s="11"/>
      <c r="J16" s="11">
        <v>0</v>
      </c>
      <c r="K16" s="11"/>
      <c r="L16" s="11">
        <f t="shared" si="0"/>
        <v>0</v>
      </c>
    </row>
    <row r="17" spans="1:12" ht="14.25" x14ac:dyDescent="0.2">
      <c r="A17" s="10"/>
      <c r="B17" s="10" t="s">
        <v>120</v>
      </c>
      <c r="C17" s="10"/>
      <c r="D17" s="10"/>
      <c r="E17" s="11">
        <v>3.8</v>
      </c>
      <c r="F17" s="62"/>
      <c r="G17" s="11"/>
      <c r="H17" s="11">
        <v>1.4</v>
      </c>
      <c r="I17" s="11"/>
      <c r="J17" s="11">
        <v>1.3</v>
      </c>
      <c r="K17" s="11"/>
      <c r="L17" s="11">
        <f t="shared" si="0"/>
        <v>-9.9999999999999867E-2</v>
      </c>
    </row>
    <row r="18" spans="1:12" ht="14.25" x14ac:dyDescent="0.2">
      <c r="A18" s="10"/>
      <c r="B18" s="10" t="s">
        <v>119</v>
      </c>
      <c r="C18" s="10"/>
      <c r="D18" s="10"/>
      <c r="E18" s="11">
        <v>4.7</v>
      </c>
      <c r="F18" s="62"/>
      <c r="G18" s="11"/>
      <c r="H18" s="11">
        <v>0</v>
      </c>
      <c r="I18" s="11"/>
      <c r="J18" s="11">
        <v>0</v>
      </c>
      <c r="K18" s="11"/>
      <c r="L18" s="11">
        <f t="shared" si="0"/>
        <v>0</v>
      </c>
    </row>
    <row r="19" spans="1:12" ht="14.25" x14ac:dyDescent="0.2">
      <c r="A19" s="10"/>
      <c r="B19" s="10" t="s">
        <v>121</v>
      </c>
      <c r="C19" s="10"/>
      <c r="D19" s="10"/>
      <c r="E19" s="11">
        <v>0.9</v>
      </c>
      <c r="F19" s="62"/>
      <c r="G19" s="11"/>
      <c r="H19" s="11">
        <v>0</v>
      </c>
      <c r="I19" s="11"/>
      <c r="J19" s="11">
        <v>0</v>
      </c>
      <c r="K19" s="11"/>
      <c r="L19" s="11">
        <f t="shared" si="0"/>
        <v>0</v>
      </c>
    </row>
    <row r="20" spans="1:12" ht="14.25" x14ac:dyDescent="0.2">
      <c r="A20" s="10"/>
      <c r="B20" s="69" t="s">
        <v>96</v>
      </c>
      <c r="C20" s="10"/>
      <c r="D20" s="67"/>
      <c r="E20" s="11">
        <v>0</v>
      </c>
      <c r="F20" s="62"/>
      <c r="G20" s="11"/>
      <c r="H20" s="11">
        <v>5.3</v>
      </c>
      <c r="I20" s="11"/>
      <c r="J20" s="11">
        <v>4.3</v>
      </c>
      <c r="K20" s="11"/>
      <c r="L20" s="11">
        <f t="shared" si="0"/>
        <v>-1</v>
      </c>
    </row>
    <row r="21" spans="1:12" ht="14.25" x14ac:dyDescent="0.2">
      <c r="A21" s="10"/>
      <c r="B21" s="69" t="s">
        <v>95</v>
      </c>
      <c r="C21" s="10"/>
      <c r="D21" s="67"/>
      <c r="E21" s="11">
        <v>0</v>
      </c>
      <c r="F21" s="62"/>
      <c r="G21" s="11"/>
      <c r="H21" s="11">
        <v>5.2</v>
      </c>
      <c r="I21" s="11"/>
      <c r="J21" s="11">
        <v>5.6</v>
      </c>
      <c r="K21" s="11"/>
      <c r="L21" s="11">
        <f t="shared" si="0"/>
        <v>0.39999999999999947</v>
      </c>
    </row>
    <row r="22" spans="1:12" ht="14.25" x14ac:dyDescent="0.2">
      <c r="A22" s="10"/>
      <c r="B22" s="10" t="s">
        <v>117</v>
      </c>
      <c r="C22" s="10"/>
      <c r="D22" s="10"/>
      <c r="E22" s="11">
        <v>0.7</v>
      </c>
      <c r="F22" s="62"/>
      <c r="G22" s="11"/>
      <c r="H22" s="11">
        <v>2.8</v>
      </c>
      <c r="I22" s="11"/>
      <c r="J22" s="11">
        <v>2.8</v>
      </c>
      <c r="K22" s="11"/>
      <c r="L22" s="11">
        <f t="shared" si="0"/>
        <v>0</v>
      </c>
    </row>
    <row r="23" spans="1:12" ht="14.25" x14ac:dyDescent="0.2">
      <c r="A23" s="10"/>
      <c r="B23" s="10" t="s">
        <v>31</v>
      </c>
      <c r="C23" s="10"/>
      <c r="D23" s="10"/>
      <c r="E23" s="12">
        <f>0.8+1.1+0.7+0.2+2.7</f>
        <v>5.5</v>
      </c>
      <c r="F23" s="76"/>
      <c r="G23" s="12"/>
      <c r="H23" s="12">
        <v>-1.5</v>
      </c>
      <c r="I23" s="12"/>
      <c r="J23" s="12">
        <f>-1.2+0.6+0.4+0.8</f>
        <v>0.60000000000000009</v>
      </c>
      <c r="K23" s="12"/>
      <c r="L23" s="12">
        <f t="shared" si="0"/>
        <v>2.1</v>
      </c>
    </row>
    <row r="24" spans="1:12" ht="14.25" x14ac:dyDescent="0.2">
      <c r="A24" s="10"/>
      <c r="B24" s="10"/>
      <c r="C24" s="10"/>
      <c r="D24" s="10"/>
      <c r="E24" s="11"/>
      <c r="F24" s="62"/>
      <c r="G24" s="11"/>
      <c r="H24" s="11"/>
      <c r="I24" s="11"/>
      <c r="J24" s="11"/>
      <c r="K24" s="11"/>
      <c r="L24" s="11"/>
    </row>
    <row r="25" spans="1:12" ht="14.25" x14ac:dyDescent="0.2">
      <c r="A25" s="10"/>
      <c r="B25" s="10" t="s">
        <v>99</v>
      </c>
      <c r="C25" s="10"/>
      <c r="D25" s="10"/>
      <c r="E25" s="11">
        <f>SUM(E7:E24)</f>
        <v>30.099999999999998</v>
      </c>
      <c r="F25" s="62"/>
      <c r="G25" s="11"/>
      <c r="H25" s="11">
        <f>SUM(H7:H24)</f>
        <v>15.899999999999999</v>
      </c>
      <c r="I25" s="11"/>
      <c r="J25" s="11">
        <f>SUM(J7:J24)</f>
        <v>6.4</v>
      </c>
      <c r="K25" s="11"/>
      <c r="L25" s="11">
        <f t="shared" si="0"/>
        <v>-9.4999999999999982</v>
      </c>
    </row>
    <row r="26" spans="1:12" ht="14.25" x14ac:dyDescent="0.2">
      <c r="A26" s="10"/>
      <c r="B26" s="10"/>
      <c r="C26" s="10"/>
      <c r="D26" s="10"/>
      <c r="E26" s="11"/>
      <c r="F26" s="62"/>
      <c r="G26" s="11"/>
      <c r="H26" s="11"/>
      <c r="I26" s="11"/>
      <c r="J26" s="11"/>
      <c r="K26" s="11"/>
      <c r="L26" s="11"/>
    </row>
    <row r="27" spans="1:12" ht="15" x14ac:dyDescent="0.25">
      <c r="A27" s="1" t="s">
        <v>18</v>
      </c>
      <c r="B27" s="10"/>
      <c r="C27" s="10"/>
      <c r="D27" s="10"/>
      <c r="E27" s="11">
        <f>-4.2+0.6</f>
        <v>-3.6</v>
      </c>
      <c r="F27" s="62"/>
      <c r="G27" s="11"/>
      <c r="H27" s="11">
        <v>-7.2</v>
      </c>
      <c r="I27" s="11"/>
      <c r="J27" s="11">
        <v>-7.2</v>
      </c>
      <c r="K27" s="11"/>
      <c r="L27" s="11">
        <f t="shared" si="0"/>
        <v>0</v>
      </c>
    </row>
    <row r="28" spans="1:12" ht="15" x14ac:dyDescent="0.25">
      <c r="A28" s="1"/>
      <c r="B28" s="10"/>
      <c r="C28" s="10"/>
      <c r="D28" s="10"/>
      <c r="E28" s="11"/>
      <c r="F28" s="62"/>
      <c r="G28" s="11"/>
      <c r="H28" s="11"/>
      <c r="I28" s="11"/>
      <c r="J28" s="11"/>
      <c r="K28" s="11"/>
      <c r="L28" s="11"/>
    </row>
    <row r="29" spans="1:12" ht="15" x14ac:dyDescent="0.25">
      <c r="A29" s="1" t="s">
        <v>19</v>
      </c>
      <c r="B29" s="10"/>
      <c r="C29" s="10"/>
      <c r="D29" s="10"/>
      <c r="E29" s="11">
        <v>-1.6</v>
      </c>
      <c r="F29" s="62"/>
      <c r="G29" s="11"/>
      <c r="H29" s="11">
        <v>-2.5</v>
      </c>
      <c r="I29" s="11"/>
      <c r="J29" s="11">
        <v>-2.5</v>
      </c>
      <c r="K29" s="11"/>
      <c r="L29" s="11">
        <f t="shared" si="0"/>
        <v>0</v>
      </c>
    </row>
    <row r="30" spans="1:12" ht="15" x14ac:dyDescent="0.25">
      <c r="A30" s="1"/>
      <c r="B30" s="10"/>
      <c r="C30" s="10"/>
      <c r="D30" s="10"/>
      <c r="E30" s="11"/>
      <c r="F30" s="62"/>
      <c r="G30" s="11"/>
      <c r="H30" s="11"/>
      <c r="I30" s="11"/>
      <c r="J30" s="11"/>
      <c r="K30" s="11"/>
      <c r="L30" s="11"/>
    </row>
    <row r="31" spans="1:12" ht="15" x14ac:dyDescent="0.25">
      <c r="A31" s="1" t="s">
        <v>113</v>
      </c>
      <c r="B31" s="10"/>
      <c r="C31" s="10"/>
      <c r="D31" s="10"/>
      <c r="E31" s="12">
        <v>-0.1</v>
      </c>
      <c r="F31" s="76"/>
      <c r="G31" s="12"/>
      <c r="H31" s="12">
        <v>-0.1</v>
      </c>
      <c r="I31" s="12"/>
      <c r="J31" s="12">
        <v>-0.1</v>
      </c>
      <c r="K31" s="12"/>
      <c r="L31" s="12">
        <f t="shared" si="0"/>
        <v>0</v>
      </c>
    </row>
    <row r="32" spans="1:12" x14ac:dyDescent="0.2">
      <c r="E32" s="3"/>
      <c r="F32" s="63"/>
      <c r="G32" s="3"/>
      <c r="H32" s="3"/>
      <c r="I32" s="3"/>
      <c r="J32" s="3"/>
      <c r="K32" s="3"/>
      <c r="L32" s="3"/>
    </row>
    <row r="33" spans="1:12" ht="16.5" thickBot="1" x14ac:dyDescent="0.3">
      <c r="A33" s="5" t="s">
        <v>98</v>
      </c>
      <c r="B33" s="6"/>
      <c r="C33" s="6"/>
      <c r="D33" s="6"/>
      <c r="E33" s="9">
        <f>SUM(E7:E32)-E25</f>
        <v>24.799999999999994</v>
      </c>
      <c r="F33" s="90"/>
      <c r="G33" s="9"/>
      <c r="H33" s="9">
        <f>SUM(H25:H32)</f>
        <v>6.1</v>
      </c>
      <c r="I33" s="9"/>
      <c r="J33" s="9">
        <f>SUM(J7:J32)-J25</f>
        <v>-3.4</v>
      </c>
      <c r="K33" s="9"/>
      <c r="L33" s="9">
        <f t="shared" si="0"/>
        <v>-9.5</v>
      </c>
    </row>
    <row r="34" spans="1:12" ht="13.5" thickTop="1" x14ac:dyDescent="0.2"/>
  </sheetData>
  <phoneticPr fontId="0" type="noConversion"/>
  <printOptions horizontalCentered="1"/>
  <pageMargins left="0.75" right="0.75" top="1.5" bottom="0.25" header="0.5" footer="0.25"/>
  <pageSetup firstPageNumber="3" orientation="landscape" useFirstPageNumber="1" r:id="rId1"/>
  <headerFooter alignWithMargins="0">
    <oddHeader>&amp;C&amp;"Arial,Bold"&amp;16NEPCO
4Q Plan vs. 4Q Forecast&amp;14
(millions)</oddHeader>
    <oddFooter>&amp;C&amp;P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opLeftCell="A24" workbookViewId="0">
      <selection activeCell="K33" sqref="K33"/>
    </sheetView>
  </sheetViews>
  <sheetFormatPr defaultRowHeight="12.75" x14ac:dyDescent="0.2"/>
  <cols>
    <col min="6" max="6" width="9.140625" style="15"/>
    <col min="7" max="7" width="10.85546875" style="15" bestFit="1" customWidth="1"/>
    <col min="8" max="8" width="3.140625" style="15" hidden="1" customWidth="1"/>
    <col min="9" max="9" width="12.140625" hidden="1" customWidth="1"/>
    <col min="10" max="10" width="2.7109375" customWidth="1"/>
    <col min="12" max="12" width="2.5703125" customWidth="1"/>
    <col min="13" max="13" width="12.28515625" customWidth="1"/>
  </cols>
  <sheetData>
    <row r="1" spans="1:13" ht="15.75" x14ac:dyDescent="0.25">
      <c r="A1" s="19"/>
      <c r="G1" s="20"/>
      <c r="I1" s="20" t="s">
        <v>39</v>
      </c>
    </row>
    <row r="2" spans="1:13" ht="15.75" x14ac:dyDescent="0.25">
      <c r="G2" s="13" t="s">
        <v>11</v>
      </c>
      <c r="I2" s="13" t="s">
        <v>40</v>
      </c>
      <c r="J2" s="16"/>
      <c r="K2" s="13" t="s">
        <v>41</v>
      </c>
      <c r="L2" s="16"/>
      <c r="M2" s="13" t="s">
        <v>42</v>
      </c>
    </row>
    <row r="3" spans="1:13" x14ac:dyDescent="0.2">
      <c r="G3"/>
    </row>
    <row r="4" spans="1:13" ht="15.75" x14ac:dyDescent="0.25">
      <c r="A4" s="5" t="s">
        <v>43</v>
      </c>
      <c r="B4" s="5"/>
      <c r="C4" s="5"/>
      <c r="D4" s="5"/>
      <c r="E4" s="5"/>
      <c r="F4" s="21" t="s">
        <v>44</v>
      </c>
      <c r="G4" s="7">
        <v>11</v>
      </c>
      <c r="H4" s="21"/>
      <c r="I4" s="7">
        <v>11</v>
      </c>
      <c r="J4" s="3"/>
      <c r="K4" s="7">
        <v>11</v>
      </c>
      <c r="M4" s="7">
        <v>11</v>
      </c>
    </row>
    <row r="5" spans="1:13" x14ac:dyDescent="0.2">
      <c r="E5" s="3"/>
      <c r="F5" s="22"/>
      <c r="G5" s="3"/>
      <c r="H5" s="22"/>
      <c r="I5" s="3"/>
      <c r="J5" s="3"/>
      <c r="K5" s="3"/>
    </row>
    <row r="6" spans="1:13" x14ac:dyDescent="0.2">
      <c r="A6" t="s">
        <v>0</v>
      </c>
      <c r="E6" s="3"/>
      <c r="F6" s="22"/>
      <c r="G6" s="3"/>
      <c r="H6" s="22"/>
      <c r="I6" s="3"/>
      <c r="J6" s="3"/>
      <c r="K6" s="3"/>
    </row>
    <row r="7" spans="1:13" x14ac:dyDescent="0.2">
      <c r="F7" s="22"/>
      <c r="G7" s="23"/>
      <c r="H7" s="22"/>
      <c r="I7" s="23"/>
      <c r="J7" s="3"/>
      <c r="K7" s="23"/>
      <c r="M7" s="23"/>
    </row>
    <row r="8" spans="1:13" x14ac:dyDescent="0.2">
      <c r="B8" t="s">
        <v>45</v>
      </c>
      <c r="E8" s="23"/>
      <c r="F8" s="22"/>
      <c r="G8" s="3">
        <v>-23</v>
      </c>
      <c r="H8" s="22"/>
      <c r="I8" s="3">
        <v>-28</v>
      </c>
      <c r="J8" s="3"/>
      <c r="K8" s="3">
        <v>-9</v>
      </c>
      <c r="M8" s="3">
        <v>-28</v>
      </c>
    </row>
    <row r="9" spans="1:13" x14ac:dyDescent="0.2">
      <c r="B9" t="s">
        <v>46</v>
      </c>
      <c r="E9" s="3"/>
      <c r="F9" s="22"/>
      <c r="G9" s="3">
        <v>-5.4</v>
      </c>
      <c r="H9" s="22"/>
      <c r="I9" s="3">
        <v>-5.8</v>
      </c>
      <c r="J9" s="3"/>
      <c r="K9" s="3">
        <v>0</v>
      </c>
      <c r="M9" s="3">
        <v>-9.4</v>
      </c>
    </row>
    <row r="10" spans="1:13" x14ac:dyDescent="0.2">
      <c r="B10" t="s">
        <v>52</v>
      </c>
      <c r="E10" s="23"/>
      <c r="F10" s="22"/>
      <c r="G10" s="23">
        <v>-4</v>
      </c>
      <c r="H10" s="22"/>
      <c r="I10" s="23"/>
      <c r="J10" s="23"/>
      <c r="K10" s="23">
        <v>-4</v>
      </c>
      <c r="L10" s="18"/>
      <c r="M10" s="23">
        <v>-4</v>
      </c>
    </row>
    <row r="11" spans="1:13" x14ac:dyDescent="0.2">
      <c r="B11" t="s">
        <v>47</v>
      </c>
      <c r="E11" s="3"/>
      <c r="F11" s="22"/>
      <c r="G11" s="3">
        <v>-2.145</v>
      </c>
      <c r="H11" s="22"/>
      <c r="I11" s="3">
        <v>-2.145</v>
      </c>
      <c r="J11" s="3"/>
      <c r="K11" s="3">
        <v>-2.1</v>
      </c>
      <c r="M11" s="3">
        <v>-7.7</v>
      </c>
    </row>
    <row r="12" spans="1:13" x14ac:dyDescent="0.2">
      <c r="A12" s="24" t="s">
        <v>48</v>
      </c>
      <c r="B12" t="s">
        <v>49</v>
      </c>
      <c r="E12" s="3"/>
      <c r="F12" s="25"/>
      <c r="G12" s="3">
        <f>-5.3-2.2</f>
        <v>-7.5</v>
      </c>
      <c r="H12" s="25"/>
      <c r="I12" s="3">
        <v>-5.3</v>
      </c>
      <c r="J12" s="26"/>
      <c r="K12" s="3">
        <v>-7.5</v>
      </c>
      <c r="M12" s="3">
        <f>-4.8-0.5</f>
        <v>-5.3</v>
      </c>
    </row>
    <row r="13" spans="1:13" x14ac:dyDescent="0.2">
      <c r="B13" t="s">
        <v>51</v>
      </c>
      <c r="E13" s="23"/>
      <c r="F13" s="22"/>
      <c r="G13" s="23">
        <f>-2.2+0.7-0.2+0.7</f>
        <v>-1.0000000000000002</v>
      </c>
      <c r="H13" s="27"/>
      <c r="I13" s="23">
        <v>-2.2000000000000002</v>
      </c>
      <c r="J13" s="23"/>
      <c r="K13" s="23">
        <f>-2.2+0.7-0.2+0.7</f>
        <v>-1.0000000000000002</v>
      </c>
      <c r="L13" s="18"/>
      <c r="M13" s="23">
        <v>-1.7</v>
      </c>
    </row>
    <row r="14" spans="1:13" x14ac:dyDescent="0.2">
      <c r="B14" t="s">
        <v>50</v>
      </c>
      <c r="E14" s="3"/>
      <c r="F14" s="22"/>
      <c r="G14" s="3">
        <v>-0.5</v>
      </c>
      <c r="H14" s="22"/>
      <c r="I14" s="3">
        <v>-3.3</v>
      </c>
      <c r="J14" s="3"/>
      <c r="K14" s="3">
        <v>-0.5</v>
      </c>
      <c r="M14" s="3">
        <v>-3.3</v>
      </c>
    </row>
    <row r="15" spans="1:13" x14ac:dyDescent="0.2">
      <c r="B15" t="s">
        <v>31</v>
      </c>
      <c r="E15" s="23"/>
      <c r="F15" s="22"/>
      <c r="G15" s="23">
        <v>-0.3</v>
      </c>
      <c r="H15" s="22"/>
      <c r="I15" s="23"/>
      <c r="J15" s="23"/>
      <c r="K15" s="23">
        <v>-0.3</v>
      </c>
      <c r="L15" s="18"/>
      <c r="M15" s="23">
        <v>-0.3</v>
      </c>
    </row>
    <row r="16" spans="1:13" x14ac:dyDescent="0.2">
      <c r="B16" t="s">
        <v>62</v>
      </c>
      <c r="E16" s="23"/>
      <c r="F16" s="22"/>
      <c r="G16" s="4">
        <v>20</v>
      </c>
      <c r="H16" s="22"/>
      <c r="I16" s="23"/>
      <c r="J16" s="23"/>
      <c r="K16" s="4">
        <v>20</v>
      </c>
      <c r="L16" s="18"/>
      <c r="M16" s="4">
        <v>20</v>
      </c>
    </row>
    <row r="17" spans="1:13" x14ac:dyDescent="0.2">
      <c r="G17" s="28">
        <f>SUM(G8:G16)</f>
        <v>-23.844999999999999</v>
      </c>
      <c r="I17" s="28">
        <f>SUM(I8:I13)</f>
        <v>-43.445</v>
      </c>
      <c r="J17" s="3"/>
      <c r="K17" s="3">
        <f>SUM(K8:K16)</f>
        <v>-4.4000000000000021</v>
      </c>
      <c r="M17" s="28">
        <f>SUM(M8:M16)</f>
        <v>-39.699999999999996</v>
      </c>
    </row>
    <row r="18" spans="1:13" x14ac:dyDescent="0.2">
      <c r="G18" s="28"/>
      <c r="I18" s="28"/>
      <c r="J18" s="3"/>
      <c r="K18" s="3"/>
      <c r="M18" s="28"/>
    </row>
    <row r="19" spans="1:13" x14ac:dyDescent="0.2">
      <c r="A19" t="s">
        <v>14</v>
      </c>
      <c r="F19" s="22"/>
      <c r="G19" s="3">
        <v>0</v>
      </c>
      <c r="H19" s="22"/>
      <c r="I19" s="3">
        <v>-21.5</v>
      </c>
      <c r="J19" s="3"/>
      <c r="K19" s="3">
        <v>0</v>
      </c>
      <c r="M19" s="3">
        <v>-21.5</v>
      </c>
    </row>
    <row r="20" spans="1:13" x14ac:dyDescent="0.2">
      <c r="G20"/>
      <c r="J20" s="3"/>
      <c r="K20" s="3"/>
    </row>
    <row r="21" spans="1:13" x14ac:dyDescent="0.2">
      <c r="A21" t="s">
        <v>56</v>
      </c>
      <c r="F21" s="22"/>
      <c r="G21" s="3">
        <v>0</v>
      </c>
      <c r="H21" s="22"/>
      <c r="I21" s="3">
        <v>0</v>
      </c>
      <c r="J21" s="3"/>
      <c r="K21" s="30">
        <v>18</v>
      </c>
      <c r="M21" s="3">
        <v>0</v>
      </c>
    </row>
    <row r="22" spans="1:13" x14ac:dyDescent="0.2">
      <c r="G22"/>
      <c r="J22" s="3"/>
      <c r="K22" s="3"/>
    </row>
    <row r="23" spans="1:13" ht="15.75" x14ac:dyDescent="0.25">
      <c r="A23" t="s">
        <v>57</v>
      </c>
      <c r="F23" s="21"/>
      <c r="G23" s="3">
        <v>2.8</v>
      </c>
      <c r="H23" s="21"/>
      <c r="I23" s="3">
        <v>0</v>
      </c>
      <c r="J23" s="3"/>
      <c r="K23" s="30">
        <v>12.3</v>
      </c>
      <c r="M23" s="2">
        <v>0</v>
      </c>
    </row>
    <row r="24" spans="1:13" x14ac:dyDescent="0.2">
      <c r="G24"/>
      <c r="J24" s="3"/>
      <c r="K24" s="3"/>
    </row>
    <row r="25" spans="1:13" x14ac:dyDescent="0.2">
      <c r="A25" t="s">
        <v>17</v>
      </c>
      <c r="F25" s="22"/>
      <c r="G25" s="3">
        <f>-2.3-1.5</f>
        <v>-3.8</v>
      </c>
      <c r="H25" s="22"/>
      <c r="I25" s="3">
        <v>-8.5</v>
      </c>
      <c r="J25" s="3"/>
      <c r="K25" s="3">
        <f>-2.3-1.5</f>
        <v>-3.8</v>
      </c>
      <c r="M25" s="3">
        <f>-10.9+1.7</f>
        <v>-9.2000000000000011</v>
      </c>
    </row>
    <row r="26" spans="1:13" x14ac:dyDescent="0.2">
      <c r="F26" s="22"/>
      <c r="G26" s="3"/>
      <c r="H26" s="22"/>
      <c r="I26" s="3"/>
      <c r="J26" s="3"/>
      <c r="K26" s="3"/>
    </row>
    <row r="27" spans="1:13" x14ac:dyDescent="0.2">
      <c r="A27" t="s">
        <v>53</v>
      </c>
      <c r="F27" s="22"/>
      <c r="G27"/>
      <c r="H27" s="22"/>
    </row>
    <row r="28" spans="1:13" x14ac:dyDescent="0.2">
      <c r="B28" t="s">
        <v>67</v>
      </c>
      <c r="F28" s="22"/>
      <c r="G28" s="3">
        <f>-7.4-6.9</f>
        <v>-14.3</v>
      </c>
      <c r="H28" s="22"/>
      <c r="I28" s="3">
        <v>-7.4</v>
      </c>
      <c r="J28" s="3"/>
      <c r="K28" s="3">
        <v>-5</v>
      </c>
      <c r="M28" s="3">
        <f>-7.4-6.9</f>
        <v>-14.3</v>
      </c>
    </row>
    <row r="29" spans="1:13" x14ac:dyDescent="0.2">
      <c r="B29" t="s">
        <v>54</v>
      </c>
      <c r="F29" s="22"/>
      <c r="G29" s="3">
        <v>-7.8</v>
      </c>
      <c r="H29" s="22"/>
      <c r="I29" s="3"/>
      <c r="J29" s="3"/>
      <c r="K29" s="3"/>
      <c r="M29" s="3">
        <v>-7.8</v>
      </c>
    </row>
    <row r="30" spans="1:13" x14ac:dyDescent="0.2">
      <c r="F30" s="22"/>
      <c r="G30" s="3"/>
      <c r="H30" s="22"/>
      <c r="I30" s="3"/>
      <c r="J30" s="3"/>
      <c r="K30" s="3"/>
    </row>
    <row r="31" spans="1:13" x14ac:dyDescent="0.2">
      <c r="A31" t="s">
        <v>55</v>
      </c>
      <c r="F31" s="22"/>
      <c r="G31" s="23">
        <f>-4.5+1.6+0.3-0.8</f>
        <v>-3.4000000000000004</v>
      </c>
      <c r="H31" s="22"/>
      <c r="I31" s="23">
        <v>-3.5</v>
      </c>
      <c r="J31" s="23"/>
      <c r="K31" s="29">
        <f>-4.5+1.6+0.3-0.8</f>
        <v>-3.4000000000000004</v>
      </c>
      <c r="L31" s="18"/>
      <c r="M31" s="29">
        <f>-4.5+1.6+0.3-0.8</f>
        <v>-3.4000000000000004</v>
      </c>
    </row>
    <row r="32" spans="1:13" x14ac:dyDescent="0.2">
      <c r="F32" s="22"/>
      <c r="G32" s="3"/>
      <c r="H32" s="22"/>
      <c r="I32" s="3"/>
      <c r="J32" s="3"/>
      <c r="K32" s="3"/>
    </row>
    <row r="33" spans="1:13" x14ac:dyDescent="0.2">
      <c r="A33" t="s">
        <v>20</v>
      </c>
      <c r="G33" s="31">
        <v>2.2999999999999998</v>
      </c>
      <c r="K33" s="3">
        <v>2.2999999999999998</v>
      </c>
      <c r="M33">
        <v>2.2999999999999998</v>
      </c>
    </row>
    <row r="34" spans="1:13" x14ac:dyDescent="0.2">
      <c r="F34" s="22"/>
      <c r="G34" s="3"/>
      <c r="H34" s="22"/>
      <c r="I34" s="3"/>
      <c r="J34" s="3"/>
      <c r="K34" s="3"/>
    </row>
    <row r="35" spans="1:13" x14ac:dyDescent="0.2">
      <c r="A35" t="s">
        <v>58</v>
      </c>
      <c r="F35" s="22"/>
      <c r="G35" s="3">
        <v>0</v>
      </c>
      <c r="H35" s="22"/>
      <c r="I35" s="3">
        <v>0</v>
      </c>
      <c r="J35" s="3"/>
      <c r="K35" s="3">
        <v>4</v>
      </c>
      <c r="M35" s="2">
        <v>0</v>
      </c>
    </row>
    <row r="36" spans="1:13" x14ac:dyDescent="0.2">
      <c r="F36" s="22"/>
      <c r="G36" s="3"/>
      <c r="H36" s="22"/>
      <c r="I36" s="3"/>
      <c r="J36" s="3"/>
      <c r="K36" s="3"/>
    </row>
    <row r="37" spans="1:13" x14ac:dyDescent="0.2">
      <c r="A37" t="s">
        <v>59</v>
      </c>
      <c r="F37" s="22"/>
      <c r="G37" s="23">
        <v>0</v>
      </c>
      <c r="H37" s="27"/>
      <c r="I37" s="23">
        <v>0</v>
      </c>
      <c r="J37" s="23"/>
      <c r="K37" s="29">
        <v>0</v>
      </c>
      <c r="L37" s="18"/>
      <c r="M37" s="29">
        <v>-16</v>
      </c>
    </row>
    <row r="38" spans="1:13" x14ac:dyDescent="0.2">
      <c r="F38" s="22"/>
      <c r="G38" s="23"/>
      <c r="H38" s="22"/>
      <c r="I38" s="23"/>
      <c r="J38" s="3"/>
      <c r="K38" s="29"/>
      <c r="M38" s="29"/>
    </row>
    <row r="39" spans="1:13" x14ac:dyDescent="0.2">
      <c r="A39" t="s">
        <v>30</v>
      </c>
      <c r="F39" s="22"/>
      <c r="G39" s="4">
        <v>7</v>
      </c>
      <c r="H39" s="22"/>
      <c r="I39" s="23"/>
      <c r="J39" s="3"/>
      <c r="K39" s="32">
        <v>7</v>
      </c>
      <c r="M39" s="32">
        <f>+K39-G39</f>
        <v>0</v>
      </c>
    </row>
    <row r="40" spans="1:13" x14ac:dyDescent="0.2">
      <c r="F40" s="22"/>
      <c r="G40" s="3"/>
      <c r="H40" s="22"/>
      <c r="I40" s="3"/>
      <c r="J40" s="3"/>
      <c r="K40" s="3"/>
    </row>
    <row r="41" spans="1:13" ht="16.5" thickBot="1" x14ac:dyDescent="0.3">
      <c r="A41" s="5" t="s">
        <v>60</v>
      </c>
      <c r="B41" s="5"/>
      <c r="C41" s="5"/>
      <c r="D41" s="5"/>
      <c r="E41" s="5"/>
      <c r="F41" s="21"/>
      <c r="G41" s="9">
        <f>SUM(G17:G40)+G4</f>
        <v>-30.044999999999995</v>
      </c>
      <c r="H41" s="21"/>
      <c r="I41" s="9">
        <f>SUM(I17:I40)+I4</f>
        <v>-73.344999999999999</v>
      </c>
      <c r="J41" s="3"/>
      <c r="K41" s="9">
        <f>SUM(K17:K40)+K4</f>
        <v>38</v>
      </c>
      <c r="M41" s="9">
        <f>SUM(M17:M40)+M4</f>
        <v>-98.6</v>
      </c>
    </row>
    <row r="42" spans="1:13" ht="13.5" thickTop="1" x14ac:dyDescent="0.2">
      <c r="F42" s="22"/>
      <c r="G42" s="22"/>
      <c r="H42" s="22"/>
      <c r="I42" s="3"/>
      <c r="J42" s="3"/>
      <c r="K42" s="3"/>
    </row>
    <row r="43" spans="1:13" x14ac:dyDescent="0.2">
      <c r="A43" t="s">
        <v>61</v>
      </c>
      <c r="F43" s="22"/>
      <c r="G43" s="22"/>
      <c r="H43" s="22"/>
      <c r="I43" s="3"/>
      <c r="J43" s="3"/>
      <c r="K43" s="3"/>
    </row>
    <row r="44" spans="1:13" x14ac:dyDescent="0.2">
      <c r="F44" s="22"/>
      <c r="G44" s="22"/>
      <c r="H44" s="22"/>
      <c r="I44" s="3"/>
      <c r="J44" s="3"/>
      <c r="K44" s="3"/>
    </row>
    <row r="45" spans="1:13" x14ac:dyDescent="0.2">
      <c r="E45" s="3"/>
      <c r="F45" s="22"/>
      <c r="G45" s="22"/>
      <c r="H45" s="22"/>
      <c r="I45" s="3"/>
      <c r="J45" s="3"/>
      <c r="K45" s="3"/>
    </row>
  </sheetData>
  <phoneticPr fontId="0" type="noConversion"/>
  <printOptions horizontalCentered="1"/>
  <pageMargins left="0.5" right="0.5" top="1.25" bottom="0.5" header="0.5" footer="0.5"/>
  <pageSetup scale="86" orientation="landscape" r:id="rId1"/>
  <headerFooter alignWithMargins="0">
    <oddHeader>&amp;C&amp;"Arial,Bold"&amp;16Enron Engineering and Operations Services
Upside/Downside to 1CE&amp;"Arial,Regular"&amp;10
&amp;"Arial,Bold"&amp;14(millions)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Summary</vt:lpstr>
      <vt:lpstr>ty</vt:lpstr>
      <vt:lpstr>qtr summary</vt:lpstr>
      <vt:lpstr>2q vs PSR</vt:lpstr>
      <vt:lpstr>EECC</vt:lpstr>
      <vt:lpstr>NEPCO</vt:lpstr>
      <vt:lpstr>up-down</vt:lpstr>
      <vt:lpstr>'2q vs PSR'!Print_Area</vt:lpstr>
      <vt:lpstr>EECC!Print_Area</vt:lpstr>
      <vt:lpstr>NEPCO!Print_Area</vt:lpstr>
      <vt:lpstr>'qtr summary'!Print_Area</vt:lpstr>
      <vt:lpstr>Summary!Print_Area</vt:lpstr>
      <vt:lpstr>ty!Print_Area</vt:lpstr>
      <vt:lpstr>'up-down'!Print_Area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Copeland</dc:creator>
  <cp:lastModifiedBy>Jan Havlíček</cp:lastModifiedBy>
  <cp:lastPrinted>2001-10-19T18:27:27Z</cp:lastPrinted>
  <dcterms:created xsi:type="dcterms:W3CDTF">2001-04-23T19:53:39Z</dcterms:created>
  <dcterms:modified xsi:type="dcterms:W3CDTF">2023-09-15T19:40:31Z</dcterms:modified>
</cp:coreProperties>
</file>