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480BCB4-6948-4467-ABC6-6CC7A53CBAE5}" xr6:coauthVersionLast="47" xr6:coauthVersionMax="47" xr10:uidLastSave="{00000000-0000-0000-0000-000000000000}"/>
  <bookViews>
    <workbookView xWindow="-120" yWindow="-120" windowWidth="38640" windowHeight="15720"/>
  </bookViews>
  <sheets>
    <sheet name="NET INCOME" sheetId="1" r:id="rId1"/>
    <sheet name="Nonrecurring Adj." sheetId="2" r:id="rId2"/>
  </sheets>
  <definedNames>
    <definedName name="\A">#N/A</definedName>
    <definedName name="\B">#N/A</definedName>
    <definedName name="\C">#REF!</definedName>
    <definedName name="\I">#REF!</definedName>
    <definedName name="\P">#REF!</definedName>
    <definedName name="_1">'NET INCOME'!$A$1:$R$76</definedName>
    <definedName name="_2">#REF!</definedName>
    <definedName name="_3">#REF!</definedName>
    <definedName name="_xlnm.Print_Area" localSheetId="0">'NET INCOME'!$A$1:$AT$74</definedName>
    <definedName name="_xlnm.Print_Area" localSheetId="1">'Nonrecurring Adj.'!$B$1:$AJ$108</definedName>
    <definedName name="Print_Area_MI">#REF!</definedName>
    <definedName name="_xlnm.Print_Titles" localSheetId="0">'NET INCOME'!$1:$4</definedName>
    <definedName name="_YR1992">#N/A</definedName>
    <definedName name="_YR9296">#REF!</definedName>
  </definedNames>
  <calcPr calcId="92512" fullCalcOnLoad="1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P10" i="1"/>
  <c r="AP11" i="1"/>
  <c r="AQ11" i="1"/>
  <c r="X12" i="1"/>
  <c r="J14" i="1"/>
  <c r="J18" i="1"/>
  <c r="L18" i="1"/>
  <c r="N18" i="1"/>
  <c r="R18" i="1"/>
  <c r="T18" i="1"/>
  <c r="V18" i="1"/>
  <c r="X18" i="1"/>
  <c r="Z18" i="1"/>
  <c r="AB18" i="1"/>
  <c r="AD18" i="1"/>
  <c r="AF18" i="1"/>
  <c r="AH18" i="1"/>
  <c r="AJ18" i="1"/>
  <c r="AL18" i="1"/>
  <c r="AN18" i="1"/>
  <c r="AP18" i="1"/>
  <c r="AQ18" i="1"/>
  <c r="AS18" i="1"/>
  <c r="H19" i="1"/>
  <c r="F21" i="1"/>
  <c r="H21" i="1"/>
  <c r="J21" i="1"/>
  <c r="L21" i="1"/>
  <c r="N21" i="1"/>
  <c r="P21" i="1"/>
  <c r="R21" i="1"/>
  <c r="T21" i="1"/>
  <c r="V21" i="1"/>
  <c r="X21" i="1"/>
  <c r="Z21" i="1"/>
  <c r="AB21" i="1"/>
  <c r="AD21" i="1"/>
  <c r="AF21" i="1"/>
  <c r="AH21" i="1"/>
  <c r="AJ21" i="1"/>
  <c r="AL21" i="1"/>
  <c r="AN21" i="1"/>
  <c r="AP21" i="1"/>
  <c r="AQ21" i="1"/>
  <c r="AS21" i="1"/>
  <c r="F22" i="1"/>
  <c r="H22" i="1"/>
  <c r="J22" i="1"/>
  <c r="P22" i="1"/>
  <c r="AD22" i="1"/>
  <c r="AH22" i="1"/>
  <c r="AJ22" i="1"/>
  <c r="AL22" i="1"/>
  <c r="AN22" i="1"/>
  <c r="AP22" i="1"/>
  <c r="AQ22" i="1"/>
  <c r="F24" i="1"/>
  <c r="H24" i="1"/>
  <c r="J24" i="1"/>
  <c r="L24" i="1"/>
  <c r="N24" i="1"/>
  <c r="P24" i="1"/>
  <c r="T24" i="1"/>
  <c r="V24" i="1"/>
  <c r="Z24" i="1"/>
  <c r="AD24" i="1"/>
  <c r="AF24" i="1"/>
  <c r="AH24" i="1"/>
  <c r="AL24" i="1"/>
  <c r="AN24" i="1"/>
  <c r="AP24" i="1"/>
  <c r="AQ24" i="1"/>
  <c r="AS24" i="1"/>
  <c r="P30" i="1"/>
  <c r="AJ30" i="1"/>
  <c r="AN30" i="1"/>
  <c r="F31" i="1"/>
  <c r="H31" i="1"/>
  <c r="J31" i="1"/>
  <c r="L31" i="1"/>
  <c r="N31" i="1"/>
  <c r="P31" i="1"/>
  <c r="R31" i="1"/>
  <c r="T31" i="1"/>
  <c r="V31" i="1"/>
  <c r="X31" i="1"/>
  <c r="Z31" i="1"/>
  <c r="AB31" i="1"/>
  <c r="AD31" i="1"/>
  <c r="AF31" i="1"/>
  <c r="AH31" i="1"/>
  <c r="AJ31" i="1"/>
  <c r="AL31" i="1"/>
  <c r="AN31" i="1"/>
  <c r="AP31" i="1"/>
  <c r="AQ31" i="1"/>
  <c r="AS31" i="1"/>
  <c r="J33" i="1"/>
  <c r="L33" i="1"/>
  <c r="N33" i="1"/>
  <c r="P33" i="1"/>
  <c r="V33" i="1"/>
  <c r="X33" i="1"/>
  <c r="Z33" i="1"/>
  <c r="AD33" i="1"/>
  <c r="AF33" i="1"/>
  <c r="AH33" i="1"/>
  <c r="AJ33" i="1"/>
  <c r="AP33" i="1"/>
  <c r="AQ33" i="1"/>
  <c r="N34" i="1"/>
  <c r="V34" i="1"/>
  <c r="X34" i="1"/>
  <c r="AJ34" i="1"/>
  <c r="J35" i="1"/>
  <c r="L35" i="1"/>
  <c r="N35" i="1"/>
  <c r="R35" i="1"/>
  <c r="T35" i="1"/>
  <c r="V35" i="1"/>
  <c r="X35" i="1"/>
  <c r="Z35" i="1"/>
  <c r="AB35" i="1"/>
  <c r="AD35" i="1"/>
  <c r="AF35" i="1"/>
  <c r="AH35" i="1"/>
  <c r="AJ35" i="1"/>
  <c r="AL35" i="1"/>
  <c r="AN35" i="1"/>
  <c r="AP35" i="1"/>
  <c r="AQ35" i="1"/>
  <c r="AS35" i="1"/>
  <c r="J36" i="1"/>
  <c r="L36" i="1"/>
  <c r="N36" i="1"/>
  <c r="R36" i="1"/>
  <c r="T36" i="1"/>
  <c r="V36" i="1"/>
  <c r="X36" i="1"/>
  <c r="Z36" i="1"/>
  <c r="AB36" i="1"/>
  <c r="AD36" i="1"/>
  <c r="AF36" i="1"/>
  <c r="AH36" i="1"/>
  <c r="AJ36" i="1"/>
  <c r="AL36" i="1"/>
  <c r="AN36" i="1"/>
  <c r="AP36" i="1"/>
  <c r="AQ36" i="1"/>
  <c r="AS36" i="1"/>
  <c r="H38" i="1"/>
  <c r="J42" i="1"/>
  <c r="L42" i="1"/>
  <c r="N42" i="1"/>
  <c r="R42" i="1"/>
  <c r="T42" i="1"/>
  <c r="V42" i="1"/>
  <c r="X42" i="1"/>
  <c r="Z42" i="1"/>
  <c r="AB42" i="1"/>
  <c r="AD42" i="1"/>
  <c r="AF42" i="1"/>
  <c r="AH42" i="1"/>
  <c r="AJ42" i="1"/>
  <c r="AL42" i="1"/>
  <c r="AN42" i="1"/>
  <c r="AP42" i="1"/>
  <c r="AQ42" i="1"/>
  <c r="AS42" i="1"/>
  <c r="X45" i="1"/>
  <c r="L46" i="1"/>
  <c r="J47" i="1"/>
  <c r="L47" i="1"/>
  <c r="N47" i="1"/>
  <c r="R47" i="1"/>
  <c r="T47" i="1"/>
  <c r="V47" i="1"/>
  <c r="X47" i="1"/>
  <c r="Z47" i="1"/>
  <c r="AB47" i="1"/>
  <c r="AD47" i="1"/>
  <c r="AF47" i="1"/>
  <c r="AH47" i="1"/>
  <c r="AJ47" i="1"/>
  <c r="AL47" i="1"/>
  <c r="AN47" i="1"/>
  <c r="AP47" i="1"/>
  <c r="AQ47" i="1"/>
  <c r="AS47" i="1"/>
  <c r="N49" i="1"/>
  <c r="V49" i="1"/>
  <c r="J51" i="1"/>
  <c r="L51" i="1"/>
  <c r="R51" i="1"/>
  <c r="X51" i="1"/>
  <c r="J52" i="1"/>
  <c r="L52" i="1"/>
  <c r="N52" i="1"/>
  <c r="R52" i="1"/>
  <c r="T52" i="1"/>
  <c r="V52" i="1"/>
  <c r="X52" i="1"/>
  <c r="Z52" i="1"/>
  <c r="AB52" i="1"/>
  <c r="AD52" i="1"/>
  <c r="AF52" i="1"/>
  <c r="AH52" i="1"/>
  <c r="AJ52" i="1"/>
  <c r="AL52" i="1"/>
  <c r="AN52" i="1"/>
  <c r="AP52" i="1"/>
  <c r="AQ52" i="1"/>
  <c r="AS52" i="1"/>
  <c r="F53" i="1"/>
  <c r="H53" i="1"/>
  <c r="J53" i="1"/>
  <c r="L53" i="1"/>
  <c r="N53" i="1"/>
  <c r="P53" i="1"/>
  <c r="R53" i="1"/>
  <c r="T53" i="1"/>
  <c r="V53" i="1"/>
  <c r="X53" i="1"/>
  <c r="Z53" i="1"/>
  <c r="AB53" i="1"/>
  <c r="AD53" i="1"/>
  <c r="AF53" i="1"/>
  <c r="AH53" i="1"/>
  <c r="AJ53" i="1"/>
  <c r="AL53" i="1"/>
  <c r="AN53" i="1"/>
  <c r="AP53" i="1"/>
  <c r="AQ53" i="1"/>
  <c r="AS53" i="1"/>
  <c r="N55" i="1"/>
  <c r="J56" i="1"/>
  <c r="L56" i="1"/>
  <c r="N56" i="1"/>
  <c r="R56" i="1"/>
  <c r="T56" i="1"/>
  <c r="V56" i="1"/>
  <c r="X56" i="1"/>
  <c r="Z56" i="1"/>
  <c r="AB56" i="1"/>
  <c r="AD56" i="1"/>
  <c r="AF56" i="1"/>
  <c r="AH56" i="1"/>
  <c r="AJ56" i="1"/>
  <c r="AL56" i="1"/>
  <c r="AN56" i="1"/>
  <c r="AP56" i="1"/>
  <c r="AQ56" i="1"/>
  <c r="AS56" i="1"/>
  <c r="H58" i="1"/>
  <c r="J58" i="1"/>
  <c r="L58" i="1"/>
  <c r="N58" i="1"/>
  <c r="P58" i="1"/>
  <c r="T58" i="1"/>
  <c r="V58" i="1"/>
  <c r="X58" i="1"/>
  <c r="AD58" i="1"/>
  <c r="AF58" i="1"/>
  <c r="AH58" i="1"/>
  <c r="AJ58" i="1"/>
  <c r="AN58" i="1"/>
  <c r="AP58" i="1"/>
  <c r="AQ58" i="1"/>
  <c r="F60" i="1"/>
  <c r="H60" i="1"/>
  <c r="J60" i="1"/>
  <c r="L60" i="1"/>
  <c r="N60" i="1"/>
  <c r="P60" i="1"/>
  <c r="R60" i="1"/>
  <c r="T60" i="1"/>
  <c r="V60" i="1"/>
  <c r="X60" i="1"/>
  <c r="Z60" i="1"/>
  <c r="AB60" i="1"/>
  <c r="AD60" i="1"/>
  <c r="AF60" i="1"/>
  <c r="AH60" i="1"/>
  <c r="AJ60" i="1"/>
  <c r="AL60" i="1"/>
  <c r="AN60" i="1"/>
  <c r="AP60" i="1"/>
  <c r="AQ60" i="1"/>
  <c r="AS60" i="1"/>
  <c r="J62" i="1"/>
  <c r="N62" i="1"/>
  <c r="R62" i="1"/>
  <c r="V62" i="1"/>
  <c r="AH62" i="1"/>
  <c r="AN62" i="1"/>
  <c r="AP62" i="1"/>
  <c r="AQ62" i="1"/>
  <c r="AS62" i="1"/>
  <c r="P67" i="1"/>
  <c r="H69" i="1"/>
  <c r="J69" i="1"/>
  <c r="J70" i="1"/>
  <c r="J71" i="1"/>
  <c r="AJ73" i="1"/>
  <c r="B74" i="1"/>
  <c r="AJ74" i="1"/>
  <c r="N11" i="2"/>
  <c r="N16" i="2"/>
  <c r="F25" i="2"/>
  <c r="H25" i="2"/>
  <c r="J25" i="2"/>
  <c r="L25" i="2"/>
  <c r="N25" i="2"/>
  <c r="P25" i="2"/>
  <c r="R25" i="2"/>
  <c r="T25" i="2"/>
  <c r="V25" i="2"/>
  <c r="X25" i="2"/>
  <c r="Z25" i="2"/>
  <c r="AB25" i="2"/>
  <c r="AD25" i="2"/>
  <c r="AF25" i="2"/>
  <c r="AH25" i="2"/>
  <c r="AB30" i="2"/>
  <c r="AH30" i="2"/>
  <c r="AJ30" i="2"/>
  <c r="N41" i="2"/>
  <c r="H48" i="2"/>
  <c r="F49" i="2"/>
  <c r="H49" i="2"/>
  <c r="J49" i="2"/>
  <c r="L49" i="2"/>
  <c r="N49" i="2"/>
  <c r="P49" i="2"/>
  <c r="R49" i="2"/>
  <c r="T49" i="2"/>
  <c r="V49" i="2"/>
  <c r="X49" i="2"/>
  <c r="Z49" i="2"/>
  <c r="AB49" i="2"/>
  <c r="AD49" i="2"/>
  <c r="AF49" i="2"/>
  <c r="AH49" i="2"/>
  <c r="AJ49" i="2"/>
  <c r="N60" i="2"/>
  <c r="N61" i="2"/>
  <c r="N62" i="2"/>
  <c r="N63" i="2"/>
  <c r="N64" i="2"/>
  <c r="N67" i="2"/>
  <c r="N68" i="2"/>
  <c r="F80" i="2"/>
  <c r="H80" i="2"/>
  <c r="J80" i="2"/>
  <c r="L80" i="2"/>
  <c r="N80" i="2"/>
  <c r="P80" i="2"/>
  <c r="R80" i="2"/>
  <c r="T80" i="2"/>
  <c r="V80" i="2"/>
  <c r="X80" i="2"/>
  <c r="Z80" i="2"/>
  <c r="AB80" i="2"/>
  <c r="AD80" i="2"/>
  <c r="AF80" i="2"/>
  <c r="AH80" i="2"/>
  <c r="AJ80" i="2"/>
  <c r="N84" i="2"/>
  <c r="P84" i="2"/>
  <c r="N85" i="2"/>
  <c r="P85" i="2"/>
  <c r="AF87" i="2"/>
  <c r="N89" i="2"/>
  <c r="P89" i="2"/>
  <c r="V95" i="2"/>
  <c r="F96" i="2"/>
  <c r="H96" i="2"/>
  <c r="J96" i="2"/>
  <c r="L96" i="2"/>
  <c r="N96" i="2"/>
  <c r="P96" i="2"/>
  <c r="R96" i="2"/>
  <c r="T96" i="2"/>
  <c r="V96" i="2"/>
  <c r="X96" i="2"/>
  <c r="Z96" i="2"/>
  <c r="AB96" i="2"/>
  <c r="AD96" i="2"/>
  <c r="AF96" i="2"/>
  <c r="AH96" i="2"/>
  <c r="AJ96" i="2"/>
  <c r="F97" i="2"/>
  <c r="H97" i="2"/>
  <c r="J97" i="2"/>
  <c r="L97" i="2"/>
  <c r="N97" i="2"/>
  <c r="P97" i="2"/>
  <c r="R97" i="2"/>
  <c r="T97" i="2"/>
  <c r="V97" i="2"/>
  <c r="X97" i="2"/>
  <c r="Z97" i="2"/>
  <c r="AB97" i="2"/>
  <c r="AD97" i="2"/>
  <c r="AF97" i="2"/>
  <c r="AH97" i="2"/>
  <c r="AJ97" i="2"/>
  <c r="N103" i="2"/>
  <c r="P103" i="2"/>
  <c r="H104" i="2"/>
  <c r="N104" i="2"/>
  <c r="P104" i="2"/>
  <c r="R104" i="2"/>
  <c r="T104" i="2"/>
  <c r="V104" i="2"/>
  <c r="X104" i="2"/>
  <c r="Z104" i="2"/>
  <c r="AB104" i="2"/>
  <c r="AD104" i="2"/>
  <c r="AF104" i="2"/>
  <c r="AH104" i="2"/>
  <c r="AJ104" i="2"/>
  <c r="F106" i="2"/>
  <c r="H106" i="2"/>
  <c r="J106" i="2"/>
  <c r="L106" i="2"/>
  <c r="N106" i="2"/>
  <c r="P106" i="2"/>
  <c r="R106" i="2"/>
  <c r="T106" i="2"/>
  <c r="V106" i="2"/>
  <c r="X106" i="2"/>
  <c r="Z106" i="2"/>
  <c r="AB106" i="2"/>
  <c r="AD106" i="2"/>
  <c r="AF106" i="2"/>
  <c r="AH106" i="2"/>
  <c r="AJ106" i="2"/>
  <c r="B108" i="2"/>
  <c r="AB108" i="2"/>
</calcChain>
</file>

<file path=xl/sharedStrings.xml><?xml version="1.0" encoding="utf-8"?>
<sst xmlns="http://schemas.openxmlformats.org/spreadsheetml/2006/main" count="231" uniqueCount="183">
  <si>
    <t>CITRUS CONSOLIDATED</t>
  </si>
  <si>
    <t>DETAIL OF NET INCOME</t>
  </si>
  <si>
    <t>(Millions of Dollars)</t>
  </si>
  <si>
    <t>First</t>
  </si>
  <si>
    <t>Actual</t>
  </si>
  <si>
    <t>Plan</t>
  </si>
  <si>
    <t>Old</t>
  </si>
  <si>
    <t>Cur. Est.</t>
  </si>
  <si>
    <t>1996</t>
  </si>
  <si>
    <t xml:space="preserve">1997 </t>
  </si>
  <si>
    <t>FGT Net Margin</t>
  </si>
  <si>
    <t>FTS-1</t>
  </si>
  <si>
    <t>FTS-2</t>
  </si>
  <si>
    <t>Other - IT, SFTS, PNR, Western</t>
  </si>
  <si>
    <t>TC &amp; S Costs</t>
  </si>
  <si>
    <t xml:space="preserve">     Total FGT Net Margin</t>
  </si>
  <si>
    <t>Citrus Trading Margin</t>
  </si>
  <si>
    <t>CESI Margin</t>
  </si>
  <si>
    <t>Subtotal</t>
  </si>
  <si>
    <t>DD&amp;A</t>
  </si>
  <si>
    <t xml:space="preserve">         - GPG/OTS/CORP./P4 </t>
  </si>
  <si>
    <t>Taxes Other Than Income</t>
  </si>
  <si>
    <t>Base Operating Income</t>
  </si>
  <si>
    <t>Supply Credits</t>
  </si>
  <si>
    <t>CitrusNet</t>
  </si>
  <si>
    <t>AFUDC</t>
  </si>
  <si>
    <t>State Deferred Tax Adjustment</t>
  </si>
  <si>
    <t>Citrus Consolidated Net Income</t>
  </si>
  <si>
    <t xml:space="preserve">ENRON CITRUS Net Income  </t>
  </si>
  <si>
    <t>Change from Prior Year - Citrus Consolidated</t>
  </si>
  <si>
    <t xml:space="preserve">Change from Prior Year - Enron Citrus </t>
  </si>
  <si>
    <t>ENRON CITRUS Net Income **</t>
  </si>
  <si>
    <t>Dividend Tax</t>
  </si>
  <si>
    <t>ENRON CITRUS After Dividend Tax</t>
  </si>
  <si>
    <t>Change from Prior Year - Enron Citrus</t>
  </si>
  <si>
    <t>This is a special management report and may not comply with GAAP or FERC reporting requirements.</t>
  </si>
  <si>
    <t>1997</t>
  </si>
  <si>
    <t>1998</t>
  </si>
  <si>
    <t>1999</t>
  </si>
  <si>
    <t>2000 Plan</t>
  </si>
  <si>
    <t>2000</t>
  </si>
  <si>
    <t>2003</t>
  </si>
  <si>
    <t>2004</t>
  </si>
  <si>
    <t>2nd Cur Est</t>
  </si>
  <si>
    <t>8/26/99 Est.</t>
  </si>
  <si>
    <t>Trading</t>
  </si>
  <si>
    <t>Margin Items</t>
  </si>
  <si>
    <t xml:space="preserve">  Reserve reversal</t>
  </si>
  <si>
    <t xml:space="preserve">  Reserve for system balancing reconciliation</t>
  </si>
  <si>
    <t xml:space="preserve">  Sales/Purchase adj. (due to reallocations)</t>
  </si>
  <si>
    <t xml:space="preserve">  Origination fee adj. - FP &amp; L</t>
  </si>
  <si>
    <t xml:space="preserve">  Penalty pymt to FGT</t>
  </si>
  <si>
    <t xml:space="preserve">  MGAF fuel reimbursement</t>
  </si>
  <si>
    <t xml:space="preserve">  Sonat pricing dispute (reserve/reversal)</t>
  </si>
  <si>
    <t xml:space="preserve">  Johnson Bayou reallocations</t>
  </si>
  <si>
    <t xml:space="preserve">  Clear exchange gas payable</t>
  </si>
  <si>
    <t xml:space="preserve">  FP &amp; L Revenue Adjustment </t>
  </si>
  <si>
    <t xml:space="preserve">  Sonat '95 Reconciliation</t>
  </si>
  <si>
    <t xml:space="preserve">  Crosby/Exxon Claim</t>
  </si>
  <si>
    <t xml:space="preserve">  Hedge accrual cleanup reversal</t>
  </si>
  <si>
    <t xml:space="preserve">  Accts payable cleanup</t>
  </si>
  <si>
    <t xml:space="preserve">     Subtotal - Margin Items</t>
  </si>
  <si>
    <t>FGT</t>
  </si>
  <si>
    <t xml:space="preserve">  Mobile Bay fuel reimbursement (Transco)</t>
  </si>
  <si>
    <t xml:space="preserve">  Alert day charges (pre 11/95)</t>
  </si>
  <si>
    <t xml:space="preserve">  Reverse '95 claim re:  Amoco</t>
  </si>
  <si>
    <t xml:space="preserve">  Reverse Nicor reserve</t>
  </si>
  <si>
    <t xml:space="preserve">  Transportation Revenue from Cash-in</t>
  </si>
  <si>
    <t xml:space="preserve">  Cash out settlement</t>
  </si>
  <si>
    <t xml:space="preserve">  Accts rec/pay cleanup items</t>
  </si>
  <si>
    <t xml:space="preserve">  Tallahassee Johnson Bayou Settlement</t>
  </si>
  <si>
    <t xml:space="preserve">  FP&amp;L correction/GRI s/b discounted</t>
  </si>
  <si>
    <t xml:space="preserve">  Reverse Johnson Bayou reserve</t>
  </si>
  <si>
    <t xml:space="preserve">  Reserve/reversal of imbalance issues</t>
  </si>
  <si>
    <t xml:space="preserve">  Reserve/reversal of rate case items</t>
  </si>
  <si>
    <t xml:space="preserve">  Salt Water Claims &amp; Facility Costs</t>
  </si>
  <si>
    <t xml:space="preserve">  Balancing Tool Volume Valuation Res.</t>
  </si>
  <si>
    <t xml:space="preserve">  Revenue Crediting/PPA's</t>
  </si>
  <si>
    <t>O &amp; M Items</t>
  </si>
  <si>
    <t xml:space="preserve">  Reserve reversal/"J" work orders</t>
  </si>
  <si>
    <t xml:space="preserve">  Reverse Onyx reserve</t>
  </si>
  <si>
    <t xml:space="preserve">  Expense legal costs ("J" work orders)</t>
  </si>
  <si>
    <t xml:space="preserve">  Offshore lease expense accrual reversal</t>
  </si>
  <si>
    <t xml:space="preserve">  Shell TCR recovery</t>
  </si>
  <si>
    <t xml:space="preserve">  Reverse for Perry Fire (ins. Ded./temp. fixes)</t>
  </si>
  <si>
    <t xml:space="preserve">  Accrue variable pay/payroll taxes</t>
  </si>
  <si>
    <t xml:space="preserve">  Turbine overhaul costs</t>
  </si>
  <si>
    <t xml:space="preserve">  O &amp; M reserve/reversal</t>
  </si>
  <si>
    <t xml:space="preserve">  Bad debt reserve/reversal</t>
  </si>
  <si>
    <t xml:space="preserve">  Accrue DOT user fees</t>
  </si>
  <si>
    <t xml:space="preserve">  Selected "J" Work Order writeoff</t>
  </si>
  <si>
    <t xml:space="preserve">  Opns cost scoping project reserve/reversal</t>
  </si>
  <si>
    <t xml:space="preserve">  Arrington reserve reversal</t>
  </si>
  <si>
    <t xml:space="preserve">  Perry Fire - Temporary Fixes</t>
  </si>
  <si>
    <t xml:space="preserve">  Perry Fire - 3rd Party Claims</t>
  </si>
  <si>
    <t xml:space="preserve">  Dickinson Bay Legal Fees</t>
  </si>
  <si>
    <t xml:space="preserve">  CSX R-O-W Claim</t>
  </si>
  <si>
    <t xml:space="preserve">  Addt'l Variable Pay Reserve</t>
  </si>
  <si>
    <t xml:space="preserve">     Subtotal - O &amp; M Items</t>
  </si>
  <si>
    <t>Other</t>
  </si>
  <si>
    <t xml:space="preserve">  South Georgia retroactive adjustment</t>
  </si>
  <si>
    <t xml:space="preserve">  Louisiana Fuel Tax Issue</t>
  </si>
  <si>
    <t>Taxes Other</t>
  </si>
  <si>
    <t xml:space="preserve">  Reserve for La. Franchise Tax Issue</t>
  </si>
  <si>
    <t>Interest Inc.</t>
  </si>
  <si>
    <t xml:space="preserve">  Reserve for La. Franchise Tax Issue (Interest)</t>
  </si>
  <si>
    <t xml:space="preserve">  Vero Beach credit W. O. clearing</t>
  </si>
  <si>
    <t xml:space="preserve">  Trueup of Ad Valorem Accrual account</t>
  </si>
  <si>
    <t xml:space="preserve">  Reverse Sarasota sales expenses</t>
  </si>
  <si>
    <t>Other Inc./Exp.</t>
  </si>
  <si>
    <t xml:space="preserve">  Reserve for reservation revenue credits</t>
  </si>
  <si>
    <t xml:space="preserve">  Dickinson Bay Penalty</t>
  </si>
  <si>
    <t xml:space="preserve">  Potential State Income Tax Underaccrual</t>
  </si>
  <si>
    <t xml:space="preserve">  Reserve for AFUDC Trueups</t>
  </si>
  <si>
    <t xml:space="preserve">  "Generic" Reserve/Reversal</t>
  </si>
  <si>
    <t xml:space="preserve">     Subtotal - Other Items</t>
  </si>
  <si>
    <t>Total FGT Items</t>
  </si>
  <si>
    <t>CESI</t>
  </si>
  <si>
    <t>Writeoff Sooner Deferred Expense</t>
  </si>
  <si>
    <t>Allow/Const Funds</t>
  </si>
  <si>
    <t>IDC catchup - Anclote Project</t>
  </si>
  <si>
    <t>Litigation Reserve - "South of 2" sales claim</t>
  </si>
  <si>
    <t>Total CESI Items</t>
  </si>
  <si>
    <t>Total Non-recurring Items</t>
  </si>
  <si>
    <t>Financing</t>
  </si>
  <si>
    <t>Interest Expense</t>
  </si>
  <si>
    <t xml:space="preserve">   Financing, Net</t>
  </si>
  <si>
    <t>Income Before Special Items, Taxes</t>
  </si>
  <si>
    <t>Special Items</t>
  </si>
  <si>
    <t>Sale of assets</t>
  </si>
  <si>
    <t>Phase III Plant Adj. Amortization</t>
  </si>
  <si>
    <t>Encore Amortization</t>
  </si>
  <si>
    <t xml:space="preserve">   FGT Special</t>
  </si>
  <si>
    <t>Interest Lock Gains</t>
  </si>
  <si>
    <t xml:space="preserve">   Financial Transactions</t>
  </si>
  <si>
    <t>Other NonRecurring Adjustments</t>
  </si>
  <si>
    <t xml:space="preserve">   Special Items, Net</t>
  </si>
  <si>
    <t>Income Before "STRETCH" &amp; Taxes</t>
  </si>
  <si>
    <t>Income Before Taxes</t>
  </si>
  <si>
    <t xml:space="preserve">   Tax Provision</t>
  </si>
  <si>
    <t>"STRETCH "</t>
  </si>
  <si>
    <t>Second</t>
  </si>
  <si>
    <t>OLD</t>
  </si>
  <si>
    <t>Electric Compression Payment</t>
  </si>
  <si>
    <t>Phase 4, 5, 6</t>
  </si>
  <si>
    <t xml:space="preserve">         - Phase 4</t>
  </si>
  <si>
    <t xml:space="preserve">         - Phase 5</t>
  </si>
  <si>
    <t xml:space="preserve">         - Phase 6</t>
  </si>
  <si>
    <t>Third</t>
  </si>
  <si>
    <t>O&amp;M - Existing Facilities</t>
  </si>
  <si>
    <t>Version</t>
  </si>
  <si>
    <t>8/28/00</t>
  </si>
  <si>
    <t xml:space="preserve">  Bad Debt Reserve (Fla. Coast Paper)</t>
  </si>
  <si>
    <t xml:space="preserve">  Grynberg Legal Costs</t>
  </si>
  <si>
    <t xml:space="preserve">  Misc. Reserve (Gas Bank writeoff vs. Ins. Res.)</t>
  </si>
  <si>
    <t xml:space="preserve">  Reserve for potential legal settlements</t>
  </si>
  <si>
    <t>3rd Cur. Est.</t>
  </si>
  <si>
    <t xml:space="preserve">  Gas Bank writeoff/credits</t>
  </si>
  <si>
    <t xml:space="preserve">  SAP Development Cost Reserve </t>
  </si>
  <si>
    <t>Reserve for Bad Debts</t>
  </si>
  <si>
    <t xml:space="preserve">  Chevron Settlement (MOPS) Writeoff</t>
  </si>
  <si>
    <t>Inventory Revaluation</t>
  </si>
  <si>
    <t>NON-RECURRING ADJUSTMENT DETAIL</t>
  </si>
  <si>
    <t xml:space="preserve">  FP &amp; L Legal Costs</t>
  </si>
  <si>
    <t>Total Trading Items</t>
  </si>
  <si>
    <t xml:space="preserve">     Total Margin Items</t>
  </si>
  <si>
    <t xml:space="preserve">  Perry Reserve Reversals</t>
  </si>
  <si>
    <t xml:space="preserve">  FGT's portion of HPL's Variable Pay/Severance Costs</t>
  </si>
  <si>
    <t>Keiser</t>
  </si>
  <si>
    <t>Goal</t>
  </si>
  <si>
    <t>ACA</t>
  </si>
  <si>
    <t>3rd CE</t>
  </si>
  <si>
    <t>Stretch</t>
  </si>
  <si>
    <t>2002 OPERATING &amp; STRATEGIC PLAN</t>
  </si>
  <si>
    <t xml:space="preserve"> Quarterly Revaluation - PRM Accounts</t>
  </si>
  <si>
    <t>2001</t>
  </si>
  <si>
    <t>3rd Cur Est</t>
  </si>
  <si>
    <t xml:space="preserve"> Gas Bank Recovery/margin trueups</t>
  </si>
  <si>
    <t xml:space="preserve"> Cash In/Cash Out Recovery</t>
  </si>
  <si>
    <t xml:space="preserve">  Gas Loss</t>
  </si>
  <si>
    <t>"Arrangement" Fee</t>
  </si>
  <si>
    <t>10/23/01</t>
  </si>
  <si>
    <t>FAS 133 (Trading &amp; CESI)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</si>
</sst>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164" formatCode="#,##0.0_);\(#,##0.0\)"/>
    <numFmt numFmtId="165" formatCode="0_)"/>
    <numFmt numFmtId="166" formatCode="m/d/yy\ h:mm\ AM/PM"/>
    <numFmt numFmtId="167" formatCode="0_);\(0\)"/>
    <numFmt numFmtId="168" formatCode="#&quot;\&quot;&quot;\&quot;&quot;\&quot;&quot;\&quot;\ ??/??"/>
    <numFmt numFmtId="169" formatCode="yy&quot;\&quot;&quot;\&quot;&quot;\&quot;\-mm&quot;\&quot;&quot;\&quot;&quot;\&quot;\-dd&quot;\&quot;&quot;\&quot;&quot;\&quot;&quot;\&quot;\ h:mm"/>
    <numFmt numFmtId="170" formatCode="_ &quot;\&quot;* #,##0.00_ ;_ &quot;\&quot;* &quot;\&quot;&quot;\&quot;&quot;\&quot;&quot;\&quot;&quot;\&quot;\-#,##0.00_ ;_ &quot;\&quot;* &quot;-&quot;??_ ;_ @_ "/>
  </numFmts>
  <fonts count="26">
    <font>
      <sz val="12"/>
      <name val="Arial"/>
    </font>
    <font>
      <sz val="11"/>
      <name val="??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</font>
    <font>
      <sz val="8"/>
      <name val="Arial"/>
    </font>
    <font>
      <sz val="12"/>
      <name val="SWISS"/>
    </font>
    <font>
      <sz val="8"/>
      <color indexed="12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sz val="7"/>
      <name val="Arial"/>
      <family val="2"/>
    </font>
    <font>
      <sz val="9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u/>
      <sz val="9"/>
      <name val="Arial"/>
      <family val="2"/>
    </font>
    <font>
      <b/>
      <sz val="10"/>
      <name val="Arial"/>
      <family val="2"/>
    </font>
    <font>
      <sz val="5"/>
      <name val="Arial"/>
      <family val="2"/>
    </font>
    <font>
      <sz val="9.5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164" fontId="0" fillId="0" borderId="0"/>
    <xf numFmtId="6" fontId="1" fillId="0" borderId="0">
      <protection locked="0"/>
    </xf>
    <xf numFmtId="170" fontId="1" fillId="0" borderId="0">
      <protection locked="0"/>
    </xf>
    <xf numFmtId="0" fontId="4" fillId="0" borderId="0" applyNumberFormat="0" applyFill="0" applyBorder="0" applyAlignment="0" applyProtection="0"/>
    <xf numFmtId="169" fontId="1" fillId="0" borderId="0">
      <protection locked="0"/>
    </xf>
    <xf numFmtId="169" fontId="1" fillId="0" borderId="0">
      <protection locked="0"/>
    </xf>
    <xf numFmtId="0" fontId="5" fillId="0" borderId="1" applyNumberFormat="0" applyFill="0" applyAlignment="0" applyProtection="0"/>
    <xf numFmtId="168" fontId="1" fillId="0" borderId="0"/>
    <xf numFmtId="164" fontId="7" fillId="0" borderId="0"/>
    <xf numFmtId="0" fontId="9" fillId="0" borderId="0"/>
    <xf numFmtId="169" fontId="1" fillId="0" borderId="2">
      <protection locked="0"/>
    </xf>
    <xf numFmtId="37" fontId="8" fillId="2" borderId="0" applyNumberFormat="0" applyBorder="0" applyAlignment="0" applyProtection="0"/>
    <xf numFmtId="37" fontId="8" fillId="0" borderId="0"/>
    <xf numFmtId="37" fontId="3" fillId="3" borderId="0" applyNumberFormat="0" applyBorder="0" applyAlignment="0" applyProtection="0"/>
    <xf numFmtId="3" fontId="10" fillId="0" borderId="1" applyProtection="0"/>
  </cellStyleXfs>
  <cellXfs count="88">
    <xf numFmtId="164" fontId="0" fillId="0" borderId="0" xfId="0"/>
    <xf numFmtId="164" fontId="6" fillId="0" borderId="0" xfId="8" applyFont="1"/>
    <xf numFmtId="164" fontId="6" fillId="0" borderId="3" xfId="8" applyFont="1" applyBorder="1"/>
    <xf numFmtId="165" fontId="6" fillId="0" borderId="0" xfId="8" applyNumberFormat="1" applyFont="1" applyBorder="1" applyAlignment="1" applyProtection="1">
      <alignment horizontal="center"/>
    </xf>
    <xf numFmtId="164" fontId="6" fillId="0" borderId="0" xfId="8" applyFont="1" applyBorder="1"/>
    <xf numFmtId="164" fontId="6" fillId="0" borderId="0" xfId="8" applyFont="1" applyBorder="1" applyAlignment="1">
      <alignment horizontal="center"/>
    </xf>
    <xf numFmtId="165" fontId="6" fillId="0" borderId="0" xfId="8" applyNumberFormat="1" applyFont="1" applyBorder="1" applyProtection="1"/>
    <xf numFmtId="164" fontId="6" fillId="0" borderId="4" xfId="8" applyFont="1" applyBorder="1"/>
    <xf numFmtId="164" fontId="13" fillId="0" borderId="0" xfId="8" applyFont="1"/>
    <xf numFmtId="165" fontId="6" fillId="0" borderId="5" xfId="8" quotePrefix="1" applyNumberFormat="1" applyFont="1" applyBorder="1" applyAlignment="1" applyProtection="1">
      <alignment horizontal="center"/>
    </xf>
    <xf numFmtId="165" fontId="6" fillId="0" borderId="5" xfId="8" applyNumberFormat="1" applyFont="1" applyBorder="1" applyAlignment="1" applyProtection="1">
      <alignment horizontal="center"/>
    </xf>
    <xf numFmtId="165" fontId="6" fillId="0" borderId="3" xfId="8" applyNumberFormat="1" applyFont="1" applyBorder="1" applyAlignment="1" applyProtection="1">
      <alignment horizontal="center"/>
    </xf>
    <xf numFmtId="164" fontId="13" fillId="0" borderId="4" xfId="8" applyFont="1" applyBorder="1"/>
    <xf numFmtId="164" fontId="13" fillId="0" borderId="0" xfId="8" applyFont="1" applyBorder="1"/>
    <xf numFmtId="164" fontId="13" fillId="0" borderId="3" xfId="8" applyFont="1" applyBorder="1"/>
    <xf numFmtId="164" fontId="6" fillId="0" borderId="5" xfId="8" applyFont="1" applyBorder="1"/>
    <xf numFmtId="164" fontId="13" fillId="0" borderId="6" xfId="8" applyFont="1" applyBorder="1"/>
    <xf numFmtId="164" fontId="13" fillId="0" borderId="7" xfId="8" applyFont="1" applyBorder="1"/>
    <xf numFmtId="164" fontId="13" fillId="0" borderId="2" xfId="8" applyFont="1" applyBorder="1"/>
    <xf numFmtId="0" fontId="14" fillId="0" borderId="0" xfId="9" applyFont="1" applyProtection="1"/>
    <xf numFmtId="164" fontId="15" fillId="0" borderId="0" xfId="8" applyFont="1"/>
    <xf numFmtId="164" fontId="18" fillId="0" borderId="0" xfId="8" applyFont="1"/>
    <xf numFmtId="164" fontId="19" fillId="0" borderId="0" xfId="0" applyFont="1"/>
    <xf numFmtId="164" fontId="15" fillId="0" borderId="0" xfId="0" applyFont="1"/>
    <xf numFmtId="164" fontId="15" fillId="0" borderId="0" xfId="0" quotePrefix="1" applyFont="1" applyAlignment="1">
      <alignment horizontal="center"/>
    </xf>
    <xf numFmtId="164" fontId="15" fillId="0" borderId="3" xfId="0" applyFont="1" applyBorder="1" applyAlignment="1">
      <alignment horizontal="center"/>
    </xf>
    <xf numFmtId="164" fontId="20" fillId="0" borderId="0" xfId="0" applyFont="1"/>
    <xf numFmtId="37" fontId="15" fillId="0" borderId="0" xfId="0" applyNumberFormat="1" applyFont="1"/>
    <xf numFmtId="164" fontId="21" fillId="0" borderId="0" xfId="0" applyFont="1"/>
    <xf numFmtId="37" fontId="21" fillId="0" borderId="0" xfId="0" applyNumberFormat="1" applyFont="1"/>
    <xf numFmtId="164" fontId="18" fillId="0" borderId="0" xfId="0" applyFont="1"/>
    <xf numFmtId="37" fontId="0" fillId="0" borderId="0" xfId="0" applyNumberFormat="1"/>
    <xf numFmtId="37" fontId="2" fillId="0" borderId="0" xfId="0" applyNumberFormat="1" applyFont="1"/>
    <xf numFmtId="164" fontId="2" fillId="0" borderId="0" xfId="0" applyFont="1"/>
    <xf numFmtId="164" fontId="13" fillId="0" borderId="0" xfId="8" applyFont="1" applyBorder="1" applyAlignment="1">
      <alignment horizontal="center"/>
    </xf>
    <xf numFmtId="166" fontId="23" fillId="0" borderId="0" xfId="9" applyNumberFormat="1" applyFont="1" applyAlignment="1">
      <alignment horizontal="left"/>
    </xf>
    <xf numFmtId="164" fontId="0" fillId="0" borderId="0" xfId="0" applyBorder="1"/>
    <xf numFmtId="164" fontId="13" fillId="0" borderId="7" xfId="8" quotePrefix="1" applyFont="1" applyBorder="1" applyAlignment="1"/>
    <xf numFmtId="164" fontId="13" fillId="0" borderId="0" xfId="8" quotePrefix="1" applyFont="1" applyBorder="1" applyAlignment="1"/>
    <xf numFmtId="164" fontId="15" fillId="0" borderId="0" xfId="0" applyFont="1" applyBorder="1" applyAlignment="1">
      <alignment horizontal="center"/>
    </xf>
    <xf numFmtId="164" fontId="15" fillId="0" borderId="0" xfId="0" applyFont="1" applyAlignment="1">
      <alignment horizontal="center"/>
    </xf>
    <xf numFmtId="164" fontId="15" fillId="0" borderId="3" xfId="0" quotePrefix="1" applyFont="1" applyBorder="1" applyAlignment="1">
      <alignment horizontal="center"/>
    </xf>
    <xf numFmtId="164" fontId="6" fillId="0" borderId="8" xfId="8" applyFont="1" applyBorder="1"/>
    <xf numFmtId="164" fontId="13" fillId="0" borderId="9" xfId="8" applyFont="1" applyBorder="1"/>
    <xf numFmtId="164" fontId="13" fillId="0" borderId="8" xfId="8" applyFont="1" applyBorder="1"/>
    <xf numFmtId="164" fontId="6" fillId="0" borderId="10" xfId="8" applyFont="1" applyBorder="1" applyAlignment="1">
      <alignment horizontal="right"/>
    </xf>
    <xf numFmtId="164" fontId="14" fillId="0" borderId="0" xfId="8" applyFont="1" applyBorder="1"/>
    <xf numFmtId="164" fontId="25" fillId="0" borderId="0" xfId="8" applyFont="1"/>
    <xf numFmtId="164" fontId="11" fillId="0" borderId="9" xfId="8" applyFont="1" applyBorder="1"/>
    <xf numFmtId="164" fontId="11" fillId="0" borderId="8" xfId="8" applyFont="1" applyBorder="1"/>
    <xf numFmtId="164" fontId="25" fillId="0" borderId="8" xfId="8" applyFont="1" applyBorder="1"/>
    <xf numFmtId="164" fontId="25" fillId="0" borderId="4" xfId="8" applyFont="1" applyBorder="1"/>
    <xf numFmtId="164" fontId="0" fillId="0" borderId="8" xfId="0" applyBorder="1"/>
    <xf numFmtId="164" fontId="16" fillId="0" borderId="0" xfId="8" applyFont="1" applyBorder="1" applyAlignment="1">
      <alignment horizontal="center"/>
    </xf>
    <xf numFmtId="164" fontId="3" fillId="0" borderId="0" xfId="0" applyFont="1"/>
    <xf numFmtId="165" fontId="13" fillId="0" borderId="11" xfId="8" applyNumberFormat="1" applyFont="1" applyBorder="1" applyAlignment="1" applyProtection="1">
      <alignment horizontal="centerContinuous"/>
    </xf>
    <xf numFmtId="165" fontId="6" fillId="0" borderId="11" xfId="8" applyNumberFormat="1" applyFont="1" applyBorder="1" applyAlignment="1" applyProtection="1">
      <alignment horizontal="centerContinuous"/>
    </xf>
    <xf numFmtId="165" fontId="6" fillId="0" borderId="11" xfId="8" applyNumberFormat="1" applyFont="1" applyBorder="1" applyAlignment="1" applyProtection="1">
      <alignment horizontal="center"/>
    </xf>
    <xf numFmtId="165" fontId="6" fillId="0" borderId="11" xfId="8" quotePrefix="1" applyNumberFormat="1" applyFont="1" applyBorder="1" applyAlignment="1" applyProtection="1">
      <alignment horizontal="center"/>
    </xf>
    <xf numFmtId="15" fontId="18" fillId="0" borderId="0" xfId="8" applyNumberFormat="1" applyFont="1"/>
    <xf numFmtId="19" fontId="18" fillId="0" borderId="0" xfId="8" applyNumberFormat="1" applyFont="1"/>
    <xf numFmtId="165" fontId="6" fillId="0" borderId="3" xfId="8" quotePrefix="1" applyNumberFormat="1" applyFont="1" applyBorder="1" applyAlignment="1" applyProtection="1">
      <alignment horizontal="center"/>
    </xf>
    <xf numFmtId="166" fontId="18" fillId="0" borderId="0" xfId="0" applyNumberFormat="1" applyFont="1"/>
    <xf numFmtId="164" fontId="15" fillId="0" borderId="0" xfId="0" applyNumberFormat="1" applyFont="1"/>
    <xf numFmtId="164" fontId="21" fillId="0" borderId="0" xfId="0" applyNumberFormat="1" applyFont="1"/>
    <xf numFmtId="164" fontId="6" fillId="0" borderId="0" xfId="8" quotePrefix="1" applyFont="1" applyBorder="1" applyAlignment="1">
      <alignment horizontal="center"/>
    </xf>
    <xf numFmtId="164" fontId="25" fillId="0" borderId="0" xfId="8" applyFont="1" applyBorder="1"/>
    <xf numFmtId="164" fontId="6" fillId="0" borderId="12" xfId="8" applyFont="1" applyBorder="1"/>
    <xf numFmtId="164" fontId="12" fillId="0" borderId="11" xfId="8" quotePrefix="1" applyFont="1" applyBorder="1"/>
    <xf numFmtId="164" fontId="6" fillId="0" borderId="11" xfId="8" applyFont="1" applyBorder="1"/>
    <xf numFmtId="165" fontId="6" fillId="0" borderId="11" xfId="8" applyNumberFormat="1" applyFont="1" applyBorder="1" applyProtection="1"/>
    <xf numFmtId="164" fontId="6" fillId="0" borderId="11" xfId="8" applyFont="1" applyBorder="1" applyAlignment="1">
      <alignment horizontal="center"/>
    </xf>
    <xf numFmtId="164" fontId="6" fillId="0" borderId="13" xfId="8" applyFont="1" applyBorder="1"/>
    <xf numFmtId="164" fontId="6" fillId="0" borderId="10" xfId="8" applyFont="1" applyBorder="1"/>
    <xf numFmtId="167" fontId="6" fillId="0" borderId="0" xfId="8" applyNumberFormat="1" applyFont="1" applyBorder="1"/>
    <xf numFmtId="164" fontId="2" fillId="0" borderId="0" xfId="8" applyFont="1" applyBorder="1" applyAlignment="1">
      <alignment horizontal="right"/>
    </xf>
    <xf numFmtId="164" fontId="25" fillId="0" borderId="10" xfId="8" applyFont="1" applyBorder="1"/>
    <xf numFmtId="164" fontId="17" fillId="0" borderId="0" xfId="0" quotePrefix="1" applyFont="1" applyBorder="1" applyAlignment="1">
      <alignment horizontal="center"/>
    </xf>
    <xf numFmtId="164" fontId="0" fillId="0" borderId="0" xfId="0" quotePrefix="1" applyBorder="1" applyAlignment="1">
      <alignment horizontal="center"/>
    </xf>
    <xf numFmtId="164" fontId="13" fillId="0" borderId="0" xfId="8" quotePrefix="1" applyFont="1" applyBorder="1"/>
    <xf numFmtId="164" fontId="24" fillId="0" borderId="0" xfId="0" applyFont="1" applyBorder="1"/>
    <xf numFmtId="164" fontId="6" fillId="0" borderId="14" xfId="8" applyFont="1" applyBorder="1"/>
    <xf numFmtId="164" fontId="6" fillId="0" borderId="15" xfId="8" applyFont="1" applyBorder="1"/>
    <xf numFmtId="167" fontId="6" fillId="0" borderId="3" xfId="8" applyNumberFormat="1" applyFont="1" applyBorder="1" applyAlignment="1">
      <alignment horizontal="center"/>
    </xf>
    <xf numFmtId="164" fontId="11" fillId="0" borderId="0" xfId="8" applyFont="1" applyAlignment="1">
      <alignment horizontal="center"/>
    </xf>
    <xf numFmtId="164" fontId="11" fillId="0" borderId="0" xfId="8" quotePrefix="1" applyFont="1" applyAlignment="1">
      <alignment horizontal="center"/>
    </xf>
    <xf numFmtId="164" fontId="13" fillId="0" borderId="0" xfId="0" applyFont="1" applyAlignment="1">
      <alignment horizontal="center"/>
    </xf>
    <xf numFmtId="164" fontId="22" fillId="0" borderId="0" xfId="0" applyFont="1" applyAlignment="1">
      <alignment horizontal="center"/>
    </xf>
  </cellXfs>
  <cellStyles count="15">
    <cellStyle name="Date" xfId="1"/>
    <cellStyle name="Fixed" xfId="2"/>
    <cellStyle name="HEADER" xfId="3"/>
    <cellStyle name="Heading1" xfId="4"/>
    <cellStyle name="Heading2" xfId="5"/>
    <cellStyle name="HIGHLIGHT" xfId="6"/>
    <cellStyle name="Normal" xfId="0" builtinId="0"/>
    <cellStyle name="Normal - Style1" xfId="7"/>
    <cellStyle name="Normal_DETAILS" xfId="8"/>
    <cellStyle name="Normal_MAJASSUM" xfId="9"/>
    <cellStyle name="Total" xfId="10" builtinId="25" customBuiltin="1"/>
    <cellStyle name="Unprot" xfId="11"/>
    <cellStyle name="Unprot$" xfId="12"/>
    <cellStyle name="Unprot_dimon" xfId="13"/>
    <cellStyle name="Unprotect" xfId="1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/>
  <dimension ref="A1:AT77"/>
  <sheetViews>
    <sheetView showGridLines="0" tabSelected="1" zoomScale="87" workbookViewId="0">
      <selection activeCell="A6" sqref="A6"/>
    </sheetView>
  </sheetViews>
  <sheetFormatPr defaultColWidth="12.6640625" defaultRowHeight="15"/>
  <cols>
    <col min="1" max="1" width="2.77734375" style="1" customWidth="1"/>
    <col min="2" max="2" width="2.44140625" style="1" customWidth="1"/>
    <col min="3" max="3" width="29.77734375" style="1" customWidth="1"/>
    <col min="4" max="4" width="2.77734375" style="1" customWidth="1"/>
    <col min="5" max="5" width="1.77734375" style="1" hidden="1" customWidth="1"/>
    <col min="6" max="6" width="6.77734375" style="1" hidden="1" customWidth="1"/>
    <col min="7" max="7" width="1.77734375" style="1" hidden="1" customWidth="1"/>
    <col min="8" max="8" width="6.77734375" style="1" hidden="1" customWidth="1"/>
    <col min="9" max="9" width="1.77734375" style="1" hidden="1" customWidth="1"/>
    <col min="10" max="10" width="6.77734375" style="1" hidden="1" customWidth="1"/>
    <col min="11" max="11" width="1.77734375" style="1" customWidth="1"/>
    <col min="12" max="12" width="6.77734375" style="1" hidden="1" customWidth="1"/>
    <col min="13" max="13" width="1.77734375" style="1" hidden="1" customWidth="1"/>
    <col min="14" max="14" width="6.77734375" style="1" hidden="1" customWidth="1"/>
    <col min="15" max="15" width="1.77734375" style="1" hidden="1" customWidth="1"/>
    <col min="16" max="16" width="6.77734375" style="1" hidden="1" customWidth="1"/>
    <col min="17" max="17" width="1.77734375" style="1" hidden="1" customWidth="1"/>
    <col min="18" max="18" width="6.77734375" style="1" hidden="1" customWidth="1"/>
    <col min="19" max="19" width="1.77734375" style="1" hidden="1" customWidth="1"/>
    <col min="20" max="20" width="6.77734375" style="1" hidden="1" customWidth="1"/>
    <col min="21" max="21" width="1.77734375" style="1" hidden="1" customWidth="1"/>
    <col min="22" max="22" width="6.77734375" style="1" hidden="1" customWidth="1"/>
    <col min="23" max="23" width="1.77734375" style="1" hidden="1" customWidth="1"/>
    <col min="24" max="24" width="6.77734375" style="1" hidden="1" customWidth="1"/>
    <col min="25" max="25" width="1.77734375" style="1" hidden="1" customWidth="1"/>
    <col min="26" max="26" width="6.77734375" style="1" hidden="1" customWidth="1"/>
    <col min="27" max="27" width="1.77734375" style="1" hidden="1" customWidth="1"/>
    <col min="28" max="28" width="6.77734375" style="1" hidden="1" customWidth="1"/>
    <col min="29" max="29" width="1.77734375" style="1" customWidth="1"/>
    <col min="30" max="30" width="6.77734375" style="1" customWidth="1"/>
    <col min="31" max="31" width="1.77734375" style="1" customWidth="1"/>
    <col min="32" max="32" width="6.77734375" style="1" customWidth="1"/>
    <col min="33" max="33" width="1.77734375" style="1" customWidth="1"/>
    <col min="34" max="34" width="6.77734375" style="1" hidden="1" customWidth="1"/>
    <col min="35" max="35" width="1.77734375" style="1" hidden="1" customWidth="1"/>
    <col min="36" max="36" width="6.77734375" style="1" hidden="1" customWidth="1"/>
    <col min="37" max="37" width="1.77734375" style="1" hidden="1" customWidth="1"/>
    <col min="38" max="38" width="6.77734375" style="1" hidden="1" customWidth="1"/>
    <col min="39" max="39" width="1.77734375" style="1" hidden="1" customWidth="1"/>
    <col min="40" max="40" width="6.77734375" style="1" hidden="1" customWidth="1"/>
    <col min="41" max="41" width="1.77734375" style="1" hidden="1" customWidth="1"/>
    <col min="42" max="43" width="8.77734375" style="1" hidden="1" customWidth="1"/>
    <col min="44" max="44" width="1.77734375" style="1" hidden="1" customWidth="1"/>
    <col min="45" max="45" width="8.77734375" style="1" customWidth="1"/>
    <col min="46" max="46" width="1.77734375" style="1" customWidth="1"/>
    <col min="47" max="16384" width="12.6640625" style="1"/>
  </cols>
  <sheetData>
    <row r="1" spans="1:46" ht="18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</row>
    <row r="2" spans="1:46" ht="18">
      <c r="A2" s="85" t="s">
        <v>173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</row>
    <row r="3" spans="1:46" ht="18">
      <c r="A3" s="84" t="s">
        <v>1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</row>
    <row r="4" spans="1:46" ht="18">
      <c r="A4" s="85" t="s">
        <v>2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</row>
    <row r="5" spans="1:46" ht="5.0999999999999996" customHeight="1">
      <c r="C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1:46" ht="15" customHeight="1">
      <c r="A6" s="67"/>
      <c r="B6" s="68" t="s">
        <v>181</v>
      </c>
      <c r="C6" s="69"/>
      <c r="D6" s="69"/>
      <c r="E6" s="69"/>
      <c r="F6" s="69"/>
      <c r="G6" s="69"/>
      <c r="H6" s="69"/>
      <c r="I6" s="70"/>
      <c r="J6" s="70"/>
      <c r="K6" s="70"/>
      <c r="L6" s="70"/>
      <c r="M6" s="55"/>
      <c r="N6" s="56"/>
      <c r="O6" s="55"/>
      <c r="P6" s="55"/>
      <c r="Q6" s="55"/>
      <c r="R6" s="57" t="s">
        <v>3</v>
      </c>
      <c r="S6" s="55"/>
      <c r="T6" s="57" t="s">
        <v>141</v>
      </c>
      <c r="U6" s="57"/>
      <c r="V6" s="57" t="s">
        <v>148</v>
      </c>
      <c r="W6" s="57"/>
      <c r="X6" s="57"/>
      <c r="Y6" s="58"/>
      <c r="Z6" s="58"/>
      <c r="AA6" s="58"/>
      <c r="AB6" s="58" t="s">
        <v>151</v>
      </c>
      <c r="AC6" s="58"/>
      <c r="AD6" s="58"/>
      <c r="AE6" s="58"/>
      <c r="AF6" s="58"/>
      <c r="AG6" s="58"/>
      <c r="AH6" s="57" t="s">
        <v>6</v>
      </c>
      <c r="AI6" s="58"/>
      <c r="AJ6" s="58"/>
      <c r="AK6" s="58"/>
      <c r="AL6" s="58"/>
      <c r="AM6" s="55"/>
      <c r="AN6" s="58"/>
      <c r="AO6" s="69"/>
      <c r="AP6" s="71" t="s">
        <v>168</v>
      </c>
      <c r="AQ6" s="69" t="s">
        <v>168</v>
      </c>
      <c r="AR6" s="69"/>
      <c r="AS6" s="71"/>
      <c r="AT6" s="72"/>
    </row>
    <row r="7" spans="1:46" ht="15" customHeight="1">
      <c r="A7" s="73"/>
      <c r="B7" s="4"/>
      <c r="C7" s="53"/>
      <c r="D7" s="4"/>
      <c r="E7" s="4"/>
      <c r="F7" s="5" t="s">
        <v>4</v>
      </c>
      <c r="G7" s="4"/>
      <c r="H7" s="5" t="s">
        <v>4</v>
      </c>
      <c r="I7" s="6"/>
      <c r="J7" s="5" t="s">
        <v>4</v>
      </c>
      <c r="K7" s="6"/>
      <c r="L7" s="5" t="s">
        <v>4</v>
      </c>
      <c r="M7" s="4"/>
      <c r="N7" s="5" t="s">
        <v>5</v>
      </c>
      <c r="O7" s="4"/>
      <c r="P7" s="5" t="s">
        <v>6</v>
      </c>
      <c r="Q7" s="5"/>
      <c r="R7" s="5" t="s">
        <v>7</v>
      </c>
      <c r="S7" s="5"/>
      <c r="T7" s="5" t="s">
        <v>7</v>
      </c>
      <c r="U7" s="5"/>
      <c r="V7" s="5" t="s">
        <v>7</v>
      </c>
      <c r="W7" s="5"/>
      <c r="X7" s="5" t="s">
        <v>4</v>
      </c>
      <c r="Y7" s="5"/>
      <c r="Z7" s="5" t="s">
        <v>142</v>
      </c>
      <c r="AA7" s="5"/>
      <c r="AB7" s="5" t="s">
        <v>150</v>
      </c>
      <c r="AC7" s="5"/>
      <c r="AD7" s="5" t="s">
        <v>5</v>
      </c>
      <c r="AE7" s="4"/>
      <c r="AF7" s="65" t="s">
        <v>171</v>
      </c>
      <c r="AG7" s="4"/>
      <c r="AH7" s="5" t="s">
        <v>5</v>
      </c>
      <c r="AI7" s="4"/>
      <c r="AJ7" s="4"/>
      <c r="AK7" s="4"/>
      <c r="AL7" s="4"/>
      <c r="AM7" s="4"/>
      <c r="AN7" s="4"/>
      <c r="AO7" s="4"/>
      <c r="AP7" s="5" t="s">
        <v>169</v>
      </c>
      <c r="AQ7" s="4" t="s">
        <v>169</v>
      </c>
      <c r="AR7" s="4"/>
      <c r="AS7" s="5" t="s">
        <v>5</v>
      </c>
      <c r="AT7" s="7"/>
    </row>
    <row r="8" spans="1:46" ht="15.75" customHeight="1">
      <c r="A8" s="73"/>
      <c r="B8" s="13"/>
      <c r="C8" s="13"/>
      <c r="D8" s="13"/>
      <c r="E8" s="13"/>
      <c r="F8" s="9" t="s">
        <v>8</v>
      </c>
      <c r="G8" s="4"/>
      <c r="H8" s="9" t="s">
        <v>9</v>
      </c>
      <c r="I8" s="6"/>
      <c r="J8" s="10">
        <v>1998</v>
      </c>
      <c r="K8" s="6"/>
      <c r="L8" s="11">
        <v>1999</v>
      </c>
      <c r="M8" s="3"/>
      <c r="N8" s="11">
        <v>2000</v>
      </c>
      <c r="O8" s="3"/>
      <c r="P8" s="11">
        <v>2001</v>
      </c>
      <c r="Q8" s="3"/>
      <c r="R8" s="11">
        <v>2000</v>
      </c>
      <c r="S8" s="3"/>
      <c r="T8" s="11">
        <v>2000</v>
      </c>
      <c r="U8" s="3"/>
      <c r="V8" s="11">
        <v>2000</v>
      </c>
      <c r="W8" s="3"/>
      <c r="X8" s="11">
        <v>2000</v>
      </c>
      <c r="Y8" s="3"/>
      <c r="Z8" s="11">
        <v>2001</v>
      </c>
      <c r="AA8" s="3"/>
      <c r="AB8" s="11">
        <v>2001</v>
      </c>
      <c r="AC8" s="3"/>
      <c r="AD8" s="11">
        <v>2001</v>
      </c>
      <c r="AE8" s="3"/>
      <c r="AF8" s="11">
        <v>2001</v>
      </c>
      <c r="AG8" s="3"/>
      <c r="AH8" s="11">
        <v>2002</v>
      </c>
      <c r="AI8" s="3"/>
      <c r="AJ8" s="11">
        <v>2003</v>
      </c>
      <c r="AK8" s="3"/>
      <c r="AL8" s="11">
        <v>2004</v>
      </c>
      <c r="AM8" s="3"/>
      <c r="AN8" s="61">
        <v>2005</v>
      </c>
      <c r="AO8" s="13"/>
      <c r="AP8" s="83">
        <v>2002</v>
      </c>
      <c r="AQ8" s="74">
        <v>2002</v>
      </c>
      <c r="AR8" s="4"/>
      <c r="AS8" s="83">
        <v>2002</v>
      </c>
      <c r="AT8" s="7"/>
    </row>
    <row r="9" spans="1:46" ht="2.1" customHeight="1">
      <c r="A9" s="7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7"/>
    </row>
    <row r="10" spans="1:46">
      <c r="A10" s="73"/>
      <c r="B10" s="4" t="s">
        <v>10</v>
      </c>
      <c r="C10" s="4"/>
      <c r="D10" s="4"/>
      <c r="E10" s="4"/>
      <c r="F10" s="4">
        <v>275.5</v>
      </c>
      <c r="G10" s="4"/>
      <c r="H10" s="4">
        <f>288</f>
        <v>288</v>
      </c>
      <c r="I10" s="4"/>
      <c r="J10" s="4"/>
      <c r="K10" s="4"/>
      <c r="L10" s="4"/>
      <c r="M10" s="4"/>
      <c r="N10" s="4"/>
      <c r="O10" s="4"/>
      <c r="P10" s="4">
        <f>313.9</f>
        <v>313.89999999999998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7"/>
    </row>
    <row r="11" spans="1:46">
      <c r="A11" s="73"/>
      <c r="B11" s="4"/>
      <c r="C11" s="4" t="s">
        <v>11</v>
      </c>
      <c r="D11" s="4"/>
      <c r="E11" s="4"/>
      <c r="F11" s="4"/>
      <c r="G11" s="4"/>
      <c r="H11" s="4"/>
      <c r="I11" s="4"/>
      <c r="J11" s="4">
        <v>128.69999999999999</v>
      </c>
      <c r="K11" s="4"/>
      <c r="L11" s="4">
        <v>129.6</v>
      </c>
      <c r="M11" s="4"/>
      <c r="N11" s="4">
        <v>129.19999999999999</v>
      </c>
      <c r="O11" s="4"/>
      <c r="P11" s="4"/>
      <c r="Q11" s="4"/>
      <c r="R11" s="4">
        <v>130.1</v>
      </c>
      <c r="S11" s="4"/>
      <c r="T11" s="4">
        <v>130.19999999999999</v>
      </c>
      <c r="U11" s="4"/>
      <c r="V11" s="4">
        <v>130.30000000000001</v>
      </c>
      <c r="W11" s="4"/>
      <c r="X11" s="4">
        <v>130.1</v>
      </c>
      <c r="Y11" s="4"/>
      <c r="Z11" s="4">
        <v>129.1</v>
      </c>
      <c r="AA11" s="4"/>
      <c r="AB11" s="4">
        <v>129.4</v>
      </c>
      <c r="AC11" s="4"/>
      <c r="AD11" s="4">
        <v>129.4</v>
      </c>
      <c r="AE11" s="4"/>
      <c r="AF11" s="4">
        <v>129.5</v>
      </c>
      <c r="AG11" s="4"/>
      <c r="AH11" s="4">
        <v>129.4</v>
      </c>
      <c r="AI11" s="4"/>
      <c r="AJ11" s="4">
        <v>129.4</v>
      </c>
      <c r="AK11" s="4"/>
      <c r="AL11" s="4">
        <v>129.69999999999999</v>
      </c>
      <c r="AM11" s="4"/>
      <c r="AN11" s="4">
        <v>129.4</v>
      </c>
      <c r="AO11" s="4"/>
      <c r="AP11" s="4">
        <f>129.4+11.4</f>
        <v>140.80000000000001</v>
      </c>
      <c r="AQ11" s="4">
        <f>129.4+1.7</f>
        <v>131.1</v>
      </c>
      <c r="AR11" s="4"/>
      <c r="AS11" s="4">
        <v>131.19999999999999</v>
      </c>
      <c r="AT11" s="7"/>
    </row>
    <row r="12" spans="1:46">
      <c r="A12" s="73"/>
      <c r="B12" s="4"/>
      <c r="C12" s="4" t="s">
        <v>12</v>
      </c>
      <c r="D12" s="4"/>
      <c r="E12" s="4"/>
      <c r="F12" s="4"/>
      <c r="G12" s="4"/>
      <c r="H12" s="4"/>
      <c r="I12" s="4"/>
      <c r="J12" s="4">
        <v>160.69999999999999</v>
      </c>
      <c r="K12" s="4"/>
      <c r="L12" s="4">
        <v>159.19999999999999</v>
      </c>
      <c r="M12" s="4"/>
      <c r="N12" s="4">
        <v>157.1</v>
      </c>
      <c r="O12" s="4"/>
      <c r="P12" s="4"/>
      <c r="Q12" s="4"/>
      <c r="R12" s="4">
        <v>158.1</v>
      </c>
      <c r="S12" s="4"/>
      <c r="T12" s="4">
        <v>158.9</v>
      </c>
      <c r="U12" s="4"/>
      <c r="V12" s="4">
        <v>159.9</v>
      </c>
      <c r="W12" s="4"/>
      <c r="X12" s="4">
        <f>160.3</f>
        <v>160.30000000000001</v>
      </c>
      <c r="Y12" s="4"/>
      <c r="Z12" s="4">
        <v>150.30000000000001</v>
      </c>
      <c r="AA12" s="4"/>
      <c r="AB12" s="4">
        <v>143.1</v>
      </c>
      <c r="AC12" s="4"/>
      <c r="AD12" s="4">
        <v>143.1</v>
      </c>
      <c r="AE12" s="4"/>
      <c r="AF12" s="4">
        <v>151</v>
      </c>
      <c r="AG12" s="4"/>
      <c r="AH12" s="4">
        <v>133.4</v>
      </c>
      <c r="AI12" s="4"/>
      <c r="AJ12" s="4">
        <v>133.30000000000001</v>
      </c>
      <c r="AK12" s="4"/>
      <c r="AL12" s="4">
        <v>133.69999999999999</v>
      </c>
      <c r="AM12" s="4"/>
      <c r="AN12" s="4">
        <v>133.30000000000001</v>
      </c>
      <c r="AO12" s="4"/>
      <c r="AP12" s="4">
        <v>133.4</v>
      </c>
      <c r="AQ12" s="4">
        <v>133.4</v>
      </c>
      <c r="AR12" s="4"/>
      <c r="AS12" s="4">
        <v>136</v>
      </c>
      <c r="AT12" s="7"/>
    </row>
    <row r="13" spans="1:46">
      <c r="A13" s="73"/>
      <c r="B13" s="4"/>
      <c r="C13" s="4" t="s">
        <v>144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>
        <v>0.7</v>
      </c>
      <c r="O13" s="4"/>
      <c r="P13" s="4"/>
      <c r="Q13" s="4"/>
      <c r="R13" s="4">
        <v>0.7</v>
      </c>
      <c r="S13" s="4"/>
      <c r="T13" s="4">
        <v>0.7</v>
      </c>
      <c r="U13" s="4"/>
      <c r="V13" s="4">
        <v>1.4</v>
      </c>
      <c r="W13" s="4"/>
      <c r="X13" s="4">
        <v>1.4</v>
      </c>
      <c r="Y13" s="4"/>
      <c r="Z13" s="4">
        <v>36.6</v>
      </c>
      <c r="AA13" s="4"/>
      <c r="AB13" s="4">
        <v>51.4</v>
      </c>
      <c r="AC13" s="4"/>
      <c r="AD13" s="4">
        <v>51.4</v>
      </c>
      <c r="AE13" s="4"/>
      <c r="AF13" s="4">
        <v>51.4</v>
      </c>
      <c r="AG13" s="4"/>
      <c r="AH13" s="4">
        <v>123.8</v>
      </c>
      <c r="AI13" s="4"/>
      <c r="AJ13" s="4">
        <v>152</v>
      </c>
      <c r="AK13" s="4"/>
      <c r="AL13" s="4">
        <v>186</v>
      </c>
      <c r="AM13" s="4"/>
      <c r="AN13" s="4">
        <v>194.7</v>
      </c>
      <c r="AO13" s="4"/>
      <c r="AP13" s="4">
        <v>123.8</v>
      </c>
      <c r="AQ13" s="4">
        <v>123.8</v>
      </c>
      <c r="AR13" s="4"/>
      <c r="AS13" s="4">
        <v>123.1</v>
      </c>
      <c r="AT13" s="7"/>
    </row>
    <row r="14" spans="1:46">
      <c r="A14" s="73"/>
      <c r="B14" s="4"/>
      <c r="C14" s="4" t="s">
        <v>13</v>
      </c>
      <c r="D14" s="4"/>
      <c r="E14" s="4"/>
      <c r="F14" s="4"/>
      <c r="G14" s="4"/>
      <c r="H14" s="4"/>
      <c r="I14" s="4"/>
      <c r="J14" s="4">
        <f>5.2</f>
        <v>5.2</v>
      </c>
      <c r="K14" s="4"/>
      <c r="L14" s="4">
        <v>8.6</v>
      </c>
      <c r="M14" s="4"/>
      <c r="N14" s="4">
        <v>7</v>
      </c>
      <c r="O14" s="4"/>
      <c r="P14" s="4"/>
      <c r="Q14" s="4"/>
      <c r="R14" s="4">
        <v>8.1</v>
      </c>
      <c r="S14" s="4"/>
      <c r="T14" s="4">
        <v>8.1999999999999993</v>
      </c>
      <c r="U14" s="4"/>
      <c r="V14" s="4">
        <v>8.4</v>
      </c>
      <c r="W14" s="4"/>
      <c r="X14" s="4">
        <v>9.1999999999999993</v>
      </c>
      <c r="Y14" s="4"/>
      <c r="Z14" s="4">
        <v>6.9</v>
      </c>
      <c r="AA14" s="4"/>
      <c r="AB14" s="4">
        <v>6.5</v>
      </c>
      <c r="AC14" s="4"/>
      <c r="AD14" s="4">
        <v>6.5</v>
      </c>
      <c r="AE14" s="4"/>
      <c r="AF14" s="4">
        <v>8.9</v>
      </c>
      <c r="AG14" s="4"/>
      <c r="AH14" s="4">
        <v>8.1</v>
      </c>
      <c r="AI14" s="4"/>
      <c r="AJ14" s="4">
        <v>8.3000000000000007</v>
      </c>
      <c r="AK14" s="4"/>
      <c r="AL14" s="4">
        <v>8.3000000000000007</v>
      </c>
      <c r="AM14" s="4"/>
      <c r="AN14" s="4">
        <v>8.1999999999999993</v>
      </c>
      <c r="AO14" s="4"/>
      <c r="AP14" s="4">
        <v>8.1</v>
      </c>
      <c r="AQ14" s="4">
        <v>8.1</v>
      </c>
      <c r="AR14" s="4"/>
      <c r="AS14" s="4">
        <v>7.7</v>
      </c>
      <c r="AT14" s="7"/>
    </row>
    <row r="15" spans="1:46">
      <c r="A15" s="73"/>
      <c r="B15" s="4"/>
      <c r="C15" s="4" t="s">
        <v>14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>
        <v>-6.6</v>
      </c>
      <c r="AE15" s="4"/>
      <c r="AF15" s="4">
        <v>-6.7</v>
      </c>
      <c r="AG15" s="4"/>
      <c r="AH15" s="4">
        <v>-6.6</v>
      </c>
      <c r="AI15" s="4"/>
      <c r="AJ15" s="4">
        <v>-6.6</v>
      </c>
      <c r="AK15" s="4"/>
      <c r="AL15" s="4">
        <v>-6.6</v>
      </c>
      <c r="AM15" s="4"/>
      <c r="AN15" s="4">
        <v>-6.6</v>
      </c>
      <c r="AO15" s="4"/>
      <c r="AP15" s="4">
        <v>-6.6</v>
      </c>
      <c r="AQ15" s="4"/>
      <c r="AR15" s="4"/>
      <c r="AS15" s="4">
        <v>-6.6</v>
      </c>
      <c r="AT15" s="7"/>
    </row>
    <row r="16" spans="1:46">
      <c r="A16" s="73"/>
      <c r="B16" s="4"/>
      <c r="C16" s="4" t="s">
        <v>172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v>12.6</v>
      </c>
      <c r="AE16" s="4"/>
      <c r="AF16" s="4">
        <v>0</v>
      </c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>
        <v>0</v>
      </c>
      <c r="AT16" s="7"/>
    </row>
    <row r="17" spans="1:46">
      <c r="A17" s="73"/>
      <c r="B17" s="4"/>
      <c r="C17" s="1" t="s">
        <v>99</v>
      </c>
      <c r="D17" s="4"/>
      <c r="E17" s="4"/>
      <c r="F17" s="4"/>
      <c r="G17" s="4"/>
      <c r="H17" s="2"/>
      <c r="I17" s="4"/>
      <c r="J17" s="2">
        <v>-7.2</v>
      </c>
      <c r="K17" s="4"/>
      <c r="L17" s="2">
        <v>-7.2</v>
      </c>
      <c r="M17" s="4"/>
      <c r="N17" s="2">
        <v>-7.2</v>
      </c>
      <c r="O17" s="4"/>
      <c r="P17" s="4"/>
      <c r="Q17" s="4"/>
      <c r="R17" s="2">
        <v>-6.7</v>
      </c>
      <c r="S17" s="4"/>
      <c r="T17" s="2">
        <v>-6.6</v>
      </c>
      <c r="U17" s="4"/>
      <c r="V17" s="2">
        <v>-6.6</v>
      </c>
      <c r="W17" s="4"/>
      <c r="X17" s="2">
        <v>-6.7</v>
      </c>
      <c r="Y17" s="4"/>
      <c r="Z17" s="2">
        <v>-7.2</v>
      </c>
      <c r="AA17" s="4"/>
      <c r="AB17" s="2">
        <v>-6.5</v>
      </c>
      <c r="AC17" s="4"/>
      <c r="AD17" s="2">
        <v>0</v>
      </c>
      <c r="AE17" s="4"/>
      <c r="AF17" s="2">
        <v>0.3</v>
      </c>
      <c r="AG17" s="4"/>
      <c r="AH17" s="2">
        <v>0</v>
      </c>
      <c r="AI17" s="4"/>
      <c r="AJ17" s="2"/>
      <c r="AK17" s="4"/>
      <c r="AL17" s="2"/>
      <c r="AM17" s="4"/>
      <c r="AN17" s="2"/>
      <c r="AO17" s="4"/>
      <c r="AP17" s="2">
        <v>0</v>
      </c>
      <c r="AQ17" s="2"/>
      <c r="AR17" s="4"/>
      <c r="AS17" s="2">
        <v>0</v>
      </c>
      <c r="AT17" s="7"/>
    </row>
    <row r="18" spans="1:46">
      <c r="A18" s="73"/>
      <c r="B18" s="4"/>
      <c r="C18" s="4" t="s">
        <v>15</v>
      </c>
      <c r="D18" s="4"/>
      <c r="E18" s="4"/>
      <c r="F18" s="4"/>
      <c r="G18" s="4"/>
      <c r="H18" s="4"/>
      <c r="I18" s="4"/>
      <c r="J18" s="4">
        <f>SUM(J11:J17)</f>
        <v>287.39999999999998</v>
      </c>
      <c r="K18" s="4"/>
      <c r="L18" s="4">
        <f>SUM(L11:L17)</f>
        <v>290.2</v>
      </c>
      <c r="M18" s="4"/>
      <c r="N18" s="4">
        <f>SUM(N11:N17)</f>
        <v>286.79999999999995</v>
      </c>
      <c r="O18" s="4"/>
      <c r="P18" s="4"/>
      <c r="Q18" s="4"/>
      <c r="R18" s="4">
        <f>SUM(R11:R17)</f>
        <v>290.3</v>
      </c>
      <c r="S18" s="4"/>
      <c r="T18" s="4">
        <f>SUM(T11:T17)</f>
        <v>291.39999999999998</v>
      </c>
      <c r="U18" s="4"/>
      <c r="V18" s="4">
        <f>SUM(V11:V17)</f>
        <v>293.39999999999998</v>
      </c>
      <c r="W18" s="4"/>
      <c r="X18" s="4">
        <f>SUM(X11:X17)</f>
        <v>294.29999999999995</v>
      </c>
      <c r="Y18" s="4"/>
      <c r="Z18" s="4">
        <f>SUM(Z11:Z17)</f>
        <v>315.7</v>
      </c>
      <c r="AA18" s="4"/>
      <c r="AB18" s="4">
        <f>SUM(AB11:AB17)</f>
        <v>323.89999999999998</v>
      </c>
      <c r="AC18" s="4"/>
      <c r="AD18" s="4">
        <f>SUM(AD11:AD17)</f>
        <v>336.4</v>
      </c>
      <c r="AE18" s="4"/>
      <c r="AF18" s="4">
        <f>SUM(AF11:AF17)</f>
        <v>334.4</v>
      </c>
      <c r="AG18" s="4"/>
      <c r="AH18" s="4">
        <f>SUM(AH11:AH17)</f>
        <v>388.1</v>
      </c>
      <c r="AI18" s="4"/>
      <c r="AJ18" s="4">
        <f>SUM(AJ11:AJ17)</f>
        <v>416.40000000000003</v>
      </c>
      <c r="AK18" s="4"/>
      <c r="AL18" s="4">
        <f>SUM(AL11:AL17)</f>
        <v>451.09999999999997</v>
      </c>
      <c r="AM18" s="4"/>
      <c r="AN18" s="4">
        <f>SUM(AN11:AN17)</f>
        <v>459</v>
      </c>
      <c r="AO18" s="4"/>
      <c r="AP18" s="4">
        <f>SUM(AP11:AP17)</f>
        <v>399.50000000000006</v>
      </c>
      <c r="AQ18" s="4">
        <f>SUM(AQ11:AQ17)</f>
        <v>396.40000000000003</v>
      </c>
      <c r="AR18" s="4"/>
      <c r="AS18" s="4">
        <f>SUM(AS11:AS17)</f>
        <v>391.39999999999992</v>
      </c>
      <c r="AT18" s="7"/>
    </row>
    <row r="19" spans="1:46" ht="15" customHeight="1">
      <c r="A19" s="73"/>
      <c r="B19" s="4" t="s">
        <v>16</v>
      </c>
      <c r="C19" s="4"/>
      <c r="D19" s="4"/>
      <c r="E19" s="4"/>
      <c r="F19" s="4">
        <v>-0.2</v>
      </c>
      <c r="G19" s="4"/>
      <c r="H19" s="4">
        <f>3.7-6-1.3</f>
        <v>-3.5999999999999996</v>
      </c>
      <c r="I19" s="4"/>
      <c r="J19" s="4">
        <v>-6.6</v>
      </c>
      <c r="K19" s="4"/>
      <c r="L19" s="4">
        <v>0.7</v>
      </c>
      <c r="M19" s="4"/>
      <c r="N19" s="4">
        <v>0.3</v>
      </c>
      <c r="O19" s="4"/>
      <c r="P19" s="4">
        <v>2.4</v>
      </c>
      <c r="Q19" s="4"/>
      <c r="R19" s="4">
        <v>0.3</v>
      </c>
      <c r="S19" s="4"/>
      <c r="T19" s="4">
        <v>0.3</v>
      </c>
      <c r="U19" s="4"/>
      <c r="V19" s="4">
        <v>0.3</v>
      </c>
      <c r="W19" s="4"/>
      <c r="X19" s="4">
        <v>0.1</v>
      </c>
      <c r="Y19" s="4"/>
      <c r="Z19" s="4"/>
      <c r="AA19" s="4"/>
      <c r="AB19" s="4">
        <v>2.6</v>
      </c>
      <c r="AC19" s="4"/>
      <c r="AD19" s="4">
        <v>2.6</v>
      </c>
      <c r="AE19" s="4"/>
      <c r="AF19" s="4">
        <v>0</v>
      </c>
      <c r="AG19" s="4"/>
      <c r="AH19" s="4">
        <v>3.7</v>
      </c>
      <c r="AI19" s="4"/>
      <c r="AJ19" s="4">
        <v>3.7</v>
      </c>
      <c r="AK19" s="4"/>
      <c r="AL19" s="4">
        <v>3.7</v>
      </c>
      <c r="AM19" s="4"/>
      <c r="AN19" s="4">
        <v>3.6</v>
      </c>
      <c r="AO19" s="4"/>
      <c r="AP19" s="4">
        <v>0</v>
      </c>
      <c r="AQ19" s="4">
        <v>0</v>
      </c>
      <c r="AR19" s="4"/>
      <c r="AS19" s="4">
        <v>0</v>
      </c>
      <c r="AT19" s="7"/>
    </row>
    <row r="20" spans="1:46">
      <c r="A20" s="73"/>
      <c r="B20" s="4" t="s">
        <v>17</v>
      </c>
      <c r="C20" s="4"/>
      <c r="D20" s="4"/>
      <c r="E20" s="4"/>
      <c r="F20" s="2">
        <v>0.1</v>
      </c>
      <c r="G20" s="4"/>
      <c r="H20" s="2">
        <v>0.5</v>
      </c>
      <c r="I20" s="4"/>
      <c r="J20" s="2">
        <v>0.2</v>
      </c>
      <c r="K20" s="4"/>
      <c r="L20" s="2">
        <v>0.2</v>
      </c>
      <c r="M20" s="4"/>
      <c r="N20" s="2">
        <v>0.2</v>
      </c>
      <c r="O20" s="4"/>
      <c r="P20" s="2">
        <v>0.5</v>
      </c>
      <c r="Q20" s="4"/>
      <c r="R20" s="2">
        <v>0.2</v>
      </c>
      <c r="S20" s="4"/>
      <c r="T20" s="2">
        <v>0.2</v>
      </c>
      <c r="U20" s="4"/>
      <c r="V20" s="2">
        <v>0.2</v>
      </c>
      <c r="W20" s="4"/>
      <c r="X20" s="2">
        <v>0.2</v>
      </c>
      <c r="Y20" s="4"/>
      <c r="Z20" s="2">
        <v>0.2</v>
      </c>
      <c r="AA20" s="4"/>
      <c r="AB20" s="2">
        <v>0.1</v>
      </c>
      <c r="AC20" s="4"/>
      <c r="AD20" s="2">
        <v>0.1</v>
      </c>
      <c r="AE20" s="4"/>
      <c r="AF20" s="2">
        <v>0.2</v>
      </c>
      <c r="AG20" s="4"/>
      <c r="AH20" s="2">
        <v>0.1</v>
      </c>
      <c r="AI20" s="4"/>
      <c r="AJ20" s="2">
        <v>0.1</v>
      </c>
      <c r="AK20" s="4"/>
      <c r="AL20" s="2">
        <v>0.1</v>
      </c>
      <c r="AM20" s="4"/>
      <c r="AN20" s="2">
        <v>0.1</v>
      </c>
      <c r="AO20" s="4"/>
      <c r="AP20" s="2">
        <v>0.1</v>
      </c>
      <c r="AQ20" s="2">
        <v>0.1</v>
      </c>
      <c r="AR20" s="4"/>
      <c r="AS20" s="2">
        <v>0.2</v>
      </c>
      <c r="AT20" s="7"/>
    </row>
    <row r="21" spans="1:46">
      <c r="A21" s="73"/>
      <c r="B21" s="4"/>
      <c r="C21" s="4" t="s">
        <v>18</v>
      </c>
      <c r="D21" s="4"/>
      <c r="E21" s="4"/>
      <c r="F21" s="4">
        <f>SUM(F10:F20)</f>
        <v>275.40000000000003</v>
      </c>
      <c r="G21" s="4"/>
      <c r="H21" s="4">
        <f>SUM(H10:H20)</f>
        <v>284.89999999999998</v>
      </c>
      <c r="I21" s="4"/>
      <c r="J21" s="4">
        <f>SUM(J18:J20)</f>
        <v>280.99999999999994</v>
      </c>
      <c r="K21" s="4"/>
      <c r="L21" s="4">
        <f>SUM(L18:L20)</f>
        <v>291.09999999999997</v>
      </c>
      <c r="M21" s="4"/>
      <c r="N21" s="4">
        <f>SUM(N18:N20)</f>
        <v>287.29999999999995</v>
      </c>
      <c r="O21" s="4"/>
      <c r="P21" s="4">
        <f>SUM(P10:P20)</f>
        <v>316.79999999999995</v>
      </c>
      <c r="Q21" s="4"/>
      <c r="R21" s="4">
        <f>SUM(R18:R20)</f>
        <v>290.8</v>
      </c>
      <c r="S21" s="4"/>
      <c r="T21" s="4">
        <f>SUM(T18:T20)</f>
        <v>291.89999999999998</v>
      </c>
      <c r="U21" s="4"/>
      <c r="V21" s="4">
        <f>SUM(V18:V20)</f>
        <v>293.89999999999998</v>
      </c>
      <c r="W21" s="4"/>
      <c r="X21" s="4">
        <f>SUM(X18:X20)</f>
        <v>294.59999999999997</v>
      </c>
      <c r="Y21" s="4"/>
      <c r="Z21" s="4">
        <f>SUM(Z18:Z20)</f>
        <v>315.89999999999998</v>
      </c>
      <c r="AA21" s="4"/>
      <c r="AB21" s="4">
        <f>SUM(AB18:AB20)</f>
        <v>326.60000000000002</v>
      </c>
      <c r="AC21" s="4"/>
      <c r="AD21" s="4">
        <f>SUM(AD18:AD20)</f>
        <v>339.1</v>
      </c>
      <c r="AE21" s="4"/>
      <c r="AF21" s="4">
        <f>SUM(AF18:AF20)</f>
        <v>334.59999999999997</v>
      </c>
      <c r="AG21" s="4"/>
      <c r="AH21" s="4">
        <f>SUM(AH18:AH20)</f>
        <v>391.90000000000003</v>
      </c>
      <c r="AI21" s="4"/>
      <c r="AJ21" s="4">
        <f>SUM(AJ18:AJ20)</f>
        <v>420.20000000000005</v>
      </c>
      <c r="AK21" s="4"/>
      <c r="AL21" s="4">
        <f>SUM(AL18:AL20)</f>
        <v>454.9</v>
      </c>
      <c r="AM21" s="4"/>
      <c r="AN21" s="4">
        <f>SUM(AN18:AN20)</f>
        <v>462.70000000000005</v>
      </c>
      <c r="AO21" s="4"/>
      <c r="AP21" s="4">
        <f>SUM(AP18:AP20)</f>
        <v>399.60000000000008</v>
      </c>
      <c r="AQ21" s="4">
        <f>SUM(AQ18:AQ20)</f>
        <v>396.50000000000006</v>
      </c>
      <c r="AR21" s="4"/>
      <c r="AS21" s="4">
        <f>SUM(AS18:AS20)</f>
        <v>391.59999999999991</v>
      </c>
      <c r="AT21" s="7"/>
    </row>
    <row r="22" spans="1:46">
      <c r="A22" s="73"/>
      <c r="B22" s="4" t="s">
        <v>19</v>
      </c>
      <c r="C22" s="4"/>
      <c r="D22" s="4"/>
      <c r="E22" s="4"/>
      <c r="F22" s="4">
        <f>-47.5-0.2</f>
        <v>-47.7</v>
      </c>
      <c r="G22" s="4"/>
      <c r="H22" s="4">
        <f>-47.2+2.8-2.8</f>
        <v>-47.2</v>
      </c>
      <c r="I22" s="4"/>
      <c r="J22" s="4">
        <f>-46.6-0.9</f>
        <v>-47.5</v>
      </c>
      <c r="K22" s="4"/>
      <c r="L22" s="4">
        <v>-48.5</v>
      </c>
      <c r="M22" s="4"/>
      <c r="N22" s="4">
        <v>-50.5</v>
      </c>
      <c r="O22" s="4"/>
      <c r="P22" s="4">
        <f>-54.1</f>
        <v>-54.1</v>
      </c>
      <c r="Q22" s="4"/>
      <c r="R22" s="4">
        <v>-50.2</v>
      </c>
      <c r="S22" s="4"/>
      <c r="T22" s="4">
        <v>-50.1</v>
      </c>
      <c r="U22" s="4"/>
      <c r="V22" s="4">
        <v>-50</v>
      </c>
      <c r="W22" s="4"/>
      <c r="X22" s="4">
        <v>-50.4</v>
      </c>
      <c r="Y22" s="4"/>
      <c r="Z22" s="4">
        <v>-54.3</v>
      </c>
      <c r="AA22" s="4"/>
      <c r="AB22" s="4">
        <v>-54.2</v>
      </c>
      <c r="AC22" s="4"/>
      <c r="AD22" s="4">
        <f>-54.4-AD23</f>
        <v>-52.9</v>
      </c>
      <c r="AE22" s="4"/>
      <c r="AF22" s="4">
        <v>-51.8</v>
      </c>
      <c r="AG22" s="4"/>
      <c r="AH22" s="4">
        <f>-61.8-AH23</f>
        <v>-60.099999999999994</v>
      </c>
      <c r="AI22" s="4"/>
      <c r="AJ22" s="4">
        <f>-67</f>
        <v>-67</v>
      </c>
      <c r="AK22" s="4"/>
      <c r="AL22" s="4">
        <f>-73.1+0.1</f>
        <v>-73</v>
      </c>
      <c r="AM22" s="4"/>
      <c r="AN22" s="4">
        <f>-75.6+0.1</f>
        <v>-75.5</v>
      </c>
      <c r="AO22" s="4"/>
      <c r="AP22" s="4">
        <f>-61.8-AP23</f>
        <v>-60.099999999999994</v>
      </c>
      <c r="AQ22" s="4">
        <f>-61.9+0.1</f>
        <v>-61.8</v>
      </c>
      <c r="AR22" s="4"/>
      <c r="AS22" s="4">
        <v>-60.3</v>
      </c>
      <c r="AT22" s="7"/>
    </row>
    <row r="23" spans="1:46">
      <c r="A23" s="73"/>
      <c r="B23" s="4" t="s">
        <v>170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>
        <v>-1.5</v>
      </c>
      <c r="AE23" s="4"/>
      <c r="AF23" s="4">
        <v>-1.4</v>
      </c>
      <c r="AG23" s="4"/>
      <c r="AH23" s="4">
        <v>-1.7</v>
      </c>
      <c r="AI23" s="4"/>
      <c r="AJ23" s="4"/>
      <c r="AK23" s="4"/>
      <c r="AL23" s="4"/>
      <c r="AM23" s="4"/>
      <c r="AN23" s="4"/>
      <c r="AO23" s="4"/>
      <c r="AP23" s="4">
        <v>-1.7</v>
      </c>
      <c r="AQ23" s="4"/>
      <c r="AR23" s="4"/>
      <c r="AS23" s="4">
        <v>-1.4</v>
      </c>
      <c r="AT23" s="7"/>
    </row>
    <row r="24" spans="1:46">
      <c r="A24" s="73"/>
      <c r="B24" s="4" t="s">
        <v>149</v>
      </c>
      <c r="C24" s="4"/>
      <c r="D24" s="4"/>
      <c r="E24" s="4"/>
      <c r="F24" s="4">
        <f>-60.9-F25</f>
        <v>-60.9</v>
      </c>
      <c r="G24" s="4"/>
      <c r="H24" s="4">
        <f>-62+1.3-H25</f>
        <v>-60.7</v>
      </c>
      <c r="I24" s="4"/>
      <c r="J24" s="4">
        <f>-59.7</f>
        <v>-59.7</v>
      </c>
      <c r="K24" s="4"/>
      <c r="L24" s="4">
        <f>-45.5-16.4</f>
        <v>-61.9</v>
      </c>
      <c r="M24" s="4"/>
      <c r="N24" s="4">
        <f>-41.5-22.1</f>
        <v>-63.6</v>
      </c>
      <c r="O24" s="4"/>
      <c r="P24" s="4">
        <f>-61.8-P25</f>
        <v>-61.8</v>
      </c>
      <c r="Q24" s="4"/>
      <c r="R24" s="4">
        <v>-41.1</v>
      </c>
      <c r="S24" s="4"/>
      <c r="T24" s="4">
        <f>-38.8</f>
        <v>-38.799999999999997</v>
      </c>
      <c r="U24" s="4"/>
      <c r="V24" s="4">
        <f>-62.1</f>
        <v>-62.1</v>
      </c>
      <c r="W24" s="4"/>
      <c r="X24" s="4">
        <v>-65</v>
      </c>
      <c r="Y24" s="4"/>
      <c r="Z24" s="4">
        <f>-43.8-22.7</f>
        <v>-66.5</v>
      </c>
      <c r="AA24" s="4"/>
      <c r="AB24" s="4">
        <v>-65.2</v>
      </c>
      <c r="AC24" s="4"/>
      <c r="AD24" s="4">
        <f>-66.2</f>
        <v>-66.2</v>
      </c>
      <c r="AE24" s="4"/>
      <c r="AF24" s="4">
        <f>-64.6+0.7</f>
        <v>-63.899999999999991</v>
      </c>
      <c r="AG24" s="4"/>
      <c r="AH24" s="4">
        <f>-66.9-0.1</f>
        <v>-67</v>
      </c>
      <c r="AI24" s="4"/>
      <c r="AJ24" s="4">
        <v>-66.5</v>
      </c>
      <c r="AK24" s="4"/>
      <c r="AL24" s="4">
        <f>-67.1-0.1</f>
        <v>-67.199999999999989</v>
      </c>
      <c r="AM24" s="4"/>
      <c r="AN24" s="4">
        <f>-67.5-0.1</f>
        <v>-67.599999999999994</v>
      </c>
      <c r="AO24" s="4"/>
      <c r="AP24" s="4">
        <f>-66.9-0.1</f>
        <v>-67</v>
      </c>
      <c r="AQ24" s="4">
        <f>-66.9-0.1</f>
        <v>-67</v>
      </c>
      <c r="AR24" s="4"/>
      <c r="AS24" s="4">
        <f>-73.5-SUM(AS26:AS29)</f>
        <v>-68.5</v>
      </c>
      <c r="AT24" s="7"/>
    </row>
    <row r="25" spans="1:46" hidden="1">
      <c r="A25" s="73"/>
      <c r="B25" s="4" t="s">
        <v>20</v>
      </c>
      <c r="C25" s="4"/>
      <c r="D25" s="4"/>
      <c r="E25" s="4"/>
      <c r="F25" s="4"/>
      <c r="G25" s="4"/>
      <c r="H25" s="4"/>
      <c r="I25" s="4"/>
      <c r="J25" s="75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7"/>
    </row>
    <row r="26" spans="1:46" ht="15" customHeight="1">
      <c r="A26" s="73"/>
      <c r="B26" s="4" t="s">
        <v>145</v>
      </c>
      <c r="C26" s="4"/>
      <c r="D26" s="4"/>
      <c r="E26" s="4"/>
      <c r="F26" s="4"/>
      <c r="G26" s="4"/>
      <c r="H26" s="4"/>
      <c r="I26" s="4"/>
      <c r="J26" s="75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>
        <v>-2.5</v>
      </c>
      <c r="AA26" s="4"/>
      <c r="AB26" s="4">
        <v>-0.7</v>
      </c>
      <c r="AC26" s="4"/>
      <c r="AD26" s="4">
        <v>-0.7</v>
      </c>
      <c r="AE26" s="4"/>
      <c r="AF26" s="4">
        <v>-0.7</v>
      </c>
      <c r="AG26" s="4"/>
      <c r="AH26" s="4">
        <v>-1.7</v>
      </c>
      <c r="AI26" s="4"/>
      <c r="AJ26" s="4">
        <v>-2.2999999999999998</v>
      </c>
      <c r="AK26" s="4"/>
      <c r="AL26" s="4">
        <v>-2.2999999999999998</v>
      </c>
      <c r="AM26" s="4"/>
      <c r="AN26" s="4">
        <v>-2.2999999999999998</v>
      </c>
      <c r="AO26" s="4"/>
      <c r="AP26" s="4">
        <v>-1.7</v>
      </c>
      <c r="AQ26" s="4">
        <v>-1.7</v>
      </c>
      <c r="AR26" s="4"/>
      <c r="AS26" s="4">
        <v>-1.7</v>
      </c>
      <c r="AT26" s="7"/>
    </row>
    <row r="27" spans="1:46" ht="15" customHeight="1">
      <c r="A27" s="73"/>
      <c r="B27" s="4" t="s">
        <v>146</v>
      </c>
      <c r="C27" s="4"/>
      <c r="D27" s="4"/>
      <c r="E27" s="4"/>
      <c r="F27" s="4"/>
      <c r="G27" s="4"/>
      <c r="H27" s="4"/>
      <c r="I27" s="4"/>
      <c r="J27" s="75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>
        <v>-1.3</v>
      </c>
      <c r="AI27" s="4"/>
      <c r="AJ27" s="4">
        <v>-2.8</v>
      </c>
      <c r="AK27" s="4"/>
      <c r="AL27" s="4">
        <v>-3.8</v>
      </c>
      <c r="AM27" s="4"/>
      <c r="AN27" s="4">
        <v>-3.8</v>
      </c>
      <c r="AO27" s="4"/>
      <c r="AP27" s="4">
        <v>-1.3</v>
      </c>
      <c r="AQ27" s="4">
        <v>-1.3</v>
      </c>
      <c r="AR27" s="4"/>
      <c r="AS27" s="4">
        <v>-1.5</v>
      </c>
      <c r="AT27" s="7"/>
    </row>
    <row r="28" spans="1:46" ht="15" customHeight="1">
      <c r="A28" s="73"/>
      <c r="B28" s="4" t="s">
        <v>147</v>
      </c>
      <c r="C28" s="4"/>
      <c r="D28" s="4"/>
      <c r="E28" s="4"/>
      <c r="F28" s="4"/>
      <c r="G28" s="4"/>
      <c r="H28" s="4"/>
      <c r="I28" s="4"/>
      <c r="J28" s="75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>
        <v>-0.3</v>
      </c>
      <c r="AK28" s="4"/>
      <c r="AL28" s="4">
        <v>-1.3</v>
      </c>
      <c r="AM28" s="4"/>
      <c r="AN28" s="4">
        <v>-1.9</v>
      </c>
      <c r="AO28" s="4"/>
      <c r="AP28" s="4"/>
      <c r="AQ28" s="4"/>
      <c r="AR28" s="4"/>
      <c r="AS28" s="4"/>
      <c r="AT28" s="7"/>
    </row>
    <row r="29" spans="1:46" ht="15" customHeight="1">
      <c r="A29" s="73"/>
      <c r="B29" s="4" t="s">
        <v>143</v>
      </c>
      <c r="C29" s="4"/>
      <c r="D29" s="4"/>
      <c r="E29" s="4"/>
      <c r="F29" s="4"/>
      <c r="G29" s="4"/>
      <c r="H29" s="4"/>
      <c r="I29" s="4"/>
      <c r="J29" s="75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>
        <v>-1.7</v>
      </c>
      <c r="AI29" s="4"/>
      <c r="AJ29" s="4">
        <v>-2.2999999999999998</v>
      </c>
      <c r="AK29" s="4"/>
      <c r="AL29" s="4">
        <v>-2.2999999999999998</v>
      </c>
      <c r="AM29" s="4"/>
      <c r="AN29" s="4">
        <v>-2.2999999999999998</v>
      </c>
      <c r="AO29" s="4"/>
      <c r="AP29" s="4">
        <v>-1.7</v>
      </c>
      <c r="AQ29" s="4">
        <v>-1.7</v>
      </c>
      <c r="AR29" s="4"/>
      <c r="AS29" s="4">
        <v>-1.8</v>
      </c>
      <c r="AT29" s="7"/>
    </row>
    <row r="30" spans="1:46">
      <c r="A30" s="73"/>
      <c r="B30" s="4" t="s">
        <v>21</v>
      </c>
      <c r="C30" s="4"/>
      <c r="D30" s="4"/>
      <c r="E30" s="4"/>
      <c r="F30" s="4">
        <v>-25</v>
      </c>
      <c r="G30" s="4"/>
      <c r="H30" s="4">
        <v>-24.7</v>
      </c>
      <c r="I30" s="4"/>
      <c r="J30" s="4">
        <v>-23.4</v>
      </c>
      <c r="K30" s="4"/>
      <c r="L30" s="4">
        <v>-25.4</v>
      </c>
      <c r="M30" s="4"/>
      <c r="N30" s="4">
        <v>-25.8</v>
      </c>
      <c r="O30" s="4"/>
      <c r="P30" s="4">
        <f>-30.2</f>
        <v>-30.2</v>
      </c>
      <c r="Q30" s="4"/>
      <c r="R30" s="4">
        <v>-25.5</v>
      </c>
      <c r="S30" s="4"/>
      <c r="T30" s="4">
        <v>-25.6</v>
      </c>
      <c r="U30" s="4"/>
      <c r="V30" s="4">
        <v>-25.5</v>
      </c>
      <c r="W30" s="4"/>
      <c r="X30" s="4">
        <v>-25.5</v>
      </c>
      <c r="Y30" s="4"/>
      <c r="Z30" s="4">
        <v>-32.1</v>
      </c>
      <c r="AA30" s="4"/>
      <c r="AB30" s="4">
        <v>-28.1</v>
      </c>
      <c r="AC30" s="4"/>
      <c r="AD30" s="4">
        <v>-28.1</v>
      </c>
      <c r="AE30" s="4"/>
      <c r="AF30" s="4">
        <v>-27.9</v>
      </c>
      <c r="AG30" s="4"/>
      <c r="AH30" s="4">
        <v>-34.4</v>
      </c>
      <c r="AI30" s="4"/>
      <c r="AJ30" s="4">
        <f>-38.6</f>
        <v>-38.6</v>
      </c>
      <c r="AK30" s="4"/>
      <c r="AL30" s="4">
        <v>-42.4</v>
      </c>
      <c r="AM30" s="4"/>
      <c r="AN30" s="4">
        <f>-44.1</f>
        <v>-44.1</v>
      </c>
      <c r="AO30" s="4"/>
      <c r="AP30" s="4">
        <v>-34.4</v>
      </c>
      <c r="AQ30" s="4">
        <v>-34.4</v>
      </c>
      <c r="AR30" s="4"/>
      <c r="AS30" s="4">
        <v>-29.3</v>
      </c>
      <c r="AT30" s="7"/>
    </row>
    <row r="31" spans="1:46" s="47" customFormat="1" ht="18">
      <c r="A31" s="76"/>
      <c r="B31" s="66"/>
      <c r="C31" s="48" t="s">
        <v>22</v>
      </c>
      <c r="D31" s="49"/>
      <c r="E31" s="49"/>
      <c r="F31" s="50">
        <f>SUM(F21:F30)</f>
        <v>141.80000000000004</v>
      </c>
      <c r="G31" s="50"/>
      <c r="H31" s="49">
        <f>SUM(H21:H30)</f>
        <v>152.30000000000001</v>
      </c>
      <c r="I31" s="49"/>
      <c r="J31" s="49">
        <f>SUM(J21:J30)</f>
        <v>150.39999999999995</v>
      </c>
      <c r="K31" s="49"/>
      <c r="L31" s="49">
        <f>SUM(L21:L30)</f>
        <v>155.29999999999995</v>
      </c>
      <c r="M31" s="49"/>
      <c r="N31" s="49">
        <f>SUM(N21:N30)</f>
        <v>147.39999999999995</v>
      </c>
      <c r="O31" s="49"/>
      <c r="P31" s="49">
        <f>SUM(P21:P30)</f>
        <v>170.69999999999993</v>
      </c>
      <c r="Q31" s="49"/>
      <c r="R31" s="49">
        <f>SUM(R21:R30)</f>
        <v>174.00000000000003</v>
      </c>
      <c r="S31" s="50"/>
      <c r="T31" s="49">
        <f>SUM(T21:T30)</f>
        <v>177.4</v>
      </c>
      <c r="U31" s="49"/>
      <c r="V31" s="49">
        <f>SUM(V21:V30)</f>
        <v>156.29999999999998</v>
      </c>
      <c r="W31" s="49"/>
      <c r="X31" s="49">
        <f>SUM(X21:X30)</f>
        <v>153.69999999999996</v>
      </c>
      <c r="Y31" s="49"/>
      <c r="Z31" s="49">
        <f>SUM(Z21:Z30)</f>
        <v>160.49999999999997</v>
      </c>
      <c r="AA31" s="49"/>
      <c r="AB31" s="49">
        <f>SUM(AB21:AB30)</f>
        <v>178.40000000000006</v>
      </c>
      <c r="AC31" s="49"/>
      <c r="AD31" s="49">
        <f>SUM(AD21:AD30)</f>
        <v>189.70000000000007</v>
      </c>
      <c r="AE31" s="49"/>
      <c r="AF31" s="49">
        <f>SUM(AF21:AF30)</f>
        <v>188.9</v>
      </c>
      <c r="AG31" s="49"/>
      <c r="AH31" s="49">
        <f>SUM(AH21:AH30)</f>
        <v>224.00000000000009</v>
      </c>
      <c r="AI31" s="49"/>
      <c r="AJ31" s="49">
        <f>SUM(AJ21:AJ30)</f>
        <v>240.4</v>
      </c>
      <c r="AK31" s="49"/>
      <c r="AL31" s="49">
        <f>SUM(AL21:AL30)</f>
        <v>262.59999999999997</v>
      </c>
      <c r="AM31" s="50"/>
      <c r="AN31" s="49">
        <f>SUM(AN21:AN30)</f>
        <v>265.2</v>
      </c>
      <c r="AO31" s="66"/>
      <c r="AP31" s="49">
        <f>SUM(AP21:AP30)</f>
        <v>231.70000000000013</v>
      </c>
      <c r="AQ31" s="49">
        <f>SUM(AQ21:AQ30)</f>
        <v>228.60000000000005</v>
      </c>
      <c r="AR31" s="66"/>
      <c r="AS31" s="49">
        <f>SUM(AS21:AS30)</f>
        <v>227.09999999999991</v>
      </c>
      <c r="AT31" s="51"/>
    </row>
    <row r="32" spans="1:46" s="47" customFormat="1" ht="15" customHeight="1">
      <c r="A32" s="73"/>
      <c r="B32" s="4" t="s">
        <v>124</v>
      </c>
      <c r="C32" s="13"/>
      <c r="D32" s="13"/>
      <c r="E32" s="13"/>
      <c r="F32" s="4"/>
      <c r="G32" s="4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4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4"/>
      <c r="AN32" s="13"/>
      <c r="AO32" s="4"/>
      <c r="AP32" s="13"/>
      <c r="AQ32" s="13"/>
      <c r="AR32" s="66"/>
      <c r="AS32" s="13"/>
      <c r="AT32" s="51"/>
    </row>
    <row r="33" spans="1:46" s="47" customFormat="1" ht="15" customHeight="1">
      <c r="A33" s="73"/>
      <c r="B33" s="4"/>
      <c r="C33" s="4" t="s">
        <v>125</v>
      </c>
      <c r="D33" s="4"/>
      <c r="E33" s="4"/>
      <c r="F33" s="4"/>
      <c r="G33" s="4"/>
      <c r="H33" s="4"/>
      <c r="I33" s="4"/>
      <c r="J33" s="4">
        <f>-89.4</f>
        <v>-89.4</v>
      </c>
      <c r="K33" s="4"/>
      <c r="L33" s="4">
        <f>-84.9+0.5</f>
        <v>-84.4</v>
      </c>
      <c r="M33" s="4"/>
      <c r="N33" s="4">
        <f>-91.9</f>
        <v>-91.9</v>
      </c>
      <c r="O33" s="4"/>
      <c r="P33" s="4">
        <f>88.3</f>
        <v>88.3</v>
      </c>
      <c r="Q33" s="4"/>
      <c r="R33" s="4">
        <v>-84.3</v>
      </c>
      <c r="S33" s="4"/>
      <c r="T33" s="4">
        <v>-86.2</v>
      </c>
      <c r="U33" s="4"/>
      <c r="V33" s="4">
        <f>-85.4</f>
        <v>-85.4</v>
      </c>
      <c r="W33" s="4"/>
      <c r="X33" s="4">
        <f>-84.3</f>
        <v>-84.3</v>
      </c>
      <c r="Y33" s="4"/>
      <c r="Z33" s="4">
        <f>-101.5-1</f>
        <v>-102.5</v>
      </c>
      <c r="AA33" s="4"/>
      <c r="AB33" s="4">
        <v>-100.7</v>
      </c>
      <c r="AC33" s="4"/>
      <c r="AD33" s="4">
        <f>-101.1</f>
        <v>-101.1</v>
      </c>
      <c r="AE33" s="4"/>
      <c r="AF33" s="4">
        <f>-93.1+0.1</f>
        <v>-93</v>
      </c>
      <c r="AG33" s="4"/>
      <c r="AH33" s="4">
        <f>-113.3</f>
        <v>-113.3</v>
      </c>
      <c r="AI33" s="4"/>
      <c r="AJ33" s="4">
        <f>-112.6</f>
        <v>-112.6</v>
      </c>
      <c r="AK33" s="4"/>
      <c r="AL33" s="4">
        <v>-107.3</v>
      </c>
      <c r="AM33" s="4"/>
      <c r="AN33" s="4">
        <v>-89.2</v>
      </c>
      <c r="AO33" s="4"/>
      <c r="AP33" s="4">
        <f>-113.3</f>
        <v>-113.3</v>
      </c>
      <c r="AQ33" s="4">
        <f>-113.3</f>
        <v>-113.3</v>
      </c>
      <c r="AR33" s="66"/>
      <c r="AS33" s="4">
        <v>-106.5</v>
      </c>
      <c r="AT33" s="51"/>
    </row>
    <row r="34" spans="1:46" s="47" customFormat="1" ht="15" customHeight="1">
      <c r="A34" s="73"/>
      <c r="B34" s="4"/>
      <c r="C34" s="4" t="s">
        <v>25</v>
      </c>
      <c r="D34" s="4"/>
      <c r="E34" s="4"/>
      <c r="F34" s="4"/>
      <c r="G34" s="4"/>
      <c r="H34" s="4"/>
      <c r="I34" s="4"/>
      <c r="J34" s="2">
        <v>1.3</v>
      </c>
      <c r="K34" s="4"/>
      <c r="L34" s="2">
        <v>2.2000000000000002</v>
      </c>
      <c r="M34" s="4"/>
      <c r="N34" s="2">
        <f>20.1</f>
        <v>20.100000000000001</v>
      </c>
      <c r="O34" s="4"/>
      <c r="P34" s="4"/>
      <c r="Q34" s="4"/>
      <c r="R34" s="2">
        <v>15.5</v>
      </c>
      <c r="S34" s="4"/>
      <c r="T34" s="2">
        <v>17.8</v>
      </c>
      <c r="U34" s="4"/>
      <c r="V34" s="2">
        <f>18.4</f>
        <v>18.399999999999999</v>
      </c>
      <c r="W34" s="4"/>
      <c r="X34" s="2">
        <f>17.4</f>
        <v>17.399999999999999</v>
      </c>
      <c r="Y34" s="4"/>
      <c r="Z34" s="2">
        <v>32.799999999999997</v>
      </c>
      <c r="AA34" s="4"/>
      <c r="AB34" s="2">
        <v>25.2</v>
      </c>
      <c r="AC34" s="4"/>
      <c r="AD34" s="2">
        <v>25.8</v>
      </c>
      <c r="AE34" s="4"/>
      <c r="AF34" s="2">
        <v>20.399999999999999</v>
      </c>
      <c r="AG34" s="4"/>
      <c r="AH34" s="2">
        <v>33.9</v>
      </c>
      <c r="AI34" s="4"/>
      <c r="AJ34" s="2">
        <f>22.9</f>
        <v>22.9</v>
      </c>
      <c r="AK34" s="4"/>
      <c r="AL34" s="2">
        <v>10.6</v>
      </c>
      <c r="AM34" s="4"/>
      <c r="AN34" s="2"/>
      <c r="AO34" s="4"/>
      <c r="AP34" s="2">
        <v>33.9</v>
      </c>
      <c r="AQ34" s="2">
        <v>33.9</v>
      </c>
      <c r="AR34" s="66"/>
      <c r="AS34" s="2">
        <v>20.6</v>
      </c>
      <c r="AT34" s="51"/>
    </row>
    <row r="35" spans="1:46" s="47" customFormat="1" ht="15" customHeight="1">
      <c r="A35" s="73"/>
      <c r="B35" s="4"/>
      <c r="C35" s="4" t="s">
        <v>126</v>
      </c>
      <c r="D35" s="4"/>
      <c r="E35" s="4"/>
      <c r="F35" s="4"/>
      <c r="G35" s="4"/>
      <c r="H35" s="4"/>
      <c r="I35" s="4"/>
      <c r="J35" s="2">
        <f>SUM(J33:J34)</f>
        <v>-88.100000000000009</v>
      </c>
      <c r="K35" s="4"/>
      <c r="L35" s="2">
        <f>SUM(L33:L34)</f>
        <v>-82.2</v>
      </c>
      <c r="M35" s="4"/>
      <c r="N35" s="2">
        <f>SUM(N33:N34)</f>
        <v>-71.800000000000011</v>
      </c>
      <c r="O35" s="4"/>
      <c r="P35" s="4"/>
      <c r="Q35" s="4"/>
      <c r="R35" s="2">
        <f>SUM(R33:R34)</f>
        <v>-68.8</v>
      </c>
      <c r="S35" s="4"/>
      <c r="T35" s="2">
        <f>SUM(T33:T34)</f>
        <v>-68.400000000000006</v>
      </c>
      <c r="U35" s="4"/>
      <c r="V35" s="2">
        <f>SUM(V33:V34)</f>
        <v>-67</v>
      </c>
      <c r="W35" s="4"/>
      <c r="X35" s="2">
        <f>SUM(X33:X34)</f>
        <v>-66.900000000000006</v>
      </c>
      <c r="Y35" s="4"/>
      <c r="Z35" s="2">
        <f>SUM(Z33:Z34)</f>
        <v>-69.7</v>
      </c>
      <c r="AA35" s="4"/>
      <c r="AB35" s="2">
        <f>SUM(AB33:AB34)</f>
        <v>-75.5</v>
      </c>
      <c r="AC35" s="4"/>
      <c r="AD35" s="2">
        <f>SUM(AD33:AD34)</f>
        <v>-75.3</v>
      </c>
      <c r="AE35" s="4"/>
      <c r="AF35" s="2">
        <f>SUM(AF33:AF34)</f>
        <v>-72.599999999999994</v>
      </c>
      <c r="AG35" s="4"/>
      <c r="AH35" s="2">
        <f>SUM(AH33:AH34)</f>
        <v>-79.400000000000006</v>
      </c>
      <c r="AI35" s="4"/>
      <c r="AJ35" s="2">
        <f>SUM(AJ33:AJ34)</f>
        <v>-89.699999999999989</v>
      </c>
      <c r="AK35" s="4"/>
      <c r="AL35" s="2">
        <f>SUM(AL33:AL34)</f>
        <v>-96.7</v>
      </c>
      <c r="AM35" s="4"/>
      <c r="AN35" s="2">
        <f>SUM(AN33:AN34)</f>
        <v>-89.2</v>
      </c>
      <c r="AO35" s="4"/>
      <c r="AP35" s="2">
        <f>SUM(AP33:AP34)</f>
        <v>-79.400000000000006</v>
      </c>
      <c r="AQ35" s="2">
        <f>SUM(AQ33:AQ34)</f>
        <v>-79.400000000000006</v>
      </c>
      <c r="AR35" s="66"/>
      <c r="AS35" s="2">
        <f>SUM(AS33:AS34)</f>
        <v>-85.9</v>
      </c>
      <c r="AT35" s="51"/>
    </row>
    <row r="36" spans="1:46" s="47" customFormat="1" ht="15" customHeight="1">
      <c r="A36" s="73"/>
      <c r="B36" s="13" t="s">
        <v>127</v>
      </c>
      <c r="C36" s="4"/>
      <c r="D36" s="4"/>
      <c r="E36" s="4"/>
      <c r="F36" s="4"/>
      <c r="G36" s="4"/>
      <c r="H36" s="4"/>
      <c r="I36" s="4"/>
      <c r="J36" s="2">
        <f>J31+J35</f>
        <v>62.29999999999994</v>
      </c>
      <c r="K36" s="4"/>
      <c r="L36" s="2">
        <f>L31+L35</f>
        <v>73.099999999999952</v>
      </c>
      <c r="M36" s="4"/>
      <c r="N36" s="2">
        <f>N31+N35</f>
        <v>75.599999999999937</v>
      </c>
      <c r="O36" s="4"/>
      <c r="P36" s="4"/>
      <c r="Q36" s="4"/>
      <c r="R36" s="2">
        <f>R31+R35</f>
        <v>105.20000000000003</v>
      </c>
      <c r="S36" s="4"/>
      <c r="T36" s="2">
        <f>T31+T35</f>
        <v>109</v>
      </c>
      <c r="U36" s="4"/>
      <c r="V36" s="2">
        <f>V31+V35</f>
        <v>89.299999999999983</v>
      </c>
      <c r="W36" s="4"/>
      <c r="X36" s="2">
        <f>X31+X35</f>
        <v>86.799999999999955</v>
      </c>
      <c r="Y36" s="4"/>
      <c r="Z36" s="2">
        <f>Z31+Z35</f>
        <v>90.799999999999969</v>
      </c>
      <c r="AA36" s="4"/>
      <c r="AB36" s="2">
        <f>AB31+AB35</f>
        <v>102.90000000000006</v>
      </c>
      <c r="AC36" s="4"/>
      <c r="AD36" s="2">
        <f>AD31+AD35</f>
        <v>114.40000000000008</v>
      </c>
      <c r="AE36" s="4"/>
      <c r="AF36" s="2">
        <f>AF31+AF35</f>
        <v>116.30000000000001</v>
      </c>
      <c r="AG36" s="4"/>
      <c r="AH36" s="2">
        <f>AH31+AH35</f>
        <v>144.60000000000008</v>
      </c>
      <c r="AI36" s="4"/>
      <c r="AJ36" s="2">
        <f>AJ31+AJ35</f>
        <v>150.70000000000002</v>
      </c>
      <c r="AK36" s="4"/>
      <c r="AL36" s="2">
        <f>AL31+AL35</f>
        <v>165.89999999999998</v>
      </c>
      <c r="AM36" s="4"/>
      <c r="AN36" s="2">
        <f>AN31+AN35</f>
        <v>176</v>
      </c>
      <c r="AO36" s="4"/>
      <c r="AP36" s="2">
        <f>AP31+AP35</f>
        <v>152.30000000000013</v>
      </c>
      <c r="AQ36" s="2">
        <f>AQ31+AQ35</f>
        <v>149.20000000000005</v>
      </c>
      <c r="AR36" s="66"/>
      <c r="AS36" s="2">
        <f>AS31+AS35</f>
        <v>141.1999999999999</v>
      </c>
      <c r="AT36" s="51"/>
    </row>
    <row r="37" spans="1:46" ht="15" customHeight="1">
      <c r="A37" s="73"/>
      <c r="B37" s="4" t="s">
        <v>128</v>
      </c>
      <c r="C37" s="4"/>
      <c r="D37" s="13"/>
      <c r="E37" s="13"/>
      <c r="F37" s="4"/>
      <c r="G37" s="4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4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4"/>
      <c r="AN37" s="13"/>
      <c r="AO37" s="4"/>
      <c r="AP37" s="13"/>
      <c r="AQ37" s="13"/>
      <c r="AR37" s="4"/>
      <c r="AS37" s="13"/>
      <c r="AT37" s="7"/>
    </row>
    <row r="38" spans="1:46" ht="15" customHeight="1">
      <c r="A38" s="73"/>
      <c r="B38" s="4"/>
      <c r="C38" s="4" t="s">
        <v>129</v>
      </c>
      <c r="D38" s="4"/>
      <c r="E38" s="4"/>
      <c r="F38" s="4">
        <v>7.4</v>
      </c>
      <c r="G38" s="4"/>
      <c r="H38" s="4">
        <f>20.5</f>
        <v>20.5</v>
      </c>
      <c r="I38" s="4"/>
      <c r="J38" s="4">
        <v>0.5</v>
      </c>
      <c r="K38" s="4"/>
      <c r="L38" s="4">
        <v>1</v>
      </c>
      <c r="M38" s="4"/>
      <c r="N38" s="4">
        <v>3.1</v>
      </c>
      <c r="O38" s="4"/>
      <c r="P38" s="4">
        <v>0.7</v>
      </c>
      <c r="Q38" s="4"/>
      <c r="R38" s="4">
        <v>0</v>
      </c>
      <c r="S38" s="4"/>
      <c r="T38" s="4">
        <v>0.5</v>
      </c>
      <c r="U38" s="4"/>
      <c r="V38" s="4">
        <v>0.5</v>
      </c>
      <c r="W38" s="4"/>
      <c r="X38" s="4">
        <v>0.5</v>
      </c>
      <c r="Y38" s="4"/>
      <c r="Z38" s="4">
        <v>0.7</v>
      </c>
      <c r="AA38" s="4"/>
      <c r="AB38" s="4"/>
      <c r="AC38" s="4"/>
      <c r="AD38" s="4">
        <v>0.5</v>
      </c>
      <c r="AE38" s="4"/>
      <c r="AF38" s="4">
        <v>0</v>
      </c>
      <c r="AG38" s="4"/>
      <c r="AH38" s="4">
        <v>0.5</v>
      </c>
      <c r="AI38" s="4"/>
      <c r="AJ38" s="4">
        <v>0.5</v>
      </c>
      <c r="AK38" s="4"/>
      <c r="AL38" s="4">
        <v>0.5</v>
      </c>
      <c r="AM38" s="4"/>
      <c r="AN38" s="4">
        <v>0.5</v>
      </c>
      <c r="AO38" s="4"/>
      <c r="AP38" s="4">
        <v>0</v>
      </c>
      <c r="AQ38" s="4">
        <v>0</v>
      </c>
      <c r="AR38" s="4"/>
      <c r="AS38" s="4">
        <v>0</v>
      </c>
      <c r="AT38" s="7"/>
    </row>
    <row r="39" spans="1:46">
      <c r="A39" s="73"/>
      <c r="B39" s="4"/>
      <c r="C39" s="4" t="s">
        <v>130</v>
      </c>
      <c r="D39" s="4"/>
      <c r="E39" s="4"/>
      <c r="F39" s="4"/>
      <c r="G39" s="4"/>
      <c r="H39" s="4">
        <v>-3.4</v>
      </c>
      <c r="I39" s="4"/>
      <c r="J39" s="4">
        <v>-4.0999999999999996</v>
      </c>
      <c r="K39" s="4"/>
      <c r="L39" s="4">
        <v>-4.0999999999999996</v>
      </c>
      <c r="M39" s="4"/>
      <c r="N39" s="4">
        <v>-4.0999999999999996</v>
      </c>
      <c r="O39" s="4"/>
      <c r="P39" s="4">
        <v>-3.1</v>
      </c>
      <c r="Q39" s="4"/>
      <c r="R39" s="4">
        <v>-4.0999999999999996</v>
      </c>
      <c r="S39" s="4"/>
      <c r="T39" s="4">
        <v>-4.0999999999999996</v>
      </c>
      <c r="U39" s="4"/>
      <c r="V39" s="4">
        <v>-4.0999999999999996</v>
      </c>
      <c r="W39" s="4"/>
      <c r="X39" s="4">
        <v>-4.0999999999999996</v>
      </c>
      <c r="Y39" s="4"/>
      <c r="Z39" s="4">
        <v>-3.1</v>
      </c>
      <c r="AA39" s="4"/>
      <c r="AB39" s="4">
        <v>-3.1</v>
      </c>
      <c r="AC39" s="4"/>
      <c r="AD39" s="4">
        <v>-3.1</v>
      </c>
      <c r="AE39" s="4"/>
      <c r="AF39" s="4">
        <v>-3.1</v>
      </c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>
        <v>0</v>
      </c>
      <c r="AT39" s="7"/>
    </row>
    <row r="40" spans="1:46">
      <c r="A40" s="73"/>
      <c r="B40" s="4"/>
      <c r="C40" s="4" t="s">
        <v>161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>
        <v>2</v>
      </c>
      <c r="W40" s="4"/>
      <c r="X40" s="4">
        <v>1.8</v>
      </c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7"/>
    </row>
    <row r="41" spans="1:46">
      <c r="A41" s="73"/>
      <c r="B41" s="4"/>
      <c r="C41" s="4" t="s">
        <v>131</v>
      </c>
      <c r="D41" s="4"/>
      <c r="E41" s="4"/>
      <c r="F41" s="4"/>
      <c r="G41" s="4"/>
      <c r="H41" s="4"/>
      <c r="I41" s="4"/>
      <c r="J41" s="2"/>
      <c r="K41" s="4"/>
      <c r="L41" s="2"/>
      <c r="M41" s="4"/>
      <c r="N41" s="2">
        <v>-0.6</v>
      </c>
      <c r="O41" s="4"/>
      <c r="P41" s="4"/>
      <c r="Q41" s="4"/>
      <c r="R41" s="2">
        <v>-0.6</v>
      </c>
      <c r="S41" s="4"/>
      <c r="T41" s="2">
        <v>-0.6</v>
      </c>
      <c r="U41" s="4"/>
      <c r="V41" s="2">
        <v>-0.6</v>
      </c>
      <c r="W41" s="4"/>
      <c r="X41" s="2">
        <v>-0.6</v>
      </c>
      <c r="Y41" s="4"/>
      <c r="Z41" s="2">
        <v>-0.6</v>
      </c>
      <c r="AA41" s="4"/>
      <c r="AB41" s="2">
        <v>-0.6</v>
      </c>
      <c r="AC41" s="4"/>
      <c r="AD41" s="2">
        <v>-0.6</v>
      </c>
      <c r="AE41" s="4"/>
      <c r="AF41" s="2">
        <v>-0.6</v>
      </c>
      <c r="AG41" s="4"/>
      <c r="AH41" s="2">
        <v>-0.6</v>
      </c>
      <c r="AI41" s="4"/>
      <c r="AJ41" s="2"/>
      <c r="AK41" s="4"/>
      <c r="AL41" s="2"/>
      <c r="AM41" s="4"/>
      <c r="AN41" s="2"/>
      <c r="AO41" s="4"/>
      <c r="AP41" s="2">
        <v>-0.6</v>
      </c>
      <c r="AQ41" s="2">
        <v>-0.6</v>
      </c>
      <c r="AR41" s="4"/>
      <c r="AS41" s="2">
        <v>-0.6</v>
      </c>
      <c r="AT41" s="7"/>
    </row>
    <row r="42" spans="1:46">
      <c r="A42" s="73"/>
      <c r="B42" s="4"/>
      <c r="C42" s="4" t="s">
        <v>132</v>
      </c>
      <c r="D42" s="4"/>
      <c r="E42" s="4"/>
      <c r="F42" s="4"/>
      <c r="G42" s="4"/>
      <c r="H42" s="4"/>
      <c r="I42" s="4"/>
      <c r="J42" s="2">
        <f>SUM(J38:J41)</f>
        <v>-3.5999999999999996</v>
      </c>
      <c r="K42" s="4"/>
      <c r="L42" s="2">
        <f>SUM(L38:L41)</f>
        <v>-3.0999999999999996</v>
      </c>
      <c r="M42" s="4"/>
      <c r="N42" s="2">
        <f>SUM(N38:N41)</f>
        <v>-1.5999999999999996</v>
      </c>
      <c r="O42" s="4"/>
      <c r="P42" s="4"/>
      <c r="Q42" s="4"/>
      <c r="R42" s="2">
        <f>SUM(R38:R41)</f>
        <v>-4.6999999999999993</v>
      </c>
      <c r="S42" s="4"/>
      <c r="T42" s="2">
        <f>SUM(T38:T41)</f>
        <v>-4.1999999999999993</v>
      </c>
      <c r="U42" s="4"/>
      <c r="V42" s="2">
        <f>SUM(V38:V41)</f>
        <v>-2.1999999999999997</v>
      </c>
      <c r="W42" s="4"/>
      <c r="X42" s="2">
        <f>SUM(X38:X41)</f>
        <v>-2.3999999999999995</v>
      </c>
      <c r="Y42" s="4"/>
      <c r="Z42" s="2">
        <f>SUM(Z38:Z41)</f>
        <v>-3.0000000000000004</v>
      </c>
      <c r="AA42" s="4"/>
      <c r="AB42" s="2">
        <f>SUM(AB38:AB41)</f>
        <v>-3.7</v>
      </c>
      <c r="AC42" s="4"/>
      <c r="AD42" s="2">
        <f>SUM(AD38:AD41)</f>
        <v>-3.2</v>
      </c>
      <c r="AE42" s="4"/>
      <c r="AF42" s="2">
        <f>SUM(AF38:AF41)</f>
        <v>-3.7</v>
      </c>
      <c r="AG42" s="4"/>
      <c r="AH42" s="2">
        <f>SUM(AH38:AH41)</f>
        <v>-9.9999999999999978E-2</v>
      </c>
      <c r="AI42" s="4"/>
      <c r="AJ42" s="2">
        <f>SUM(AJ38:AJ41)</f>
        <v>0.5</v>
      </c>
      <c r="AK42" s="4"/>
      <c r="AL42" s="2">
        <f>SUM(AL38:AL41)</f>
        <v>0.5</v>
      </c>
      <c r="AM42" s="4"/>
      <c r="AN42" s="2">
        <f>SUM(AN38:AN41)</f>
        <v>0.5</v>
      </c>
      <c r="AO42" s="4"/>
      <c r="AP42" s="2">
        <f>SUM(AP38:AP41)</f>
        <v>-0.6</v>
      </c>
      <c r="AQ42" s="2">
        <f>SUM(AQ38:AQ41)</f>
        <v>-0.6</v>
      </c>
      <c r="AR42" s="4"/>
      <c r="AS42" s="2">
        <f>SUM(AS38:AS41)</f>
        <v>-0.6</v>
      </c>
      <c r="AT42" s="7"/>
    </row>
    <row r="43" spans="1:46" ht="6" customHeight="1">
      <c r="A43" s="7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7"/>
    </row>
    <row r="44" spans="1:46" ht="15" customHeight="1">
      <c r="A44" s="73"/>
      <c r="B44" s="4"/>
      <c r="C44" s="4" t="s">
        <v>23</v>
      </c>
      <c r="D44" s="4"/>
      <c r="E44" s="4"/>
      <c r="F44" s="4">
        <v>12.8</v>
      </c>
      <c r="G44" s="4"/>
      <c r="H44" s="4">
        <v>5.9</v>
      </c>
      <c r="I44" s="4"/>
      <c r="J44" s="4">
        <v>17.3</v>
      </c>
      <c r="K44" s="4"/>
      <c r="L44" s="4">
        <v>9</v>
      </c>
      <c r="M44" s="4"/>
      <c r="N44" s="4">
        <v>9</v>
      </c>
      <c r="O44" s="4"/>
      <c r="P44" s="4">
        <v>9</v>
      </c>
      <c r="Q44" s="4"/>
      <c r="R44" s="4">
        <v>9</v>
      </c>
      <c r="S44" s="4"/>
      <c r="T44" s="4">
        <v>5.2</v>
      </c>
      <c r="U44" s="4"/>
      <c r="V44" s="4">
        <v>6</v>
      </c>
      <c r="W44" s="4"/>
      <c r="X44" s="4">
        <v>6</v>
      </c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7"/>
    </row>
    <row r="45" spans="1:46" ht="15" customHeight="1">
      <c r="A45" s="73"/>
      <c r="B45" s="4"/>
      <c r="C45" s="4" t="s">
        <v>182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>
        <v>46</v>
      </c>
      <c r="O45" s="4"/>
      <c r="P45" s="4"/>
      <c r="Q45" s="4"/>
      <c r="R45" s="4">
        <v>0</v>
      </c>
      <c r="S45" s="4"/>
      <c r="T45" s="4">
        <v>31</v>
      </c>
      <c r="U45" s="4"/>
      <c r="V45" s="4">
        <v>30.7</v>
      </c>
      <c r="W45" s="4"/>
      <c r="X45" s="4">
        <f>49.2</f>
        <v>49.2</v>
      </c>
      <c r="Y45" s="4"/>
      <c r="Z45" s="4">
        <v>1</v>
      </c>
      <c r="AA45" s="4"/>
      <c r="AB45" s="4">
        <v>3</v>
      </c>
      <c r="AC45" s="4"/>
      <c r="AD45" s="4">
        <v>3</v>
      </c>
      <c r="AE45" s="4"/>
      <c r="AF45" s="4">
        <v>5.4</v>
      </c>
      <c r="AG45" s="4"/>
      <c r="AH45" s="4">
        <v>3</v>
      </c>
      <c r="AI45" s="4"/>
      <c r="AJ45" s="4">
        <v>3</v>
      </c>
      <c r="AK45" s="4"/>
      <c r="AL45" s="4">
        <v>3</v>
      </c>
      <c r="AM45" s="4"/>
      <c r="AN45" s="4">
        <v>2.1</v>
      </c>
      <c r="AO45" s="4"/>
      <c r="AP45" s="4">
        <v>4.8</v>
      </c>
      <c r="AQ45" s="4">
        <v>4.8</v>
      </c>
      <c r="AR45" s="4"/>
      <c r="AS45" s="4">
        <v>4.5999999999999996</v>
      </c>
      <c r="AT45" s="7"/>
    </row>
    <row r="46" spans="1:46" ht="15.75">
      <c r="A46" s="73"/>
      <c r="B46" s="4"/>
      <c r="C46" s="4" t="s">
        <v>133</v>
      </c>
      <c r="D46" s="4"/>
      <c r="E46" s="4"/>
      <c r="F46" s="4"/>
      <c r="G46" s="13"/>
      <c r="H46" s="4"/>
      <c r="I46" s="4"/>
      <c r="J46" s="2"/>
      <c r="K46" s="4"/>
      <c r="L46" s="2">
        <f>12</f>
        <v>12</v>
      </c>
      <c r="M46" s="4"/>
      <c r="N46" s="2"/>
      <c r="O46" s="4"/>
      <c r="P46" s="4"/>
      <c r="Q46" s="4"/>
      <c r="R46" s="2">
        <v>10.199999999999999</v>
      </c>
      <c r="S46" s="4"/>
      <c r="T46" s="2">
        <v>10.199999999999999</v>
      </c>
      <c r="U46" s="4"/>
      <c r="V46" s="2">
        <v>10.199999999999999</v>
      </c>
      <c r="W46" s="4"/>
      <c r="X46" s="2">
        <v>10.199999999999999</v>
      </c>
      <c r="Y46" s="4"/>
      <c r="Z46" s="2"/>
      <c r="AA46" s="4"/>
      <c r="AB46" s="2"/>
      <c r="AC46" s="4"/>
      <c r="AD46" s="2"/>
      <c r="AE46" s="4"/>
      <c r="AF46" s="2"/>
      <c r="AG46" s="4"/>
      <c r="AH46" s="2"/>
      <c r="AI46" s="4"/>
      <c r="AJ46" s="2"/>
      <c r="AK46" s="4"/>
      <c r="AL46" s="2"/>
      <c r="AM46" s="4"/>
      <c r="AN46" s="2"/>
      <c r="AO46" s="4"/>
      <c r="AP46" s="2"/>
      <c r="AQ46" s="2"/>
      <c r="AR46" s="4"/>
      <c r="AS46" s="2"/>
      <c r="AT46" s="7"/>
    </row>
    <row r="47" spans="1:46" ht="15.75" customHeight="1">
      <c r="A47" s="73"/>
      <c r="B47" s="4"/>
      <c r="C47" s="4" t="s">
        <v>134</v>
      </c>
      <c r="D47" s="4"/>
      <c r="E47" s="4"/>
      <c r="F47" s="4"/>
      <c r="G47" s="13"/>
      <c r="H47" s="4"/>
      <c r="I47" s="4"/>
      <c r="J47" s="2">
        <f>SUM(J44:J46)</f>
        <v>17.3</v>
      </c>
      <c r="K47" s="4"/>
      <c r="L47" s="2">
        <f>SUM(L44:L46)</f>
        <v>21</v>
      </c>
      <c r="M47" s="4"/>
      <c r="N47" s="2">
        <f>SUM(N44:N46)</f>
        <v>55</v>
      </c>
      <c r="O47" s="4"/>
      <c r="P47" s="4"/>
      <c r="Q47" s="4"/>
      <c r="R47" s="2">
        <f>SUM(R44:R46)</f>
        <v>19.2</v>
      </c>
      <c r="S47" s="4"/>
      <c r="T47" s="2">
        <f>SUM(T44:T46)</f>
        <v>46.400000000000006</v>
      </c>
      <c r="U47" s="4"/>
      <c r="V47" s="2">
        <f>SUM(V44:V46)</f>
        <v>46.900000000000006</v>
      </c>
      <c r="W47" s="4"/>
      <c r="X47" s="2">
        <f>SUM(X44:X46)</f>
        <v>65.400000000000006</v>
      </c>
      <c r="Y47" s="4"/>
      <c r="Z47" s="2">
        <f>SUM(Z44:Z46)</f>
        <v>1</v>
      </c>
      <c r="AA47" s="4"/>
      <c r="AB47" s="2">
        <f>SUM(AB44:AB46)</f>
        <v>3</v>
      </c>
      <c r="AC47" s="4"/>
      <c r="AD47" s="2">
        <f>SUM(AD44:AD46)</f>
        <v>3</v>
      </c>
      <c r="AE47" s="4"/>
      <c r="AF47" s="2">
        <f>SUM(AF44:AF46)</f>
        <v>5.4</v>
      </c>
      <c r="AG47" s="4"/>
      <c r="AH47" s="2">
        <f>SUM(AH44:AH46)</f>
        <v>3</v>
      </c>
      <c r="AI47" s="4"/>
      <c r="AJ47" s="2">
        <f>SUM(AJ44:AJ46)</f>
        <v>3</v>
      </c>
      <c r="AK47" s="4"/>
      <c r="AL47" s="2">
        <f>SUM(AL44:AL46)</f>
        <v>3</v>
      </c>
      <c r="AM47" s="4"/>
      <c r="AN47" s="2">
        <f>SUM(AN44:AN46)</f>
        <v>2.1</v>
      </c>
      <c r="AO47" s="4"/>
      <c r="AP47" s="2">
        <f>SUM(AP44:AP46)</f>
        <v>4.8</v>
      </c>
      <c r="AQ47" s="2">
        <f>SUM(AQ44:AQ46)</f>
        <v>4.8</v>
      </c>
      <c r="AR47" s="4"/>
      <c r="AS47" s="2">
        <f>SUM(AS44:AS46)</f>
        <v>4.5999999999999996</v>
      </c>
      <c r="AT47" s="7"/>
    </row>
    <row r="48" spans="1:46" ht="5.0999999999999996" customHeight="1">
      <c r="A48" s="73"/>
      <c r="B48" s="4"/>
      <c r="C48" s="4"/>
      <c r="D48" s="4"/>
      <c r="E48" s="4"/>
      <c r="F48" s="4"/>
      <c r="G48" s="1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7"/>
    </row>
    <row r="49" spans="1:46" ht="15" customHeight="1">
      <c r="A49" s="73"/>
      <c r="B49" s="4"/>
      <c r="C49" s="4" t="s">
        <v>24</v>
      </c>
      <c r="D49" s="4"/>
      <c r="E49" s="4"/>
      <c r="F49" s="4"/>
      <c r="G49" s="4"/>
      <c r="H49" s="4"/>
      <c r="I49" s="4"/>
      <c r="J49" s="4"/>
      <c r="K49" s="4"/>
      <c r="L49" s="4">
        <v>-0.5</v>
      </c>
      <c r="M49" s="13"/>
      <c r="N49" s="4">
        <f>9.4</f>
        <v>9.4</v>
      </c>
      <c r="O49" s="13"/>
      <c r="P49" s="4"/>
      <c r="Q49" s="4"/>
      <c r="R49" s="4">
        <v>129</v>
      </c>
      <c r="S49" s="4"/>
      <c r="T49" s="4">
        <v>-1.4</v>
      </c>
      <c r="U49" s="4"/>
      <c r="V49" s="4">
        <f>-1.3</f>
        <v>-1.3</v>
      </c>
      <c r="W49" s="4"/>
      <c r="X49" s="4">
        <v>-1.4</v>
      </c>
      <c r="Y49" s="4"/>
      <c r="Z49" s="4">
        <v>14.3</v>
      </c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7"/>
    </row>
    <row r="50" spans="1:46" ht="5.0999999999999996" customHeight="1">
      <c r="A50" s="7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13"/>
      <c r="N50" s="4"/>
      <c r="O50" s="13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7"/>
    </row>
    <row r="51" spans="1:46" ht="15.75" customHeight="1">
      <c r="A51" s="73"/>
      <c r="B51" s="4"/>
      <c r="C51" s="4" t="s">
        <v>135</v>
      </c>
      <c r="D51" s="4"/>
      <c r="E51" s="4"/>
      <c r="F51" s="4">
        <v>7.7</v>
      </c>
      <c r="G51" s="4"/>
      <c r="H51" s="4">
        <v>-8.3000000000000007</v>
      </c>
      <c r="I51" s="4"/>
      <c r="J51" s="4">
        <f>-1.3</f>
        <v>-1.3</v>
      </c>
      <c r="K51" s="4"/>
      <c r="L51" s="4">
        <f>-10.1+1.2</f>
        <v>-8.9</v>
      </c>
      <c r="M51" s="13"/>
      <c r="N51" s="4">
        <v>15</v>
      </c>
      <c r="O51" s="13"/>
      <c r="P51" s="4"/>
      <c r="Q51" s="4"/>
      <c r="R51" s="4">
        <f>12.7-1.4</f>
        <v>11.299999999999999</v>
      </c>
      <c r="S51" s="4"/>
      <c r="T51" s="4">
        <v>15</v>
      </c>
      <c r="U51" s="4"/>
      <c r="V51" s="4">
        <v>14.5</v>
      </c>
      <c r="W51" s="4"/>
      <c r="X51" s="4">
        <f>13.8</f>
        <v>13.8</v>
      </c>
      <c r="Y51" s="4"/>
      <c r="Z51" s="4"/>
      <c r="AA51" s="4"/>
      <c r="AB51" s="4"/>
      <c r="AC51" s="4"/>
      <c r="AD51" s="4"/>
      <c r="AE51" s="4"/>
      <c r="AF51" s="4">
        <v>11.1</v>
      </c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7"/>
    </row>
    <row r="52" spans="1:46" ht="15.75">
      <c r="A52" s="73"/>
      <c r="B52" s="4"/>
      <c r="C52" s="43" t="s">
        <v>136</v>
      </c>
      <c r="D52" s="42"/>
      <c r="E52" s="42"/>
      <c r="F52" s="42"/>
      <c r="G52" s="42"/>
      <c r="H52" s="42"/>
      <c r="I52" s="42"/>
      <c r="J52" s="44">
        <f>J42+J47+J49+J51</f>
        <v>12.4</v>
      </c>
      <c r="K52" s="44"/>
      <c r="L52" s="44">
        <f>L42+L47+L49+L51</f>
        <v>8.4999999999999982</v>
      </c>
      <c r="M52" s="44"/>
      <c r="N52" s="44">
        <f>N42+N47+N49+N51</f>
        <v>77.8</v>
      </c>
      <c r="O52" s="44"/>
      <c r="P52" s="44"/>
      <c r="Q52" s="44"/>
      <c r="R52" s="44">
        <f>R42+R47+R49+R51</f>
        <v>154.80000000000001</v>
      </c>
      <c r="S52" s="44"/>
      <c r="T52" s="44">
        <f>T42+T47+T49+T51</f>
        <v>55.800000000000004</v>
      </c>
      <c r="U52" s="44"/>
      <c r="V52" s="44">
        <f>V42+V47+V49+V51</f>
        <v>57.900000000000006</v>
      </c>
      <c r="W52" s="44"/>
      <c r="X52" s="44">
        <f>X42+X47+X49+X51</f>
        <v>75.400000000000006</v>
      </c>
      <c r="Y52" s="44"/>
      <c r="Z52" s="44">
        <f>Z42+Z47+Z49+Z51</f>
        <v>12.3</v>
      </c>
      <c r="AA52" s="44"/>
      <c r="AB52" s="44">
        <f>AB42+AB47+AB49+AB51</f>
        <v>-0.70000000000000018</v>
      </c>
      <c r="AC52" s="44"/>
      <c r="AD52" s="44">
        <f>AD42+AD47+AD49+AD51</f>
        <v>-0.20000000000000018</v>
      </c>
      <c r="AE52" s="44"/>
      <c r="AF52" s="44">
        <f>AF42+AF47+AF49+AF51</f>
        <v>12.8</v>
      </c>
      <c r="AG52" s="44"/>
      <c r="AH52" s="44">
        <f>AH42+AH47+AH49+AH51</f>
        <v>2.9</v>
      </c>
      <c r="AI52" s="44"/>
      <c r="AJ52" s="44">
        <f>AJ42+AJ47+AJ49+AJ51</f>
        <v>3.5</v>
      </c>
      <c r="AK52" s="44"/>
      <c r="AL52" s="44">
        <f>AL42+AL47+AL49+AL51</f>
        <v>3.5</v>
      </c>
      <c r="AM52" s="44"/>
      <c r="AN52" s="44">
        <f>AN42+AN47+AN49+AN51</f>
        <v>2.6</v>
      </c>
      <c r="AO52" s="4"/>
      <c r="AP52" s="44">
        <f>AP42+AP47+AP49+AP51</f>
        <v>4.2</v>
      </c>
      <c r="AQ52" s="44">
        <f>AQ42+AQ47+AQ49+AQ51</f>
        <v>4.2</v>
      </c>
      <c r="AR52" s="4"/>
      <c r="AS52" s="44">
        <f>AS42+AS47+AS49+AS51</f>
        <v>3.9999999999999996</v>
      </c>
      <c r="AT52" s="7"/>
    </row>
    <row r="53" spans="1:46" ht="15.75">
      <c r="A53" s="73"/>
      <c r="B53" s="4"/>
      <c r="C53" s="13" t="s">
        <v>137</v>
      </c>
      <c r="D53" s="13"/>
      <c r="E53" s="13"/>
      <c r="F53" s="13">
        <f>SUM(F31:F51)</f>
        <v>169.70000000000005</v>
      </c>
      <c r="G53" s="13"/>
      <c r="H53" s="13">
        <f>SUM(H31:H51)</f>
        <v>167</v>
      </c>
      <c r="I53" s="13"/>
      <c r="J53" s="13">
        <f>J36+J52</f>
        <v>74.699999999999946</v>
      </c>
      <c r="K53" s="13"/>
      <c r="L53" s="13">
        <f>L36+L52</f>
        <v>81.599999999999952</v>
      </c>
      <c r="M53" s="13"/>
      <c r="N53" s="13">
        <f>N36+N52</f>
        <v>153.39999999999992</v>
      </c>
      <c r="O53" s="13"/>
      <c r="P53" s="13">
        <f>SUM(P31:P51)</f>
        <v>265.59999999999991</v>
      </c>
      <c r="Q53" s="13"/>
      <c r="R53" s="13">
        <f>R36+R52</f>
        <v>260.00000000000006</v>
      </c>
      <c r="S53" s="13"/>
      <c r="T53" s="13">
        <f>T36+T52</f>
        <v>164.8</v>
      </c>
      <c r="U53" s="13"/>
      <c r="V53" s="13">
        <f>V36+V52</f>
        <v>147.19999999999999</v>
      </c>
      <c r="W53" s="13"/>
      <c r="X53" s="13">
        <f>X36+X52</f>
        <v>162.19999999999996</v>
      </c>
      <c r="Y53" s="13"/>
      <c r="Z53" s="13">
        <f>Z36+Z52</f>
        <v>103.09999999999997</v>
      </c>
      <c r="AA53" s="13"/>
      <c r="AB53" s="13">
        <f>AB36+AB52</f>
        <v>102.20000000000006</v>
      </c>
      <c r="AC53" s="13"/>
      <c r="AD53" s="13">
        <f>AD36+AD52</f>
        <v>114.20000000000007</v>
      </c>
      <c r="AE53" s="13"/>
      <c r="AF53" s="13">
        <f>AF36+AF52</f>
        <v>129.10000000000002</v>
      </c>
      <c r="AG53" s="13"/>
      <c r="AH53" s="13">
        <f>AH36+AH52</f>
        <v>147.50000000000009</v>
      </c>
      <c r="AI53" s="13"/>
      <c r="AJ53" s="13">
        <f>AJ36+AJ52</f>
        <v>154.20000000000002</v>
      </c>
      <c r="AK53" s="13"/>
      <c r="AL53" s="13">
        <f>AL36+AL52</f>
        <v>169.39999999999998</v>
      </c>
      <c r="AM53" s="13"/>
      <c r="AN53" s="13">
        <f>AN36+AN52</f>
        <v>178.6</v>
      </c>
      <c r="AO53" s="13"/>
      <c r="AP53" s="13">
        <f>AP36+AP52</f>
        <v>156.50000000000011</v>
      </c>
      <c r="AQ53" s="13">
        <f>AQ36+AQ52</f>
        <v>153.40000000000003</v>
      </c>
      <c r="AR53" s="4"/>
      <c r="AS53" s="13">
        <f>AS36+AS52</f>
        <v>145.1999999999999</v>
      </c>
      <c r="AT53" s="7"/>
    </row>
    <row r="54" spans="1:46" ht="3.95" customHeight="1">
      <c r="A54" s="73"/>
      <c r="B54" s="4"/>
      <c r="C54" s="4"/>
      <c r="D54" s="4"/>
      <c r="E54" s="4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4"/>
      <c r="AP54" s="13"/>
      <c r="AQ54" s="13"/>
      <c r="AR54" s="4"/>
      <c r="AS54" s="13"/>
      <c r="AT54" s="7"/>
    </row>
    <row r="55" spans="1:46" ht="15.75" customHeight="1">
      <c r="A55" s="73"/>
      <c r="B55" s="4"/>
      <c r="C55" s="13" t="s">
        <v>140</v>
      </c>
      <c r="D55" s="4"/>
      <c r="E55" s="4"/>
      <c r="F55" s="4"/>
      <c r="G55" s="4"/>
      <c r="H55" s="4"/>
      <c r="I55" s="4"/>
      <c r="J55" s="2"/>
      <c r="K55" s="4"/>
      <c r="L55" s="2"/>
      <c r="M55" s="13"/>
      <c r="N55" s="14">
        <f>2.9</f>
        <v>2.9</v>
      </c>
      <c r="O55" s="13"/>
      <c r="P55" s="4"/>
      <c r="Q55" s="4"/>
      <c r="R55" s="14">
        <v>-79.900000000000006</v>
      </c>
      <c r="S55" s="4"/>
      <c r="T55" s="14">
        <v>2.9</v>
      </c>
      <c r="U55" s="13"/>
      <c r="V55" s="14"/>
      <c r="W55" s="13"/>
      <c r="X55" s="14"/>
      <c r="Y55" s="13"/>
      <c r="Z55" s="14">
        <v>5.6</v>
      </c>
      <c r="AA55" s="13"/>
      <c r="AB55" s="14">
        <v>6.8</v>
      </c>
      <c r="AC55" s="13"/>
      <c r="AD55" s="14"/>
      <c r="AE55" s="13"/>
      <c r="AF55" s="14"/>
      <c r="AG55" s="13"/>
      <c r="AH55" s="14"/>
      <c r="AI55" s="13"/>
      <c r="AJ55" s="14"/>
      <c r="AK55" s="13"/>
      <c r="AL55" s="14"/>
      <c r="AM55" s="4"/>
      <c r="AN55" s="14"/>
      <c r="AO55" s="4"/>
      <c r="AP55" s="14"/>
      <c r="AQ55" s="14"/>
      <c r="AR55" s="4"/>
      <c r="AS55" s="14">
        <v>10.9</v>
      </c>
      <c r="AT55" s="7"/>
    </row>
    <row r="56" spans="1:46" ht="15.75">
      <c r="A56" s="73"/>
      <c r="B56" s="4"/>
      <c r="C56" s="13" t="s">
        <v>138</v>
      </c>
      <c r="D56" s="4"/>
      <c r="E56" s="4"/>
      <c r="F56" s="4"/>
      <c r="G56" s="13"/>
      <c r="H56" s="4"/>
      <c r="I56" s="4"/>
      <c r="J56" s="4">
        <f>SUM(J53:J54)</f>
        <v>74.699999999999946</v>
      </c>
      <c r="K56" s="4"/>
      <c r="L56" s="4">
        <f>L53+L55</f>
        <v>81.599999999999952</v>
      </c>
      <c r="M56" s="4"/>
      <c r="N56" s="4">
        <f>N53+N55</f>
        <v>156.29999999999993</v>
      </c>
      <c r="O56" s="4"/>
      <c r="P56" s="4"/>
      <c r="Q56" s="4"/>
      <c r="R56" s="4">
        <f>R53+R55</f>
        <v>180.10000000000005</v>
      </c>
      <c r="S56" s="4"/>
      <c r="T56" s="4">
        <f>T53+T55</f>
        <v>167.70000000000002</v>
      </c>
      <c r="U56" s="4"/>
      <c r="V56" s="4">
        <f>V53+V55</f>
        <v>147.19999999999999</v>
      </c>
      <c r="W56" s="4"/>
      <c r="X56" s="4">
        <f>X53+X55</f>
        <v>162.19999999999996</v>
      </c>
      <c r="Y56" s="4"/>
      <c r="Z56" s="4">
        <f>Z53+Z55</f>
        <v>108.69999999999996</v>
      </c>
      <c r="AA56" s="4"/>
      <c r="AB56" s="4">
        <f>AB53+AB55</f>
        <v>109.00000000000006</v>
      </c>
      <c r="AC56" s="4"/>
      <c r="AD56" s="4">
        <f>AD53+AD55</f>
        <v>114.20000000000007</v>
      </c>
      <c r="AE56" s="4"/>
      <c r="AF56" s="4">
        <f>AF53+AF55</f>
        <v>129.10000000000002</v>
      </c>
      <c r="AG56" s="4"/>
      <c r="AH56" s="4">
        <f>AH53+AH55</f>
        <v>147.50000000000009</v>
      </c>
      <c r="AI56" s="4"/>
      <c r="AJ56" s="4">
        <f>AJ53+AJ55</f>
        <v>154.20000000000002</v>
      </c>
      <c r="AK56" s="4"/>
      <c r="AL56" s="4">
        <f>AL53+AL55</f>
        <v>169.39999999999998</v>
      </c>
      <c r="AM56" s="4"/>
      <c r="AN56" s="4">
        <f>AN53+AN55</f>
        <v>178.6</v>
      </c>
      <c r="AO56" s="4"/>
      <c r="AP56" s="4">
        <f>AP53+AP55</f>
        <v>156.50000000000011</v>
      </c>
      <c r="AQ56" s="4">
        <f>AQ53+AQ55</f>
        <v>153.40000000000003</v>
      </c>
      <c r="AR56" s="4"/>
      <c r="AS56" s="4">
        <f>AS53+AS55</f>
        <v>156.09999999999991</v>
      </c>
      <c r="AT56" s="7"/>
    </row>
    <row r="57" spans="1:46" ht="15.75" hidden="1">
      <c r="A57" s="73"/>
      <c r="B57" s="4"/>
      <c r="C57" s="4" t="s">
        <v>26</v>
      </c>
      <c r="D57" s="4"/>
      <c r="E57" s="4"/>
      <c r="F57" s="4"/>
      <c r="G57" s="13"/>
      <c r="H57" s="4">
        <v>-10.5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7"/>
    </row>
    <row r="58" spans="1:46" ht="15.75" customHeight="1">
      <c r="A58" s="73"/>
      <c r="B58" s="4"/>
      <c r="C58" s="4" t="s">
        <v>139</v>
      </c>
      <c r="D58" s="4"/>
      <c r="E58" s="4"/>
      <c r="F58" s="15">
        <v>27.2</v>
      </c>
      <c r="G58" s="13"/>
      <c r="H58" s="15">
        <f>17.4+10.5</f>
        <v>27.9</v>
      </c>
      <c r="I58" s="4"/>
      <c r="J58" s="15">
        <f>-28.7</f>
        <v>-28.7</v>
      </c>
      <c r="K58" s="4"/>
      <c r="L58" s="15">
        <f>-31.7</f>
        <v>-31.7</v>
      </c>
      <c r="M58" s="4"/>
      <c r="N58" s="2">
        <f>-59.7</f>
        <v>-59.7</v>
      </c>
      <c r="O58" s="4"/>
      <c r="P58" s="2">
        <f>41.4</f>
        <v>41.4</v>
      </c>
      <c r="Q58" s="4"/>
      <c r="R58" s="2">
        <v>-61</v>
      </c>
      <c r="S58" s="4"/>
      <c r="T58" s="2">
        <f>-55.7</f>
        <v>-55.7</v>
      </c>
      <c r="U58" s="4"/>
      <c r="V58" s="2">
        <f>-56.6</f>
        <v>-56.6</v>
      </c>
      <c r="W58" s="4"/>
      <c r="X58" s="2">
        <f>-62.2</f>
        <v>-62.2</v>
      </c>
      <c r="Y58" s="4"/>
      <c r="Z58" s="2">
        <v>-42</v>
      </c>
      <c r="AA58" s="4"/>
      <c r="AB58" s="2">
        <v>-42.3</v>
      </c>
      <c r="AC58" s="4"/>
      <c r="AD58" s="2">
        <f>-44.2</f>
        <v>-44.2</v>
      </c>
      <c r="AE58" s="4"/>
      <c r="AF58" s="2">
        <f>-49.8-0.1</f>
        <v>-49.9</v>
      </c>
      <c r="AG58" s="4"/>
      <c r="AH58" s="2">
        <f>-56.9</f>
        <v>-56.9</v>
      </c>
      <c r="AI58" s="4"/>
      <c r="AJ58" s="2">
        <f>-59.5</f>
        <v>-59.5</v>
      </c>
      <c r="AK58" s="4"/>
      <c r="AL58" s="2">
        <v>-65.3</v>
      </c>
      <c r="AM58" s="4"/>
      <c r="AN58" s="2">
        <f>-68.8</f>
        <v>-68.8</v>
      </c>
      <c r="AO58" s="4"/>
      <c r="AP58" s="2">
        <f>-AP56*0.387</f>
        <v>-60.565500000000043</v>
      </c>
      <c r="AQ58" s="2">
        <f>-AQ56*0.387</f>
        <v>-59.365800000000014</v>
      </c>
      <c r="AR58" s="4"/>
      <c r="AS58" s="2">
        <v>-60.1</v>
      </c>
      <c r="AT58" s="7"/>
    </row>
    <row r="59" spans="1:46" ht="6.95" customHeight="1">
      <c r="A59" s="73"/>
      <c r="B59" s="4"/>
      <c r="C59" s="4"/>
      <c r="D59" s="4"/>
      <c r="E59" s="4"/>
      <c r="F59" s="4"/>
      <c r="G59" s="1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7"/>
    </row>
    <row r="60" spans="1:46" ht="15.75">
      <c r="A60" s="73"/>
      <c r="B60" s="4"/>
      <c r="C60" s="43" t="s">
        <v>27</v>
      </c>
      <c r="D60" s="52"/>
      <c r="E60" s="52"/>
      <c r="F60" s="44">
        <f>F53-SUM(F55:F58)</f>
        <v>142.50000000000006</v>
      </c>
      <c r="G60" s="44"/>
      <c r="H60" s="44">
        <f>H53-SUM(H55:H58)</f>
        <v>149.6</v>
      </c>
      <c r="I60" s="44"/>
      <c r="J60" s="44">
        <f>J56+J58</f>
        <v>45.999999999999943</v>
      </c>
      <c r="K60" s="44"/>
      <c r="L60" s="44">
        <f>L56+L58</f>
        <v>49.899999999999949</v>
      </c>
      <c r="M60" s="44"/>
      <c r="N60" s="44">
        <f>N56+N58</f>
        <v>96.599999999999923</v>
      </c>
      <c r="O60" s="44"/>
      <c r="P60" s="44">
        <f>P53-SUM(P55:P58)</f>
        <v>224.1999999999999</v>
      </c>
      <c r="Q60" s="44"/>
      <c r="R60" s="44">
        <f>R56+R58</f>
        <v>119.10000000000005</v>
      </c>
      <c r="S60" s="44"/>
      <c r="T60" s="44">
        <f>T56+T58</f>
        <v>112.00000000000001</v>
      </c>
      <c r="U60" s="44"/>
      <c r="V60" s="44">
        <f>V56+V58</f>
        <v>90.6</v>
      </c>
      <c r="W60" s="44"/>
      <c r="X60" s="44">
        <f>X56+X58</f>
        <v>99.999999999999957</v>
      </c>
      <c r="Y60" s="44"/>
      <c r="Z60" s="44">
        <f>Z56+Z58</f>
        <v>66.69999999999996</v>
      </c>
      <c r="AA60" s="44"/>
      <c r="AB60" s="44">
        <f>AB56+AB58</f>
        <v>66.70000000000006</v>
      </c>
      <c r="AC60" s="44"/>
      <c r="AD60" s="44">
        <f>AD56+AD58</f>
        <v>70.000000000000071</v>
      </c>
      <c r="AE60" s="44"/>
      <c r="AF60" s="44">
        <f>AF56+AF58</f>
        <v>79.200000000000017</v>
      </c>
      <c r="AG60" s="44"/>
      <c r="AH60" s="44">
        <f>AH56+AH58</f>
        <v>90.60000000000008</v>
      </c>
      <c r="AI60" s="44"/>
      <c r="AJ60" s="44">
        <f>AJ56+AJ58</f>
        <v>94.700000000000017</v>
      </c>
      <c r="AK60" s="44"/>
      <c r="AL60" s="44">
        <f>AL56+AL58</f>
        <v>104.09999999999998</v>
      </c>
      <c r="AM60" s="44"/>
      <c r="AN60" s="44">
        <f>AN56+AN58</f>
        <v>109.8</v>
      </c>
      <c r="AO60" s="13"/>
      <c r="AP60" s="44">
        <f>AP56+AP58</f>
        <v>95.934500000000071</v>
      </c>
      <c r="AQ60" s="44">
        <f>AQ56+AQ58</f>
        <v>94.034200000000027</v>
      </c>
      <c r="AR60" s="4"/>
      <c r="AS60" s="44">
        <f>AS56+AS58</f>
        <v>95.999999999999915</v>
      </c>
      <c r="AT60" s="7"/>
    </row>
    <row r="61" spans="1:46" ht="3.95" customHeight="1">
      <c r="A61" s="73"/>
      <c r="B61" s="13"/>
      <c r="C61" s="36"/>
      <c r="D61" s="36"/>
      <c r="E61" s="36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4"/>
      <c r="AS61" s="13"/>
      <c r="AT61" s="7"/>
    </row>
    <row r="62" spans="1:46" ht="16.5" thickBot="1">
      <c r="A62" s="73"/>
      <c r="B62" s="4"/>
      <c r="C62" s="13" t="s">
        <v>28</v>
      </c>
      <c r="D62" s="77"/>
      <c r="E62" s="78"/>
      <c r="F62" s="37">
        <v>21.5</v>
      </c>
      <c r="G62" s="34"/>
      <c r="H62" s="37">
        <v>27.3</v>
      </c>
      <c r="I62" s="34"/>
      <c r="J62" s="38">
        <f>23+1.8</f>
        <v>24.8</v>
      </c>
      <c r="K62" s="13"/>
      <c r="L62" s="38">
        <v>25</v>
      </c>
      <c r="M62" s="13"/>
      <c r="N62" s="38">
        <f>48.3</f>
        <v>48.3</v>
      </c>
      <c r="O62" s="13"/>
      <c r="P62" s="38">
        <v>33</v>
      </c>
      <c r="Q62" s="38"/>
      <c r="R62" s="38">
        <f>48.3</f>
        <v>48.3</v>
      </c>
      <c r="S62" s="38"/>
      <c r="T62" s="38">
        <v>44.7</v>
      </c>
      <c r="U62" s="38"/>
      <c r="V62" s="38">
        <f>45.3</f>
        <v>45.3</v>
      </c>
      <c r="W62" s="38"/>
      <c r="X62" s="38">
        <v>50</v>
      </c>
      <c r="Y62" s="38"/>
      <c r="Z62" s="38">
        <v>33.4</v>
      </c>
      <c r="AA62" s="38"/>
      <c r="AB62" s="38">
        <v>33.4</v>
      </c>
      <c r="AC62" s="38"/>
      <c r="AD62" s="38">
        <v>35</v>
      </c>
      <c r="AE62" s="38"/>
      <c r="AF62" s="38">
        <v>39.6</v>
      </c>
      <c r="AG62" s="38"/>
      <c r="AH62" s="38">
        <f>45.3</f>
        <v>45.3</v>
      </c>
      <c r="AI62" s="38"/>
      <c r="AJ62" s="38">
        <v>47.4</v>
      </c>
      <c r="AK62" s="38"/>
      <c r="AL62" s="38">
        <v>52.1</v>
      </c>
      <c r="AM62" s="38"/>
      <c r="AN62" s="38">
        <f>54.9</f>
        <v>54.9</v>
      </c>
      <c r="AO62" s="13"/>
      <c r="AP62" s="38">
        <f>AP60/2</f>
        <v>47.967250000000035</v>
      </c>
      <c r="AQ62" s="38">
        <f>AQ60/2</f>
        <v>47.017100000000013</v>
      </c>
      <c r="AR62" s="4"/>
      <c r="AS62" s="38">
        <f>AS60/2</f>
        <v>47.999999999999957</v>
      </c>
      <c r="AT62" s="7"/>
    </row>
    <row r="63" spans="1:46" ht="3.95" hidden="1" customHeight="1" thickTop="1">
      <c r="A63" s="73"/>
      <c r="B63" s="79"/>
      <c r="C63" s="4"/>
      <c r="D63" s="36"/>
      <c r="E63" s="36"/>
      <c r="F63" s="4"/>
      <c r="G63" s="13"/>
      <c r="H63" s="4"/>
      <c r="I63" s="13"/>
      <c r="J63" s="4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2"/>
      <c r="AP63" s="4"/>
      <c r="AQ63" s="4"/>
      <c r="AR63" s="4"/>
      <c r="AS63" s="4"/>
      <c r="AT63" s="7"/>
    </row>
    <row r="64" spans="1:46" ht="18" hidden="1" customHeight="1" thickBot="1">
      <c r="A64" s="73"/>
      <c r="B64" s="13" t="s">
        <v>29</v>
      </c>
      <c r="C64" s="4"/>
      <c r="D64" s="36"/>
      <c r="E64" s="36"/>
      <c r="F64" s="4"/>
      <c r="G64" s="13"/>
      <c r="H64" s="4"/>
      <c r="I64" s="13"/>
      <c r="J64" s="4"/>
      <c r="K64" s="13"/>
      <c r="L64" s="13"/>
      <c r="M64" s="13"/>
      <c r="N64" s="13"/>
      <c r="O64" s="13"/>
      <c r="P64" s="17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2"/>
      <c r="AP64" s="4"/>
      <c r="AQ64" s="4"/>
      <c r="AR64" s="4"/>
      <c r="AS64" s="4"/>
      <c r="AT64" s="7"/>
    </row>
    <row r="65" spans="1:46" ht="18" hidden="1" customHeight="1" thickTop="1" thickBot="1">
      <c r="A65" s="73"/>
      <c r="B65" s="13" t="s">
        <v>30</v>
      </c>
      <c r="C65" s="4"/>
      <c r="D65" s="36"/>
      <c r="E65" s="36"/>
      <c r="F65" s="4"/>
      <c r="G65" s="13"/>
      <c r="H65" s="4"/>
      <c r="I65" s="13"/>
      <c r="J65" s="4"/>
      <c r="K65" s="13"/>
      <c r="L65" s="13"/>
      <c r="M65" s="13"/>
      <c r="N65" s="13"/>
      <c r="O65" s="13"/>
      <c r="P65" s="17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2"/>
      <c r="AP65" s="4"/>
      <c r="AQ65" s="4"/>
      <c r="AR65" s="4"/>
      <c r="AS65" s="4"/>
      <c r="AT65" s="7"/>
    </row>
    <row r="66" spans="1:46" ht="15" hidden="1" customHeight="1" thickTop="1">
      <c r="A66" s="45"/>
      <c r="B66" s="80"/>
      <c r="C66" s="4"/>
      <c r="D66" s="36"/>
      <c r="E66" s="36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2"/>
      <c r="AP66" s="4"/>
      <c r="AQ66" s="4"/>
      <c r="AR66" s="4"/>
      <c r="AS66" s="4"/>
      <c r="AT66" s="7"/>
    </row>
    <row r="67" spans="1:46" ht="16.5" hidden="1" thickBot="1">
      <c r="A67" s="73"/>
      <c r="B67" s="13" t="s">
        <v>31</v>
      </c>
      <c r="C67" s="36"/>
      <c r="D67" s="36"/>
      <c r="E67" s="36"/>
      <c r="F67" s="17">
        <v>21.5</v>
      </c>
      <c r="G67" s="13"/>
      <c r="H67" s="17">
        <v>27.3</v>
      </c>
      <c r="I67" s="13"/>
      <c r="J67" s="17">
        <v>22.5</v>
      </c>
      <c r="K67" s="13"/>
      <c r="L67" s="13">
        <v>1.4</v>
      </c>
      <c r="M67" s="13"/>
      <c r="N67" s="17">
        <v>24</v>
      </c>
      <c r="O67" s="13"/>
      <c r="P67" s="17">
        <f>26.3</f>
        <v>26.3</v>
      </c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2"/>
      <c r="AP67" s="4"/>
      <c r="AQ67" s="4"/>
      <c r="AR67" s="4"/>
      <c r="AS67" s="4"/>
      <c r="AT67" s="7"/>
    </row>
    <row r="68" spans="1:46" ht="15.75" hidden="1">
      <c r="A68" s="73"/>
      <c r="B68" s="13" t="s">
        <v>32</v>
      </c>
      <c r="C68" s="36"/>
      <c r="D68" s="36"/>
      <c r="E68" s="36"/>
      <c r="F68" s="36"/>
      <c r="G68" s="13"/>
      <c r="H68" s="14">
        <v>1.9</v>
      </c>
      <c r="I68" s="13"/>
      <c r="J68" s="14">
        <v>1.6</v>
      </c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2"/>
      <c r="AP68" s="4"/>
      <c r="AQ68" s="4"/>
      <c r="AR68" s="4"/>
      <c r="AS68" s="4"/>
      <c r="AT68" s="7"/>
    </row>
    <row r="69" spans="1:46" ht="16.5" hidden="1" thickBot="1">
      <c r="A69" s="73"/>
      <c r="B69" s="13" t="s">
        <v>33</v>
      </c>
      <c r="C69" s="36"/>
      <c r="D69" s="36"/>
      <c r="E69" s="36"/>
      <c r="F69" s="36"/>
      <c r="G69" s="13"/>
      <c r="H69" s="18">
        <f>H67-H68</f>
        <v>25.400000000000002</v>
      </c>
      <c r="I69" s="13"/>
      <c r="J69" s="18">
        <f>J67-J68</f>
        <v>20.9</v>
      </c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2"/>
      <c r="AP69" s="4"/>
      <c r="AQ69" s="4"/>
      <c r="AR69" s="4"/>
      <c r="AS69" s="4"/>
      <c r="AT69" s="7"/>
    </row>
    <row r="70" spans="1:46" ht="16.149999999999999" hidden="1" customHeight="1" thickTop="1" thickBot="1">
      <c r="A70" s="73"/>
      <c r="B70" s="13" t="s">
        <v>29</v>
      </c>
      <c r="C70" s="13"/>
      <c r="D70" s="13"/>
      <c r="E70" s="13"/>
      <c r="F70" s="13"/>
      <c r="G70" s="13"/>
      <c r="H70" s="13"/>
      <c r="I70" s="13"/>
      <c r="J70" s="16">
        <f>J60-H60</f>
        <v>-103.60000000000005</v>
      </c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2"/>
      <c r="AP70" s="4"/>
      <c r="AQ70" s="4"/>
      <c r="AR70" s="4"/>
      <c r="AS70" s="4"/>
      <c r="AT70" s="7"/>
    </row>
    <row r="71" spans="1:46" ht="16.149999999999999" hidden="1" customHeight="1" thickTop="1" thickBot="1">
      <c r="A71" s="73"/>
      <c r="B71" s="13" t="s">
        <v>34</v>
      </c>
      <c r="C71" s="4"/>
      <c r="D71" s="4"/>
      <c r="E71" s="4"/>
      <c r="F71" s="4"/>
      <c r="G71" s="13"/>
      <c r="H71" s="13"/>
      <c r="I71" s="13"/>
      <c r="J71" s="16">
        <f>J67-H67</f>
        <v>-4.8000000000000007</v>
      </c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7"/>
      <c r="AP71" s="4"/>
      <c r="AQ71" s="4"/>
      <c r="AR71" s="4"/>
      <c r="AS71" s="4"/>
      <c r="AT71" s="7"/>
    </row>
    <row r="72" spans="1:46" ht="6" customHeight="1" thickTop="1">
      <c r="A72" s="8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82"/>
    </row>
    <row r="73" spans="1:46" ht="15.75" customHeight="1">
      <c r="A73" s="4"/>
      <c r="B73" s="4"/>
      <c r="C73" s="46" t="s">
        <v>35</v>
      </c>
      <c r="E73" s="4"/>
      <c r="F73" s="4"/>
      <c r="G73" s="4"/>
      <c r="H73" s="4"/>
      <c r="I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59">
        <f ca="1">NOW()</f>
        <v>37187.681525694446</v>
      </c>
      <c r="AK73" s="4"/>
      <c r="AL73" s="4"/>
      <c r="AM73" s="4"/>
      <c r="AN73" s="4"/>
      <c r="AO73" s="4"/>
    </row>
    <row r="74" spans="1:46" ht="15" customHeight="1">
      <c r="B74" s="19" t="str">
        <f ca="1">CELL("filename",A1)</f>
        <v>P:\Finance\FGT Finance\LPALMA\2002Plan\CitrusCons\[DetailOfNetIncome.xls]NET INCOME</v>
      </c>
      <c r="J74" s="35"/>
      <c r="M74" s="8"/>
      <c r="N74" s="20"/>
      <c r="AJ74" s="60">
        <f ca="1">NOW()</f>
        <v>37187.681525694446</v>
      </c>
    </row>
    <row r="75" spans="1:46" ht="15" customHeight="1">
      <c r="B75" s="19"/>
      <c r="G75" s="8"/>
      <c r="H75" s="20"/>
    </row>
    <row r="76" spans="1:46">
      <c r="A76" s="21"/>
      <c r="C76"/>
      <c r="D76"/>
      <c r="E76"/>
      <c r="F76"/>
    </row>
    <row r="77" spans="1:46">
      <c r="C77"/>
      <c r="D77"/>
      <c r="E77"/>
      <c r="F77"/>
    </row>
  </sheetData>
  <mergeCells count="4">
    <mergeCell ref="A1:AT1"/>
    <mergeCell ref="A2:AT2"/>
    <mergeCell ref="A3:AT3"/>
    <mergeCell ref="A4:AT4"/>
  </mergeCells>
  <phoneticPr fontId="8" type="noConversion"/>
  <printOptions horizontalCentered="1"/>
  <pageMargins left="0.25" right="0.25" top="0.5" bottom="0.25" header="0.5" footer="0.5"/>
  <pageSetup scale="6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2"/>
  <sheetViews>
    <sheetView workbookViewId="0">
      <pane xSplit="26" ySplit="7" topLeftCell="AA8" activePane="bottomRight" state="frozen"/>
      <selection pane="topRight" activeCell="AA1" sqref="AA1"/>
      <selection pane="bottomLeft" activeCell="A8" sqref="A8"/>
      <selection pane="bottomRight" activeCell="B1" sqref="B1:AF1"/>
    </sheetView>
  </sheetViews>
  <sheetFormatPr defaultRowHeight="15"/>
  <cols>
    <col min="2" max="2" width="2.77734375" customWidth="1"/>
    <col min="5" max="5" width="25.77734375" customWidth="1"/>
    <col min="6" max="6" width="7.77734375" hidden="1" customWidth="1"/>
    <col min="7" max="7" width="2.77734375" hidden="1" customWidth="1"/>
    <col min="8" max="8" width="7.77734375" hidden="1" customWidth="1"/>
    <col min="9" max="9" width="2.77734375" hidden="1" customWidth="1"/>
    <col min="10" max="10" width="7.77734375" hidden="1" customWidth="1"/>
    <col min="11" max="11" width="2.77734375" hidden="1" customWidth="1"/>
    <col min="12" max="12" width="7.77734375" hidden="1" customWidth="1"/>
    <col min="13" max="13" width="1.77734375" hidden="1" customWidth="1"/>
    <col min="14" max="14" width="7.77734375" hidden="1" customWidth="1"/>
    <col min="15" max="15" width="1.77734375" hidden="1" customWidth="1"/>
    <col min="16" max="16" width="7.77734375" hidden="1" customWidth="1"/>
    <col min="17" max="17" width="1.77734375" hidden="1" customWidth="1"/>
    <col min="18" max="18" width="8.33203125" hidden="1" customWidth="1"/>
    <col min="19" max="19" width="1.77734375" hidden="1" customWidth="1"/>
    <col min="20" max="20" width="7.77734375" hidden="1" customWidth="1"/>
    <col min="21" max="21" width="1.77734375" hidden="1" customWidth="1"/>
    <col min="22" max="22" width="7.77734375" hidden="1" customWidth="1"/>
    <col min="23" max="23" width="1.77734375" hidden="1" customWidth="1"/>
    <col min="24" max="24" width="7.77734375" hidden="1" customWidth="1"/>
    <col min="25" max="25" width="1.77734375" hidden="1" customWidth="1"/>
    <col min="26" max="26" width="7.77734375" hidden="1" customWidth="1"/>
    <col min="27" max="27" width="1.77734375" customWidth="1"/>
    <col min="28" max="28" width="7.77734375" hidden="1" customWidth="1"/>
    <col min="29" max="29" width="1.77734375" hidden="1" customWidth="1"/>
    <col min="30" max="30" width="7.77734375" hidden="1" customWidth="1"/>
    <col min="31" max="31" width="3.77734375" hidden="1" customWidth="1"/>
    <col min="32" max="32" width="7.77734375" hidden="1" customWidth="1"/>
    <col min="33" max="33" width="3.77734375" hidden="1" customWidth="1"/>
    <col min="34" max="34" width="0" hidden="1" customWidth="1"/>
    <col min="35" max="35" width="3.77734375" customWidth="1"/>
  </cols>
  <sheetData>
    <row r="1" spans="2:36" ht="15.75">
      <c r="B1" s="86" t="s">
        <v>0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</row>
    <row r="2" spans="2:36" ht="15.75">
      <c r="B2" s="86" t="s">
        <v>173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</row>
    <row r="3" spans="2:36" ht="15.75">
      <c r="B3" s="86" t="s">
        <v>162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</row>
    <row r="4" spans="2:36">
      <c r="B4" s="87" t="s">
        <v>2</v>
      </c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</row>
    <row r="6" spans="2:36" ht="11.1" customHeight="1">
      <c r="B6" s="23"/>
      <c r="C6" s="23"/>
      <c r="D6" s="23"/>
      <c r="E6" s="23"/>
      <c r="F6" s="24" t="s">
        <v>8</v>
      </c>
      <c r="G6" s="23"/>
      <c r="H6" s="24" t="s">
        <v>36</v>
      </c>
      <c r="I6" s="23"/>
      <c r="J6" s="24" t="s">
        <v>37</v>
      </c>
      <c r="K6" s="23"/>
      <c r="L6" s="24" t="s">
        <v>37</v>
      </c>
      <c r="M6" s="23"/>
      <c r="N6" s="24" t="s">
        <v>37</v>
      </c>
      <c r="O6" s="23"/>
      <c r="P6" s="24" t="s">
        <v>38</v>
      </c>
      <c r="Q6" s="24"/>
      <c r="R6" s="24" t="s">
        <v>38</v>
      </c>
      <c r="S6" s="24"/>
      <c r="T6" s="40" t="s">
        <v>39</v>
      </c>
      <c r="V6" s="24" t="s">
        <v>40</v>
      </c>
      <c r="X6" s="24" t="s">
        <v>41</v>
      </c>
      <c r="Z6" s="24" t="s">
        <v>42</v>
      </c>
      <c r="AA6" s="24"/>
      <c r="AB6" s="24" t="s">
        <v>38</v>
      </c>
      <c r="AD6" s="24" t="s">
        <v>40</v>
      </c>
      <c r="AF6" s="24" t="s">
        <v>40</v>
      </c>
      <c r="AH6" s="24" t="s">
        <v>40</v>
      </c>
      <c r="AJ6" s="24" t="s">
        <v>175</v>
      </c>
    </row>
    <row r="7" spans="2:36" ht="11.1" customHeight="1">
      <c r="B7" s="23"/>
      <c r="C7" s="23"/>
      <c r="E7" s="23"/>
      <c r="F7" s="25" t="s">
        <v>4</v>
      </c>
      <c r="G7" s="23"/>
      <c r="H7" s="25" t="s">
        <v>4</v>
      </c>
      <c r="I7" s="23"/>
      <c r="J7" s="25" t="s">
        <v>5</v>
      </c>
      <c r="K7" s="23"/>
      <c r="L7" s="25" t="s">
        <v>43</v>
      </c>
      <c r="M7" s="23"/>
      <c r="N7" s="25" t="s">
        <v>4</v>
      </c>
      <c r="O7" s="23"/>
      <c r="P7" s="25" t="s">
        <v>5</v>
      </c>
      <c r="Q7" s="39"/>
      <c r="R7" s="25" t="s">
        <v>4</v>
      </c>
      <c r="S7" s="39"/>
      <c r="T7" s="41" t="s">
        <v>44</v>
      </c>
      <c r="V7" s="25" t="s">
        <v>5</v>
      </c>
      <c r="X7" s="25" t="s">
        <v>5</v>
      </c>
      <c r="Z7" s="25" t="s">
        <v>5</v>
      </c>
      <c r="AA7" s="39"/>
      <c r="AB7" s="25" t="s">
        <v>4</v>
      </c>
      <c r="AD7" s="25" t="s">
        <v>156</v>
      </c>
      <c r="AF7" s="25" t="s">
        <v>156</v>
      </c>
      <c r="AH7" s="25" t="s">
        <v>4</v>
      </c>
      <c r="AJ7" s="25" t="s">
        <v>176</v>
      </c>
    </row>
    <row r="8" spans="2:36" ht="11.1" customHeight="1">
      <c r="B8" s="26" t="s">
        <v>45</v>
      </c>
      <c r="C8" s="23"/>
      <c r="D8" s="23"/>
      <c r="E8" s="23"/>
      <c r="F8" s="23"/>
      <c r="G8" s="23"/>
      <c r="H8" s="23"/>
      <c r="I8" s="23"/>
      <c r="J8" s="27"/>
      <c r="K8" s="27"/>
      <c r="L8" s="27"/>
      <c r="M8" s="23"/>
      <c r="N8" s="23"/>
      <c r="O8" s="23"/>
      <c r="P8" s="23"/>
      <c r="Q8" s="23"/>
      <c r="R8" s="23"/>
      <c r="S8" s="23"/>
      <c r="T8" s="23"/>
      <c r="AJ8" s="23"/>
    </row>
    <row r="9" spans="2:36" ht="11.1" customHeight="1">
      <c r="B9" s="28"/>
      <c r="C9" s="28" t="s">
        <v>46</v>
      </c>
      <c r="D9" s="23"/>
      <c r="E9" s="23"/>
      <c r="F9" s="23"/>
      <c r="G9" s="23"/>
      <c r="H9" s="23"/>
      <c r="I9" s="23"/>
      <c r="J9" s="27"/>
      <c r="K9" s="27"/>
      <c r="L9" s="27"/>
      <c r="M9" s="23"/>
      <c r="N9" s="23"/>
      <c r="O9" s="23"/>
      <c r="P9" s="23"/>
      <c r="Q9" s="23"/>
      <c r="R9" s="23"/>
      <c r="S9" s="23"/>
      <c r="T9" s="23"/>
      <c r="V9" s="27"/>
      <c r="AD9" s="27"/>
      <c r="AJ9" s="23"/>
    </row>
    <row r="10" spans="2:36" ht="11.1" hidden="1" customHeight="1">
      <c r="B10" s="28"/>
      <c r="C10" s="23" t="s">
        <v>47</v>
      </c>
      <c r="D10" s="23"/>
      <c r="E10" s="23"/>
      <c r="F10" s="27">
        <v>1000</v>
      </c>
      <c r="G10" s="23"/>
      <c r="H10" s="23"/>
      <c r="I10" s="23"/>
      <c r="J10" s="27"/>
      <c r="K10" s="27"/>
      <c r="L10" s="27"/>
      <c r="M10" s="23"/>
      <c r="N10" s="27"/>
      <c r="O10" s="27"/>
      <c r="P10" s="27"/>
      <c r="Q10" s="27"/>
      <c r="R10" s="27"/>
      <c r="S10" s="27"/>
      <c r="T10" s="27"/>
      <c r="V10" s="27"/>
      <c r="AD10" s="27"/>
      <c r="AJ10" s="23"/>
    </row>
    <row r="11" spans="2:36" ht="11.1" customHeight="1">
      <c r="B11" s="28"/>
      <c r="C11" s="23" t="s">
        <v>48</v>
      </c>
      <c r="D11" s="23"/>
      <c r="E11" s="23"/>
      <c r="F11" s="27">
        <v>-600</v>
      </c>
      <c r="G11" s="23"/>
      <c r="H11" s="23"/>
      <c r="I11" s="23"/>
      <c r="J11" s="27"/>
      <c r="K11" s="27"/>
      <c r="L11" s="27"/>
      <c r="M11" s="23"/>
      <c r="N11" s="27">
        <f>-677</f>
        <v>-677</v>
      </c>
      <c r="O11" s="27"/>
      <c r="P11" s="27"/>
      <c r="Q11" s="27"/>
      <c r="R11" s="27">
        <v>-633</v>
      </c>
      <c r="S11" s="27"/>
      <c r="T11" s="27"/>
      <c r="V11" s="27"/>
      <c r="AB11" s="63">
        <v>-0.6</v>
      </c>
      <c r="AD11" s="27"/>
      <c r="AF11" s="63"/>
      <c r="AJ11" s="23"/>
    </row>
    <row r="12" spans="2:36" ht="11.1" hidden="1" customHeight="1">
      <c r="B12" s="28"/>
      <c r="C12" s="23" t="s">
        <v>49</v>
      </c>
      <c r="D12" s="23"/>
      <c r="E12" s="23"/>
      <c r="F12" s="27">
        <v>-840</v>
      </c>
      <c r="G12" s="23"/>
      <c r="H12" s="23"/>
      <c r="I12" s="23"/>
      <c r="J12" s="27"/>
      <c r="K12" s="27"/>
      <c r="L12" s="27"/>
      <c r="M12" s="23"/>
      <c r="N12" s="27"/>
      <c r="O12" s="27"/>
      <c r="P12" s="27"/>
      <c r="Q12" s="27"/>
      <c r="R12" s="27"/>
      <c r="S12" s="27"/>
      <c r="T12" s="27"/>
      <c r="V12" s="27"/>
      <c r="AB12" s="63"/>
      <c r="AD12" s="27"/>
      <c r="AF12" s="63"/>
      <c r="AJ12" s="23"/>
    </row>
    <row r="13" spans="2:36" ht="11.1" hidden="1" customHeight="1">
      <c r="B13" s="28"/>
      <c r="C13" s="23" t="s">
        <v>50</v>
      </c>
      <c r="D13" s="23"/>
      <c r="E13" s="23"/>
      <c r="F13" s="27">
        <v>150</v>
      </c>
      <c r="G13" s="23"/>
      <c r="H13" s="23"/>
      <c r="I13" s="23"/>
      <c r="J13" s="27"/>
      <c r="K13" s="27"/>
      <c r="L13" s="27"/>
      <c r="M13" s="23"/>
      <c r="N13" s="27"/>
      <c r="O13" s="27"/>
      <c r="P13" s="27"/>
      <c r="Q13" s="27"/>
      <c r="R13" s="27"/>
      <c r="S13" s="27"/>
      <c r="T13" s="27"/>
      <c r="V13" s="27"/>
      <c r="AB13" s="63"/>
      <c r="AD13" s="27"/>
      <c r="AF13" s="63"/>
      <c r="AJ13" s="23"/>
    </row>
    <row r="14" spans="2:36" ht="11.1" hidden="1" customHeight="1">
      <c r="B14" s="28"/>
      <c r="C14" s="23" t="s">
        <v>51</v>
      </c>
      <c r="D14" s="23"/>
      <c r="E14" s="23"/>
      <c r="F14" s="27">
        <v>-198</v>
      </c>
      <c r="G14" s="23"/>
      <c r="H14" s="23"/>
      <c r="I14" s="23"/>
      <c r="J14" s="27"/>
      <c r="K14" s="27"/>
      <c r="L14" s="27"/>
      <c r="M14" s="23"/>
      <c r="N14" s="27"/>
      <c r="O14" s="27"/>
      <c r="P14" s="27"/>
      <c r="Q14" s="27"/>
      <c r="R14" s="27"/>
      <c r="S14" s="27"/>
      <c r="T14" s="27"/>
      <c r="V14" s="27"/>
      <c r="AB14" s="63"/>
      <c r="AD14" s="27"/>
      <c r="AF14" s="63"/>
      <c r="AJ14" s="23"/>
    </row>
    <row r="15" spans="2:36" ht="11.1" hidden="1" customHeight="1">
      <c r="B15" s="23"/>
      <c r="C15" s="23" t="s">
        <v>52</v>
      </c>
      <c r="D15" s="23"/>
      <c r="E15" s="23"/>
      <c r="F15" s="27"/>
      <c r="G15" s="23"/>
      <c r="H15" s="27">
        <v>577</v>
      </c>
      <c r="I15" s="23"/>
      <c r="J15" s="27"/>
      <c r="K15" s="27"/>
      <c r="L15" s="27"/>
      <c r="M15" s="23"/>
      <c r="N15" s="27"/>
      <c r="O15" s="27"/>
      <c r="P15" s="27"/>
      <c r="Q15" s="27"/>
      <c r="R15" s="27"/>
      <c r="S15" s="27"/>
      <c r="T15" s="27"/>
      <c r="V15" s="27"/>
      <c r="AB15" s="63"/>
      <c r="AD15" s="27"/>
      <c r="AF15" s="63"/>
      <c r="AJ15" s="23"/>
    </row>
    <row r="16" spans="2:36" ht="11.1" customHeight="1">
      <c r="B16" s="23"/>
      <c r="C16" s="23" t="s">
        <v>53</v>
      </c>
      <c r="D16" s="23"/>
      <c r="E16" s="23"/>
      <c r="F16" s="27">
        <v>-2300</v>
      </c>
      <c r="G16" s="23"/>
      <c r="H16" s="27">
        <v>975</v>
      </c>
      <c r="I16" s="23"/>
      <c r="J16" s="27"/>
      <c r="K16" s="27"/>
      <c r="L16" s="27"/>
      <c r="M16" s="23"/>
      <c r="N16" s="27">
        <f>-722</f>
        <v>-722</v>
      </c>
      <c r="O16" s="27"/>
      <c r="P16" s="27">
        <v>1014</v>
      </c>
      <c r="Q16" s="27"/>
      <c r="R16" s="27"/>
      <c r="S16" s="27"/>
      <c r="T16" s="27"/>
      <c r="V16" s="27">
        <v>1325</v>
      </c>
      <c r="AB16" s="63"/>
      <c r="AD16" s="27">
        <v>1325</v>
      </c>
      <c r="AF16" s="63">
        <v>1.3</v>
      </c>
      <c r="AH16" s="63">
        <v>1.3</v>
      </c>
      <c r="AJ16" s="23"/>
    </row>
    <row r="17" spans="2:36" ht="11.1" hidden="1" customHeight="1">
      <c r="B17" s="23"/>
      <c r="C17" s="23" t="s">
        <v>54</v>
      </c>
      <c r="D17" s="23"/>
      <c r="E17" s="23"/>
      <c r="F17" s="27"/>
      <c r="G17" s="23"/>
      <c r="H17" s="27">
        <v>187</v>
      </c>
      <c r="I17" s="23"/>
      <c r="J17" s="27"/>
      <c r="K17" s="27"/>
      <c r="L17" s="27"/>
      <c r="M17" s="23"/>
      <c r="N17" s="27"/>
      <c r="O17" s="27"/>
      <c r="P17" s="27"/>
      <c r="Q17" s="27"/>
      <c r="R17" s="27"/>
      <c r="S17" s="27"/>
      <c r="T17" s="27"/>
      <c r="V17" s="27"/>
      <c r="AB17" s="63"/>
      <c r="AD17" s="27"/>
      <c r="AF17" s="63"/>
      <c r="AH17" s="63"/>
      <c r="AJ17" s="23"/>
    </row>
    <row r="18" spans="2:36" ht="11.1" hidden="1" customHeight="1">
      <c r="B18" s="23"/>
      <c r="C18" s="23" t="s">
        <v>55</v>
      </c>
      <c r="D18" s="23"/>
      <c r="E18" s="23"/>
      <c r="F18" s="27"/>
      <c r="G18" s="23"/>
      <c r="H18" s="27">
        <v>96</v>
      </c>
      <c r="I18" s="23"/>
      <c r="J18" s="27"/>
      <c r="K18" s="27"/>
      <c r="L18" s="27"/>
      <c r="M18" s="23"/>
      <c r="N18" s="27"/>
      <c r="O18" s="27"/>
      <c r="P18" s="27"/>
      <c r="Q18" s="27"/>
      <c r="R18" s="27"/>
      <c r="S18" s="27"/>
      <c r="T18" s="27"/>
      <c r="V18" s="27"/>
      <c r="AB18" s="63"/>
      <c r="AD18" s="27"/>
      <c r="AF18" s="63"/>
      <c r="AH18" s="63"/>
      <c r="AJ18" s="23"/>
    </row>
    <row r="19" spans="2:36" ht="11.1" customHeight="1">
      <c r="B19" s="23"/>
      <c r="C19" s="23" t="s">
        <v>56</v>
      </c>
      <c r="D19" s="23"/>
      <c r="E19" s="23"/>
      <c r="F19" s="27"/>
      <c r="G19" s="23"/>
      <c r="H19" s="27">
        <v>-855</v>
      </c>
      <c r="I19" s="23"/>
      <c r="J19" s="27"/>
      <c r="K19" s="27"/>
      <c r="L19" s="27"/>
      <c r="M19" s="23"/>
      <c r="N19" s="27"/>
      <c r="O19" s="27"/>
      <c r="P19" s="27">
        <v>855</v>
      </c>
      <c r="Q19" s="27"/>
      <c r="R19" s="27"/>
      <c r="S19" s="27"/>
      <c r="T19" s="27">
        <v>855</v>
      </c>
      <c r="V19" s="27">
        <v>855</v>
      </c>
      <c r="AB19" s="63"/>
      <c r="AD19" s="27">
        <v>855</v>
      </c>
      <c r="AF19" s="63">
        <v>0.9</v>
      </c>
      <c r="AH19" s="63">
        <v>0.9</v>
      </c>
      <c r="AJ19" s="23"/>
    </row>
    <row r="20" spans="2:36" ht="11.1" customHeight="1">
      <c r="B20" s="23"/>
      <c r="C20" s="23" t="s">
        <v>57</v>
      </c>
      <c r="D20" s="23"/>
      <c r="E20" s="23"/>
      <c r="F20" s="27"/>
      <c r="G20" s="23"/>
      <c r="H20" s="27"/>
      <c r="I20" s="23"/>
      <c r="J20" s="27"/>
      <c r="K20" s="27"/>
      <c r="L20" s="27"/>
      <c r="M20" s="23"/>
      <c r="N20" s="27"/>
      <c r="O20" s="27"/>
      <c r="P20" s="27"/>
      <c r="Q20" s="27"/>
      <c r="R20" s="27">
        <v>194</v>
      </c>
      <c r="S20" s="27"/>
      <c r="T20" s="27">
        <v>194</v>
      </c>
      <c r="V20" s="27">
        <v>194</v>
      </c>
      <c r="AB20" s="63">
        <v>0.2</v>
      </c>
      <c r="AD20" s="27"/>
      <c r="AF20" s="63"/>
      <c r="AH20" s="63"/>
      <c r="AJ20" s="23"/>
    </row>
    <row r="21" spans="2:36" ht="11.1" hidden="1" customHeight="1">
      <c r="B21" s="23"/>
      <c r="C21" s="23" t="s">
        <v>58</v>
      </c>
      <c r="D21" s="23"/>
      <c r="E21" s="23"/>
      <c r="F21" s="27"/>
      <c r="G21" s="23"/>
      <c r="H21" s="27"/>
      <c r="I21" s="23"/>
      <c r="J21" s="27"/>
      <c r="K21" s="27"/>
      <c r="L21" s="27"/>
      <c r="M21" s="23"/>
      <c r="N21" s="27"/>
      <c r="O21" s="27"/>
      <c r="P21" s="27"/>
      <c r="Q21" s="27"/>
      <c r="R21" s="27"/>
      <c r="S21" s="27"/>
      <c r="T21" s="27">
        <v>633</v>
      </c>
      <c r="V21" s="27">
        <v>633</v>
      </c>
      <c r="AB21" s="63"/>
      <c r="AD21" s="27">
        <v>633</v>
      </c>
      <c r="AF21" s="63">
        <v>0.6</v>
      </c>
      <c r="AH21" s="63"/>
      <c r="AJ21" s="23"/>
    </row>
    <row r="22" spans="2:36" ht="11.1" hidden="1" customHeight="1">
      <c r="B22" s="23"/>
      <c r="C22" s="23" t="s">
        <v>59</v>
      </c>
      <c r="D22" s="23"/>
      <c r="E22" s="23"/>
      <c r="F22" s="27"/>
      <c r="G22" s="23"/>
      <c r="H22" s="27"/>
      <c r="I22" s="23"/>
      <c r="J22" s="27">
        <v>333</v>
      </c>
      <c r="K22" s="27"/>
      <c r="L22" s="27">
        <v>333</v>
      </c>
      <c r="M22" s="23"/>
      <c r="N22" s="27">
        <v>333</v>
      </c>
      <c r="O22" s="27"/>
      <c r="P22" s="27"/>
      <c r="Q22" s="27"/>
      <c r="R22" s="27"/>
      <c r="S22" s="27"/>
      <c r="T22" s="27"/>
      <c r="V22" s="27"/>
      <c r="AB22" s="63"/>
      <c r="AD22" s="27"/>
      <c r="AF22" s="63"/>
      <c r="AH22" s="63"/>
      <c r="AJ22" s="23"/>
    </row>
    <row r="23" spans="2:36" ht="11.1" customHeight="1">
      <c r="B23" s="23"/>
      <c r="C23" s="23" t="s">
        <v>157</v>
      </c>
      <c r="D23" s="23"/>
      <c r="E23" s="23"/>
      <c r="F23" s="27"/>
      <c r="G23" s="23"/>
      <c r="H23" s="27"/>
      <c r="I23" s="23"/>
      <c r="J23" s="27"/>
      <c r="K23" s="27"/>
      <c r="L23" s="27"/>
      <c r="M23" s="23"/>
      <c r="N23" s="27"/>
      <c r="O23" s="27"/>
      <c r="P23" s="27"/>
      <c r="Q23" s="27"/>
      <c r="R23" s="29">
        <v>-3551</v>
      </c>
      <c r="S23" s="27"/>
      <c r="T23" s="27"/>
      <c r="V23" s="27"/>
      <c r="W23" s="27"/>
      <c r="X23" s="27"/>
      <c r="Y23" s="27"/>
      <c r="Z23" s="27"/>
      <c r="AA23" s="27"/>
      <c r="AB23" s="64">
        <v>-3.6</v>
      </c>
      <c r="AD23" s="29">
        <v>3300</v>
      </c>
      <c r="AF23" s="64">
        <v>3.3</v>
      </c>
      <c r="AH23" s="64">
        <v>0</v>
      </c>
      <c r="AJ23" s="23"/>
    </row>
    <row r="24" spans="2:36" ht="11.1" hidden="1" customHeight="1">
      <c r="B24" s="23"/>
      <c r="C24" s="23" t="s">
        <v>60</v>
      </c>
      <c r="D24" s="23"/>
      <c r="E24" s="23"/>
      <c r="F24" s="29">
        <v>0</v>
      </c>
      <c r="G24" s="23"/>
      <c r="H24" s="29">
        <v>-470</v>
      </c>
      <c r="I24" s="23"/>
      <c r="J24" s="29">
        <v>470</v>
      </c>
      <c r="K24" s="27"/>
      <c r="L24" s="29">
        <v>470</v>
      </c>
      <c r="M24" s="23"/>
      <c r="N24" s="29">
        <v>0</v>
      </c>
      <c r="O24" s="27"/>
      <c r="P24" s="29">
        <v>0</v>
      </c>
      <c r="Q24" s="29"/>
      <c r="R24" s="29">
        <v>0</v>
      </c>
      <c r="S24" s="29"/>
      <c r="T24" s="29">
        <v>0</v>
      </c>
      <c r="V24" s="29">
        <v>0</v>
      </c>
      <c r="X24" s="29">
        <v>0</v>
      </c>
      <c r="Z24" s="29">
        <v>0</v>
      </c>
      <c r="AA24" s="29"/>
      <c r="AB24" s="64"/>
      <c r="AD24" s="29">
        <v>0</v>
      </c>
      <c r="AF24" s="64"/>
      <c r="AH24" s="64"/>
      <c r="AJ24" s="23"/>
    </row>
    <row r="25" spans="2:36" ht="11.1" customHeight="1">
      <c r="B25" s="23"/>
      <c r="C25" s="23" t="s">
        <v>165</v>
      </c>
      <c r="D25" s="23"/>
      <c r="E25" s="23"/>
      <c r="F25" s="27">
        <f>SUM(F10:F24)</f>
        <v>-2788</v>
      </c>
      <c r="G25" s="23"/>
      <c r="H25" s="27">
        <f>SUM(H10:H24)</f>
        <v>510</v>
      </c>
      <c r="I25" s="23"/>
      <c r="J25" s="27">
        <f>SUM(J15:J24)</f>
        <v>803</v>
      </c>
      <c r="K25" s="27"/>
      <c r="L25" s="27">
        <f>SUM(L15:L24)</f>
        <v>803</v>
      </c>
      <c r="M25" s="23"/>
      <c r="N25" s="27">
        <f>SUM(N10:N24)</f>
        <v>-1066</v>
      </c>
      <c r="O25" s="27"/>
      <c r="P25" s="27">
        <f>SUM(P10:P24)</f>
        <v>1869</v>
      </c>
      <c r="Q25" s="27"/>
      <c r="R25" s="27">
        <f>SUM(R10:R24)</f>
        <v>-3990</v>
      </c>
      <c r="S25" s="27"/>
      <c r="T25" s="27">
        <f>SUM(T10:T24)</f>
        <v>1682</v>
      </c>
      <c r="V25" s="27">
        <f>SUM(V10:V24)</f>
        <v>3007</v>
      </c>
      <c r="X25" s="27">
        <f>SUM(X10:X24)</f>
        <v>0</v>
      </c>
      <c r="Z25" s="27">
        <f>SUM(Z10:Z24)</f>
        <v>0</v>
      </c>
      <c r="AA25" s="27"/>
      <c r="AB25" s="64">
        <f>SUM(AB11:AB24)</f>
        <v>-4</v>
      </c>
      <c r="AD25" s="27">
        <f>SUM(AD10:AD24)</f>
        <v>6113</v>
      </c>
      <c r="AF25" s="64">
        <f>SUM(AF11:AF24)</f>
        <v>6.1</v>
      </c>
      <c r="AH25" s="64">
        <f>SUM(AH11:AH24)</f>
        <v>2.2000000000000002</v>
      </c>
      <c r="AJ25" s="23"/>
    </row>
    <row r="26" spans="2:36" ht="11.1" customHeight="1">
      <c r="B26" s="23"/>
      <c r="C26" s="28" t="s">
        <v>99</v>
      </c>
      <c r="D26" s="23"/>
      <c r="E26" s="23"/>
      <c r="F26" s="27"/>
      <c r="G26" s="23"/>
      <c r="H26" s="27"/>
      <c r="I26" s="23"/>
      <c r="J26" s="27"/>
      <c r="K26" s="27"/>
      <c r="L26" s="27"/>
      <c r="M26" s="23"/>
      <c r="N26" s="27"/>
      <c r="O26" s="27"/>
      <c r="P26" s="27"/>
      <c r="Q26" s="27"/>
      <c r="R26" s="27"/>
      <c r="S26" s="27"/>
      <c r="T26" s="27"/>
      <c r="V26" s="27"/>
      <c r="X26" s="27"/>
      <c r="Z26" s="27"/>
      <c r="AA26" s="27"/>
      <c r="AB26" s="64"/>
      <c r="AD26" s="27"/>
      <c r="AF26" s="64"/>
      <c r="AH26" s="64"/>
      <c r="AJ26" s="23"/>
    </row>
    <row r="27" spans="2:36" ht="11.1" customHeight="1">
      <c r="B27" s="23"/>
      <c r="C27" s="23" t="s">
        <v>166</v>
      </c>
      <c r="D27" s="23"/>
      <c r="E27" s="23"/>
      <c r="F27" s="27"/>
      <c r="G27" s="23"/>
      <c r="H27" s="27"/>
      <c r="I27" s="23"/>
      <c r="J27" s="27"/>
      <c r="K27" s="27"/>
      <c r="L27" s="27"/>
      <c r="M27" s="23"/>
      <c r="N27" s="27"/>
      <c r="O27" s="27"/>
      <c r="P27" s="27"/>
      <c r="Q27" s="27"/>
      <c r="R27" s="27"/>
      <c r="S27" s="27"/>
      <c r="T27" s="27"/>
      <c r="V27" s="27"/>
      <c r="X27" s="27"/>
      <c r="Z27" s="27"/>
      <c r="AA27" s="27"/>
      <c r="AB27" s="64"/>
      <c r="AD27" s="27"/>
      <c r="AF27" s="64"/>
      <c r="AH27" s="63">
        <v>0.2</v>
      </c>
      <c r="AJ27" s="23"/>
    </row>
    <row r="28" spans="2:36" ht="11.1" customHeight="1">
      <c r="B28" s="23"/>
      <c r="C28" s="23" t="s">
        <v>174</v>
      </c>
      <c r="D28" s="23"/>
      <c r="E28" s="23"/>
      <c r="F28" s="27"/>
      <c r="G28" s="23"/>
      <c r="H28" s="27"/>
      <c r="I28" s="23"/>
      <c r="J28" s="27"/>
      <c r="K28" s="27"/>
      <c r="L28" s="27"/>
      <c r="M28" s="23"/>
      <c r="N28" s="27"/>
      <c r="O28" s="27"/>
      <c r="P28" s="27"/>
      <c r="Q28" s="27"/>
      <c r="R28" s="27"/>
      <c r="S28" s="27"/>
      <c r="T28" s="27"/>
      <c r="V28" s="27"/>
      <c r="X28" s="27"/>
      <c r="Z28" s="27"/>
      <c r="AA28" s="27"/>
      <c r="AB28" s="64"/>
      <c r="AD28" s="27"/>
      <c r="AF28" s="64"/>
      <c r="AH28" s="64"/>
      <c r="AJ28" s="23">
        <v>1.6</v>
      </c>
    </row>
    <row r="29" spans="2:36" ht="11.1" customHeight="1">
      <c r="B29" s="23"/>
      <c r="C29" s="23" t="s">
        <v>177</v>
      </c>
      <c r="D29" s="23"/>
      <c r="E29" s="23"/>
      <c r="F29" s="27"/>
      <c r="G29" s="23"/>
      <c r="H29" s="27"/>
      <c r="I29" s="23"/>
      <c r="J29" s="27"/>
      <c r="K29" s="27"/>
      <c r="L29" s="27"/>
      <c r="M29" s="23"/>
      <c r="N29" s="27"/>
      <c r="O29" s="27"/>
      <c r="P29" s="27"/>
      <c r="Q29" s="27"/>
      <c r="R29" s="27"/>
      <c r="S29" s="27"/>
      <c r="T29" s="27"/>
      <c r="V29" s="27"/>
      <c r="X29" s="27"/>
      <c r="Z29" s="27"/>
      <c r="AA29" s="27"/>
      <c r="AB29" s="64">
        <v>0</v>
      </c>
      <c r="AD29" s="27"/>
      <c r="AF29" s="64"/>
      <c r="AH29" s="64">
        <v>0</v>
      </c>
      <c r="AJ29" s="28">
        <v>6</v>
      </c>
    </row>
    <row r="30" spans="2:36" ht="11.1" customHeight="1">
      <c r="B30" s="23"/>
      <c r="C30" s="23" t="s">
        <v>164</v>
      </c>
      <c r="D30" s="23"/>
      <c r="E30" s="23"/>
      <c r="F30" s="27"/>
      <c r="G30" s="23"/>
      <c r="H30" s="27"/>
      <c r="I30" s="23"/>
      <c r="J30" s="27"/>
      <c r="K30" s="27"/>
      <c r="L30" s="27"/>
      <c r="M30" s="23"/>
      <c r="N30" s="27"/>
      <c r="O30" s="27"/>
      <c r="P30" s="27"/>
      <c r="Q30" s="27"/>
      <c r="R30" s="27"/>
      <c r="S30" s="27"/>
      <c r="T30" s="27"/>
      <c r="V30" s="27"/>
      <c r="X30" s="27"/>
      <c r="Z30" s="27"/>
      <c r="AA30" s="27"/>
      <c r="AB30" s="64">
        <f>AB25+AB29</f>
        <v>-4</v>
      </c>
      <c r="AD30" s="27"/>
      <c r="AF30" s="64"/>
      <c r="AH30" s="64">
        <f>SUM(AH27:AH29)</f>
        <v>0.2</v>
      </c>
      <c r="AJ30" s="64">
        <f>SUM(AJ27:AJ29)</f>
        <v>7.6</v>
      </c>
    </row>
    <row r="31" spans="2:36" ht="11.1" customHeight="1">
      <c r="B31" s="26" t="s">
        <v>62</v>
      </c>
      <c r="C31" s="23"/>
      <c r="D31" s="23"/>
      <c r="E31" s="23"/>
      <c r="F31" s="27"/>
      <c r="G31" s="23"/>
      <c r="H31" s="27"/>
      <c r="I31" s="23"/>
      <c r="J31" s="27"/>
      <c r="K31" s="27"/>
      <c r="L31" s="27"/>
      <c r="M31" s="23"/>
      <c r="N31" s="27"/>
      <c r="O31" s="27"/>
      <c r="P31" s="27"/>
      <c r="Q31" s="27"/>
      <c r="R31" s="27"/>
      <c r="S31" s="27"/>
      <c r="T31" s="27"/>
      <c r="V31" s="27"/>
      <c r="AB31" s="63"/>
      <c r="AD31" s="27"/>
      <c r="AF31" s="63"/>
      <c r="AH31" s="63"/>
      <c r="AJ31" s="23"/>
    </row>
    <row r="32" spans="2:36" ht="11.1" customHeight="1">
      <c r="B32" s="28"/>
      <c r="C32" s="28" t="s">
        <v>46</v>
      </c>
      <c r="D32" s="23"/>
      <c r="E32" s="23"/>
      <c r="F32" s="27"/>
      <c r="G32" s="23"/>
      <c r="H32" s="27"/>
      <c r="I32" s="23"/>
      <c r="J32" s="27"/>
      <c r="K32" s="27"/>
      <c r="L32" s="27"/>
      <c r="M32" s="23"/>
      <c r="N32" s="27"/>
      <c r="O32" s="27"/>
      <c r="P32" s="27"/>
      <c r="Q32" s="27"/>
      <c r="R32" s="27"/>
      <c r="S32" s="27"/>
      <c r="T32" s="27"/>
      <c r="V32" s="27"/>
      <c r="AB32" s="63"/>
      <c r="AD32" s="27"/>
      <c r="AF32" s="63"/>
      <c r="AH32" s="63"/>
      <c r="AJ32" s="23"/>
    </row>
    <row r="33" spans="2:36" ht="11.1" hidden="1" customHeight="1">
      <c r="B33" s="28"/>
      <c r="C33" s="23" t="s">
        <v>63</v>
      </c>
      <c r="D33" s="23"/>
      <c r="E33" s="23"/>
      <c r="F33" s="27">
        <v>283</v>
      </c>
      <c r="G33" s="23"/>
      <c r="H33" s="27"/>
      <c r="I33" s="23"/>
      <c r="J33" s="27"/>
      <c r="K33" s="27"/>
      <c r="L33" s="27"/>
      <c r="M33" s="23"/>
      <c r="N33" s="27"/>
      <c r="O33" s="27"/>
      <c r="P33" s="27"/>
      <c r="Q33" s="27"/>
      <c r="R33" s="27"/>
      <c r="S33" s="27"/>
      <c r="T33" s="27"/>
      <c r="V33" s="27"/>
      <c r="AB33" s="63"/>
      <c r="AD33" s="27"/>
      <c r="AF33" s="63"/>
      <c r="AH33" s="63"/>
      <c r="AJ33" s="23"/>
    </row>
    <row r="34" spans="2:36" ht="11.1" hidden="1" customHeight="1">
      <c r="B34" s="28"/>
      <c r="C34" s="23" t="s">
        <v>64</v>
      </c>
      <c r="D34" s="23"/>
      <c r="E34" s="23"/>
      <c r="F34" s="27">
        <v>437</v>
      </c>
      <c r="G34" s="23"/>
      <c r="H34" s="27"/>
      <c r="I34" s="23"/>
      <c r="J34" s="27"/>
      <c r="K34" s="27"/>
      <c r="L34" s="27"/>
      <c r="M34" s="23"/>
      <c r="N34" s="27"/>
      <c r="O34" s="27"/>
      <c r="P34" s="27"/>
      <c r="Q34" s="27"/>
      <c r="R34" s="27"/>
      <c r="S34" s="27"/>
      <c r="T34" s="27"/>
      <c r="V34" s="27"/>
      <c r="AB34" s="63"/>
      <c r="AD34" s="27"/>
      <c r="AF34" s="63"/>
      <c r="AH34" s="63"/>
      <c r="AJ34" s="23"/>
    </row>
    <row r="35" spans="2:36" ht="11.1" hidden="1" customHeight="1">
      <c r="B35" s="28"/>
      <c r="C35" s="23" t="s">
        <v>65</v>
      </c>
      <c r="D35" s="23"/>
      <c r="E35" s="23"/>
      <c r="F35" s="27">
        <v>655</v>
      </c>
      <c r="G35" s="23"/>
      <c r="H35" s="27"/>
      <c r="I35" s="23"/>
      <c r="J35" s="27"/>
      <c r="K35" s="27"/>
      <c r="L35" s="27"/>
      <c r="M35" s="23"/>
      <c r="N35" s="27"/>
      <c r="O35" s="27"/>
      <c r="P35" s="27"/>
      <c r="Q35" s="27"/>
      <c r="R35" s="27"/>
      <c r="S35" s="27"/>
      <c r="T35" s="27"/>
      <c r="V35" s="27"/>
      <c r="AB35" s="63"/>
      <c r="AD35" s="27"/>
      <c r="AF35" s="63"/>
      <c r="AH35" s="63"/>
      <c r="AJ35" s="23"/>
    </row>
    <row r="36" spans="2:36" ht="11.1" hidden="1" customHeight="1">
      <c r="B36" s="28"/>
      <c r="C36" s="23" t="s">
        <v>66</v>
      </c>
      <c r="D36" s="23"/>
      <c r="E36" s="23"/>
      <c r="F36" s="27">
        <v>250</v>
      </c>
      <c r="G36" s="23"/>
      <c r="H36" s="27"/>
      <c r="I36" s="23"/>
      <c r="J36" s="27"/>
      <c r="K36" s="27"/>
      <c r="L36" s="27"/>
      <c r="M36" s="23"/>
      <c r="N36" s="27"/>
      <c r="O36" s="27"/>
      <c r="P36" s="27"/>
      <c r="Q36" s="27"/>
      <c r="R36" s="27"/>
      <c r="S36" s="27"/>
      <c r="T36" s="27"/>
      <c r="V36" s="27"/>
      <c r="AB36" s="63"/>
      <c r="AD36" s="27"/>
      <c r="AF36" s="63"/>
      <c r="AH36" s="63"/>
      <c r="AJ36" s="23"/>
    </row>
    <row r="37" spans="2:36" ht="11.1" hidden="1" customHeight="1">
      <c r="B37" s="23"/>
      <c r="C37" s="23" t="s">
        <v>67</v>
      </c>
      <c r="D37" s="23"/>
      <c r="E37" s="23"/>
      <c r="F37" s="27"/>
      <c r="G37" s="23"/>
      <c r="H37" s="27">
        <v>138</v>
      </c>
      <c r="I37" s="23"/>
      <c r="J37" s="27"/>
      <c r="K37" s="27"/>
      <c r="L37" s="27"/>
      <c r="M37" s="23"/>
      <c r="N37" s="27"/>
      <c r="O37" s="27"/>
      <c r="P37" s="27"/>
      <c r="Q37" s="27"/>
      <c r="R37" s="27"/>
      <c r="S37" s="27"/>
      <c r="T37" s="27"/>
      <c r="V37" s="27"/>
      <c r="AB37" s="63"/>
      <c r="AD37" s="27"/>
      <c r="AF37" s="63"/>
      <c r="AH37" s="63"/>
      <c r="AJ37" s="23"/>
    </row>
    <row r="38" spans="2:36" ht="11.1" hidden="1" customHeight="1">
      <c r="B38" s="23"/>
      <c r="C38" s="23" t="s">
        <v>68</v>
      </c>
      <c r="D38" s="23"/>
      <c r="E38" s="23"/>
      <c r="F38" s="27">
        <v>374</v>
      </c>
      <c r="G38" s="23"/>
      <c r="H38" s="27"/>
      <c r="I38" s="23"/>
      <c r="J38" s="27"/>
      <c r="K38" s="27"/>
      <c r="L38" s="27"/>
      <c r="M38" s="23"/>
      <c r="N38" s="27"/>
      <c r="O38" s="27"/>
      <c r="P38" s="27"/>
      <c r="Q38" s="27"/>
      <c r="R38" s="27"/>
      <c r="S38" s="27"/>
      <c r="T38" s="27"/>
      <c r="V38" s="27"/>
      <c r="AB38" s="63"/>
      <c r="AD38" s="27"/>
      <c r="AF38" s="63"/>
      <c r="AH38" s="63"/>
      <c r="AJ38" s="23"/>
    </row>
    <row r="39" spans="2:36" ht="11.1" hidden="1" customHeight="1">
      <c r="B39" s="23"/>
      <c r="C39" s="23" t="s">
        <v>69</v>
      </c>
      <c r="D39" s="23"/>
      <c r="E39" s="23"/>
      <c r="F39" s="27">
        <v>102</v>
      </c>
      <c r="G39" s="23"/>
      <c r="H39" s="27"/>
      <c r="I39" s="23"/>
      <c r="J39" s="27">
        <v>439</v>
      </c>
      <c r="K39" s="27"/>
      <c r="L39" s="27">
        <v>439</v>
      </c>
      <c r="M39" s="23"/>
      <c r="N39" s="27">
        <v>439</v>
      </c>
      <c r="O39" s="27"/>
      <c r="P39" s="27"/>
      <c r="Q39" s="27"/>
      <c r="R39" s="27"/>
      <c r="S39" s="27"/>
      <c r="T39" s="27"/>
      <c r="V39" s="27"/>
      <c r="AB39" s="63"/>
      <c r="AD39" s="27"/>
      <c r="AF39" s="63"/>
      <c r="AH39" s="63"/>
      <c r="AJ39" s="23"/>
    </row>
    <row r="40" spans="2:36" ht="11.1" hidden="1" customHeight="1">
      <c r="B40" s="23"/>
      <c r="C40" s="23" t="s">
        <v>70</v>
      </c>
      <c r="D40" s="23"/>
      <c r="E40" s="23"/>
      <c r="F40" s="27"/>
      <c r="G40" s="23"/>
      <c r="H40" s="27">
        <v>120</v>
      </c>
      <c r="I40" s="23"/>
      <c r="J40" s="27"/>
      <c r="K40" s="27"/>
      <c r="L40" s="27"/>
      <c r="M40" s="23"/>
      <c r="N40" s="27"/>
      <c r="O40" s="27"/>
      <c r="P40" s="27"/>
      <c r="Q40" s="27"/>
      <c r="R40" s="27"/>
      <c r="S40" s="27"/>
      <c r="T40" s="27"/>
      <c r="V40" s="27"/>
      <c r="AB40" s="63"/>
      <c r="AD40" s="27"/>
      <c r="AF40" s="63"/>
      <c r="AH40" s="63"/>
      <c r="AJ40" s="23"/>
    </row>
    <row r="41" spans="2:36" ht="11.1" hidden="1" customHeight="1">
      <c r="B41" s="23"/>
      <c r="C41" s="23" t="s">
        <v>71</v>
      </c>
      <c r="D41" s="23"/>
      <c r="E41" s="23"/>
      <c r="F41" s="27"/>
      <c r="G41" s="23"/>
      <c r="H41" s="27"/>
      <c r="I41" s="23"/>
      <c r="J41" s="27"/>
      <c r="K41" s="27"/>
      <c r="L41" s="27"/>
      <c r="M41" s="23"/>
      <c r="N41" s="27">
        <f>415</f>
        <v>415</v>
      </c>
      <c r="O41" s="27"/>
      <c r="P41" s="27"/>
      <c r="Q41" s="27"/>
      <c r="R41" s="27"/>
      <c r="S41" s="27"/>
      <c r="T41" s="27"/>
      <c r="V41" s="27"/>
      <c r="AB41" s="63"/>
      <c r="AD41" s="27"/>
      <c r="AF41" s="63"/>
      <c r="AH41" s="63"/>
      <c r="AJ41" s="23"/>
    </row>
    <row r="42" spans="2:36" ht="11.1" hidden="1" customHeight="1">
      <c r="B42" s="23"/>
      <c r="C42" s="23" t="s">
        <v>72</v>
      </c>
      <c r="D42" s="23"/>
      <c r="E42" s="23"/>
      <c r="F42" s="27"/>
      <c r="G42" s="23"/>
      <c r="H42" s="27"/>
      <c r="I42" s="23"/>
      <c r="J42" s="27">
        <v>1585</v>
      </c>
      <c r="K42" s="27"/>
      <c r="L42" s="27">
        <v>1585</v>
      </c>
      <c r="M42" s="23"/>
      <c r="N42" s="27">
        <v>1585</v>
      </c>
      <c r="O42" s="27"/>
      <c r="P42" s="27"/>
      <c r="Q42" s="27"/>
      <c r="R42" s="27"/>
      <c r="S42" s="27"/>
      <c r="T42" s="27"/>
      <c r="V42" s="27"/>
      <c r="AB42" s="63"/>
      <c r="AD42" s="27"/>
      <c r="AF42" s="63"/>
      <c r="AH42" s="63"/>
      <c r="AJ42" s="23"/>
    </row>
    <row r="43" spans="2:36" ht="11.1" hidden="1" customHeight="1">
      <c r="B43" s="23"/>
      <c r="C43" s="23" t="s">
        <v>73</v>
      </c>
      <c r="D43" s="23"/>
      <c r="E43" s="23"/>
      <c r="F43" s="27"/>
      <c r="G43" s="23"/>
      <c r="H43" s="27">
        <v>-1300</v>
      </c>
      <c r="I43" s="23"/>
      <c r="J43" s="27">
        <v>1300</v>
      </c>
      <c r="K43" s="27"/>
      <c r="L43" s="27"/>
      <c r="M43" s="23"/>
      <c r="N43" s="27">
        <v>1300</v>
      </c>
      <c r="O43" s="27"/>
      <c r="P43" s="27"/>
      <c r="Q43" s="27"/>
      <c r="R43" s="27"/>
      <c r="S43" s="27"/>
      <c r="T43" s="27"/>
      <c r="V43" s="27"/>
      <c r="AB43" s="63"/>
      <c r="AD43" s="27"/>
      <c r="AF43" s="63"/>
      <c r="AH43" s="63"/>
      <c r="AJ43" s="23"/>
    </row>
    <row r="44" spans="2:36" ht="11.1" hidden="1" customHeight="1">
      <c r="B44" s="23"/>
      <c r="C44" s="23" t="s">
        <v>74</v>
      </c>
      <c r="D44" s="23"/>
      <c r="E44" s="23"/>
      <c r="F44" s="27"/>
      <c r="G44" s="23"/>
      <c r="H44" s="27">
        <v>-2000</v>
      </c>
      <c r="I44" s="23"/>
      <c r="J44" s="27">
        <v>2000</v>
      </c>
      <c r="K44" s="27"/>
      <c r="L44" s="27">
        <v>1714</v>
      </c>
      <c r="M44" s="23"/>
      <c r="N44" s="27">
        <v>1714</v>
      </c>
      <c r="O44" s="27"/>
      <c r="P44" s="27"/>
      <c r="Q44" s="27"/>
      <c r="R44" s="27"/>
      <c r="S44" s="27"/>
      <c r="T44" s="27"/>
      <c r="V44" s="27"/>
      <c r="AB44" s="63"/>
      <c r="AD44" s="27"/>
      <c r="AF44" s="63"/>
      <c r="AH44" s="63"/>
      <c r="AJ44" s="23"/>
    </row>
    <row r="45" spans="2:36" ht="11.1" hidden="1" customHeight="1">
      <c r="B45" s="23"/>
      <c r="C45" s="23" t="s">
        <v>75</v>
      </c>
      <c r="D45" s="23"/>
      <c r="E45" s="23"/>
      <c r="F45" s="27"/>
      <c r="G45" s="23"/>
      <c r="H45" s="27"/>
      <c r="I45" s="23"/>
      <c r="J45" s="27"/>
      <c r="K45" s="27"/>
      <c r="L45" s="27"/>
      <c r="M45" s="23"/>
      <c r="N45" s="27"/>
      <c r="O45" s="27"/>
      <c r="P45" s="27"/>
      <c r="Q45" s="27"/>
      <c r="R45" s="27"/>
      <c r="S45" s="27"/>
      <c r="T45" s="27"/>
      <c r="V45" s="27"/>
      <c r="AB45" s="63"/>
      <c r="AD45" s="27"/>
      <c r="AF45" s="63"/>
      <c r="AH45" s="63"/>
      <c r="AJ45" s="23"/>
    </row>
    <row r="46" spans="2:36" ht="11.1" customHeight="1">
      <c r="B46" s="23"/>
      <c r="C46" s="23" t="s">
        <v>76</v>
      </c>
      <c r="D46" s="23"/>
      <c r="E46" s="23"/>
      <c r="F46" s="27"/>
      <c r="G46" s="23"/>
      <c r="H46" s="27"/>
      <c r="I46" s="23"/>
      <c r="J46" s="27"/>
      <c r="K46" s="27"/>
      <c r="L46" s="27"/>
      <c r="M46" s="23"/>
      <c r="N46" s="27"/>
      <c r="O46" s="27"/>
      <c r="P46" s="27"/>
      <c r="Q46" s="27"/>
      <c r="R46" s="27"/>
      <c r="S46" s="27"/>
      <c r="T46" s="27"/>
      <c r="V46" s="27"/>
      <c r="AB46" s="63">
        <v>0</v>
      </c>
      <c r="AD46" s="27"/>
      <c r="AF46" s="63"/>
      <c r="AH46" s="63">
        <v>0.1</v>
      </c>
      <c r="AJ46" s="23"/>
    </row>
    <row r="47" spans="2:36" ht="11.1" customHeight="1">
      <c r="B47" s="23"/>
      <c r="C47" s="23" t="s">
        <v>178</v>
      </c>
      <c r="D47" s="23"/>
      <c r="E47" s="23"/>
      <c r="F47" s="27"/>
      <c r="G47" s="23"/>
      <c r="H47" s="27"/>
      <c r="I47" s="23"/>
      <c r="J47" s="27"/>
      <c r="K47" s="27"/>
      <c r="L47" s="27"/>
      <c r="M47" s="23"/>
      <c r="N47" s="27"/>
      <c r="O47" s="27"/>
      <c r="P47" s="27"/>
      <c r="Q47" s="27"/>
      <c r="R47" s="27"/>
      <c r="S47" s="27"/>
      <c r="T47" s="27">
        <v>150</v>
      </c>
      <c r="V47" s="27">
        <v>150</v>
      </c>
      <c r="AB47" s="64">
        <v>0</v>
      </c>
      <c r="AD47" s="29">
        <v>150</v>
      </c>
      <c r="AF47" s="64">
        <v>0.1</v>
      </c>
      <c r="AH47" s="64">
        <v>0</v>
      </c>
      <c r="AJ47" s="23">
        <v>1.3</v>
      </c>
    </row>
    <row r="48" spans="2:36" ht="11.1" hidden="1" customHeight="1">
      <c r="B48" s="23"/>
      <c r="C48" s="23" t="s">
        <v>77</v>
      </c>
      <c r="D48" s="23"/>
      <c r="E48" s="23"/>
      <c r="F48" s="29">
        <v>0</v>
      </c>
      <c r="G48" s="23"/>
      <c r="H48" s="29">
        <f>-170-824</f>
        <v>-994</v>
      </c>
      <c r="I48" s="23"/>
      <c r="J48" s="29">
        <v>0</v>
      </c>
      <c r="K48" s="27"/>
      <c r="L48" s="29">
        <v>0</v>
      </c>
      <c r="M48" s="23"/>
      <c r="N48" s="29">
        <v>0</v>
      </c>
      <c r="O48" s="27"/>
      <c r="P48" s="29">
        <v>0</v>
      </c>
      <c r="Q48" s="29"/>
      <c r="R48" s="29">
        <v>0</v>
      </c>
      <c r="S48" s="29"/>
      <c r="T48" s="29">
        <v>0</v>
      </c>
      <c r="V48" s="29">
        <v>0</v>
      </c>
      <c r="X48" s="29">
        <v>0</v>
      </c>
      <c r="Z48" s="29">
        <v>0</v>
      </c>
      <c r="AA48" s="29"/>
      <c r="AB48" s="64"/>
      <c r="AD48" s="29">
        <v>0</v>
      </c>
      <c r="AF48" s="64"/>
      <c r="AH48" s="64"/>
      <c r="AJ48" s="23"/>
    </row>
    <row r="49" spans="2:36" ht="11.1" customHeight="1">
      <c r="B49" s="23"/>
      <c r="C49" s="23" t="s">
        <v>61</v>
      </c>
      <c r="D49" s="23"/>
      <c r="E49" s="23"/>
      <c r="F49" s="29">
        <f>SUM(F33:F48)</f>
        <v>2101</v>
      </c>
      <c r="G49" s="23"/>
      <c r="H49" s="29">
        <f>SUM(H33:H48)</f>
        <v>-4036</v>
      </c>
      <c r="I49" s="23"/>
      <c r="J49" s="29">
        <f>SUM(J37:J48)</f>
        <v>5324</v>
      </c>
      <c r="K49" s="27"/>
      <c r="L49" s="29">
        <f>SUM(L37:L48)</f>
        <v>3738</v>
      </c>
      <c r="M49" s="23"/>
      <c r="N49" s="29">
        <f>SUM(N33:N48)</f>
        <v>5453</v>
      </c>
      <c r="O49" s="27"/>
      <c r="P49" s="29">
        <f>SUM(P33:P48)</f>
        <v>0</v>
      </c>
      <c r="Q49" s="29"/>
      <c r="R49" s="29">
        <f>SUM(R33:R48)</f>
        <v>0</v>
      </c>
      <c r="S49" s="29"/>
      <c r="T49" s="29">
        <f>SUM(T33:T48)</f>
        <v>150</v>
      </c>
      <c r="V49" s="29">
        <f>SUM(V33:V48)</f>
        <v>150</v>
      </c>
      <c r="X49" s="29">
        <f>SUM(X33:X48)</f>
        <v>0</v>
      </c>
      <c r="Z49" s="29">
        <f>SUM(Z33:Z48)</f>
        <v>0</v>
      </c>
      <c r="AA49" s="29"/>
      <c r="AB49" s="64">
        <f>SUM(AB46:AB48)</f>
        <v>0</v>
      </c>
      <c r="AD49" s="29">
        <f>SUM(AD33:AD48)</f>
        <v>150</v>
      </c>
      <c r="AF49" s="64">
        <f>SUM(AF47:AF48)</f>
        <v>0.1</v>
      </c>
      <c r="AH49" s="64">
        <f>SUM(AH46:AH48)</f>
        <v>0.1</v>
      </c>
      <c r="AJ49" s="64">
        <f>SUM(AJ46:AJ48)</f>
        <v>1.3</v>
      </c>
    </row>
    <row r="50" spans="2:36" ht="11.1" customHeight="1">
      <c r="B50" s="23"/>
      <c r="C50" s="28" t="s">
        <v>78</v>
      </c>
      <c r="D50" s="23"/>
      <c r="E50" s="23"/>
      <c r="F50" s="29"/>
      <c r="G50" s="23"/>
      <c r="H50" s="29"/>
      <c r="I50" s="23"/>
      <c r="J50" s="27"/>
      <c r="K50" s="27"/>
      <c r="L50" s="27"/>
      <c r="M50" s="23"/>
      <c r="N50" s="27"/>
      <c r="O50" s="27"/>
      <c r="P50" s="27"/>
      <c r="Q50" s="27"/>
      <c r="R50" s="27"/>
      <c r="S50" s="27"/>
      <c r="T50" s="27"/>
      <c r="V50" s="27"/>
      <c r="AB50" s="63"/>
      <c r="AD50" s="27"/>
      <c r="AF50" s="63"/>
      <c r="AH50" s="63"/>
      <c r="AJ50" s="23"/>
    </row>
    <row r="51" spans="2:36" ht="11.1" hidden="1" customHeight="1">
      <c r="B51" s="23"/>
      <c r="C51" s="23" t="s">
        <v>79</v>
      </c>
      <c r="D51" s="23"/>
      <c r="E51" s="23"/>
      <c r="F51" s="27">
        <v>2318</v>
      </c>
      <c r="G51" s="23"/>
      <c r="H51" s="29"/>
      <c r="I51" s="23"/>
      <c r="J51" s="27"/>
      <c r="K51" s="27"/>
      <c r="L51" s="27"/>
      <c r="M51" s="23"/>
      <c r="N51" s="27"/>
      <c r="O51" s="27"/>
      <c r="P51" s="27"/>
      <c r="Q51" s="27"/>
      <c r="R51" s="27"/>
      <c r="S51" s="27"/>
      <c r="T51" s="27"/>
      <c r="V51" s="27"/>
      <c r="AB51" s="63"/>
      <c r="AD51" s="27"/>
      <c r="AF51" s="63"/>
      <c r="AH51" s="63"/>
      <c r="AJ51" s="23"/>
    </row>
    <row r="52" spans="2:36" ht="11.1" hidden="1" customHeight="1">
      <c r="B52" s="23"/>
      <c r="C52" s="23" t="s">
        <v>80</v>
      </c>
      <c r="D52" s="23"/>
      <c r="E52" s="23"/>
      <c r="F52" s="27">
        <v>339</v>
      </c>
      <c r="G52" s="23"/>
      <c r="H52" s="29"/>
      <c r="I52" s="23"/>
      <c r="J52" s="27"/>
      <c r="K52" s="27"/>
      <c r="L52" s="27"/>
      <c r="M52" s="23"/>
      <c r="N52" s="27"/>
      <c r="O52" s="27"/>
      <c r="P52" s="27"/>
      <c r="Q52" s="27"/>
      <c r="R52" s="27"/>
      <c r="S52" s="27"/>
      <c r="T52" s="27"/>
      <c r="V52" s="27"/>
      <c r="AB52" s="63"/>
      <c r="AD52" s="27"/>
      <c r="AF52" s="63"/>
      <c r="AH52" s="63"/>
      <c r="AJ52" s="23"/>
    </row>
    <row r="53" spans="2:36" ht="11.1" hidden="1" customHeight="1">
      <c r="B53" s="23"/>
      <c r="C53" s="23" t="s">
        <v>81</v>
      </c>
      <c r="D53" s="23"/>
      <c r="E53" s="23"/>
      <c r="F53" s="27">
        <v>-323</v>
      </c>
      <c r="G53" s="23"/>
      <c r="H53" s="29"/>
      <c r="I53" s="23"/>
      <c r="J53" s="27"/>
      <c r="K53" s="27"/>
      <c r="L53" s="27"/>
      <c r="M53" s="23"/>
      <c r="N53" s="27"/>
      <c r="O53" s="27"/>
      <c r="P53" s="27"/>
      <c r="Q53" s="27"/>
      <c r="R53" s="27"/>
      <c r="S53" s="27"/>
      <c r="T53" s="27"/>
      <c r="V53" s="27"/>
      <c r="AB53" s="63"/>
      <c r="AD53" s="27"/>
      <c r="AF53" s="63"/>
      <c r="AH53" s="63"/>
      <c r="AJ53" s="23"/>
    </row>
    <row r="54" spans="2:36" ht="11.1" hidden="1" customHeight="1">
      <c r="B54" s="23"/>
      <c r="C54" s="23" t="s">
        <v>82</v>
      </c>
      <c r="D54" s="23"/>
      <c r="E54" s="23"/>
      <c r="F54" s="27">
        <v>158</v>
      </c>
      <c r="G54" s="23"/>
      <c r="H54" s="27">
        <v>305</v>
      </c>
      <c r="I54" s="23"/>
      <c r="J54" s="27"/>
      <c r="K54" s="27"/>
      <c r="L54" s="27"/>
      <c r="M54" s="23"/>
      <c r="N54" s="27"/>
      <c r="O54" s="27"/>
      <c r="P54" s="27"/>
      <c r="Q54" s="27"/>
      <c r="R54" s="27"/>
      <c r="S54" s="27"/>
      <c r="T54" s="27"/>
      <c r="V54" s="27"/>
      <c r="AB54" s="63"/>
      <c r="AD54" s="27"/>
      <c r="AF54" s="63"/>
      <c r="AH54" s="63"/>
      <c r="AJ54" s="23"/>
    </row>
    <row r="55" spans="2:36" ht="11.1" hidden="1" customHeight="1">
      <c r="B55" s="23"/>
      <c r="C55" s="23" t="s">
        <v>83</v>
      </c>
      <c r="D55" s="23"/>
      <c r="E55" s="23"/>
      <c r="F55" s="27"/>
      <c r="G55" s="23"/>
      <c r="H55" s="27">
        <v>941</v>
      </c>
      <c r="I55" s="23"/>
      <c r="J55" s="27"/>
      <c r="K55" s="27"/>
      <c r="L55" s="27"/>
      <c r="M55" s="23"/>
      <c r="N55" s="27"/>
      <c r="O55" s="27"/>
      <c r="P55" s="27"/>
      <c r="Q55" s="27"/>
      <c r="R55" s="27"/>
      <c r="S55" s="27"/>
      <c r="T55" s="27"/>
      <c r="V55" s="27"/>
      <c r="AB55" s="63"/>
      <c r="AD55" s="27"/>
      <c r="AF55" s="63"/>
      <c r="AH55" s="63"/>
      <c r="AJ55" s="23"/>
    </row>
    <row r="56" spans="2:36" ht="11.1" customHeight="1">
      <c r="B56" s="23"/>
      <c r="C56" s="23" t="s">
        <v>154</v>
      </c>
      <c r="D56" s="23"/>
      <c r="E56" s="23"/>
      <c r="F56" s="27"/>
      <c r="G56" s="23"/>
      <c r="H56" s="27"/>
      <c r="I56" s="23"/>
      <c r="J56" s="27"/>
      <c r="K56" s="27"/>
      <c r="L56" s="27"/>
      <c r="M56" s="23"/>
      <c r="N56" s="27"/>
      <c r="O56" s="27"/>
      <c r="P56" s="27"/>
      <c r="Q56" s="27"/>
      <c r="R56" s="27">
        <v>-329</v>
      </c>
      <c r="S56" s="27"/>
      <c r="T56" s="27"/>
      <c r="V56" s="27"/>
      <c r="AB56" s="63">
        <v>-0.3</v>
      </c>
      <c r="AD56" s="27">
        <v>329</v>
      </c>
      <c r="AF56" s="63">
        <v>0.3</v>
      </c>
      <c r="AH56" s="63">
        <v>0.3</v>
      </c>
      <c r="AJ56" s="23"/>
    </row>
    <row r="57" spans="2:36" ht="11.1" customHeight="1">
      <c r="B57" s="23"/>
      <c r="C57" s="23" t="s">
        <v>153</v>
      </c>
      <c r="D57" s="23"/>
      <c r="E57" s="23"/>
      <c r="F57" s="27"/>
      <c r="G57" s="23"/>
      <c r="H57" s="27"/>
      <c r="I57" s="23"/>
      <c r="J57" s="27"/>
      <c r="K57" s="27"/>
      <c r="L57" s="27"/>
      <c r="M57" s="23"/>
      <c r="N57" s="27"/>
      <c r="O57" s="27"/>
      <c r="P57" s="27"/>
      <c r="Q57" s="27"/>
      <c r="R57" s="27">
        <v>-195</v>
      </c>
      <c r="S57" s="27"/>
      <c r="T57" s="27"/>
      <c r="V57" s="27"/>
      <c r="AB57" s="63">
        <v>-0.2</v>
      </c>
      <c r="AD57" s="27">
        <v>195</v>
      </c>
      <c r="AF57" s="63">
        <v>0.2</v>
      </c>
      <c r="AH57" s="63">
        <v>0.2</v>
      </c>
      <c r="AJ57" s="23"/>
    </row>
    <row r="58" spans="2:36" ht="11.1" customHeight="1">
      <c r="B58" s="23"/>
      <c r="C58" s="23" t="s">
        <v>163</v>
      </c>
      <c r="D58" s="23"/>
      <c r="E58" s="23"/>
      <c r="F58" s="27"/>
      <c r="G58" s="23"/>
      <c r="H58" s="27"/>
      <c r="I58" s="23"/>
      <c r="J58" s="27"/>
      <c r="K58" s="27"/>
      <c r="L58" s="27"/>
      <c r="M58" s="23"/>
      <c r="N58" s="27"/>
      <c r="O58" s="27"/>
      <c r="P58" s="27"/>
      <c r="Q58" s="27"/>
      <c r="R58" s="27"/>
      <c r="S58" s="27"/>
      <c r="T58" s="27"/>
      <c r="V58" s="27"/>
      <c r="AB58" s="63"/>
      <c r="AD58" s="27"/>
      <c r="AF58" s="63"/>
      <c r="AH58" s="63">
        <v>-0.2</v>
      </c>
      <c r="AJ58" s="23"/>
    </row>
    <row r="59" spans="2:36" ht="11.1" customHeight="1">
      <c r="B59" s="23"/>
      <c r="C59" s="23" t="s">
        <v>152</v>
      </c>
      <c r="D59" s="23"/>
      <c r="E59" s="23"/>
      <c r="F59" s="27"/>
      <c r="G59" s="23"/>
      <c r="H59" s="27"/>
      <c r="I59" s="23"/>
      <c r="J59" s="27"/>
      <c r="K59" s="27"/>
      <c r="L59" s="27"/>
      <c r="M59" s="23"/>
      <c r="N59" s="27"/>
      <c r="O59" s="27"/>
      <c r="P59" s="27"/>
      <c r="Q59" s="27"/>
      <c r="R59" s="27">
        <v>-175</v>
      </c>
      <c r="S59" s="27"/>
      <c r="T59" s="27"/>
      <c r="V59" s="27"/>
      <c r="AB59" s="63">
        <v>-0.2</v>
      </c>
      <c r="AD59" s="27">
        <v>175</v>
      </c>
      <c r="AF59" s="63">
        <v>0.2</v>
      </c>
      <c r="AH59" s="63">
        <v>0.2</v>
      </c>
      <c r="AJ59" s="23"/>
    </row>
    <row r="60" spans="2:36" ht="11.1" hidden="1" customHeight="1">
      <c r="B60" s="23"/>
      <c r="C60" s="23" t="s">
        <v>84</v>
      </c>
      <c r="D60" s="23"/>
      <c r="E60" s="23"/>
      <c r="F60" s="27"/>
      <c r="G60" s="23"/>
      <c r="H60" s="27"/>
      <c r="I60" s="23"/>
      <c r="J60" s="27"/>
      <c r="K60" s="27"/>
      <c r="L60" s="27"/>
      <c r="M60" s="23"/>
      <c r="N60" s="27">
        <f>-1400</f>
        <v>-1400</v>
      </c>
      <c r="O60" s="27"/>
      <c r="P60" s="27">
        <v>1400</v>
      </c>
      <c r="Q60" s="27"/>
      <c r="R60" s="27"/>
      <c r="S60" s="27"/>
      <c r="T60" s="27"/>
      <c r="V60" s="27"/>
      <c r="AB60" s="63"/>
      <c r="AD60" s="27"/>
      <c r="AF60" s="63"/>
      <c r="AH60" s="63"/>
      <c r="AJ60" s="23"/>
    </row>
    <row r="61" spans="2:36" ht="11.1" hidden="1" customHeight="1">
      <c r="B61" s="23"/>
      <c r="C61" s="23" t="s">
        <v>85</v>
      </c>
      <c r="D61" s="23"/>
      <c r="E61" s="23"/>
      <c r="F61" s="27"/>
      <c r="G61" s="23"/>
      <c r="H61" s="27">
        <v>-1647</v>
      </c>
      <c r="I61" s="23"/>
      <c r="J61" s="27"/>
      <c r="K61" s="27"/>
      <c r="L61" s="27"/>
      <c r="M61" s="23"/>
      <c r="N61" s="27">
        <f>527-747</f>
        <v>-220</v>
      </c>
      <c r="O61" s="27"/>
      <c r="P61" s="27"/>
      <c r="Q61" s="27"/>
      <c r="R61" s="27"/>
      <c r="S61" s="27"/>
      <c r="T61" s="27"/>
      <c r="V61" s="27"/>
      <c r="AB61" s="63"/>
      <c r="AD61" s="27"/>
      <c r="AF61" s="63"/>
      <c r="AH61" s="63"/>
      <c r="AJ61" s="23"/>
    </row>
    <row r="62" spans="2:36" ht="11.1" hidden="1" customHeight="1">
      <c r="B62" s="23"/>
      <c r="C62" s="23" t="s">
        <v>86</v>
      </c>
      <c r="D62" s="23"/>
      <c r="E62" s="23"/>
      <c r="F62" s="27"/>
      <c r="G62" s="23"/>
      <c r="H62" s="27">
        <v>-1570</v>
      </c>
      <c r="I62" s="23"/>
      <c r="J62" s="27"/>
      <c r="K62" s="27"/>
      <c r="L62" s="27"/>
      <c r="M62" s="23"/>
      <c r="N62" s="27">
        <f>-1341</f>
        <v>-1341</v>
      </c>
      <c r="O62" s="27"/>
      <c r="P62" s="27"/>
      <c r="Q62" s="27"/>
      <c r="R62" s="27"/>
      <c r="S62" s="27"/>
      <c r="T62" s="27"/>
      <c r="V62" s="27"/>
      <c r="AB62" s="63"/>
      <c r="AD62" s="27"/>
      <c r="AF62" s="63"/>
      <c r="AH62" s="63"/>
      <c r="AJ62" s="23"/>
    </row>
    <row r="63" spans="2:36" ht="11.1" customHeight="1">
      <c r="B63" s="23"/>
      <c r="C63" s="23" t="s">
        <v>87</v>
      </c>
      <c r="D63" s="23"/>
      <c r="E63" s="23"/>
      <c r="F63" s="27"/>
      <c r="G63" s="23"/>
      <c r="H63" s="27">
        <v>-856</v>
      </c>
      <c r="I63" s="23"/>
      <c r="J63" s="27">
        <v>300</v>
      </c>
      <c r="K63" s="27"/>
      <c r="L63" s="27">
        <v>500</v>
      </c>
      <c r="M63" s="23"/>
      <c r="N63" s="27">
        <f>500</f>
        <v>500</v>
      </c>
      <c r="O63" s="27"/>
      <c r="P63" s="27"/>
      <c r="Q63" s="27"/>
      <c r="R63" s="27"/>
      <c r="S63" s="27"/>
      <c r="T63" s="27"/>
      <c r="V63" s="27">
        <v>356</v>
      </c>
      <c r="AB63" s="63"/>
      <c r="AD63" s="27">
        <v>356</v>
      </c>
      <c r="AF63" s="63">
        <v>0.3</v>
      </c>
      <c r="AH63" s="63">
        <v>0.4</v>
      </c>
      <c r="AJ63" s="23"/>
    </row>
    <row r="64" spans="2:36" ht="11.1" hidden="1" customHeight="1">
      <c r="B64" s="23"/>
      <c r="C64" s="23" t="s">
        <v>88</v>
      </c>
      <c r="D64" s="23"/>
      <c r="E64" s="23"/>
      <c r="F64" s="27"/>
      <c r="G64" s="23"/>
      <c r="H64" s="27">
        <v>-700</v>
      </c>
      <c r="I64" s="23"/>
      <c r="J64" s="27">
        <v>700</v>
      </c>
      <c r="K64" s="27"/>
      <c r="L64" s="27">
        <v>200</v>
      </c>
      <c r="M64" s="23"/>
      <c r="N64" s="27">
        <f>520</f>
        <v>520</v>
      </c>
      <c r="O64" s="27"/>
      <c r="P64" s="27"/>
      <c r="Q64" s="27"/>
      <c r="R64" s="27"/>
      <c r="S64" s="27"/>
      <c r="T64" s="27"/>
      <c r="V64" s="27"/>
      <c r="AB64" s="63"/>
      <c r="AD64" s="27"/>
      <c r="AF64" s="63"/>
      <c r="AH64" s="63"/>
      <c r="AJ64" s="23"/>
    </row>
    <row r="65" spans="2:36" ht="11.1" hidden="1" customHeight="1">
      <c r="B65" s="23"/>
      <c r="C65" s="23" t="s">
        <v>89</v>
      </c>
      <c r="D65" s="23"/>
      <c r="E65" s="23"/>
      <c r="F65" s="27"/>
      <c r="G65" s="23"/>
      <c r="H65" s="27">
        <v>-338</v>
      </c>
      <c r="I65" s="23"/>
      <c r="J65" s="27"/>
      <c r="K65" s="27"/>
      <c r="L65" s="27"/>
      <c r="M65" s="23"/>
      <c r="N65" s="27"/>
      <c r="O65" s="27"/>
      <c r="P65" s="27"/>
      <c r="Q65" s="27"/>
      <c r="R65" s="27"/>
      <c r="S65" s="27"/>
      <c r="T65" s="27"/>
      <c r="V65" s="27"/>
      <c r="AB65" s="63"/>
      <c r="AD65" s="27"/>
      <c r="AF65" s="63"/>
      <c r="AH65" s="63"/>
      <c r="AJ65" s="23"/>
    </row>
    <row r="66" spans="2:36" ht="11.1" customHeight="1">
      <c r="B66" s="23"/>
      <c r="C66" s="23" t="s">
        <v>158</v>
      </c>
      <c r="D66" s="23"/>
      <c r="E66" s="23"/>
      <c r="F66" s="27"/>
      <c r="G66" s="23"/>
      <c r="H66" s="27"/>
      <c r="I66" s="23"/>
      <c r="J66" s="27"/>
      <c r="K66" s="27"/>
      <c r="L66" s="27"/>
      <c r="M66" s="23"/>
      <c r="N66" s="27"/>
      <c r="O66" s="27"/>
      <c r="P66" s="27"/>
      <c r="Q66" s="27"/>
      <c r="R66" s="27">
        <v>-600</v>
      </c>
      <c r="S66" s="27"/>
      <c r="T66" s="27"/>
      <c r="V66" s="27"/>
      <c r="AB66" s="63">
        <v>-0.6</v>
      </c>
      <c r="AD66" s="27">
        <v>-500</v>
      </c>
      <c r="AF66" s="63">
        <v>-0.5</v>
      </c>
      <c r="AH66" s="63">
        <v>-0.5</v>
      </c>
      <c r="AJ66" s="23"/>
    </row>
    <row r="67" spans="2:36" ht="11.1" hidden="1" customHeight="1">
      <c r="B67" s="23"/>
      <c r="C67" s="23" t="s">
        <v>90</v>
      </c>
      <c r="D67" s="23"/>
      <c r="E67" s="23"/>
      <c r="F67" s="27"/>
      <c r="G67" s="23"/>
      <c r="H67" s="27"/>
      <c r="I67" s="23"/>
      <c r="J67" s="27"/>
      <c r="K67" s="27"/>
      <c r="L67" s="27"/>
      <c r="M67" s="23"/>
      <c r="N67" s="27">
        <f>-698</f>
        <v>-698</v>
      </c>
      <c r="O67" s="27"/>
      <c r="P67" s="27"/>
      <c r="Q67" s="27"/>
      <c r="R67" s="27"/>
      <c r="S67" s="27"/>
      <c r="T67" s="27"/>
      <c r="V67" s="27"/>
      <c r="AB67" s="63"/>
      <c r="AD67" s="27"/>
      <c r="AF67" s="63"/>
      <c r="AH67" s="63"/>
      <c r="AJ67" s="23"/>
    </row>
    <row r="68" spans="2:36" ht="11.1" customHeight="1">
      <c r="B68" s="23"/>
      <c r="C68" s="23" t="s">
        <v>91</v>
      </c>
      <c r="D68" s="23"/>
      <c r="E68" s="23"/>
      <c r="F68" s="27"/>
      <c r="G68" s="23"/>
      <c r="H68" s="27">
        <v>-300</v>
      </c>
      <c r="I68" s="23"/>
      <c r="J68" s="27">
        <v>300</v>
      </c>
      <c r="K68" s="27"/>
      <c r="L68" s="27">
        <v>0</v>
      </c>
      <c r="M68" s="23"/>
      <c r="N68" s="27">
        <f>300</f>
        <v>300</v>
      </c>
      <c r="O68" s="27"/>
      <c r="P68" s="27">
        <v>0</v>
      </c>
      <c r="Q68" s="27"/>
      <c r="R68" s="27"/>
      <c r="S68" s="27"/>
      <c r="T68" s="27"/>
      <c r="V68" s="27">
        <v>77</v>
      </c>
      <c r="AB68" s="63"/>
      <c r="AD68" s="27">
        <v>77</v>
      </c>
      <c r="AF68" s="63">
        <v>0.1</v>
      </c>
      <c r="AH68" s="63">
        <v>0.1</v>
      </c>
      <c r="AJ68" s="23"/>
    </row>
    <row r="69" spans="2:36" ht="11.1" customHeight="1">
      <c r="B69" s="23"/>
      <c r="C69" s="23" t="s">
        <v>92</v>
      </c>
      <c r="D69" s="23"/>
      <c r="E69" s="23"/>
      <c r="F69" s="27"/>
      <c r="G69" s="23"/>
      <c r="H69" s="27"/>
      <c r="I69" s="23"/>
      <c r="J69" s="27"/>
      <c r="K69" s="27"/>
      <c r="L69" s="27"/>
      <c r="M69" s="23"/>
      <c r="N69" s="27"/>
      <c r="O69" s="27"/>
      <c r="P69" s="27"/>
      <c r="Q69" s="27"/>
      <c r="R69" s="27"/>
      <c r="S69" s="27"/>
      <c r="T69" s="27"/>
      <c r="V69" s="27">
        <v>55</v>
      </c>
      <c r="AB69" s="63"/>
      <c r="AD69" s="27">
        <v>55</v>
      </c>
      <c r="AF69" s="63">
        <v>0.1</v>
      </c>
      <c r="AH69" s="63">
        <v>0.1</v>
      </c>
      <c r="AJ69" s="23"/>
    </row>
    <row r="70" spans="2:36" ht="11.1" hidden="1" customHeight="1">
      <c r="B70" s="23"/>
      <c r="C70" s="23" t="s">
        <v>93</v>
      </c>
      <c r="D70" s="23"/>
      <c r="E70" s="23"/>
      <c r="F70" s="27"/>
      <c r="G70" s="23"/>
      <c r="H70" s="27"/>
      <c r="I70" s="23"/>
      <c r="J70" s="27"/>
      <c r="K70" s="27"/>
      <c r="L70" s="27"/>
      <c r="M70" s="23"/>
      <c r="N70" s="27"/>
      <c r="O70" s="27"/>
      <c r="P70" s="27"/>
      <c r="Q70" s="27"/>
      <c r="R70" s="27"/>
      <c r="S70" s="27"/>
      <c r="T70" s="27"/>
      <c r="V70" s="27">
        <v>900</v>
      </c>
      <c r="AB70" s="63"/>
      <c r="AD70" s="27">
        <v>900</v>
      </c>
      <c r="AF70" s="63">
        <v>0.9</v>
      </c>
      <c r="AH70" s="63"/>
      <c r="AJ70" s="23"/>
    </row>
    <row r="71" spans="2:36" ht="11.1" customHeight="1">
      <c r="B71" s="23"/>
      <c r="C71" s="23" t="s">
        <v>94</v>
      </c>
      <c r="D71" s="23"/>
      <c r="E71" s="23"/>
      <c r="F71" s="27"/>
      <c r="G71" s="23"/>
      <c r="H71" s="27"/>
      <c r="I71" s="23"/>
      <c r="J71" s="27"/>
      <c r="K71" s="27"/>
      <c r="L71" s="27"/>
      <c r="M71" s="23"/>
      <c r="N71" s="27"/>
      <c r="O71" s="27"/>
      <c r="P71" s="27"/>
      <c r="Q71" s="27"/>
      <c r="R71" s="27">
        <v>-840</v>
      </c>
      <c r="S71" s="27"/>
      <c r="T71" s="27"/>
      <c r="V71" s="27"/>
      <c r="AB71" s="63">
        <v>-0.8</v>
      </c>
      <c r="AD71" s="27"/>
      <c r="AF71" s="63"/>
      <c r="AH71" s="63"/>
      <c r="AJ71" s="23"/>
    </row>
    <row r="72" spans="2:36" ht="11.1" customHeight="1">
      <c r="B72" s="23"/>
      <c r="C72" s="23" t="s">
        <v>75</v>
      </c>
      <c r="D72" s="23"/>
      <c r="E72" s="23"/>
      <c r="F72" s="27"/>
      <c r="G72" s="23"/>
      <c r="H72" s="27"/>
      <c r="I72" s="23"/>
      <c r="J72" s="27"/>
      <c r="K72" s="27"/>
      <c r="L72" s="27"/>
      <c r="M72" s="23"/>
      <c r="N72" s="27"/>
      <c r="O72" s="27"/>
      <c r="P72" s="27"/>
      <c r="Q72" s="27"/>
      <c r="R72" s="27">
        <v>-979</v>
      </c>
      <c r="S72" s="27"/>
      <c r="T72" s="27"/>
      <c r="V72" s="27"/>
      <c r="AB72" s="63">
        <v>-1</v>
      </c>
      <c r="AD72" s="27">
        <v>979</v>
      </c>
      <c r="AF72" s="63">
        <v>1</v>
      </c>
      <c r="AH72" s="63">
        <v>1</v>
      </c>
      <c r="AJ72" s="23"/>
    </row>
    <row r="73" spans="2:36" ht="11.1" customHeight="1">
      <c r="B73" s="23"/>
      <c r="C73" s="23" t="s">
        <v>111</v>
      </c>
      <c r="D73" s="23"/>
      <c r="E73" s="23"/>
      <c r="F73" s="27"/>
      <c r="G73" s="23"/>
      <c r="H73" s="27"/>
      <c r="I73" s="23"/>
      <c r="J73" s="27"/>
      <c r="K73" s="27"/>
      <c r="L73" s="27"/>
      <c r="M73" s="23"/>
      <c r="N73" s="27"/>
      <c r="O73" s="27"/>
      <c r="P73" s="27"/>
      <c r="Q73" s="27"/>
      <c r="R73" s="27"/>
      <c r="S73" s="27"/>
      <c r="T73" s="27"/>
      <c r="V73" s="27"/>
      <c r="AB73" s="63"/>
      <c r="AD73" s="27"/>
      <c r="AF73" s="63"/>
      <c r="AH73" s="63">
        <v>0.2</v>
      </c>
      <c r="AJ73" s="23"/>
    </row>
    <row r="74" spans="2:36" ht="11.1" customHeight="1">
      <c r="B74" s="23"/>
      <c r="C74" s="23" t="s">
        <v>95</v>
      </c>
      <c r="D74" s="23"/>
      <c r="E74" s="23"/>
      <c r="F74" s="27"/>
      <c r="G74" s="23"/>
      <c r="H74" s="27"/>
      <c r="I74" s="23"/>
      <c r="J74" s="27"/>
      <c r="K74" s="27"/>
      <c r="L74" s="27"/>
      <c r="M74" s="23"/>
      <c r="N74" s="27"/>
      <c r="O74" s="27"/>
      <c r="P74" s="27"/>
      <c r="Q74" s="27"/>
      <c r="R74" s="27"/>
      <c r="S74" s="27"/>
      <c r="T74" s="27"/>
      <c r="V74" s="27">
        <v>-120</v>
      </c>
      <c r="AB74" s="63"/>
      <c r="AD74" s="27">
        <v>-120</v>
      </c>
      <c r="AF74" s="63">
        <v>-0.1</v>
      </c>
      <c r="AH74" s="63">
        <v>-0.1</v>
      </c>
      <c r="AJ74" s="23"/>
    </row>
    <row r="75" spans="2:36" ht="11.1" customHeight="1">
      <c r="B75" s="23"/>
      <c r="C75" s="23" t="s">
        <v>160</v>
      </c>
      <c r="D75" s="23"/>
      <c r="E75" s="23"/>
      <c r="F75" s="27"/>
      <c r="G75" s="23"/>
      <c r="H75" s="27"/>
      <c r="I75" s="23"/>
      <c r="J75" s="27"/>
      <c r="K75" s="27"/>
      <c r="L75" s="27"/>
      <c r="M75" s="23"/>
      <c r="N75" s="27"/>
      <c r="O75" s="27"/>
      <c r="P75" s="27"/>
      <c r="Q75" s="27"/>
      <c r="R75" s="27"/>
      <c r="S75" s="27"/>
      <c r="T75" s="27"/>
      <c r="V75" s="27"/>
      <c r="AB75" s="63"/>
      <c r="AD75" s="27">
        <v>-250</v>
      </c>
      <c r="AF75" s="63">
        <v>-0.3</v>
      </c>
      <c r="AH75" s="63">
        <v>-0.2</v>
      </c>
      <c r="AJ75" s="23"/>
    </row>
    <row r="76" spans="2:36" ht="11.1" hidden="1" customHeight="1">
      <c r="B76" s="23"/>
      <c r="C76" s="23" t="s">
        <v>96</v>
      </c>
      <c r="D76" s="23"/>
      <c r="E76" s="23"/>
      <c r="F76" s="27"/>
      <c r="G76" s="23"/>
      <c r="H76" s="27"/>
      <c r="I76" s="23"/>
      <c r="J76" s="27"/>
      <c r="K76" s="27"/>
      <c r="L76" s="27"/>
      <c r="M76" s="23"/>
      <c r="N76" s="27"/>
      <c r="O76" s="27"/>
      <c r="P76" s="27"/>
      <c r="Q76" s="27"/>
      <c r="R76" s="27"/>
      <c r="S76" s="27"/>
      <c r="T76" s="27">
        <v>800</v>
      </c>
      <c r="V76" s="27">
        <v>800</v>
      </c>
      <c r="AB76" s="63"/>
      <c r="AD76" s="27"/>
      <c r="AF76" s="63"/>
      <c r="AH76" s="63"/>
      <c r="AJ76" s="23"/>
    </row>
    <row r="77" spans="2:36" ht="11.1" customHeight="1">
      <c r="B77" s="23"/>
      <c r="C77" s="23" t="s">
        <v>167</v>
      </c>
      <c r="D77" s="23"/>
      <c r="E77" s="23"/>
      <c r="F77" s="27"/>
      <c r="G77" s="23"/>
      <c r="H77" s="27"/>
      <c r="I77" s="23"/>
      <c r="J77" s="27"/>
      <c r="K77" s="27"/>
      <c r="L77" s="27"/>
      <c r="M77" s="23"/>
      <c r="N77" s="27"/>
      <c r="O77" s="27"/>
      <c r="P77" s="27"/>
      <c r="Q77" s="27"/>
      <c r="R77" s="27"/>
      <c r="S77" s="27"/>
      <c r="T77" s="27"/>
      <c r="V77" s="27"/>
      <c r="AB77" s="63"/>
      <c r="AD77" s="27"/>
      <c r="AF77" s="63"/>
      <c r="AH77" s="63">
        <v>-0.4</v>
      </c>
      <c r="AJ77" s="23"/>
    </row>
    <row r="78" spans="2:36" ht="11.1" customHeight="1">
      <c r="B78" s="23"/>
      <c r="C78" s="23" t="s">
        <v>179</v>
      </c>
      <c r="D78" s="23"/>
      <c r="E78" s="23"/>
      <c r="F78" s="27"/>
      <c r="G78" s="23"/>
      <c r="H78" s="27"/>
      <c r="I78" s="23"/>
      <c r="J78" s="27"/>
      <c r="K78" s="27"/>
      <c r="L78" s="27"/>
      <c r="M78" s="23"/>
      <c r="N78" s="27"/>
      <c r="O78" s="27"/>
      <c r="P78" s="27"/>
      <c r="Q78" s="27"/>
      <c r="R78" s="27"/>
      <c r="S78" s="27"/>
      <c r="T78" s="27"/>
      <c r="V78" s="27"/>
      <c r="AB78" s="63"/>
      <c r="AD78" s="27"/>
      <c r="AF78" s="63"/>
      <c r="AH78" s="63"/>
      <c r="AJ78" s="23">
        <v>-1</v>
      </c>
    </row>
    <row r="79" spans="2:36" ht="11.1" customHeight="1">
      <c r="B79" s="23"/>
      <c r="C79" s="23" t="s">
        <v>97</v>
      </c>
      <c r="D79" s="23"/>
      <c r="E79" s="23"/>
      <c r="F79" s="29">
        <v>0</v>
      </c>
      <c r="G79" s="23"/>
      <c r="H79" s="29"/>
      <c r="I79" s="23"/>
      <c r="J79" s="29"/>
      <c r="K79" s="27"/>
      <c r="L79" s="29"/>
      <c r="M79" s="23"/>
      <c r="N79" s="29">
        <v>0</v>
      </c>
      <c r="O79" s="27"/>
      <c r="P79" s="29">
        <v>0</v>
      </c>
      <c r="Q79" s="29"/>
      <c r="R79" s="29">
        <v>-1014</v>
      </c>
      <c r="S79" s="29"/>
      <c r="T79" s="29">
        <v>0</v>
      </c>
      <c r="V79" s="29">
        <v>0</v>
      </c>
      <c r="X79" s="29">
        <v>0</v>
      </c>
      <c r="Z79" s="29">
        <v>0</v>
      </c>
      <c r="AA79" s="29"/>
      <c r="AB79" s="64">
        <v>-1</v>
      </c>
      <c r="AD79" s="29">
        <v>0</v>
      </c>
      <c r="AF79" s="64">
        <v>0</v>
      </c>
      <c r="AH79" s="64">
        <v>0</v>
      </c>
      <c r="AJ79" s="28">
        <v>0</v>
      </c>
    </row>
    <row r="80" spans="2:36" ht="11.1" customHeight="1">
      <c r="B80" s="23"/>
      <c r="C80" s="23" t="s">
        <v>98</v>
      </c>
      <c r="D80" s="23"/>
      <c r="E80" s="23"/>
      <c r="F80" s="29">
        <f>SUM(F51:F79)</f>
        <v>2492</v>
      </c>
      <c r="G80" s="23"/>
      <c r="H80" s="29">
        <f>SUM(H51:H79)</f>
        <v>-4165</v>
      </c>
      <c r="I80" s="23"/>
      <c r="J80" s="29">
        <f>SUM(J54:J79)</f>
        <v>1300</v>
      </c>
      <c r="K80" s="27"/>
      <c r="L80" s="29">
        <f>SUM(L54:L79)</f>
        <v>700</v>
      </c>
      <c r="M80" s="23"/>
      <c r="N80" s="29">
        <f>SUM(N51:N79)</f>
        <v>-2339</v>
      </c>
      <c r="O80" s="27"/>
      <c r="P80" s="29">
        <f>SUM(P51:P79)</f>
        <v>1400</v>
      </c>
      <c r="Q80" s="29"/>
      <c r="R80" s="29">
        <f>SUM(R51:R79)</f>
        <v>-4132</v>
      </c>
      <c r="S80" s="29"/>
      <c r="T80" s="29">
        <f>SUM(T51:T79)</f>
        <v>800</v>
      </c>
      <c r="V80" s="29">
        <f>SUM(V51:V79)</f>
        <v>2068</v>
      </c>
      <c r="X80" s="29">
        <f>SUM(X51:X79)</f>
        <v>0</v>
      </c>
      <c r="Z80" s="29">
        <f>SUM(Z51:Z79)</f>
        <v>0</v>
      </c>
      <c r="AA80" s="29"/>
      <c r="AB80" s="64">
        <f>SUM(AB51:AB79)</f>
        <v>-4.0999999999999996</v>
      </c>
      <c r="AD80" s="29">
        <f>SUM(AD51:AD79)</f>
        <v>2196</v>
      </c>
      <c r="AF80" s="64">
        <f>SUM(AF51:AF79)</f>
        <v>2.2000000000000002</v>
      </c>
      <c r="AH80" s="64">
        <f>SUM(AH51:AH79)</f>
        <v>1.1000000000000001</v>
      </c>
      <c r="AJ80" s="64">
        <f>SUM(AJ51:AJ79)</f>
        <v>-1</v>
      </c>
    </row>
    <row r="81" spans="1:36" ht="11.1" customHeight="1">
      <c r="B81" s="23"/>
      <c r="C81" s="28" t="s">
        <v>99</v>
      </c>
      <c r="D81" s="23"/>
      <c r="E81" s="23"/>
      <c r="F81" s="27"/>
      <c r="G81" s="23"/>
      <c r="H81" s="27"/>
      <c r="I81" s="23"/>
      <c r="J81" s="27"/>
      <c r="K81" s="27"/>
      <c r="L81" s="27"/>
      <c r="M81" s="23"/>
      <c r="N81" s="27"/>
      <c r="O81" s="27"/>
      <c r="P81" s="27"/>
      <c r="Q81" s="27"/>
      <c r="R81" s="27"/>
      <c r="S81" s="27"/>
      <c r="T81" s="27"/>
      <c r="V81" s="27"/>
      <c r="AB81" s="63"/>
      <c r="AD81" s="27"/>
      <c r="AF81" s="63"/>
      <c r="AH81" s="63"/>
      <c r="AJ81" s="23"/>
    </row>
    <row r="82" spans="1:36" ht="11.1" hidden="1" customHeight="1">
      <c r="B82" s="23"/>
      <c r="C82" s="23" t="s">
        <v>100</v>
      </c>
      <c r="D82" s="23"/>
      <c r="E82" s="23"/>
      <c r="F82" s="27">
        <v>1109</v>
      </c>
      <c r="G82" s="23"/>
      <c r="H82" s="27"/>
      <c r="I82" s="23"/>
      <c r="J82" s="27"/>
      <c r="K82" s="27"/>
      <c r="L82" s="27"/>
      <c r="M82" s="23"/>
      <c r="N82" s="27"/>
      <c r="O82" s="27"/>
      <c r="P82" s="27"/>
      <c r="Q82" s="27"/>
      <c r="R82" s="27"/>
      <c r="S82" s="27"/>
      <c r="T82" s="27"/>
      <c r="V82" s="27"/>
      <c r="AB82" s="63"/>
      <c r="AD82" s="27"/>
      <c r="AF82" s="63"/>
      <c r="AH82" s="63"/>
      <c r="AJ82" s="23"/>
    </row>
    <row r="83" spans="1:36" ht="11.1" hidden="1" customHeight="1">
      <c r="A83" s="54"/>
      <c r="B83" s="23"/>
      <c r="C83" s="23" t="s">
        <v>101</v>
      </c>
      <c r="D83" s="23"/>
      <c r="E83" s="23"/>
      <c r="F83" s="27"/>
      <c r="G83" s="23"/>
      <c r="H83" s="27"/>
      <c r="I83" s="23"/>
      <c r="J83" s="27"/>
      <c r="K83" s="27"/>
      <c r="L83" s="27"/>
      <c r="M83" s="23"/>
      <c r="N83" s="27">
        <v>423</v>
      </c>
      <c r="O83" s="27"/>
      <c r="P83" s="27"/>
      <c r="Q83" s="27"/>
      <c r="R83" s="27"/>
      <c r="S83" s="27"/>
      <c r="T83" s="27"/>
      <c r="V83" s="27"/>
      <c r="AB83" s="63"/>
      <c r="AD83" s="27"/>
      <c r="AF83" s="63"/>
      <c r="AH83" s="63"/>
      <c r="AJ83" s="23"/>
    </row>
    <row r="84" spans="1:36" ht="11.1" hidden="1" customHeight="1">
      <c r="A84" s="54" t="s">
        <v>102</v>
      </c>
      <c r="B84" s="23"/>
      <c r="C84" s="23" t="s">
        <v>103</v>
      </c>
      <c r="D84" s="23"/>
      <c r="E84" s="23"/>
      <c r="F84" s="27"/>
      <c r="G84" s="23"/>
      <c r="H84" s="27"/>
      <c r="I84" s="23"/>
      <c r="J84" s="27"/>
      <c r="K84" s="27"/>
      <c r="L84" s="27"/>
      <c r="M84" s="23"/>
      <c r="N84" s="27">
        <f>-985</f>
        <v>-985</v>
      </c>
      <c r="O84" s="27"/>
      <c r="P84" s="27">
        <f>985</f>
        <v>985</v>
      </c>
      <c r="Q84" s="27"/>
      <c r="R84" s="27"/>
      <c r="S84" s="27"/>
      <c r="T84" s="27"/>
      <c r="V84" s="27"/>
      <c r="AB84" s="63"/>
      <c r="AD84" s="27"/>
      <c r="AF84" s="63"/>
      <c r="AH84" s="63"/>
      <c r="AJ84" s="23"/>
    </row>
    <row r="85" spans="1:36" ht="11.1" hidden="1" customHeight="1">
      <c r="A85" s="54" t="s">
        <v>104</v>
      </c>
      <c r="B85" s="23"/>
      <c r="C85" s="23" t="s">
        <v>105</v>
      </c>
      <c r="D85" s="23"/>
      <c r="E85" s="23"/>
      <c r="F85" s="27"/>
      <c r="G85" s="23"/>
      <c r="H85" s="27"/>
      <c r="I85" s="23"/>
      <c r="J85" s="27"/>
      <c r="K85" s="27"/>
      <c r="L85" s="27"/>
      <c r="M85" s="23"/>
      <c r="N85" s="27">
        <f>-293</f>
        <v>-293</v>
      </c>
      <c r="O85" s="27"/>
      <c r="P85" s="27">
        <f>293</f>
        <v>293</v>
      </c>
      <c r="Q85" s="27"/>
      <c r="R85" s="27"/>
      <c r="S85" s="27"/>
      <c r="T85" s="27"/>
      <c r="V85" s="27"/>
      <c r="AB85" s="63"/>
      <c r="AD85" s="27"/>
      <c r="AF85" s="63"/>
      <c r="AH85" s="63"/>
      <c r="AJ85" s="23"/>
    </row>
    <row r="86" spans="1:36" ht="11.1" hidden="1" customHeight="1">
      <c r="B86" s="23"/>
      <c r="C86" s="23" t="s">
        <v>106</v>
      </c>
      <c r="D86" s="23"/>
      <c r="E86" s="23"/>
      <c r="F86" s="27"/>
      <c r="G86" s="23"/>
      <c r="H86" s="27"/>
      <c r="I86" s="23"/>
      <c r="J86" s="27"/>
      <c r="K86" s="27"/>
      <c r="L86" s="27">
        <v>203</v>
      </c>
      <c r="M86" s="23"/>
      <c r="N86" s="27">
        <v>203</v>
      </c>
      <c r="O86" s="27"/>
      <c r="P86" s="27"/>
      <c r="Q86" s="27"/>
      <c r="R86" s="27"/>
      <c r="S86" s="27"/>
      <c r="T86" s="27"/>
      <c r="V86" s="27"/>
      <c r="AB86" s="63"/>
      <c r="AD86" s="27"/>
      <c r="AF86" s="63"/>
      <c r="AH86" s="63"/>
      <c r="AJ86" s="23"/>
    </row>
    <row r="87" spans="1:36" ht="11.1" customHeight="1">
      <c r="A87" s="54" t="s">
        <v>102</v>
      </c>
      <c r="B87" s="23"/>
      <c r="C87" s="23" t="s">
        <v>107</v>
      </c>
      <c r="D87" s="23"/>
      <c r="E87" s="23"/>
      <c r="F87" s="27"/>
      <c r="G87" s="23"/>
      <c r="H87" s="27"/>
      <c r="I87" s="23"/>
      <c r="J87" s="27"/>
      <c r="K87" s="27"/>
      <c r="L87" s="27"/>
      <c r="M87" s="23"/>
      <c r="N87" s="27"/>
      <c r="O87" s="27"/>
      <c r="P87" s="27"/>
      <c r="Q87" s="27"/>
      <c r="R87" s="27"/>
      <c r="S87" s="27"/>
      <c r="T87" s="27"/>
      <c r="V87" s="27">
        <v>1572</v>
      </c>
      <c r="AB87" s="63"/>
      <c r="AD87" s="27">
        <v>1572</v>
      </c>
      <c r="AF87" s="63">
        <f>3+1.6</f>
        <v>4.5999999999999996</v>
      </c>
      <c r="AH87" s="63">
        <v>5.8</v>
      </c>
      <c r="AJ87" s="23"/>
    </row>
    <row r="88" spans="1:36" ht="11.1" hidden="1" customHeight="1">
      <c r="B88" s="23"/>
      <c r="C88" s="23" t="s">
        <v>108</v>
      </c>
      <c r="D88" s="23"/>
      <c r="E88" s="23"/>
      <c r="F88" s="27"/>
      <c r="G88" s="23"/>
      <c r="H88" s="27"/>
      <c r="I88" s="23"/>
      <c r="J88" s="27">
        <v>203</v>
      </c>
      <c r="K88" s="27"/>
      <c r="L88" s="27">
        <v>203</v>
      </c>
      <c r="M88" s="23"/>
      <c r="N88" s="27">
        <v>203</v>
      </c>
      <c r="O88" s="27"/>
      <c r="P88" s="27"/>
      <c r="Q88" s="27"/>
      <c r="R88" s="27"/>
      <c r="S88" s="27"/>
      <c r="T88" s="27"/>
      <c r="V88" s="27"/>
      <c r="AB88" s="63"/>
      <c r="AD88" s="27"/>
      <c r="AF88" s="63"/>
      <c r="AH88" s="63"/>
      <c r="AJ88" s="23"/>
    </row>
    <row r="89" spans="1:36" ht="11.1" hidden="1" customHeight="1">
      <c r="A89" s="54" t="s">
        <v>109</v>
      </c>
      <c r="B89" s="23"/>
      <c r="C89" s="23" t="s">
        <v>110</v>
      </c>
      <c r="D89" s="23"/>
      <c r="E89" s="23"/>
      <c r="F89" s="27"/>
      <c r="G89" s="23"/>
      <c r="H89" s="27"/>
      <c r="I89" s="23"/>
      <c r="J89" s="27"/>
      <c r="K89" s="27"/>
      <c r="L89" s="27"/>
      <c r="M89" s="23"/>
      <c r="N89" s="27">
        <f>-1560</f>
        <v>-1560</v>
      </c>
      <c r="O89" s="27"/>
      <c r="P89" s="27">
        <f>1560</f>
        <v>1560</v>
      </c>
      <c r="Q89" s="27"/>
      <c r="R89" s="27"/>
      <c r="S89" s="27"/>
      <c r="T89" s="27"/>
      <c r="V89" s="27">
        <v>1560</v>
      </c>
      <c r="AB89" s="63"/>
      <c r="AD89" s="27">
        <v>1560</v>
      </c>
      <c r="AF89" s="63">
        <v>1.6</v>
      </c>
      <c r="AH89" s="63"/>
      <c r="AJ89" s="23"/>
    </row>
    <row r="90" spans="1:36" ht="11.1" customHeight="1">
      <c r="A90" s="54"/>
      <c r="B90" s="23"/>
      <c r="C90" s="23" t="s">
        <v>166</v>
      </c>
      <c r="D90" s="23"/>
      <c r="E90" s="23"/>
      <c r="F90" s="27"/>
      <c r="G90" s="23"/>
      <c r="H90" s="27"/>
      <c r="I90" s="23"/>
      <c r="J90" s="27"/>
      <c r="K90" s="27"/>
      <c r="L90" s="27"/>
      <c r="M90" s="23"/>
      <c r="N90" s="27"/>
      <c r="O90" s="27"/>
      <c r="P90" s="27"/>
      <c r="Q90" s="27"/>
      <c r="R90" s="27"/>
      <c r="S90" s="27"/>
      <c r="T90" s="27"/>
      <c r="V90" s="27"/>
      <c r="AB90" s="63"/>
      <c r="AD90" s="27"/>
      <c r="AF90" s="63"/>
      <c r="AH90" s="63">
        <v>4.7</v>
      </c>
      <c r="AJ90" s="23"/>
    </row>
    <row r="91" spans="1:36" ht="11.1" hidden="1" customHeight="1">
      <c r="A91" s="54" t="s">
        <v>109</v>
      </c>
      <c r="B91" s="23"/>
      <c r="C91" s="23" t="s">
        <v>111</v>
      </c>
      <c r="D91" s="23"/>
      <c r="E91" s="23"/>
      <c r="F91" s="27"/>
      <c r="G91" s="23"/>
      <c r="H91" s="27">
        <v>-296</v>
      </c>
      <c r="I91" s="23"/>
      <c r="J91" s="27"/>
      <c r="K91" s="27"/>
      <c r="L91" s="27"/>
      <c r="M91" s="23"/>
      <c r="N91" s="27"/>
      <c r="O91" s="27"/>
      <c r="P91" s="27"/>
      <c r="Q91" s="27"/>
      <c r="R91" s="27"/>
      <c r="S91" s="27"/>
      <c r="T91" s="27"/>
      <c r="V91" s="27">
        <v>196</v>
      </c>
      <c r="AB91" s="63"/>
      <c r="AD91" s="27">
        <v>196</v>
      </c>
      <c r="AF91" s="63">
        <v>0.2</v>
      </c>
      <c r="AH91" s="63"/>
      <c r="AJ91" s="23"/>
    </row>
    <row r="92" spans="1:36" ht="11.1" hidden="1" customHeight="1">
      <c r="A92" s="54" t="s">
        <v>102</v>
      </c>
      <c r="B92" s="23"/>
      <c r="C92" s="23" t="s">
        <v>112</v>
      </c>
      <c r="D92" s="23"/>
      <c r="E92" s="23"/>
      <c r="F92" s="27"/>
      <c r="G92" s="23"/>
      <c r="H92" s="27"/>
      <c r="I92" s="23"/>
      <c r="J92" s="27"/>
      <c r="K92" s="27"/>
      <c r="L92" s="27"/>
      <c r="M92" s="23"/>
      <c r="N92" s="27"/>
      <c r="O92" s="27"/>
      <c r="P92" s="27"/>
      <c r="Q92" s="27"/>
      <c r="R92" s="27"/>
      <c r="S92" s="27"/>
      <c r="T92" s="27"/>
      <c r="V92" s="27"/>
      <c r="AB92" s="63"/>
      <c r="AD92" s="27"/>
      <c r="AF92" s="63"/>
      <c r="AH92" s="63"/>
      <c r="AJ92" s="23"/>
    </row>
    <row r="93" spans="1:36" ht="11.1" customHeight="1">
      <c r="A93" s="54" t="s">
        <v>109</v>
      </c>
      <c r="B93" s="23"/>
      <c r="C93" s="23" t="s">
        <v>113</v>
      </c>
      <c r="D93" s="23"/>
      <c r="E93" s="23"/>
      <c r="F93" s="27"/>
      <c r="G93" s="23"/>
      <c r="H93" s="27"/>
      <c r="I93" s="23"/>
      <c r="J93" s="27"/>
      <c r="K93" s="27"/>
      <c r="L93" s="27"/>
      <c r="M93" s="23"/>
      <c r="N93" s="27"/>
      <c r="O93" s="27"/>
      <c r="P93" s="27"/>
      <c r="Q93" s="27"/>
      <c r="R93" s="27">
        <v>-962</v>
      </c>
      <c r="S93" s="27"/>
      <c r="T93" s="27"/>
      <c r="V93" s="27"/>
      <c r="AB93" s="63">
        <v>-1</v>
      </c>
      <c r="AD93" s="27"/>
      <c r="AF93" s="63"/>
      <c r="AH93" s="63"/>
      <c r="AJ93" s="23"/>
    </row>
    <row r="94" spans="1:36" ht="11.1" customHeight="1">
      <c r="A94" s="54"/>
      <c r="B94" s="23"/>
      <c r="C94" s="23" t="s">
        <v>155</v>
      </c>
      <c r="D94" s="23"/>
      <c r="E94" s="23"/>
      <c r="F94" s="27"/>
      <c r="G94" s="23"/>
      <c r="H94" s="27"/>
      <c r="I94" s="23"/>
      <c r="J94" s="27"/>
      <c r="K94" s="27"/>
      <c r="L94" s="27"/>
      <c r="M94" s="23"/>
      <c r="N94" s="27"/>
      <c r="O94" s="27"/>
      <c r="P94" s="27"/>
      <c r="Q94" s="27"/>
      <c r="R94" s="29">
        <v>-1400</v>
      </c>
      <c r="S94" s="27"/>
      <c r="T94" s="27"/>
      <c r="V94" s="27"/>
      <c r="AB94" s="64">
        <v>-1.4</v>
      </c>
      <c r="AD94" s="29">
        <v>0</v>
      </c>
      <c r="AF94" s="64">
        <v>0</v>
      </c>
      <c r="AH94" s="64">
        <v>0</v>
      </c>
      <c r="AJ94" s="28">
        <v>0</v>
      </c>
    </row>
    <row r="95" spans="1:36" ht="11.1" hidden="1" customHeight="1">
      <c r="A95" s="54" t="s">
        <v>109</v>
      </c>
      <c r="B95" s="23"/>
      <c r="C95" s="23" t="s">
        <v>114</v>
      </c>
      <c r="D95" s="23"/>
      <c r="E95" s="23"/>
      <c r="F95" s="27"/>
      <c r="G95" s="23"/>
      <c r="H95" s="29">
        <v>0</v>
      </c>
      <c r="I95" s="23"/>
      <c r="J95" s="27"/>
      <c r="K95" s="27"/>
      <c r="L95" s="27"/>
      <c r="M95" s="23"/>
      <c r="N95" s="29">
        <v>0</v>
      </c>
      <c r="O95" s="27"/>
      <c r="P95" s="29">
        <v>0</v>
      </c>
      <c r="Q95" s="27"/>
      <c r="R95" s="29">
        <v>0</v>
      </c>
      <c r="S95" s="27"/>
      <c r="T95" s="29">
        <v>12500</v>
      </c>
      <c r="V95" s="29">
        <f>7600-1100</f>
        <v>6500</v>
      </c>
      <c r="X95" s="29">
        <v>0</v>
      </c>
      <c r="Z95" s="29">
        <v>0</v>
      </c>
      <c r="AA95" s="29"/>
      <c r="AB95" s="64"/>
      <c r="AD95" s="29">
        <v>0</v>
      </c>
      <c r="AF95" s="64"/>
      <c r="AH95" s="64"/>
      <c r="AJ95" s="23"/>
    </row>
    <row r="96" spans="1:36" ht="11.1" customHeight="1">
      <c r="B96" s="23"/>
      <c r="C96" s="23" t="s">
        <v>115</v>
      </c>
      <c r="D96" s="23"/>
      <c r="E96" s="23"/>
      <c r="F96" s="29">
        <f>SUM(F82:F95)</f>
        <v>1109</v>
      </c>
      <c r="G96" s="23"/>
      <c r="H96" s="29">
        <f>SUM(H82:H95)</f>
        <v>-296</v>
      </c>
      <c r="I96" s="23"/>
      <c r="J96" s="29">
        <f>SUM(J86:J95)</f>
        <v>203</v>
      </c>
      <c r="K96" s="27"/>
      <c r="L96" s="29">
        <f>SUM(L86:L95)</f>
        <v>406</v>
      </c>
      <c r="M96" s="23"/>
      <c r="N96" s="29">
        <f>SUM(N82:N95)</f>
        <v>-2009</v>
      </c>
      <c r="O96" s="27"/>
      <c r="P96" s="29">
        <f>SUM(P82:P95)</f>
        <v>2838</v>
      </c>
      <c r="Q96" s="29"/>
      <c r="R96" s="29">
        <f>SUM(R82:R95)</f>
        <v>-2362</v>
      </c>
      <c r="S96" s="29"/>
      <c r="T96" s="29">
        <f>SUM(T82:T95)</f>
        <v>12500</v>
      </c>
      <c r="V96" s="29">
        <f>SUM(V82:V95)</f>
        <v>9828</v>
      </c>
      <c r="X96" s="29">
        <f>SUM(X82:X95)</f>
        <v>0</v>
      </c>
      <c r="Z96" s="29">
        <f>SUM(Z82:Z95)</f>
        <v>0</v>
      </c>
      <c r="AA96" s="29"/>
      <c r="AB96" s="64">
        <f>SUM(AB82:AB95)</f>
        <v>-2.4</v>
      </c>
      <c r="AD96" s="29">
        <f>SUM(AD82:AD95)</f>
        <v>3328</v>
      </c>
      <c r="AF96" s="64">
        <f>SUM(AF82:AF95)</f>
        <v>6.3999999999999995</v>
      </c>
      <c r="AH96" s="64">
        <f>SUM(AH82:AH95)</f>
        <v>10.5</v>
      </c>
      <c r="AJ96" s="64">
        <f>SUM(AJ82:AJ95)</f>
        <v>0</v>
      </c>
    </row>
    <row r="97" spans="1:36" ht="11.1" customHeight="1">
      <c r="B97" s="23"/>
      <c r="C97" s="23" t="s">
        <v>116</v>
      </c>
      <c r="D97" s="23"/>
      <c r="E97" s="23"/>
      <c r="F97" s="29">
        <f>F49+F80+F96</f>
        <v>5702</v>
      </c>
      <c r="G97" s="23"/>
      <c r="H97" s="29">
        <f>H49+H80+H96</f>
        <v>-8497</v>
      </c>
      <c r="I97" s="23"/>
      <c r="J97" s="29">
        <f>J49+J80+J96</f>
        <v>6827</v>
      </c>
      <c r="K97" s="27"/>
      <c r="L97" s="29">
        <f>L49+L80+L96</f>
        <v>4844</v>
      </c>
      <c r="M97" s="23"/>
      <c r="N97" s="29">
        <f>N49+N80+N96</f>
        <v>1105</v>
      </c>
      <c r="O97" s="27"/>
      <c r="P97" s="29">
        <f>P49+P80+P96</f>
        <v>4238</v>
      </c>
      <c r="Q97" s="29"/>
      <c r="R97" s="29">
        <f>R49+R80+R96</f>
        <v>-6494</v>
      </c>
      <c r="S97" s="29"/>
      <c r="T97" s="29">
        <f>T49+T80+T96</f>
        <v>13450</v>
      </c>
      <c r="V97" s="29">
        <f>V49+V80+V96</f>
        <v>12046</v>
      </c>
      <c r="X97" s="29">
        <f>X49+X80+X96</f>
        <v>0</v>
      </c>
      <c r="Z97" s="29">
        <f>Z49+Z80+Z96</f>
        <v>0</v>
      </c>
      <c r="AA97" s="29"/>
      <c r="AB97" s="64">
        <f>AB49+AB80+AB96</f>
        <v>-6.5</v>
      </c>
      <c r="AD97" s="29">
        <f>AD49+AD80+AD96</f>
        <v>5674</v>
      </c>
      <c r="AF97" s="64">
        <f>AF49+AF80+AF96</f>
        <v>8.6999999999999993</v>
      </c>
      <c r="AH97" s="64">
        <f>AH49+AH80+AH96</f>
        <v>11.7</v>
      </c>
      <c r="AJ97" s="64">
        <f>AJ49+AJ80+AJ96</f>
        <v>0.30000000000000004</v>
      </c>
    </row>
    <row r="98" spans="1:36" ht="11.1" customHeight="1">
      <c r="B98" s="26" t="s">
        <v>117</v>
      </c>
      <c r="C98" s="23"/>
      <c r="D98" s="23"/>
      <c r="E98" s="23"/>
      <c r="F98" s="27"/>
      <c r="G98" s="23"/>
      <c r="H98" s="27"/>
      <c r="I98" s="23"/>
      <c r="J98" s="27"/>
      <c r="K98" s="27"/>
      <c r="L98" s="27"/>
      <c r="M98" s="23"/>
      <c r="N98" s="27"/>
      <c r="O98" s="27"/>
      <c r="P98" s="27"/>
      <c r="Q98" s="27"/>
      <c r="R98" s="27"/>
      <c r="S98" s="27"/>
      <c r="T98" s="27"/>
      <c r="V98" s="27"/>
      <c r="AB98" s="63"/>
      <c r="AD98" s="27"/>
      <c r="AF98" s="63"/>
      <c r="AH98" s="63"/>
      <c r="AJ98" s="23"/>
    </row>
    <row r="99" spans="1:36" ht="11.1" hidden="1" customHeight="1">
      <c r="B99" s="26"/>
      <c r="C99" s="23" t="s">
        <v>118</v>
      </c>
      <c r="D99" s="23"/>
      <c r="E99" s="23"/>
      <c r="F99" s="27"/>
      <c r="G99" s="23"/>
      <c r="H99" s="27">
        <v>-360</v>
      </c>
      <c r="I99" s="23"/>
      <c r="J99" s="27"/>
      <c r="K99" s="27"/>
      <c r="L99" s="27"/>
      <c r="M99" s="23"/>
      <c r="N99" s="27"/>
      <c r="O99" s="27"/>
      <c r="P99" s="27"/>
      <c r="Q99" s="27"/>
      <c r="R99" s="27"/>
      <c r="S99" s="27"/>
      <c r="T99" s="27"/>
      <c r="V99" s="27"/>
      <c r="AB99" s="63"/>
      <c r="AD99" s="27"/>
      <c r="AF99" s="63"/>
      <c r="AH99" s="63"/>
      <c r="AJ99" s="23"/>
    </row>
    <row r="100" spans="1:36" ht="11.1" customHeight="1">
      <c r="B100" s="26"/>
      <c r="C100" s="23" t="s">
        <v>159</v>
      </c>
      <c r="D100" s="23"/>
      <c r="E100" s="23"/>
      <c r="F100" s="27"/>
      <c r="G100" s="23"/>
      <c r="H100" s="27"/>
      <c r="I100" s="23"/>
      <c r="J100" s="27"/>
      <c r="K100" s="27"/>
      <c r="L100" s="27"/>
      <c r="M100" s="23"/>
      <c r="N100" s="27"/>
      <c r="O100" s="27"/>
      <c r="P100" s="27"/>
      <c r="Q100" s="27"/>
      <c r="R100" s="27"/>
      <c r="S100" s="27"/>
      <c r="T100" s="27"/>
      <c r="V100" s="27"/>
      <c r="AB100" s="63"/>
      <c r="AD100" s="27">
        <v>-283</v>
      </c>
      <c r="AF100" s="63">
        <v>-0.3</v>
      </c>
      <c r="AH100" s="63">
        <v>-0.3</v>
      </c>
      <c r="AJ100" s="23"/>
    </row>
    <row r="101" spans="1:36" ht="11.1" customHeight="1">
      <c r="A101" s="30" t="s">
        <v>119</v>
      </c>
      <c r="B101" s="26"/>
      <c r="C101" s="23" t="s">
        <v>120</v>
      </c>
      <c r="D101" s="23"/>
      <c r="E101" s="23"/>
      <c r="F101" s="27"/>
      <c r="G101" s="23"/>
      <c r="H101" s="27"/>
      <c r="I101" s="23"/>
      <c r="J101" s="27"/>
      <c r="K101" s="27"/>
      <c r="L101" s="27"/>
      <c r="M101" s="23"/>
      <c r="N101" s="27"/>
      <c r="O101" s="27"/>
      <c r="P101" s="27"/>
      <c r="Q101" s="27"/>
      <c r="R101" s="27">
        <v>337</v>
      </c>
      <c r="S101" s="27"/>
      <c r="T101" s="27"/>
      <c r="V101" s="27"/>
      <c r="AB101" s="63">
        <v>0.4</v>
      </c>
      <c r="AD101" s="27"/>
      <c r="AF101" s="63"/>
      <c r="AH101" s="63"/>
      <c r="AJ101" s="23"/>
    </row>
    <row r="102" spans="1:36" ht="11.1" customHeight="1">
      <c r="A102" s="30"/>
      <c r="B102" s="26"/>
      <c r="C102" s="23" t="s">
        <v>180</v>
      </c>
      <c r="D102" s="23"/>
      <c r="E102" s="23"/>
      <c r="F102" s="27"/>
      <c r="G102" s="23"/>
      <c r="H102" s="27"/>
      <c r="I102" s="23"/>
      <c r="J102" s="27"/>
      <c r="K102" s="27"/>
      <c r="L102" s="27"/>
      <c r="M102" s="23"/>
      <c r="N102" s="27"/>
      <c r="O102" s="27"/>
      <c r="P102" s="27"/>
      <c r="Q102" s="27"/>
      <c r="R102" s="27"/>
      <c r="S102" s="27"/>
      <c r="T102" s="27"/>
      <c r="V102" s="27"/>
      <c r="AB102" s="63"/>
      <c r="AD102" s="27"/>
      <c r="AF102" s="63"/>
      <c r="AH102" s="63"/>
      <c r="AJ102" s="23">
        <v>3.2</v>
      </c>
    </row>
    <row r="103" spans="1:36" ht="11.1" customHeight="1">
      <c r="A103" s="54" t="s">
        <v>109</v>
      </c>
      <c r="B103" s="23"/>
      <c r="C103" s="23" t="s">
        <v>121</v>
      </c>
      <c r="D103" s="23"/>
      <c r="E103" s="23"/>
      <c r="F103" s="29"/>
      <c r="G103" s="23"/>
      <c r="H103" s="29">
        <v>0</v>
      </c>
      <c r="I103" s="23"/>
      <c r="J103" s="29">
        <v>0</v>
      </c>
      <c r="K103" s="27"/>
      <c r="L103" s="29">
        <v>0</v>
      </c>
      <c r="M103" s="23"/>
      <c r="N103" s="29">
        <f>-1320</f>
        <v>-1320</v>
      </c>
      <c r="O103" s="27"/>
      <c r="P103" s="29">
        <f>1320</f>
        <v>1320</v>
      </c>
      <c r="Q103" s="29"/>
      <c r="R103" s="29">
        <v>1220</v>
      </c>
      <c r="S103" s="29"/>
      <c r="T103" s="29"/>
      <c r="V103" s="29">
        <v>0</v>
      </c>
      <c r="X103" s="29">
        <v>0</v>
      </c>
      <c r="Z103" s="29">
        <v>0</v>
      </c>
      <c r="AA103" s="29"/>
      <c r="AB103" s="64">
        <v>1.2</v>
      </c>
      <c r="AD103" s="29">
        <v>0</v>
      </c>
      <c r="AF103" s="64">
        <v>0</v>
      </c>
      <c r="AH103" s="64">
        <v>0</v>
      </c>
      <c r="AJ103" s="28">
        <v>0</v>
      </c>
    </row>
    <row r="104" spans="1:36" ht="11.1" customHeight="1">
      <c r="B104" s="23"/>
      <c r="C104" s="23" t="s">
        <v>122</v>
      </c>
      <c r="D104" s="23"/>
      <c r="E104" s="23"/>
      <c r="F104" s="29"/>
      <c r="G104" s="23"/>
      <c r="H104" s="29">
        <f>SUM(H99:H103)</f>
        <v>-360</v>
      </c>
      <c r="I104" s="23"/>
      <c r="J104" s="29"/>
      <c r="K104" s="27"/>
      <c r="L104" s="29"/>
      <c r="M104" s="23"/>
      <c r="N104" s="29">
        <f>SUM(N99:N103)</f>
        <v>-1320</v>
      </c>
      <c r="O104" s="27"/>
      <c r="P104" s="29">
        <f>SUM(P99:P103)</f>
        <v>1320</v>
      </c>
      <c r="Q104" s="29"/>
      <c r="R104" s="29">
        <f>SUM(R99:R103)</f>
        <v>1557</v>
      </c>
      <c r="S104" s="29"/>
      <c r="T104" s="29">
        <f>SUM(T99:T103)</f>
        <v>0</v>
      </c>
      <c r="V104" s="29">
        <f>SUM(V99:V103)</f>
        <v>0</v>
      </c>
      <c r="X104" s="29">
        <f>SUM(X99:X103)</f>
        <v>0</v>
      </c>
      <c r="Z104" s="29">
        <f>SUM(Z99:Z103)</f>
        <v>0</v>
      </c>
      <c r="AA104" s="29"/>
      <c r="AB104" s="64">
        <f>SUM(AB100:AB103)</f>
        <v>1.6</v>
      </c>
      <c r="AD104" s="29">
        <f>SUM(AD99:AD103)</f>
        <v>-283</v>
      </c>
      <c r="AF104" s="64">
        <f>SUM(AF100:AF103)</f>
        <v>-0.3</v>
      </c>
      <c r="AH104" s="64">
        <f>SUM(AH100:AH103)</f>
        <v>-0.3</v>
      </c>
      <c r="AJ104" s="64">
        <f>SUM(AJ100:AJ103)</f>
        <v>3.2</v>
      </c>
    </row>
    <row r="105" spans="1:36" ht="5.0999999999999996" customHeight="1">
      <c r="B105" s="23"/>
      <c r="C105" s="23"/>
      <c r="D105" s="23"/>
      <c r="E105" s="23"/>
      <c r="F105" s="27"/>
      <c r="G105" s="23"/>
      <c r="H105" s="27"/>
      <c r="I105" s="23"/>
      <c r="J105" s="27"/>
      <c r="K105" s="27"/>
      <c r="L105" s="27"/>
      <c r="M105" s="23"/>
      <c r="N105" s="27"/>
      <c r="O105" s="27"/>
      <c r="P105" s="27"/>
      <c r="Q105" s="27"/>
      <c r="R105" s="27"/>
      <c r="S105" s="27"/>
      <c r="T105" s="27"/>
      <c r="V105" s="27"/>
      <c r="X105" s="27"/>
      <c r="Z105" s="27"/>
      <c r="AA105" s="27"/>
      <c r="AB105" s="63"/>
      <c r="AD105" s="27"/>
      <c r="AF105" s="63"/>
      <c r="AH105" s="63"/>
      <c r="AJ105" s="23"/>
    </row>
    <row r="106" spans="1:36" ht="12.6" customHeight="1">
      <c r="B106" s="22" t="s">
        <v>123</v>
      </c>
      <c r="C106" s="23"/>
      <c r="D106" s="23"/>
      <c r="E106" s="23"/>
      <c r="F106" s="29">
        <f>F25+F97+F104</f>
        <v>2914</v>
      </c>
      <c r="G106" s="23"/>
      <c r="H106" s="29">
        <f>H25+H97+H104</f>
        <v>-8347</v>
      </c>
      <c r="I106" s="23"/>
      <c r="J106" s="29" t="e">
        <f>J25+J97+J103+#REF!</f>
        <v>#REF!</v>
      </c>
      <c r="K106" s="27"/>
      <c r="L106" s="29" t="e">
        <f>L25+L97+L103+#REF!</f>
        <v>#REF!</v>
      </c>
      <c r="M106" s="23"/>
      <c r="N106" s="29">
        <f>N25+N97+N104</f>
        <v>-1281</v>
      </c>
      <c r="O106" s="27"/>
      <c r="P106" s="29">
        <f>P25+P97+P104</f>
        <v>7427</v>
      </c>
      <c r="Q106" s="29"/>
      <c r="R106" s="29">
        <f>R25+R97+R104</f>
        <v>-8927</v>
      </c>
      <c r="S106" s="29"/>
      <c r="T106" s="29">
        <f>T25+T97+T104</f>
        <v>15132</v>
      </c>
      <c r="V106" s="29">
        <f>V25+V97+V104</f>
        <v>15053</v>
      </c>
      <c r="X106" s="29">
        <f>X25+X97+X104</f>
        <v>0</v>
      </c>
      <c r="Z106" s="29">
        <f>Z25+Z97+Z104</f>
        <v>0</v>
      </c>
      <c r="AA106" s="29"/>
      <c r="AB106" s="64">
        <f>AB30+AB97+AB104</f>
        <v>-8.9</v>
      </c>
      <c r="AD106" s="29">
        <f>AD25+AD97+AD104</f>
        <v>11504</v>
      </c>
      <c r="AF106" s="64">
        <f>AF25+AF97+AF104</f>
        <v>14.499999999999998</v>
      </c>
      <c r="AH106" s="64">
        <f>AH30+AH97+AH104</f>
        <v>11.599999999999998</v>
      </c>
      <c r="AJ106" s="64">
        <f>AJ30+AJ97+AJ104</f>
        <v>11.1</v>
      </c>
    </row>
    <row r="107" spans="1:36" ht="12.6" customHeight="1">
      <c r="B107" s="22"/>
      <c r="C107" s="23"/>
      <c r="D107" s="23"/>
      <c r="E107" s="23"/>
      <c r="F107" s="29"/>
      <c r="G107" s="23"/>
      <c r="H107" s="29"/>
      <c r="I107" s="23"/>
      <c r="J107" s="29"/>
      <c r="K107" s="27"/>
      <c r="L107" s="29"/>
      <c r="M107" s="23"/>
      <c r="N107" s="29"/>
      <c r="O107" s="27"/>
      <c r="P107" s="29"/>
      <c r="Q107" s="29"/>
      <c r="R107" s="29"/>
      <c r="S107" s="29"/>
      <c r="T107" s="29"/>
      <c r="V107" s="29"/>
      <c r="X107" s="29"/>
      <c r="Z107" s="29"/>
      <c r="AA107" s="29"/>
      <c r="AB107" s="64"/>
      <c r="AD107" s="29"/>
      <c r="AF107" s="64"/>
      <c r="AJ107" s="23"/>
    </row>
    <row r="108" spans="1:36" ht="8.1" customHeight="1">
      <c r="B108" s="30" t="str">
        <f ca="1">CELL("Filename", A1)</f>
        <v>P:\Finance\FGT Finance\LPALMA\2002Plan\CitrusCons\[DetailOfNetIncome.xls]Nonrecurring Adj.</v>
      </c>
      <c r="F108" s="30"/>
      <c r="H108" s="31"/>
      <c r="J108" s="32"/>
      <c r="K108" s="32"/>
      <c r="L108" s="32"/>
      <c r="AB108" s="62">
        <f ca="1">NOW()</f>
        <v>37187.681525694446</v>
      </c>
      <c r="AF108" s="23"/>
    </row>
    <row r="109" spans="1:36">
      <c r="J109" s="32"/>
      <c r="K109" s="32"/>
      <c r="L109" s="32"/>
    </row>
    <row r="110" spans="1:36">
      <c r="J110" s="32"/>
      <c r="K110" s="32"/>
      <c r="L110" s="32"/>
    </row>
    <row r="111" spans="1:36">
      <c r="C111" s="33"/>
      <c r="D111" s="33"/>
      <c r="E111" s="33"/>
      <c r="F111" s="33"/>
      <c r="G111" s="33"/>
      <c r="H111" s="33"/>
      <c r="I111" s="33"/>
      <c r="J111" s="32"/>
    </row>
    <row r="112" spans="1:36">
      <c r="C112" s="33"/>
      <c r="D112" s="33"/>
      <c r="E112" s="33"/>
      <c r="F112" s="33"/>
      <c r="G112" s="33"/>
      <c r="H112" s="33"/>
      <c r="I112" s="33"/>
      <c r="J112" s="32"/>
    </row>
  </sheetData>
  <mergeCells count="4">
    <mergeCell ref="B1:AF1"/>
    <mergeCell ref="B2:AF2"/>
    <mergeCell ref="B3:AF3"/>
    <mergeCell ref="B4:AF4"/>
  </mergeCells>
  <phoneticPr fontId="8" type="noConversion"/>
  <pageMargins left="2.75" right="0.5" top="0.25" bottom="0.15" header="0.5" footer="0.5"/>
  <pageSetup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NET INCOME</vt:lpstr>
      <vt:lpstr>Nonrecurring Adj.</vt:lpstr>
      <vt:lpstr>_1</vt:lpstr>
      <vt:lpstr>'NET INCOME'!Print_Area</vt:lpstr>
      <vt:lpstr>'Nonrecurring Adj.'!Print_Area</vt:lpstr>
      <vt:lpstr>'NET INCOME'!Print_Titles</vt:lpstr>
    </vt:vector>
  </TitlesOfParts>
  <Company>Florida Gas Transmission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aschroe</dc:creator>
  <cp:lastModifiedBy>Jan Havlíček</cp:lastModifiedBy>
  <cp:lastPrinted>2001-10-23T20:33:09Z</cp:lastPrinted>
  <dcterms:created xsi:type="dcterms:W3CDTF">1998-10-14T18:01:12Z</dcterms:created>
  <dcterms:modified xsi:type="dcterms:W3CDTF">2023-09-15T19:41:43Z</dcterms:modified>
</cp:coreProperties>
</file>