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69F96C-5D6B-4729-9DF9-025043C32EFF}" xr6:coauthVersionLast="47" xr6:coauthVersionMax="47" xr10:uidLastSave="{00000000-0000-0000-0000-000000000000}"/>
  <bookViews>
    <workbookView xWindow="-120" yWindow="-120" windowWidth="38640" windowHeight="15720" firstSheet="3" activeTab="3"/>
  </bookViews>
  <sheets>
    <sheet name="1998 Div. Adj." sheetId="1" r:id="rId1"/>
    <sheet name="NNG-3rd CE 2001" sheetId="2" r:id="rId2"/>
    <sheet name="TW-3rd CE 2001" sheetId="3" r:id="rId3"/>
    <sheet name="NNG-Original 2002 Plan" sheetId="4" r:id="rId4"/>
    <sheet name="TW-Original 2002 Plan" sheetId="5" r:id="rId5"/>
    <sheet name="Blank" sheetId="6" r:id="rId6"/>
  </sheets>
  <externalReferences>
    <externalReference r:id="rId7"/>
  </externalReferences>
  <definedNames>
    <definedName name="NNG" localSheetId="0">'1998 Div. Adj.'!$A$1:$P$60</definedName>
    <definedName name="NNG" localSheetId="1">'NNG-3rd CE 2001'!$A$1:$U$84</definedName>
    <definedName name="NNG" localSheetId="3">'NNG-Original 2002 Plan'!$A$1:$U$84</definedName>
    <definedName name="NNG" localSheetId="2">'TW-3rd CE 2001'!$A$1:$U$84</definedName>
    <definedName name="NNG" localSheetId="4">'TW-Original 2002 Plan'!$A$1:$U$84</definedName>
    <definedName name="NNG">#REF!</definedName>
    <definedName name="_xlnm.Print_Area" localSheetId="0">'1998 Div. Adj.'!$A$1:$P$60</definedName>
    <definedName name="_xlnm.Print_Area" localSheetId="1">'NNG-3rd CE 2001'!$A$1:$U$84</definedName>
    <definedName name="_xlnm.Print_Area" localSheetId="3">'NNG-Original 2002 Plan'!$A$1:$U$84</definedName>
    <definedName name="_xlnm.Print_Area" localSheetId="2">'TW-3rd CE 2001'!$A$1:$U$84</definedName>
    <definedName name="_xlnm.Print_Area" localSheetId="4">'TW-Original 2002 Plan'!$A$1:$U$84</definedName>
    <definedName name="Print_Area_MI" localSheetId="0">'1998 Div. Adj.'!$A$1:$P$17</definedName>
    <definedName name="Print_Area_MI" localSheetId="1">'NNG-3rd CE 2001'!$A$1:$U$75</definedName>
    <definedName name="Print_Area_MI" localSheetId="3">'NNG-Original 2002 Plan'!$A$1:$U$75</definedName>
    <definedName name="Print_Area_MI" localSheetId="2">'TW-3rd CE 2001'!$A$1:$U$74</definedName>
    <definedName name="Print_Area_MI" localSheetId="4">'TW-Original 2002 Plan'!$A$1:$U$74</definedName>
    <definedName name="TW" localSheetId="2">'TW-3rd CE 2001'!$A$1:$U$84</definedName>
    <definedName name="TW" localSheetId="4">'TW-Original 2002 Plan'!$A$1:$U$84</definedName>
    <definedName name="TW">#REF!</definedName>
  </definedNames>
  <calcPr calcId="0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P10" i="1"/>
  <c r="D11" i="1"/>
  <c r="E11" i="1"/>
  <c r="F11" i="1"/>
  <c r="G11" i="1"/>
  <c r="H11" i="1"/>
  <c r="I11" i="1"/>
  <c r="J11" i="1"/>
  <c r="K11" i="1"/>
  <c r="L11" i="1"/>
  <c r="M11" i="1"/>
  <c r="N11" i="1"/>
  <c r="O11" i="1"/>
  <c r="D13" i="1"/>
  <c r="E13" i="1"/>
  <c r="F13" i="1"/>
  <c r="G13" i="1"/>
  <c r="H13" i="1"/>
  <c r="I13" i="1"/>
  <c r="J13" i="1"/>
  <c r="K13" i="1"/>
  <c r="L13" i="1"/>
  <c r="M13" i="1"/>
  <c r="N13" i="1"/>
  <c r="O13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D31" i="1"/>
  <c r="E31" i="1"/>
  <c r="F31" i="1"/>
  <c r="G31" i="1"/>
  <c r="H31" i="1"/>
  <c r="I31" i="1"/>
  <c r="J31" i="1"/>
  <c r="K31" i="1"/>
  <c r="L31" i="1"/>
  <c r="M31" i="1"/>
  <c r="N31" i="1"/>
  <c r="O3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P46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P59" i="1"/>
  <c r="A60" i="1"/>
  <c r="P60" i="1"/>
  <c r="P5" i="2"/>
  <c r="C8" i="2"/>
  <c r="D8" i="2"/>
  <c r="E8" i="2"/>
  <c r="F8" i="2"/>
  <c r="G8" i="2"/>
  <c r="H8" i="2"/>
  <c r="I8" i="2"/>
  <c r="J8" i="2"/>
  <c r="K8" i="2"/>
  <c r="L8" i="2"/>
  <c r="M8" i="2"/>
  <c r="N8" i="2"/>
  <c r="O8" i="2"/>
  <c r="F9" i="2"/>
  <c r="I9" i="2"/>
  <c r="J9" i="2"/>
  <c r="K9" i="2"/>
  <c r="L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P12" i="2"/>
  <c r="U12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D17" i="2"/>
  <c r="E17" i="2"/>
  <c r="F17" i="2"/>
  <c r="G17" i="2"/>
  <c r="H17" i="2"/>
  <c r="I17" i="2"/>
  <c r="J17" i="2"/>
  <c r="K17" i="2"/>
  <c r="L17" i="2"/>
  <c r="M17" i="2"/>
  <c r="N17" i="2"/>
  <c r="O17" i="2"/>
  <c r="U18" i="2"/>
  <c r="T19" i="2"/>
  <c r="U19" i="2"/>
  <c r="D20" i="2"/>
  <c r="E20" i="2"/>
  <c r="F20" i="2"/>
  <c r="G20" i="2"/>
  <c r="H20" i="2"/>
  <c r="I20" i="2"/>
  <c r="J20" i="2"/>
  <c r="K20" i="2"/>
  <c r="L20" i="2"/>
  <c r="M20" i="2"/>
  <c r="N20" i="2"/>
  <c r="O20" i="2"/>
  <c r="T20" i="2"/>
  <c r="U20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D25" i="2"/>
  <c r="E25" i="2"/>
  <c r="F25" i="2"/>
  <c r="G25" i="2"/>
  <c r="H25" i="2"/>
  <c r="I25" i="2"/>
  <c r="J25" i="2"/>
  <c r="K25" i="2"/>
  <c r="L25" i="2"/>
  <c r="M25" i="2"/>
  <c r="N25" i="2"/>
  <c r="O25" i="2"/>
  <c r="P26" i="2"/>
  <c r="AD26" i="2"/>
  <c r="P27" i="2"/>
  <c r="AC27" i="2"/>
  <c r="AD27" i="2"/>
  <c r="P28" i="2"/>
  <c r="P29" i="2"/>
  <c r="AC29" i="2"/>
  <c r="AD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D39" i="2"/>
  <c r="E39" i="2"/>
  <c r="F39" i="2"/>
  <c r="G39" i="2"/>
  <c r="H39" i="2"/>
  <c r="I39" i="2"/>
  <c r="J39" i="2"/>
  <c r="K39" i="2"/>
  <c r="L39" i="2"/>
  <c r="M39" i="2"/>
  <c r="N39" i="2"/>
  <c r="O39" i="2"/>
  <c r="AC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AC40" i="2"/>
  <c r="P41" i="2"/>
  <c r="A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C42" i="2"/>
  <c r="D44" i="2"/>
  <c r="E44" i="2"/>
  <c r="F44" i="2"/>
  <c r="G44" i="2"/>
  <c r="H44" i="2"/>
  <c r="I44" i="2"/>
  <c r="J44" i="2"/>
  <c r="K44" i="2"/>
  <c r="L44" i="2"/>
  <c r="M44" i="2"/>
  <c r="N44" i="2"/>
  <c r="O44" i="2"/>
  <c r="AC44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8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U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U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U52" i="2"/>
  <c r="P53" i="2"/>
  <c r="U53" i="2"/>
  <c r="P54" i="2"/>
  <c r="U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P56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U59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P69" i="2"/>
  <c r="D70" i="2"/>
  <c r="E70" i="2"/>
  <c r="F70" i="2"/>
  <c r="G70" i="2"/>
  <c r="H70" i="2"/>
  <c r="I70" i="2"/>
  <c r="J70" i="2"/>
  <c r="K70" i="2"/>
  <c r="L70" i="2"/>
  <c r="M70" i="2"/>
  <c r="N70" i="2"/>
  <c r="O70" i="2"/>
  <c r="V70" i="2"/>
  <c r="D72" i="2"/>
  <c r="E72" i="2"/>
  <c r="F72" i="2"/>
  <c r="G72" i="2"/>
  <c r="H72" i="2"/>
  <c r="I72" i="2"/>
  <c r="J72" i="2"/>
  <c r="K72" i="2"/>
  <c r="L72" i="2"/>
  <c r="M72" i="2"/>
  <c r="N72" i="2"/>
  <c r="O72" i="2"/>
  <c r="U72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D76" i="2"/>
  <c r="E76" i="2"/>
  <c r="F76" i="2"/>
  <c r="P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P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U83" i="2"/>
  <c r="A84" i="2"/>
  <c r="U84" i="2"/>
  <c r="D86" i="2"/>
  <c r="E86" i="2"/>
  <c r="F86" i="2"/>
  <c r="G86" i="2"/>
  <c r="H86" i="2"/>
  <c r="I86" i="2"/>
  <c r="J86" i="2"/>
  <c r="K86" i="2"/>
  <c r="L86" i="2"/>
  <c r="M86" i="2"/>
  <c r="N86" i="2"/>
  <c r="O86" i="2"/>
  <c r="P5" i="4"/>
  <c r="C8" i="4"/>
  <c r="D8" i="4"/>
  <c r="E8" i="4"/>
  <c r="F8" i="4"/>
  <c r="G8" i="4"/>
  <c r="H8" i="4"/>
  <c r="I8" i="4"/>
  <c r="J8" i="4"/>
  <c r="K8" i="4"/>
  <c r="L8" i="4"/>
  <c r="M8" i="4"/>
  <c r="N8" i="4"/>
  <c r="O8" i="4"/>
  <c r="F9" i="4"/>
  <c r="I9" i="4"/>
  <c r="L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U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P12" i="4"/>
  <c r="U12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D17" i="4"/>
  <c r="E17" i="4"/>
  <c r="F17" i="4"/>
  <c r="G17" i="4"/>
  <c r="H17" i="4"/>
  <c r="I17" i="4"/>
  <c r="J17" i="4"/>
  <c r="K17" i="4"/>
  <c r="L17" i="4"/>
  <c r="M17" i="4"/>
  <c r="N17" i="4"/>
  <c r="O17" i="4"/>
  <c r="U18" i="4"/>
  <c r="T19" i="4"/>
  <c r="U19" i="4"/>
  <c r="D20" i="4"/>
  <c r="E20" i="4"/>
  <c r="F20" i="4"/>
  <c r="G20" i="4"/>
  <c r="H20" i="4"/>
  <c r="I20" i="4"/>
  <c r="J20" i="4"/>
  <c r="K20" i="4"/>
  <c r="L20" i="4"/>
  <c r="M20" i="4"/>
  <c r="N20" i="4"/>
  <c r="O20" i="4"/>
  <c r="T20" i="4"/>
  <c r="U20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D25" i="4"/>
  <c r="E25" i="4"/>
  <c r="F25" i="4"/>
  <c r="G25" i="4"/>
  <c r="H25" i="4"/>
  <c r="I25" i="4"/>
  <c r="J25" i="4"/>
  <c r="K25" i="4"/>
  <c r="L25" i="4"/>
  <c r="M25" i="4"/>
  <c r="N25" i="4"/>
  <c r="O25" i="4"/>
  <c r="P26" i="4"/>
  <c r="AD26" i="4"/>
  <c r="P27" i="4"/>
  <c r="AC27" i="4"/>
  <c r="AD27" i="4"/>
  <c r="P28" i="4"/>
  <c r="P29" i="4"/>
  <c r="AC29" i="4"/>
  <c r="AD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D39" i="4"/>
  <c r="E39" i="4"/>
  <c r="F39" i="4"/>
  <c r="G39" i="4"/>
  <c r="H39" i="4"/>
  <c r="I39" i="4"/>
  <c r="J39" i="4"/>
  <c r="K39" i="4"/>
  <c r="L39" i="4"/>
  <c r="M39" i="4"/>
  <c r="N39" i="4"/>
  <c r="O39" i="4"/>
  <c r="AC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AC40" i="4"/>
  <c r="P41" i="4"/>
  <c r="AC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C42" i="4"/>
  <c r="D44" i="4"/>
  <c r="E44" i="4"/>
  <c r="F44" i="4"/>
  <c r="G44" i="4"/>
  <c r="H44" i="4"/>
  <c r="I44" i="4"/>
  <c r="J44" i="4"/>
  <c r="K44" i="4"/>
  <c r="L44" i="4"/>
  <c r="M44" i="4"/>
  <c r="N44" i="4"/>
  <c r="O44" i="4"/>
  <c r="AC44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U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U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U52" i="4"/>
  <c r="P53" i="4"/>
  <c r="U53" i="4"/>
  <c r="P54" i="4"/>
  <c r="U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P56" i="4"/>
  <c r="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U59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D65" i="4"/>
  <c r="E65" i="4"/>
  <c r="F65" i="4"/>
  <c r="G65" i="4"/>
  <c r="H65" i="4"/>
  <c r="I65" i="4"/>
  <c r="J65" i="4"/>
  <c r="K65" i="4"/>
  <c r="L65" i="4"/>
  <c r="M65" i="4"/>
  <c r="N65" i="4"/>
  <c r="O65" i="4"/>
  <c r="D66" i="4"/>
  <c r="E66" i="4"/>
  <c r="F66" i="4"/>
  <c r="G66" i="4"/>
  <c r="H66" i="4"/>
  <c r="I66" i="4"/>
  <c r="J66" i="4"/>
  <c r="K66" i="4"/>
  <c r="L66" i="4"/>
  <c r="M66" i="4"/>
  <c r="N66" i="4"/>
  <c r="O66" i="4"/>
  <c r="Q66" i="4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P69" i="4"/>
  <c r="D70" i="4"/>
  <c r="E70" i="4"/>
  <c r="F70" i="4"/>
  <c r="G70" i="4"/>
  <c r="H70" i="4"/>
  <c r="I70" i="4"/>
  <c r="J70" i="4"/>
  <c r="K70" i="4"/>
  <c r="L70" i="4"/>
  <c r="M70" i="4"/>
  <c r="N70" i="4"/>
  <c r="O70" i="4"/>
  <c r="V70" i="4"/>
  <c r="D72" i="4"/>
  <c r="E72" i="4"/>
  <c r="F72" i="4"/>
  <c r="G72" i="4"/>
  <c r="H72" i="4"/>
  <c r="I72" i="4"/>
  <c r="J72" i="4"/>
  <c r="K72" i="4"/>
  <c r="L72" i="4"/>
  <c r="M72" i="4"/>
  <c r="N72" i="4"/>
  <c r="O72" i="4"/>
  <c r="U72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P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P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U83" i="4"/>
  <c r="A84" i="4"/>
  <c r="U84" i="4"/>
  <c r="D86" i="4"/>
  <c r="E86" i="4"/>
  <c r="F86" i="4"/>
  <c r="G86" i="4"/>
  <c r="H86" i="4"/>
  <c r="I86" i="4"/>
  <c r="J86" i="4"/>
  <c r="K86" i="4"/>
  <c r="L86" i="4"/>
  <c r="M86" i="4"/>
  <c r="N86" i="4"/>
  <c r="O86" i="4"/>
  <c r="A2" i="3"/>
  <c r="A3" i="3"/>
  <c r="B4" i="3"/>
  <c r="C4" i="3"/>
  <c r="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A7" i="3"/>
  <c r="B8" i="3"/>
  <c r="D8" i="3"/>
  <c r="E8" i="3"/>
  <c r="F8" i="3"/>
  <c r="G8" i="3"/>
  <c r="H8" i="3"/>
  <c r="I8" i="3"/>
  <c r="J8" i="3"/>
  <c r="K8" i="3"/>
  <c r="L8" i="3"/>
  <c r="M8" i="3"/>
  <c r="N8" i="3"/>
  <c r="O8" i="3"/>
  <c r="I9" i="3"/>
  <c r="P9" i="3"/>
  <c r="B10" i="3"/>
  <c r="F10" i="3"/>
  <c r="P10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P12" i="3"/>
  <c r="B13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U18" i="3"/>
  <c r="B19" i="3"/>
  <c r="T19" i="3"/>
  <c r="U19" i="3"/>
  <c r="B20" i="3"/>
  <c r="D20" i="3"/>
  <c r="E20" i="3"/>
  <c r="F20" i="3"/>
  <c r="G20" i="3"/>
  <c r="H20" i="3"/>
  <c r="I20" i="3"/>
  <c r="J20" i="3"/>
  <c r="K20" i="3"/>
  <c r="L20" i="3"/>
  <c r="M20" i="3"/>
  <c r="N20" i="3"/>
  <c r="O20" i="3"/>
  <c r="T20" i="3"/>
  <c r="U20" i="3"/>
  <c r="B21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P26" i="3"/>
  <c r="B27" i="3"/>
  <c r="P27" i="3"/>
  <c r="P28" i="3"/>
  <c r="B29" i="3"/>
  <c r="F29" i="3"/>
  <c r="P29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A37" i="3"/>
  <c r="A38" i="3"/>
  <c r="B38" i="3"/>
  <c r="B39" i="3"/>
  <c r="D39" i="3"/>
  <c r="E39" i="3"/>
  <c r="F39" i="3"/>
  <c r="G39" i="3"/>
  <c r="H39" i="3"/>
  <c r="I39" i="3"/>
  <c r="J39" i="3"/>
  <c r="K39" i="3"/>
  <c r="L39" i="3"/>
  <c r="M39" i="3"/>
  <c r="N39" i="3"/>
  <c r="O39" i="3"/>
  <c r="AC39" i="3"/>
  <c r="B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AC40" i="3"/>
  <c r="B41" i="3"/>
  <c r="P41" i="3"/>
  <c r="AC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AC42" i="3"/>
  <c r="B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8" i="3"/>
  <c r="B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U50" i="3"/>
  <c r="B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U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T52" i="3"/>
  <c r="U52" i="3"/>
  <c r="B53" i="3"/>
  <c r="P53" i="3"/>
  <c r="U53" i="3"/>
  <c r="B54" i="3"/>
  <c r="P54" i="3"/>
  <c r="U54" i="3"/>
  <c r="B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B56" i="3"/>
  <c r="P56" i="3"/>
  <c r="B57" i="3"/>
  <c r="P57" i="3"/>
  <c r="B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B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U59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A62" i="3"/>
  <c r="A63" i="3"/>
  <c r="B64" i="3"/>
  <c r="B65" i="3"/>
  <c r="D65" i="3"/>
  <c r="E65" i="3"/>
  <c r="F65" i="3"/>
  <c r="G65" i="3"/>
  <c r="H65" i="3"/>
  <c r="I65" i="3"/>
  <c r="J65" i="3"/>
  <c r="K65" i="3"/>
  <c r="L65" i="3"/>
  <c r="M65" i="3"/>
  <c r="N65" i="3"/>
  <c r="O65" i="3"/>
  <c r="B66" i="3"/>
  <c r="D66" i="3"/>
  <c r="E66" i="3"/>
  <c r="F66" i="3"/>
  <c r="G66" i="3"/>
  <c r="H66" i="3"/>
  <c r="I66" i="3"/>
  <c r="J66" i="3"/>
  <c r="K66" i="3"/>
  <c r="L66" i="3"/>
  <c r="M66" i="3"/>
  <c r="N66" i="3"/>
  <c r="O66" i="3"/>
  <c r="Q66" i="3"/>
  <c r="B67" i="3"/>
  <c r="D67" i="3"/>
  <c r="E67" i="3"/>
  <c r="F67" i="3"/>
  <c r="G67" i="3"/>
  <c r="H67" i="3"/>
  <c r="I67" i="3"/>
  <c r="J67" i="3"/>
  <c r="K67" i="3"/>
  <c r="L67" i="3"/>
  <c r="M67" i="3"/>
  <c r="N67" i="3"/>
  <c r="O67" i="3"/>
  <c r="B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B69" i="3"/>
  <c r="P69" i="3"/>
  <c r="B70" i="3"/>
  <c r="D70" i="3"/>
  <c r="E70" i="3"/>
  <c r="F70" i="3"/>
  <c r="G70" i="3"/>
  <c r="H70" i="3"/>
  <c r="I70" i="3"/>
  <c r="J70" i="3"/>
  <c r="K70" i="3"/>
  <c r="L70" i="3"/>
  <c r="M70" i="3"/>
  <c r="N70" i="3"/>
  <c r="O70" i="3"/>
  <c r="V70" i="3"/>
  <c r="B72" i="3"/>
  <c r="D72" i="3"/>
  <c r="E72" i="3"/>
  <c r="F72" i="3"/>
  <c r="G72" i="3"/>
  <c r="H72" i="3"/>
  <c r="I72" i="3"/>
  <c r="J72" i="3"/>
  <c r="K72" i="3"/>
  <c r="L72" i="3"/>
  <c r="M72" i="3"/>
  <c r="N72" i="3"/>
  <c r="O72" i="3"/>
  <c r="U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B76" i="3"/>
  <c r="D76" i="3"/>
  <c r="E76" i="3"/>
  <c r="F76" i="3"/>
  <c r="P76" i="3"/>
  <c r="B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P78" i="3"/>
  <c r="B79" i="3"/>
  <c r="P79" i="3"/>
  <c r="P80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U82" i="3"/>
  <c r="A84" i="3"/>
  <c r="U84" i="3"/>
  <c r="A2" i="5"/>
  <c r="A3" i="5"/>
  <c r="B4" i="5"/>
  <c r="C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A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9" i="5"/>
  <c r="B10" i="5"/>
  <c r="C10" i="5"/>
  <c r="P10" i="5"/>
  <c r="B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P12" i="5"/>
  <c r="B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U18" i="5"/>
  <c r="B19" i="5"/>
  <c r="T19" i="5"/>
  <c r="U19" i="5"/>
  <c r="B20" i="5"/>
  <c r="D20" i="5"/>
  <c r="E20" i="5"/>
  <c r="F20" i="5"/>
  <c r="G20" i="5"/>
  <c r="H20" i="5"/>
  <c r="I20" i="5"/>
  <c r="J20" i="5"/>
  <c r="K20" i="5"/>
  <c r="L20" i="5"/>
  <c r="M20" i="5"/>
  <c r="N20" i="5"/>
  <c r="O20" i="5"/>
  <c r="T20" i="5"/>
  <c r="U20" i="5"/>
  <c r="B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P26" i="5"/>
  <c r="B27" i="5"/>
  <c r="P27" i="5"/>
  <c r="P28" i="5"/>
  <c r="B29" i="5"/>
  <c r="P29" i="5"/>
  <c r="B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A37" i="5"/>
  <c r="A38" i="5"/>
  <c r="B38" i="5"/>
  <c r="B39" i="5"/>
  <c r="D39" i="5"/>
  <c r="E39" i="5"/>
  <c r="F39" i="5"/>
  <c r="G39" i="5"/>
  <c r="H39" i="5"/>
  <c r="I39" i="5"/>
  <c r="J39" i="5"/>
  <c r="K39" i="5"/>
  <c r="L39" i="5"/>
  <c r="M39" i="5"/>
  <c r="N39" i="5"/>
  <c r="O39" i="5"/>
  <c r="AC39" i="5"/>
  <c r="B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AC40" i="5"/>
  <c r="B41" i="5"/>
  <c r="P41" i="5"/>
  <c r="AC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AC42" i="5"/>
  <c r="B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8" i="5"/>
  <c r="B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U50" i="5"/>
  <c r="B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U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U52" i="5"/>
  <c r="B53" i="5"/>
  <c r="P53" i="5"/>
  <c r="U53" i="5"/>
  <c r="B54" i="5"/>
  <c r="P54" i="5"/>
  <c r="U54" i="5"/>
  <c r="B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P56" i="5"/>
  <c r="B57" i="5"/>
  <c r="P57" i="5"/>
  <c r="B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U59" i="5"/>
  <c r="B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A62" i="5"/>
  <c r="A63" i="5"/>
  <c r="B64" i="5"/>
  <c r="B65" i="5"/>
  <c r="D65" i="5"/>
  <c r="E65" i="5"/>
  <c r="F65" i="5"/>
  <c r="G65" i="5"/>
  <c r="H65" i="5"/>
  <c r="I65" i="5"/>
  <c r="J65" i="5"/>
  <c r="K65" i="5"/>
  <c r="L65" i="5"/>
  <c r="M65" i="5"/>
  <c r="N65" i="5"/>
  <c r="O65" i="5"/>
  <c r="B66" i="5"/>
  <c r="D66" i="5"/>
  <c r="E66" i="5"/>
  <c r="F66" i="5"/>
  <c r="G66" i="5"/>
  <c r="H66" i="5"/>
  <c r="I66" i="5"/>
  <c r="J66" i="5"/>
  <c r="K66" i="5"/>
  <c r="L66" i="5"/>
  <c r="M66" i="5"/>
  <c r="N66" i="5"/>
  <c r="O66" i="5"/>
  <c r="Q66" i="5"/>
  <c r="B67" i="5"/>
  <c r="D67" i="5"/>
  <c r="E67" i="5"/>
  <c r="F67" i="5"/>
  <c r="G67" i="5"/>
  <c r="H67" i="5"/>
  <c r="I67" i="5"/>
  <c r="J67" i="5"/>
  <c r="K67" i="5"/>
  <c r="L67" i="5"/>
  <c r="M67" i="5"/>
  <c r="N67" i="5"/>
  <c r="O67" i="5"/>
  <c r="B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B69" i="5"/>
  <c r="P69" i="5"/>
  <c r="B70" i="5"/>
  <c r="D70" i="5"/>
  <c r="E70" i="5"/>
  <c r="F70" i="5"/>
  <c r="G70" i="5"/>
  <c r="H70" i="5"/>
  <c r="I70" i="5"/>
  <c r="J70" i="5"/>
  <c r="K70" i="5"/>
  <c r="L70" i="5"/>
  <c r="M70" i="5"/>
  <c r="N70" i="5"/>
  <c r="O70" i="5"/>
  <c r="V70" i="5"/>
  <c r="B72" i="5"/>
  <c r="D72" i="5"/>
  <c r="E72" i="5"/>
  <c r="F72" i="5"/>
  <c r="G72" i="5"/>
  <c r="H72" i="5"/>
  <c r="I72" i="5"/>
  <c r="J72" i="5"/>
  <c r="K72" i="5"/>
  <c r="L72" i="5"/>
  <c r="M72" i="5"/>
  <c r="N72" i="5"/>
  <c r="O72" i="5"/>
  <c r="U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P76" i="5"/>
  <c r="B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P78" i="5"/>
  <c r="B79" i="5"/>
  <c r="P79" i="5"/>
  <c r="P80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U82" i="5"/>
  <c r="A84" i="5"/>
  <c r="U84" i="5"/>
</calcChain>
</file>

<file path=xl/sharedStrings.xml><?xml version="1.0" encoding="utf-8"?>
<sst xmlns="http://schemas.openxmlformats.org/spreadsheetml/2006/main" count="421" uniqueCount="167">
  <si>
    <t>NORTHERN NATURAL GAS GROUP</t>
  </si>
  <si>
    <t>1999 - 2001 Operating &amp; Strategic Plan</t>
  </si>
  <si>
    <t xml:space="preserve">EPC (1998) Dividend Target Adjustment Item </t>
  </si>
  <si>
    <t>($ - Thousands)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</si>
  <si>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</si>
  <si>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</si>
  <si>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</si>
  <si>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</si>
  <si>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</si>
  <si>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</si>
  <si>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</si>
  <si>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</si>
  <si>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</si>
  <si>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</si>
  <si>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</si>
  <si>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</si>
  <si>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 xml:space="preserve">1999 Plan - Financing Costs (Above The Line)  </t>
  </si>
  <si>
    <t>Beginning Balance - Check Book Cash (Acct. 1466)</t>
  </si>
  <si>
    <t xml:space="preserve">   Inc. / (Dec.) in Check Book Cash (Prior Mo.) </t>
  </si>
  <si>
    <t xml:space="preserve">   Interco. Cash Adjustment Inc. / (Dec.)</t>
  </si>
  <si>
    <t>Ending Balance</t>
  </si>
  <si>
    <t xml:space="preserve">   Average Monthly Balance</t>
  </si>
  <si>
    <t xml:space="preserve">   Short Term Interest Rate (Corp.-%)</t>
  </si>
  <si>
    <t xml:space="preserve">Short Term Interest Income / (Expense) </t>
  </si>
  <si>
    <t xml:space="preserve">   Composite F.I.T. &amp; S.I.T. Tax Impact</t>
  </si>
  <si>
    <t xml:space="preserve">      Total Net Income &amp; Cash Flow Impacts - 1999</t>
  </si>
  <si>
    <t xml:space="preserve">2000 Plan - Financing Costs (Above The Line)  </t>
  </si>
  <si>
    <t xml:space="preserve">      Total Net Income &amp; Cash Flow Impacts - 2000</t>
  </si>
  <si>
    <t xml:space="preserve">2001 Plan - Financing Costs (Above The Line)  </t>
  </si>
  <si>
    <t xml:space="preserve">      Total Net Income &amp; Cash Flow Impacts - 2001</t>
  </si>
  <si>
    <t>NORTHERN NATURAL GAS COMPANY (Co. 179 &amp; Co. 53K)</t>
  </si>
  <si>
    <t>2001 ACTUAL / ESTIMATE</t>
  </si>
  <si>
    <t>INTERCOMPANY FINANCING CALCULATION</t>
  </si>
  <si>
    <t xml:space="preserve">  " 3rd Current Estimate (9/19) "</t>
  </si>
  <si>
    <t>ACTUAL</t>
  </si>
  <si>
    <t>PRE</t>
  </si>
  <si>
    <t>YEAR END</t>
  </si>
  <si>
    <t>ACT.</t>
  </si>
  <si>
    <t>12/31/00</t>
  </si>
  <si>
    <t>12/31/01</t>
  </si>
  <si>
    <t>Balance Sheet Data</t>
  </si>
  <si>
    <t>Payable / (Receivable) Corp. - Beg. Balance</t>
  </si>
  <si>
    <r>
      <t xml:space="preserve">   (Inc.) / Dec. in Check Book Activity         </t>
    </r>
    <r>
      <rPr>
        <sz val="10"/>
        <color indexed="10"/>
        <rFont val="Arial"/>
        <family val="2"/>
      </rPr>
      <t>(9/19/01)</t>
    </r>
    <r>
      <rPr>
        <sz val="10"/>
        <color indexed="12"/>
        <rFont val="Arial"/>
        <family val="2"/>
      </rPr>
      <t xml:space="preserve"> </t>
    </r>
  </si>
  <si>
    <t xml:space="preserve">   Pay. / (Rec.) - Corp. (Co.011) / Interco.Netting (Co.827) </t>
  </si>
  <si>
    <t xml:space="preserve">* Average NNG Group Pay. / (Rec.) Balance </t>
  </si>
  <si>
    <t xml:space="preserve">   Dividends to EPC </t>
  </si>
  <si>
    <t xml:space="preserve">    Less: Trailblazer / Overthrust Beg. Balance</t>
  </si>
  <si>
    <t xml:space="preserve">   Other</t>
  </si>
  <si>
    <t xml:space="preserve">       Average Pay. / (Rec.) Balance NNG Only</t>
  </si>
  <si>
    <t xml:space="preserve">   Miscellaneous</t>
  </si>
  <si>
    <t xml:space="preserve">Payable / (Receivable) Corp. - End. Balance </t>
  </si>
  <si>
    <t>*</t>
  </si>
  <si>
    <t>Long Term Debt - Beginning Balance</t>
  </si>
  <si>
    <t>Rate Case Information (9/00)</t>
  </si>
  <si>
    <t>Amount</t>
  </si>
  <si>
    <t>Percent.</t>
  </si>
  <si>
    <t xml:space="preserve">   Principal - External</t>
  </si>
  <si>
    <t xml:space="preserve">   Long Term Debt (W/O Discount)</t>
  </si>
  <si>
    <t xml:space="preserve">                 - Corporate</t>
  </si>
  <si>
    <t xml:space="preserve">   Equity - End. Balance (NNG Only)</t>
  </si>
  <si>
    <t xml:space="preserve">   Debt Discount</t>
  </si>
  <si>
    <t xml:space="preserve">      Total Debt / Equity</t>
  </si>
  <si>
    <t>Long Term Debt - Ending Balance</t>
  </si>
  <si>
    <t>Equity - Beginning Balance</t>
  </si>
  <si>
    <t xml:space="preserve">   Net Income</t>
  </si>
  <si>
    <t xml:space="preserve">   Equity - End. Balance</t>
  </si>
  <si>
    <t xml:space="preserve">   Ardmore ('95), Lucent &amp; Trail.('98), Black Marlin (3/99)</t>
  </si>
  <si>
    <t xml:space="preserve">   Misc. (FASB 133)</t>
  </si>
  <si>
    <t>Equity - Ending Balance</t>
  </si>
  <si>
    <t xml:space="preserve">Revised Plan - Financing Costs (Below The Line)  </t>
  </si>
  <si>
    <t xml:space="preserve">Short Term Interest Expense / (Income)  </t>
  </si>
  <si>
    <t>Funds Flow Impact (After Tax)</t>
  </si>
  <si>
    <t xml:space="preserve">   Payable / (Receivable) Corp. - Beg. Balance</t>
  </si>
  <si>
    <t xml:space="preserve">   Acct. 1466 Only - ($91.0 @ 6%*.6053)</t>
  </si>
  <si>
    <t xml:space="preserve">      Short Term Interest Expense / (Income) </t>
  </si>
  <si>
    <t xml:space="preserve">     Less: 1460 ($38.8 @ 6%*.6053)</t>
  </si>
  <si>
    <t xml:space="preserve">      Interco. Cash Adjustment (Inc.) / Dec.</t>
  </si>
  <si>
    <t xml:space="preserve">     Less: 1420 ($39.1 @ 6%*.6053)</t>
  </si>
  <si>
    <t xml:space="preserve">   Payable / (Receivable) Corp. - End. Balance</t>
  </si>
  <si>
    <t xml:space="preserve">     Add: Assigned Rec. ($1.7*.6053)</t>
  </si>
  <si>
    <t xml:space="preserve">         Average Monthly Balance</t>
  </si>
  <si>
    <t xml:space="preserve">     Add: 2 Mo. LT Debt ($1.4*.6053)</t>
  </si>
  <si>
    <t xml:space="preserve">   Avg. Short Term Interest Rate (LIBOR-%)</t>
  </si>
  <si>
    <t xml:space="preserve">         Monthly Interest Expense / (Income)</t>
  </si>
  <si>
    <t>Principal</t>
  </si>
  <si>
    <t>Interest</t>
  </si>
  <si>
    <t>2001 Actual / Estimate (Financing Costs)</t>
  </si>
  <si>
    <t>Long Term Debt Components</t>
  </si>
  <si>
    <t>($000's)</t>
  </si>
  <si>
    <t xml:space="preserve">      Long Term - Interest Expense (External - Note #1)</t>
  </si>
  <si>
    <t xml:space="preserve">   Note #1 @ 8.00% (5/27/92 - 6/1/99)</t>
  </si>
  <si>
    <t xml:space="preserve">                    - Interest Expense (External - Note #2) </t>
  </si>
  <si>
    <t xml:space="preserve">   Note #2 @ 6.875% (4/30/93 - 5/1/05)</t>
  </si>
  <si>
    <t xml:space="preserve">                    - Interest Expense (External - Note #4) </t>
  </si>
  <si>
    <t xml:space="preserve">   Note #3 @ 6.75% (9/4/98 - 9/15/08)</t>
  </si>
  <si>
    <t xml:space="preserve">                    - Unamortized Debt Discount</t>
  </si>
  <si>
    <t xml:space="preserve">   Note #4 @ 7.00% (5/27/99 - 6/1/11)</t>
  </si>
  <si>
    <t xml:space="preserve">                    - Unamortized Debt Expense </t>
  </si>
  <si>
    <t xml:space="preserve">   Note #5 @ 8.0%</t>
  </si>
  <si>
    <t xml:space="preserve">   Other Issues</t>
  </si>
  <si>
    <t xml:space="preserve">                    - Corporate Tie-In Amount (Actual) </t>
  </si>
  <si>
    <t xml:space="preserve">   Debt - Discount / Amortization</t>
  </si>
  <si>
    <t xml:space="preserve">      Assigned Receivables / Other</t>
  </si>
  <si>
    <t xml:space="preserve">           - Expense</t>
  </si>
  <si>
    <t xml:space="preserve">         Total Intercompany Impact (Net)</t>
  </si>
  <si>
    <t xml:space="preserve">         Composite F.I.T. &amp; S.I.T. Tax Impact</t>
  </si>
  <si>
    <t xml:space="preserve">      Total Annual Interest Accrual</t>
  </si>
  <si>
    <t xml:space="preserve">            Updated Net Financing Costs</t>
  </si>
  <si>
    <t>Interest Payments</t>
  </si>
  <si>
    <t xml:space="preserve">Revised Plan - Financing Costs (Above The Line)  </t>
  </si>
  <si>
    <t xml:space="preserve">   Note #1 - June 1</t>
  </si>
  <si>
    <t xml:space="preserve">                - December 1</t>
  </si>
  <si>
    <t xml:space="preserve">   Beg. Balance - Corp. (Rec.) + Check Book Activity</t>
  </si>
  <si>
    <t xml:space="preserve">   Note #2 - May 1</t>
  </si>
  <si>
    <t xml:space="preserve">      - Corp. Pay.+ Co.011 / Netting Co.827 (1 Mo. Lag)</t>
  </si>
  <si>
    <t xml:space="preserve">                - November 1</t>
  </si>
  <si>
    <t xml:space="preserve">   Adjusted Beginning Balance</t>
  </si>
  <si>
    <t xml:space="preserve">   Note #3 - March 15</t>
  </si>
  <si>
    <t xml:space="preserve">      (Inc.) / Dec. in Check Book Cash (Current Month) </t>
  </si>
  <si>
    <t xml:space="preserve">                - September 15</t>
  </si>
  <si>
    <t xml:space="preserve">   Note #4 - June 1</t>
  </si>
  <si>
    <t xml:space="preserve">   Ending Balance</t>
  </si>
  <si>
    <t xml:space="preserve">      Total Annual Interest Payment </t>
  </si>
  <si>
    <t xml:space="preserve">   Average Short Term Interest Rate (Corp.-%)</t>
  </si>
  <si>
    <t xml:space="preserve">      Short Term Interest (Inc.) / Exp. Calculation </t>
  </si>
  <si>
    <t xml:space="preserve">         Corporate Tie-In Amount (Act. / Est. Adjust.) </t>
  </si>
  <si>
    <t xml:space="preserve">            Total Short Term Interest (Inc.) / Exp. </t>
  </si>
  <si>
    <t xml:space="preserve">      Long Term Interest Expense (External - Note #3)</t>
  </si>
  <si>
    <t xml:space="preserve">         Unamortized Debt Expense</t>
  </si>
  <si>
    <r>
      <t xml:space="preserve">      Interest Exp. Differential (</t>
    </r>
    <r>
      <rPr>
        <sz val="10"/>
        <color indexed="10"/>
        <rFont val="Arial"/>
        <family val="2"/>
      </rPr>
      <t>9.50% vs. 6.75% all in Dec.</t>
    </r>
    <r>
      <rPr>
        <sz val="10"/>
        <color indexed="12"/>
        <rFont val="Arial"/>
        <family val="2"/>
      </rPr>
      <t>)</t>
    </r>
  </si>
  <si>
    <t xml:space="preserve">   Total Intercompany Interest Expense / (Income)</t>
  </si>
  <si>
    <t>TRANSWESTERN PIPELINE GROUP</t>
  </si>
  <si>
    <r>
      <t xml:space="preserve">   (Inc.) / Dec. in Check Book Activity         </t>
    </r>
    <r>
      <rPr>
        <sz val="10"/>
        <color indexed="10"/>
        <rFont val="Arial"/>
        <family val="2"/>
      </rPr>
      <t>(9/18/01)</t>
    </r>
    <r>
      <rPr>
        <sz val="10"/>
        <color indexed="12"/>
        <rFont val="Arial"/>
        <family val="2"/>
      </rPr>
      <t xml:space="preserve"> </t>
    </r>
  </si>
  <si>
    <t xml:space="preserve">   Acct. 1466 Only - ($202.5 @ 6%*.6112)</t>
  </si>
  <si>
    <t xml:space="preserve">     Less: 1460 ($20.1 @ 6%*.6112)</t>
  </si>
  <si>
    <t xml:space="preserve">     Less: ASCC ($8.8 @ 6%*.6112)</t>
  </si>
  <si>
    <t xml:space="preserve">     Add: Assigned Rec. ($.6*.6112)</t>
  </si>
  <si>
    <t xml:space="preserve">      Long Term - Interest Expense (External - Note #1 &amp; #5)</t>
  </si>
  <si>
    <t xml:space="preserve">   Note #1 @ 5.2525% (4/1/01 - 6/28/01)</t>
  </si>
  <si>
    <t xml:space="preserve">   Note #2 @ 0.00% (?/??/?? - ?/??/??)</t>
  </si>
  <si>
    <t xml:space="preserve">                    - Interest Expense (External - Note #3 &amp; #4) </t>
  </si>
  <si>
    <r>
      <t xml:space="preserve">   Note #4 @ 9.20% (</t>
    </r>
    <r>
      <rPr>
        <sz val="10"/>
        <color indexed="10"/>
        <rFont val="Arial"/>
        <family val="2"/>
      </rPr>
      <t>?/??/?? - 11/1/02-04</t>
    </r>
    <r>
      <rPr>
        <sz val="10"/>
        <rFont val="Arial"/>
        <family val="2"/>
      </rPr>
      <t>)</t>
    </r>
  </si>
  <si>
    <r>
      <t xml:space="preserve">   Note #3 @ 9.20% (</t>
    </r>
    <r>
      <rPr>
        <sz val="10"/>
        <color indexed="10"/>
        <rFont val="Arial"/>
        <family val="2"/>
      </rPr>
      <t>?/??/?? - 11/1/01</t>
    </r>
    <r>
      <rPr>
        <sz val="10"/>
        <rFont val="Arial"/>
        <family val="2"/>
      </rPr>
      <t>)</t>
    </r>
  </si>
  <si>
    <t xml:space="preserve">   Note #5 @ 7.40% (3/31/00 - 4/1/01)</t>
  </si>
  <si>
    <t xml:space="preserve">      Total Annual Interest</t>
  </si>
  <si>
    <t xml:space="preserve">   Note #1 - June 29 (30+31+28 Days)</t>
  </si>
  <si>
    <t xml:space="preserve">                - September 28 (2+31+31+27 Days)</t>
  </si>
  <si>
    <t xml:space="preserve">                - December 31 (3+31+30+31 Days)</t>
  </si>
  <si>
    <t xml:space="preserve">   Note #3 Thru #4 - May 1</t>
  </si>
  <si>
    <t xml:space="preserve">   Note #5 - April 1</t>
  </si>
  <si>
    <t xml:space="preserve">                - October 1</t>
  </si>
  <si>
    <t xml:space="preserve">      Long Term Interest Expense (External)</t>
  </si>
  <si>
    <t xml:space="preserve">      Interest Expense Differential </t>
  </si>
  <si>
    <t>2002 OPERATING PLAN</t>
  </si>
  <si>
    <t xml:space="preserve">  " Preliminary 2002 Operating Plan (10/24/01) "</t>
  </si>
  <si>
    <t>3rd CE</t>
  </si>
  <si>
    <t>PLAN</t>
  </si>
  <si>
    <t>12/31/02</t>
  </si>
  <si>
    <r>
      <t xml:space="preserve">   (Inc.) / Dec. in Check Book Activity         </t>
    </r>
    <r>
      <rPr>
        <sz val="10"/>
        <color indexed="10"/>
        <rFont val="Arial"/>
        <family val="2"/>
      </rPr>
      <t>(10/24/01)</t>
    </r>
    <r>
      <rPr>
        <sz val="10"/>
        <color indexed="12"/>
        <rFont val="Arial"/>
        <family val="2"/>
      </rPr>
      <t xml:space="preserve"> </t>
    </r>
  </si>
  <si>
    <t>2002 Operating Plan (Financing Costs)</t>
  </si>
  <si>
    <t xml:space="preserve">      Long Term - Interest Expense (External - Note #3)</t>
  </si>
  <si>
    <t xml:space="preserve">   Note #1 @ 0.00% (?/??/?? - ?/??/??)</t>
  </si>
  <si>
    <r>
      <t xml:space="preserve">   Note #3 @ 9.20% (</t>
    </r>
    <r>
      <rPr>
        <sz val="10"/>
        <color indexed="10"/>
        <rFont val="Arial"/>
        <family val="2"/>
      </rPr>
      <t>?/??/?? - 11/1/02</t>
    </r>
    <r>
      <rPr>
        <sz val="10"/>
        <rFont val="Arial"/>
        <family val="2"/>
      </rPr>
      <t>)</t>
    </r>
  </si>
  <si>
    <t xml:space="preserve">   Note #5 @ 0.00% (?/??/?? - ?/??/??)</t>
  </si>
  <si>
    <t xml:space="preserve">   Note #1 - Month Day </t>
  </si>
  <si>
    <t xml:space="preserve">                - Month Day</t>
  </si>
  <si>
    <t xml:space="preserve">   Note #5 - Month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</si>
</sst>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_)"/>
    <numFmt numFmtId="165" formatCode="hh:mm\ AM/PM_)"/>
    <numFmt numFmtId="166" formatCode="0.000%"/>
    <numFmt numFmtId="168" formatCode="dd\-mmm\-yy"/>
  </numFmts>
  <fonts count="36" x14ac:knownFonts="1">
    <font>
      <sz val="8"/>
      <name val="Helv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u val="double"/>
      <sz val="10"/>
      <name val="Arial"/>
    </font>
    <font>
      <b/>
      <sz val="12"/>
      <color indexed="12"/>
      <name val="Arial"/>
      <family val="2"/>
    </font>
    <font>
      <sz val="6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name val="Helv"/>
    </font>
    <font>
      <b/>
      <u/>
      <sz val="10"/>
      <color indexed="12"/>
      <name val="Arial"/>
    </font>
    <font>
      <b/>
      <sz val="10"/>
      <color indexed="12"/>
      <name val="Arial"/>
    </font>
    <font>
      <b/>
      <u/>
      <sz val="10"/>
      <name val="Arial"/>
    </font>
    <font>
      <b/>
      <u val="double"/>
      <sz val="10"/>
      <name val="Arial"/>
      <family val="2"/>
    </font>
    <font>
      <u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12"/>
      <name val="Arial"/>
    </font>
    <font>
      <sz val="6"/>
      <color indexed="8"/>
      <name val="Arial"/>
      <family val="2"/>
    </font>
    <font>
      <sz val="10"/>
      <color indexed="56"/>
      <name val="Arial"/>
      <family val="2"/>
    </font>
    <font>
      <sz val="10"/>
      <color indexed="14"/>
      <name val="Arial"/>
      <family val="2"/>
    </font>
    <font>
      <u val="double"/>
      <sz val="10"/>
      <color indexed="10"/>
      <name val="Arial"/>
      <family val="2"/>
    </font>
    <font>
      <sz val="10"/>
      <color indexed="17"/>
      <name val="Arial"/>
      <family val="2"/>
    </font>
    <font>
      <u/>
      <sz val="10"/>
      <color indexed="14"/>
      <name val="Arial"/>
      <family val="2"/>
    </font>
  </fonts>
  <fills count="4">
    <fill>
      <patternFill patternType="none"/>
    </fill>
    <fill>
      <patternFill patternType="gray125"/>
    </fill>
    <fill>
      <patternFill patternType="lightGray"/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5" fillId="0" borderId="0" xfId="0" applyFont="1"/>
    <xf numFmtId="0" fontId="6" fillId="0" borderId="0" xfId="0" applyFont="1" applyProtection="1">
      <protection locked="0"/>
    </xf>
    <xf numFmtId="0" fontId="6" fillId="0" borderId="0" xfId="0" applyFont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Alignment="1">
      <alignment horizontal="center"/>
    </xf>
    <xf numFmtId="0" fontId="9" fillId="0" borderId="0" xfId="0" applyFont="1" applyProtection="1">
      <protection locked="0"/>
    </xf>
    <xf numFmtId="37" fontId="7" fillId="0" borderId="0" xfId="0" applyNumberFormat="1" applyFont="1" applyProtection="1"/>
    <xf numFmtId="37" fontId="7" fillId="0" borderId="0" xfId="0" applyNumberFormat="1" applyFont="1" applyProtection="1">
      <protection locked="0"/>
    </xf>
    <xf numFmtId="37" fontId="9" fillId="0" borderId="0" xfId="0" applyNumberFormat="1" applyFont="1" applyProtection="1">
      <protection locked="0"/>
    </xf>
    <xf numFmtId="37" fontId="9" fillId="0" borderId="0" xfId="0" applyNumberFormat="1" applyFont="1" applyProtection="1"/>
    <xf numFmtId="37" fontId="10" fillId="0" borderId="0" xfId="0" applyNumberFormat="1" applyFont="1" applyProtection="1"/>
    <xf numFmtId="10" fontId="7" fillId="0" borderId="0" xfId="0" applyNumberFormat="1" applyFont="1" applyProtection="1">
      <protection locked="0"/>
    </xf>
    <xf numFmtId="0" fontId="11" fillId="0" borderId="0" xfId="0" applyFont="1" applyAlignment="1" applyProtection="1">
      <alignment horizontal="centerContinuous"/>
      <protection locked="0"/>
    </xf>
    <xf numFmtId="0" fontId="11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12" fillId="0" borderId="0" xfId="0" quotePrefix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7" fillId="0" borderId="0" xfId="0" quotePrefix="1" applyFont="1" applyAlignment="1" applyProtection="1">
      <alignment horizontal="left"/>
      <protection locked="0"/>
    </xf>
    <xf numFmtId="37" fontId="13" fillId="0" borderId="0" xfId="0" applyNumberFormat="1" applyFont="1" applyProtection="1">
      <protection locked="0"/>
    </xf>
    <xf numFmtId="37" fontId="14" fillId="0" borderId="0" xfId="0" applyNumberFormat="1" applyFont="1" applyProtection="1">
      <protection locked="0"/>
    </xf>
    <xf numFmtId="0" fontId="9" fillId="0" borderId="0" xfId="0" quotePrefix="1" applyFont="1" applyAlignment="1" applyProtection="1">
      <alignment horizontal="left"/>
      <protection locked="0"/>
    </xf>
    <xf numFmtId="166" fontId="14" fillId="0" borderId="0" xfId="0" applyNumberFormat="1" applyFont="1" applyProtection="1">
      <protection locked="0"/>
    </xf>
    <xf numFmtId="0" fontId="14" fillId="0" borderId="0" xfId="0" quotePrefix="1" applyFont="1" applyAlignment="1" applyProtection="1">
      <alignment horizontal="left"/>
      <protection locked="0"/>
    </xf>
    <xf numFmtId="37" fontId="1" fillId="0" borderId="0" xfId="0" applyNumberFormat="1" applyFont="1" applyProtection="1"/>
    <xf numFmtId="37" fontId="15" fillId="0" borderId="0" xfId="0" applyNumberFormat="1" applyFont="1" applyProtection="1"/>
    <xf numFmtId="0" fontId="3" fillId="0" borderId="0" xfId="0" applyFont="1" applyAlignment="1" applyProtection="1">
      <alignment horizontal="centerContinuous"/>
      <protection locked="0"/>
    </xf>
    <xf numFmtId="0" fontId="3" fillId="0" borderId="0" xfId="0" applyFont="1" applyAlignment="1">
      <alignment horizontal="centerContinuous"/>
    </xf>
    <xf numFmtId="0" fontId="16" fillId="0" borderId="0" xfId="0" quotePrefix="1" applyFont="1" applyAlignment="1" applyProtection="1">
      <alignment horizontal="centerContinuous"/>
      <protection locked="0"/>
    </xf>
    <xf numFmtId="0" fontId="9" fillId="0" borderId="0" xfId="0" quotePrefix="1" applyFont="1" applyAlignment="1" applyProtection="1">
      <alignment horizontal="center"/>
      <protection locked="0"/>
    </xf>
    <xf numFmtId="0" fontId="7" fillId="0" borderId="0" xfId="0" quotePrefix="1" applyFont="1" applyAlignment="1" applyProtection="1">
      <alignment horizontal="center"/>
      <protection locked="0"/>
    </xf>
    <xf numFmtId="37" fontId="7" fillId="0" borderId="0" xfId="0" quotePrefix="1" applyNumberFormat="1" applyFont="1" applyAlignment="1" applyProtection="1">
      <alignment horizontal="left"/>
      <protection locked="0"/>
    </xf>
    <xf numFmtId="0" fontId="5" fillId="0" borderId="0" xfId="0" quotePrefix="1" applyFont="1" applyAlignment="1">
      <alignment horizontal="left"/>
    </xf>
    <xf numFmtId="164" fontId="17" fillId="0" borderId="0" xfId="0" applyNumberFormat="1" applyFont="1" applyProtection="1"/>
    <xf numFmtId="165" fontId="17" fillId="0" borderId="0" xfId="0" applyNumberFormat="1" applyFont="1" applyProtection="1"/>
    <xf numFmtId="0" fontId="13" fillId="0" borderId="0" xfId="0" applyFont="1"/>
    <xf numFmtId="0" fontId="13" fillId="0" borderId="0" xfId="0" quotePrefix="1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1" fillId="0" borderId="0" xfId="0" quotePrefix="1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2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0" fontId="20" fillId="0" borderId="0" xfId="0" quotePrefix="1" applyFont="1" applyAlignment="1" applyProtection="1">
      <alignment horizontal="left"/>
      <protection locked="0"/>
    </xf>
    <xf numFmtId="37" fontId="13" fillId="0" borderId="0" xfId="0" applyNumberFormat="1" applyFont="1" applyProtection="1"/>
    <xf numFmtId="37" fontId="21" fillId="0" borderId="0" xfId="0" applyNumberFormat="1" applyFont="1" applyProtection="1"/>
    <xf numFmtId="37" fontId="19" fillId="0" borderId="0" xfId="0" applyNumberFormat="1" applyFont="1" applyProtection="1"/>
    <xf numFmtId="0" fontId="22" fillId="0" borderId="0" xfId="0" applyFont="1" applyAlignment="1">
      <alignment horizontal="center"/>
    </xf>
    <xf numFmtId="49" fontId="16" fillId="0" borderId="0" xfId="0" applyNumberFormat="1" applyFont="1" applyAlignment="1" applyProtection="1">
      <alignment horizontal="centerContinuous"/>
      <protection locked="0"/>
    </xf>
    <xf numFmtId="0" fontId="23" fillId="0" borderId="0" xfId="0" quotePrefix="1" applyFont="1" applyAlignment="1" applyProtection="1">
      <alignment horizontal="left"/>
      <protection locked="0"/>
    </xf>
    <xf numFmtId="0" fontId="5" fillId="2" borderId="0" xfId="0" applyFont="1" applyFill="1"/>
    <xf numFmtId="0" fontId="13" fillId="2" borderId="0" xfId="0" quotePrefix="1" applyFont="1" applyFill="1" applyAlignment="1" applyProtection="1">
      <alignment horizontal="left"/>
      <protection locked="0"/>
    </xf>
    <xf numFmtId="37" fontId="10" fillId="2" borderId="0" xfId="0" applyNumberFormat="1" applyFont="1" applyFill="1" applyProtection="1"/>
    <xf numFmtId="0" fontId="7" fillId="2" borderId="0" xfId="0" applyFont="1" applyFill="1"/>
    <xf numFmtId="0" fontId="24" fillId="0" borderId="0" xfId="0" quotePrefix="1" applyFont="1" applyAlignment="1" applyProtection="1">
      <alignment horizontal="left"/>
      <protection locked="0"/>
    </xf>
    <xf numFmtId="37" fontId="7" fillId="0" borderId="0" xfId="0" applyNumberFormat="1" applyFont="1"/>
    <xf numFmtId="0" fontId="8" fillId="0" borderId="0" xfId="0" quotePrefix="1" applyFont="1" applyAlignment="1">
      <alignment horizontal="left"/>
    </xf>
    <xf numFmtId="0" fontId="13" fillId="0" borderId="0" xfId="0" quotePrefix="1" applyFont="1" applyAlignment="1">
      <alignment horizontal="left"/>
    </xf>
    <xf numFmtId="0" fontId="12" fillId="0" borderId="0" xfId="0" applyFont="1"/>
    <xf numFmtId="0" fontId="18" fillId="0" borderId="0" xfId="0" quotePrefix="1" applyFont="1" applyAlignment="1">
      <alignment horizontal="centerContinuous"/>
    </xf>
    <xf numFmtId="0" fontId="0" fillId="0" borderId="0" xfId="0" applyAlignment="1">
      <alignment horizontal="centerContinuous"/>
    </xf>
    <xf numFmtId="164" fontId="17" fillId="0" borderId="0" xfId="0" applyNumberFormat="1" applyFont="1" applyAlignment="1" applyProtection="1">
      <alignment horizontal="centerContinuous"/>
    </xf>
    <xf numFmtId="0" fontId="4" fillId="0" borderId="0" xfId="0" applyFont="1" applyAlignment="1">
      <alignment horizontal="centerContinuous"/>
    </xf>
    <xf numFmtId="165" fontId="17" fillId="0" borderId="0" xfId="0" applyNumberFormat="1" applyFont="1" applyAlignment="1" applyProtection="1">
      <alignment horizontal="centerContinuous"/>
    </xf>
    <xf numFmtId="0" fontId="11" fillId="0" borderId="0" xfId="0" quotePrefix="1" applyFont="1" applyAlignment="1" applyProtection="1">
      <alignment horizontal="centerContinuous"/>
      <protection locked="0"/>
    </xf>
    <xf numFmtId="0" fontId="5" fillId="0" borderId="0" xfId="0" quotePrefix="1" applyFont="1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13" fillId="0" borderId="0" xfId="0" applyFont="1" applyAlignment="1" applyProtection="1">
      <alignment horizontal="left"/>
      <protection locked="0"/>
    </xf>
    <xf numFmtId="0" fontId="5" fillId="0" borderId="1" xfId="0" applyFont="1" applyBorder="1"/>
    <xf numFmtId="0" fontId="5" fillId="0" borderId="2" xfId="0" applyFont="1" applyBorder="1"/>
    <xf numFmtId="0" fontId="7" fillId="0" borderId="3" xfId="0" applyFont="1" applyBorder="1"/>
    <xf numFmtId="0" fontId="14" fillId="0" borderId="4" xfId="0" quotePrefix="1" applyFont="1" applyBorder="1" applyAlignment="1" applyProtection="1">
      <alignment horizontal="left"/>
      <protection locked="0"/>
    </xf>
    <xf numFmtId="37" fontId="14" fillId="0" borderId="0" xfId="0" quotePrefix="1" applyNumberFormat="1" applyFont="1" applyAlignment="1" applyProtection="1">
      <alignment horizontal="center"/>
      <protection locked="0"/>
    </xf>
    <xf numFmtId="0" fontId="14" fillId="0" borderId="5" xfId="0" quotePrefix="1" applyFont="1" applyBorder="1" applyAlignment="1" applyProtection="1">
      <alignment horizontal="center"/>
      <protection locked="0"/>
    </xf>
    <xf numFmtId="37" fontId="7" fillId="0" borderId="4" xfId="0" quotePrefix="1" applyNumberFormat="1" applyFont="1" applyBorder="1" applyAlignment="1" applyProtection="1">
      <alignment horizontal="left"/>
      <protection locked="0"/>
    </xf>
    <xf numFmtId="10" fontId="7" fillId="0" borderId="5" xfId="0" applyNumberFormat="1" applyFont="1" applyBorder="1" applyProtection="1"/>
    <xf numFmtId="0" fontId="7" fillId="0" borderId="4" xfId="0" quotePrefix="1" applyFont="1" applyBorder="1" applyAlignment="1" applyProtection="1">
      <alignment horizontal="left"/>
      <protection locked="0"/>
    </xf>
    <xf numFmtId="10" fontId="9" fillId="0" borderId="5" xfId="0" applyNumberFormat="1" applyFont="1" applyBorder="1" applyProtection="1"/>
    <xf numFmtId="10" fontId="10" fillId="0" borderId="5" xfId="0" applyNumberFormat="1" applyFont="1" applyBorder="1" applyProtection="1"/>
    <xf numFmtId="0" fontId="5" fillId="0" borderId="6" xfId="0" applyFont="1" applyBorder="1"/>
    <xf numFmtId="37" fontId="9" fillId="0" borderId="7" xfId="0" applyNumberFormat="1" applyFont="1" applyBorder="1" applyProtection="1"/>
    <xf numFmtId="0" fontId="7" fillId="0" borderId="8" xfId="0" applyFont="1" applyBorder="1"/>
    <xf numFmtId="37" fontId="10" fillId="0" borderId="0" xfId="0" applyNumberFormat="1" applyFont="1" applyProtection="1">
      <protection locked="0"/>
    </xf>
    <xf numFmtId="37" fontId="7" fillId="0" borderId="9" xfId="0" quotePrefix="1" applyNumberFormat="1" applyFont="1" applyBorder="1" applyAlignment="1" applyProtection="1">
      <alignment horizontal="left"/>
      <protection locked="0"/>
    </xf>
    <xf numFmtId="37" fontId="13" fillId="0" borderId="0" xfId="0" applyNumberFormat="1" applyFont="1" applyBorder="1" applyProtection="1">
      <protection locked="0"/>
    </xf>
    <xf numFmtId="10" fontId="7" fillId="0" borderId="10" xfId="0" applyNumberFormat="1" applyFont="1" applyBorder="1" applyProtection="1"/>
    <xf numFmtId="0" fontId="7" fillId="0" borderId="9" xfId="0" quotePrefix="1" applyFont="1" applyBorder="1" applyAlignment="1" applyProtection="1">
      <alignment horizontal="left"/>
      <protection locked="0"/>
    </xf>
    <xf numFmtId="37" fontId="9" fillId="0" borderId="0" xfId="0" applyNumberFormat="1" applyFont="1" applyBorder="1" applyProtection="1"/>
    <xf numFmtId="10" fontId="9" fillId="0" borderId="10" xfId="0" applyNumberFormat="1" applyFont="1" applyBorder="1" applyProtection="1"/>
    <xf numFmtId="37" fontId="10" fillId="0" borderId="0" xfId="0" applyNumberFormat="1" applyFont="1" applyBorder="1" applyProtection="1"/>
    <xf numFmtId="10" fontId="10" fillId="0" borderId="10" xfId="0" applyNumberFormat="1" applyFont="1" applyBorder="1" applyProtection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3" fillId="0" borderId="0" xfId="0" applyFont="1" applyAlignment="1" applyProtection="1">
      <alignment horizontal="left"/>
      <protection locked="0"/>
    </xf>
    <xf numFmtId="168" fontId="17" fillId="0" borderId="0" xfId="0" applyNumberFormat="1" applyFont="1" applyProtection="1"/>
    <xf numFmtId="37" fontId="7" fillId="0" borderId="0" xfId="0" quotePrefix="1" applyNumberFormat="1" applyFont="1" applyBorder="1" applyAlignment="1" applyProtection="1">
      <alignment horizontal="left"/>
      <protection locked="0"/>
    </xf>
    <xf numFmtId="10" fontId="7" fillId="0" borderId="0" xfId="0" applyNumberFormat="1" applyFont="1" applyBorder="1" applyProtection="1"/>
    <xf numFmtId="0" fontId="7" fillId="0" borderId="0" xfId="0" quotePrefix="1" applyFont="1" applyBorder="1" applyAlignment="1" applyProtection="1">
      <alignment horizontal="left"/>
      <protection locked="0"/>
    </xf>
    <xf numFmtId="10" fontId="9" fillId="0" borderId="0" xfId="0" applyNumberFormat="1" applyFont="1" applyBorder="1" applyProtection="1"/>
    <xf numFmtId="10" fontId="10" fillId="0" borderId="0" xfId="0" applyNumberFormat="1" applyFont="1" applyBorder="1" applyProtection="1"/>
    <xf numFmtId="0" fontId="5" fillId="0" borderId="0" xfId="0" applyFont="1" applyBorder="1"/>
    <xf numFmtId="37" fontId="19" fillId="0" borderId="0" xfId="0" applyNumberFormat="1" applyFont="1" applyProtection="1">
      <protection locked="0"/>
    </xf>
    <xf numFmtId="0" fontId="24" fillId="0" borderId="0" xfId="0" quotePrefix="1" applyFont="1" applyAlignment="1">
      <alignment horizontal="left"/>
    </xf>
    <xf numFmtId="37" fontId="26" fillId="0" borderId="0" xfId="0" applyNumberFormat="1" applyFont="1" applyProtection="1"/>
    <xf numFmtId="37" fontId="20" fillId="0" borderId="0" xfId="0" applyNumberFormat="1" applyFont="1" applyProtection="1"/>
    <xf numFmtId="0" fontId="7" fillId="0" borderId="0" xfId="0" quotePrefix="1" applyFont="1" applyAlignment="1">
      <alignment horizontal="left"/>
    </xf>
    <xf numFmtId="37" fontId="10" fillId="0" borderId="0" xfId="0" applyNumberFormat="1" applyFont="1"/>
    <xf numFmtId="37" fontId="27" fillId="0" borderId="0" xfId="0" applyNumberFormat="1" applyFont="1" applyProtection="1">
      <protection locked="0"/>
    </xf>
    <xf numFmtId="0" fontId="28" fillId="0" borderId="0" xfId="0" quotePrefix="1" applyFont="1" applyAlignment="1">
      <alignment horizontal="left"/>
    </xf>
    <xf numFmtId="37" fontId="25" fillId="0" borderId="0" xfId="0" applyNumberFormat="1" applyFont="1" applyProtection="1"/>
    <xf numFmtId="0" fontId="5" fillId="3" borderId="0" xfId="0" applyFont="1" applyFill="1"/>
    <xf numFmtId="0" fontId="13" fillId="3" borderId="0" xfId="0" quotePrefix="1" applyFont="1" applyFill="1" applyAlignment="1" applyProtection="1">
      <alignment horizontal="left"/>
      <protection locked="0"/>
    </xf>
    <xf numFmtId="37" fontId="10" fillId="3" borderId="0" xfId="0" applyNumberFormat="1" applyFont="1" applyFill="1" applyProtection="1"/>
    <xf numFmtId="0" fontId="7" fillId="3" borderId="0" xfId="0" applyFont="1" applyFill="1"/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  <protection locked="0"/>
    </xf>
    <xf numFmtId="0" fontId="22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30" fillId="0" borderId="0" xfId="0" quotePrefix="1" applyFont="1" applyAlignment="1">
      <alignment horizontal="left"/>
    </xf>
    <xf numFmtId="37" fontId="21" fillId="0" borderId="0" xfId="0" applyNumberFormat="1" applyFont="1"/>
    <xf numFmtId="37" fontId="5" fillId="0" borderId="0" xfId="0" applyNumberFormat="1" applyFont="1"/>
    <xf numFmtId="0" fontId="13" fillId="0" borderId="0" xfId="0" applyFont="1" applyAlignment="1">
      <alignment horizontal="left"/>
    </xf>
    <xf numFmtId="37" fontId="20" fillId="0" borderId="0" xfId="0" applyNumberFormat="1" applyFont="1" applyProtection="1">
      <protection locked="0"/>
    </xf>
    <xf numFmtId="37" fontId="31" fillId="0" borderId="0" xfId="0" applyNumberFormat="1" applyFont="1" applyProtection="1">
      <protection locked="0"/>
    </xf>
    <xf numFmtId="37" fontId="32" fillId="0" borderId="0" xfId="0" applyNumberFormat="1" applyFont="1" applyProtection="1"/>
    <xf numFmtId="0" fontId="11" fillId="0" borderId="0" xfId="0" applyFont="1" applyProtection="1">
      <protection locked="0"/>
    </xf>
    <xf numFmtId="0" fontId="6" fillId="0" borderId="0" xfId="0" quotePrefix="1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quotePrefix="1" applyFont="1" applyAlignment="1">
      <alignment horizontal="right"/>
    </xf>
    <xf numFmtId="37" fontId="13" fillId="0" borderId="0" xfId="0" quotePrefix="1" applyNumberFormat="1" applyFont="1" applyAlignment="1" applyProtection="1">
      <alignment horizontal="left"/>
      <protection locked="0"/>
    </xf>
    <xf numFmtId="49" fontId="1" fillId="0" borderId="0" xfId="0" quotePrefix="1" applyNumberFormat="1" applyFont="1" applyAlignment="1">
      <alignment horizontal="centerContinuous"/>
    </xf>
    <xf numFmtId="37" fontId="33" fillId="0" borderId="0" xfId="0" applyNumberFormat="1" applyFont="1" applyProtection="1"/>
    <xf numFmtId="166" fontId="20" fillId="0" borderId="0" xfId="0" applyNumberFormat="1" applyFont="1" applyProtection="1">
      <protection locked="0"/>
    </xf>
    <xf numFmtId="0" fontId="19" fillId="0" borderId="0" xfId="0" applyFont="1"/>
    <xf numFmtId="37" fontId="35" fillId="0" borderId="0" xfId="0" applyNumberFormat="1" applyFont="1" applyProtection="1"/>
    <xf numFmtId="166" fontId="9" fillId="0" borderId="0" xfId="0" applyNumberFormat="1" applyFont="1" applyProtection="1">
      <protection locked="0"/>
    </xf>
    <xf numFmtId="37" fontId="34" fillId="0" borderId="0" xfId="0" applyNumberFormat="1" applyFont="1" applyProtection="1"/>
    <xf numFmtId="37" fontId="34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NG-Forecast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-Forecast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63"/>
  <sheetViews>
    <sheetView showGridLines="0" workbookViewId="0"/>
  </sheetViews>
  <sheetFormatPr defaultColWidth="9.83203125" defaultRowHeight="10.5" x14ac:dyDescent="0.15"/>
  <cols>
    <col min="1" max="1" width="1.83203125" customWidth="1"/>
    <col min="2" max="2" width="50.83203125" customWidth="1"/>
    <col min="3" max="3" width="5.83203125" customWidth="1"/>
    <col min="4" max="15" width="11.83203125" customWidth="1"/>
    <col min="16" max="16" width="12.33203125" customWidth="1"/>
  </cols>
  <sheetData>
    <row r="1" spans="1:19" ht="15" customHeight="1" x14ac:dyDescent="0.25">
      <c r="A1" s="41" t="s">
        <v>0</v>
      </c>
      <c r="B1" s="63"/>
      <c r="C1" s="63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65"/>
      <c r="Q1" s="1"/>
      <c r="R1" s="1"/>
      <c r="S1" s="1"/>
    </row>
    <row r="2" spans="1:19" ht="15" customHeight="1" x14ac:dyDescent="0.25">
      <c r="A2" s="52" t="s">
        <v>1</v>
      </c>
      <c r="B2" s="63"/>
      <c r="C2" s="63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67"/>
      <c r="Q2" s="1"/>
      <c r="R2" s="1"/>
      <c r="S2" s="1"/>
    </row>
    <row r="3" spans="1:19" ht="15" customHeight="1" x14ac:dyDescent="0.25">
      <c r="A3" s="41" t="s">
        <v>2</v>
      </c>
      <c r="B3" s="64"/>
      <c r="C3" s="64"/>
      <c r="D3" s="28"/>
      <c r="E3" s="28"/>
      <c r="F3" s="28"/>
      <c r="G3" s="28"/>
      <c r="H3" s="120"/>
      <c r="I3" s="27"/>
      <c r="J3" s="28"/>
      <c r="K3" s="28"/>
      <c r="L3" s="28"/>
      <c r="M3" s="28"/>
      <c r="N3" s="28"/>
      <c r="O3" s="28"/>
      <c r="P3" s="28"/>
      <c r="Q3" s="1"/>
      <c r="R3" s="1"/>
      <c r="S3" s="1"/>
    </row>
    <row r="4" spans="1:19" ht="12.6" customHeight="1" x14ac:dyDescent="0.2">
      <c r="A4" s="123" t="s">
        <v>3</v>
      </c>
      <c r="B4" s="122"/>
      <c r="C4" s="68"/>
      <c r="D4" s="119"/>
      <c r="E4" s="14"/>
      <c r="F4" s="120"/>
      <c r="G4" s="120"/>
      <c r="H4" s="120"/>
      <c r="I4" s="121"/>
      <c r="J4" s="122"/>
      <c r="K4" s="14"/>
      <c r="L4" s="119"/>
      <c r="M4" s="119"/>
      <c r="N4" s="119"/>
      <c r="O4" s="119"/>
      <c r="P4" s="119"/>
      <c r="Q4" s="1"/>
      <c r="R4" s="1"/>
      <c r="S4" s="1"/>
    </row>
    <row r="5" spans="1:19" ht="12.6" customHeight="1" x14ac:dyDescent="0.2">
      <c r="A5" s="4"/>
      <c r="B5" s="40"/>
      <c r="C5" s="40"/>
      <c r="D5" s="3"/>
      <c r="E5" s="18"/>
      <c r="F5" s="1"/>
      <c r="G5" s="1"/>
      <c r="H5" s="1"/>
      <c r="I5" s="2"/>
      <c r="J5" s="51"/>
      <c r="K5" s="18"/>
      <c r="L5" s="3"/>
      <c r="M5" s="3"/>
      <c r="N5" s="3"/>
      <c r="O5" s="3"/>
      <c r="P5" s="3"/>
      <c r="Q5" s="1"/>
      <c r="R5" s="1"/>
      <c r="S5" s="1"/>
    </row>
    <row r="6" spans="1:19" ht="12.6" customHeight="1" x14ac:dyDescent="0.2">
      <c r="A6" s="4"/>
      <c r="B6" s="3"/>
      <c r="C6" s="3"/>
      <c r="D6" s="42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17">
        <v>1999</v>
      </c>
      <c r="Q6" s="1"/>
      <c r="R6" s="1"/>
      <c r="S6" s="1"/>
    </row>
    <row r="7" spans="1:19" ht="12.6" customHeight="1" x14ac:dyDescent="0.2">
      <c r="A7" s="53" t="s">
        <v>16</v>
      </c>
      <c r="B7" s="47"/>
      <c r="C7" s="47"/>
      <c r="D7" s="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1"/>
      <c r="R7" s="1"/>
      <c r="S7" s="1"/>
    </row>
    <row r="8" spans="1:19" ht="12.6" customHeight="1" x14ac:dyDescent="0.2">
      <c r="A8" s="1"/>
      <c r="B8" s="37" t="s">
        <v>17</v>
      </c>
      <c r="C8" s="37"/>
      <c r="D8" s="48">
        <f>-100000-1540</f>
        <v>-101540</v>
      </c>
      <c r="E8" s="49">
        <f>+D11</f>
        <v>-102054</v>
      </c>
      <c r="F8" s="49">
        <f t="shared" ref="F8:O8" si="0">+E11</f>
        <v>-102579</v>
      </c>
      <c r="G8" s="49">
        <f t="shared" si="0"/>
        <v>-103055</v>
      </c>
      <c r="H8" s="49">
        <f t="shared" si="0"/>
        <v>-103585</v>
      </c>
      <c r="I8" s="49">
        <f t="shared" si="0"/>
        <v>-104100</v>
      </c>
      <c r="J8" s="49">
        <f t="shared" si="0"/>
        <v>-104635</v>
      </c>
      <c r="K8" s="49">
        <f t="shared" si="0"/>
        <v>-105156</v>
      </c>
      <c r="L8" s="49">
        <f t="shared" si="0"/>
        <v>-105697</v>
      </c>
      <c r="M8" s="49">
        <f t="shared" si="0"/>
        <v>-106241</v>
      </c>
      <c r="N8" s="49">
        <f t="shared" si="0"/>
        <v>-106769</v>
      </c>
      <c r="O8" s="49">
        <f t="shared" si="0"/>
        <v>-107318</v>
      </c>
      <c r="P8" s="8"/>
      <c r="Q8" s="1"/>
      <c r="R8" s="1"/>
      <c r="S8" s="1"/>
    </row>
    <row r="9" spans="1:19" ht="12.6" customHeight="1" x14ac:dyDescent="0.2">
      <c r="A9" s="1"/>
      <c r="B9" s="37" t="s">
        <v>18</v>
      </c>
      <c r="C9" s="37"/>
      <c r="D9" s="50">
        <f>ROUND(-849*0.6053,0)</f>
        <v>-514</v>
      </c>
      <c r="E9" s="49">
        <f>+D20</f>
        <v>-525</v>
      </c>
      <c r="F9" s="49">
        <f t="shared" ref="F9:O9" si="1">+E20</f>
        <v>-476</v>
      </c>
      <c r="G9" s="49">
        <f t="shared" si="1"/>
        <v>-530</v>
      </c>
      <c r="H9" s="49">
        <f t="shared" si="1"/>
        <v>-515</v>
      </c>
      <c r="I9" s="49">
        <f t="shared" si="1"/>
        <v>-535</v>
      </c>
      <c r="J9" s="49">
        <f t="shared" si="1"/>
        <v>-521</v>
      </c>
      <c r="K9" s="49">
        <f t="shared" si="1"/>
        <v>-541</v>
      </c>
      <c r="L9" s="49">
        <f t="shared" si="1"/>
        <v>-544</v>
      </c>
      <c r="M9" s="49">
        <f t="shared" si="1"/>
        <v>-528</v>
      </c>
      <c r="N9" s="49">
        <f t="shared" si="1"/>
        <v>-549</v>
      </c>
      <c r="O9" s="49">
        <f t="shared" si="1"/>
        <v>-534</v>
      </c>
      <c r="P9" s="8"/>
      <c r="Q9" s="1"/>
      <c r="R9" s="1"/>
      <c r="S9" s="1"/>
    </row>
    <row r="10" spans="1:19" ht="12.6" customHeight="1" x14ac:dyDescent="0.2">
      <c r="A10" s="1"/>
      <c r="B10" s="37" t="s">
        <v>19</v>
      </c>
      <c r="C10" s="37"/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8">
        <f>SUM(D10:O10)</f>
        <v>0</v>
      </c>
      <c r="Q10" s="8"/>
      <c r="R10" s="1"/>
      <c r="S10" s="1"/>
    </row>
    <row r="11" spans="1:19" ht="12.6" customHeight="1" x14ac:dyDescent="0.2">
      <c r="A11" s="1"/>
      <c r="B11" s="37" t="s">
        <v>20</v>
      </c>
      <c r="C11" s="37"/>
      <c r="D11" s="11">
        <f>SUM(D8:D10)</f>
        <v>-102054</v>
      </c>
      <c r="E11" s="11">
        <f t="shared" ref="E11:O11" si="2">SUM(E8:E10)</f>
        <v>-102579</v>
      </c>
      <c r="F11" s="11">
        <f t="shared" si="2"/>
        <v>-103055</v>
      </c>
      <c r="G11" s="11">
        <f t="shared" si="2"/>
        <v>-103585</v>
      </c>
      <c r="H11" s="11">
        <f t="shared" si="2"/>
        <v>-104100</v>
      </c>
      <c r="I11" s="11">
        <f t="shared" si="2"/>
        <v>-104635</v>
      </c>
      <c r="J11" s="11">
        <f t="shared" si="2"/>
        <v>-105156</v>
      </c>
      <c r="K11" s="11">
        <f t="shared" si="2"/>
        <v>-105697</v>
      </c>
      <c r="L11" s="11">
        <f t="shared" si="2"/>
        <v>-106241</v>
      </c>
      <c r="M11" s="11">
        <f t="shared" si="2"/>
        <v>-106769</v>
      </c>
      <c r="N11" s="11">
        <f t="shared" si="2"/>
        <v>-107318</v>
      </c>
      <c r="O11" s="11">
        <f t="shared" si="2"/>
        <v>-107852</v>
      </c>
      <c r="P11" s="8"/>
      <c r="Q11" s="1"/>
      <c r="R11" s="1"/>
      <c r="S11" s="1"/>
    </row>
    <row r="12" spans="1:19" ht="3.95" customHeight="1" x14ac:dyDescent="0.2">
      <c r="A12" s="1"/>
      <c r="B12" s="36"/>
      <c r="C12" s="3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  <c r="R12" s="1"/>
      <c r="S12" s="1"/>
    </row>
    <row r="13" spans="1:19" ht="12.6" customHeight="1" x14ac:dyDescent="0.2">
      <c r="A13" s="1"/>
      <c r="B13" s="37" t="s">
        <v>21</v>
      </c>
      <c r="C13" s="37"/>
      <c r="D13" s="8">
        <f>ROUND((D11),0)</f>
        <v>-102054</v>
      </c>
      <c r="E13" s="8">
        <f>ROUND((E11),0)</f>
        <v>-102579</v>
      </c>
      <c r="F13" s="8">
        <f>ROUND((F11),0)</f>
        <v>-103055</v>
      </c>
      <c r="G13" s="8">
        <f t="shared" ref="G13:O13" si="3">ROUND((G11),0)</f>
        <v>-103585</v>
      </c>
      <c r="H13" s="8">
        <f t="shared" si="3"/>
        <v>-104100</v>
      </c>
      <c r="I13" s="8">
        <f t="shared" si="3"/>
        <v>-104635</v>
      </c>
      <c r="J13" s="8">
        <f t="shared" si="3"/>
        <v>-105156</v>
      </c>
      <c r="K13" s="8">
        <f t="shared" si="3"/>
        <v>-105697</v>
      </c>
      <c r="L13" s="8">
        <f t="shared" si="3"/>
        <v>-106241</v>
      </c>
      <c r="M13" s="8">
        <f t="shared" si="3"/>
        <v>-106769</v>
      </c>
      <c r="N13" s="8">
        <f t="shared" si="3"/>
        <v>-107318</v>
      </c>
      <c r="O13" s="8">
        <f t="shared" si="3"/>
        <v>-107852</v>
      </c>
      <c r="P13" s="4"/>
      <c r="Q13" s="1"/>
      <c r="R13" s="1"/>
      <c r="S13" s="1"/>
    </row>
    <row r="14" spans="1:19" ht="3.95" customHeight="1" x14ac:dyDescent="0.2">
      <c r="A14" s="1"/>
      <c r="B14" s="37"/>
      <c r="C14" s="3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4"/>
      <c r="Q14" s="1"/>
      <c r="R14" s="1"/>
      <c r="S14" s="1"/>
    </row>
    <row r="15" spans="1:19" ht="12.6" customHeight="1" x14ac:dyDescent="0.2">
      <c r="A15" s="1"/>
      <c r="B15" s="37" t="s">
        <v>22</v>
      </c>
      <c r="C15" s="37"/>
      <c r="D15" s="23">
        <v>0.1</v>
      </c>
      <c r="E15" s="23">
        <v>0.1</v>
      </c>
      <c r="F15" s="23">
        <v>0.1</v>
      </c>
      <c r="G15" s="23">
        <v>0.1</v>
      </c>
      <c r="H15" s="23">
        <v>0.1</v>
      </c>
      <c r="I15" s="23">
        <v>0.1</v>
      </c>
      <c r="J15" s="23">
        <v>0.1</v>
      </c>
      <c r="K15" s="23">
        <v>0.1</v>
      </c>
      <c r="L15" s="23">
        <v>0.1</v>
      </c>
      <c r="M15" s="23">
        <v>0.1</v>
      </c>
      <c r="N15" s="23">
        <v>0.1</v>
      </c>
      <c r="O15" s="23">
        <v>0.1</v>
      </c>
      <c r="P15" s="4"/>
      <c r="Q15" s="1"/>
      <c r="R15" s="1"/>
      <c r="S15" s="1"/>
    </row>
    <row r="16" spans="1:19" ht="3.95" customHeight="1" x14ac:dyDescent="0.2">
      <c r="A16" s="1"/>
      <c r="B16" s="38"/>
      <c r="C16" s="3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4"/>
      <c r="Q16" s="1"/>
      <c r="R16" s="1"/>
      <c r="S16" s="1"/>
    </row>
    <row r="17" spans="1:19" ht="12.6" customHeight="1" x14ac:dyDescent="0.2">
      <c r="A17" s="1"/>
      <c r="B17" s="37" t="s">
        <v>23</v>
      </c>
      <c r="C17" s="37"/>
      <c r="D17" s="8">
        <f>ROUND((D13)*(D15*(31/365)),0)</f>
        <v>-867</v>
      </c>
      <c r="E17" s="8">
        <f>ROUND((E13)*(E15*(28/365)),0)</f>
        <v>-787</v>
      </c>
      <c r="F17" s="8">
        <f>ROUND((F13)*(F15*(31/365)),0)</f>
        <v>-875</v>
      </c>
      <c r="G17" s="8">
        <f>ROUND((G13)*(G15*(30/365)),0)</f>
        <v>-851</v>
      </c>
      <c r="H17" s="8">
        <f>ROUND((H13)*(H15*(31/365)),0)</f>
        <v>-884</v>
      </c>
      <c r="I17" s="8">
        <f>ROUND((I13)*(I15*(30/365)),0)</f>
        <v>-860</v>
      </c>
      <c r="J17" s="8">
        <f>ROUND((J13)*(J15*(31/365)),0)</f>
        <v>-893</v>
      </c>
      <c r="K17" s="8">
        <f>ROUND((K13)*(K15*(31/365)),0)</f>
        <v>-898</v>
      </c>
      <c r="L17" s="8">
        <f>ROUND((L13)*(L15*(30/365)),0)</f>
        <v>-873</v>
      </c>
      <c r="M17" s="8">
        <f>ROUND((M13)*(M15*(31/365)),0)</f>
        <v>-907</v>
      </c>
      <c r="N17" s="8">
        <f>ROUND((N13)*(N15*(30/365)),0)</f>
        <v>-882</v>
      </c>
      <c r="O17" s="8">
        <f>ROUND((O13)*(O15*(31/365)),0)</f>
        <v>-916</v>
      </c>
      <c r="P17" s="25">
        <f>SUM(D17:O17)</f>
        <v>-10493</v>
      </c>
      <c r="Q17" s="1"/>
      <c r="R17" s="1"/>
      <c r="S17" s="1"/>
    </row>
    <row r="18" spans="1:19" ht="12.6" customHeight="1" x14ac:dyDescent="0.2">
      <c r="A18" s="1"/>
      <c r="B18" s="37" t="s">
        <v>24</v>
      </c>
      <c r="C18" s="37"/>
      <c r="D18" s="10">
        <f>ROUND(+D17*-0.3947,0)</f>
        <v>342</v>
      </c>
      <c r="E18" s="10">
        <f t="shared" ref="E18:O18" si="4">ROUND(+E17*-0.3947,0)</f>
        <v>311</v>
      </c>
      <c r="F18" s="10">
        <f t="shared" si="4"/>
        <v>345</v>
      </c>
      <c r="G18" s="10">
        <f t="shared" si="4"/>
        <v>336</v>
      </c>
      <c r="H18" s="10">
        <f t="shared" si="4"/>
        <v>349</v>
      </c>
      <c r="I18" s="10">
        <f t="shared" si="4"/>
        <v>339</v>
      </c>
      <c r="J18" s="10">
        <f t="shared" si="4"/>
        <v>352</v>
      </c>
      <c r="K18" s="10">
        <f t="shared" si="4"/>
        <v>354</v>
      </c>
      <c r="L18" s="10">
        <f t="shared" si="4"/>
        <v>345</v>
      </c>
      <c r="M18" s="10">
        <f t="shared" si="4"/>
        <v>358</v>
      </c>
      <c r="N18" s="10">
        <f t="shared" si="4"/>
        <v>348</v>
      </c>
      <c r="O18" s="10">
        <f t="shared" si="4"/>
        <v>362</v>
      </c>
      <c r="P18" s="114">
        <f>SUM(D18:O18)</f>
        <v>4141</v>
      </c>
      <c r="Q18" s="1"/>
      <c r="R18" s="1"/>
      <c r="S18" s="1"/>
    </row>
    <row r="19" spans="1:19" ht="3.95" customHeight="1" x14ac:dyDescent="0.2">
      <c r="A19" s="1"/>
      <c r="B19" s="37"/>
      <c r="C19" s="3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"/>
      <c r="R19" s="1"/>
      <c r="S19" s="1"/>
    </row>
    <row r="20" spans="1:19" ht="12.6" customHeight="1" x14ac:dyDescent="0.2">
      <c r="A20" s="1"/>
      <c r="B20" s="107" t="s">
        <v>25</v>
      </c>
      <c r="C20" s="61"/>
      <c r="D20" s="26">
        <f t="shared" ref="D20:P20" si="5">SUM(D17:D18)</f>
        <v>-525</v>
      </c>
      <c r="E20" s="26">
        <f t="shared" si="5"/>
        <v>-476</v>
      </c>
      <c r="F20" s="26">
        <f t="shared" si="5"/>
        <v>-530</v>
      </c>
      <c r="G20" s="26">
        <f t="shared" si="5"/>
        <v>-515</v>
      </c>
      <c r="H20" s="26">
        <f t="shared" si="5"/>
        <v>-535</v>
      </c>
      <c r="I20" s="26">
        <f t="shared" si="5"/>
        <v>-521</v>
      </c>
      <c r="J20" s="26">
        <f t="shared" si="5"/>
        <v>-541</v>
      </c>
      <c r="K20" s="26">
        <f t="shared" si="5"/>
        <v>-544</v>
      </c>
      <c r="L20" s="26">
        <f t="shared" si="5"/>
        <v>-528</v>
      </c>
      <c r="M20" s="26">
        <f t="shared" si="5"/>
        <v>-549</v>
      </c>
      <c r="N20" s="26">
        <f t="shared" si="5"/>
        <v>-534</v>
      </c>
      <c r="O20" s="26">
        <f t="shared" si="5"/>
        <v>-554</v>
      </c>
      <c r="P20" s="26">
        <f t="shared" si="5"/>
        <v>-6352</v>
      </c>
      <c r="Q20" s="59">
        <f>+P20-SUM(D20:O20)</f>
        <v>0</v>
      </c>
      <c r="R20" s="1"/>
      <c r="S20" s="1"/>
    </row>
    <row r="21" spans="1:19" ht="12.6" customHeight="1" x14ac:dyDescent="0.2">
      <c r="A21" s="1"/>
      <c r="B21" s="37"/>
      <c r="C21" s="3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4"/>
      <c r="Q21" s="1"/>
      <c r="R21" s="1"/>
      <c r="S21" s="1"/>
    </row>
    <row r="22" spans="1:19" ht="6" customHeight="1" x14ac:dyDescent="0.2">
      <c r="A22" s="115"/>
      <c r="B22" s="116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8"/>
      <c r="Q22" s="1"/>
      <c r="R22" s="1"/>
      <c r="S22" s="1"/>
    </row>
    <row r="23" spans="1:19" ht="12.6" customHeight="1" x14ac:dyDescent="0.2">
      <c r="A23" s="1"/>
      <c r="B23" s="37"/>
      <c r="C23" s="3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4"/>
      <c r="Q23" s="1"/>
      <c r="R23" s="1"/>
      <c r="S23" s="1"/>
    </row>
    <row r="24" spans="1:19" ht="12.6" customHeight="1" x14ac:dyDescent="0.2">
      <c r="A24" s="1"/>
      <c r="B24" s="3"/>
      <c r="C24" s="3"/>
      <c r="D24" s="42" t="s">
        <v>4</v>
      </c>
      <c r="E24" s="42" t="s">
        <v>5</v>
      </c>
      <c r="F24" s="42" t="s">
        <v>6</v>
      </c>
      <c r="G24" s="42" t="s">
        <v>7</v>
      </c>
      <c r="H24" s="42" t="s">
        <v>8</v>
      </c>
      <c r="I24" s="42" t="s">
        <v>9</v>
      </c>
      <c r="J24" s="42" t="s">
        <v>10</v>
      </c>
      <c r="K24" s="42" t="s">
        <v>11</v>
      </c>
      <c r="L24" s="42" t="s">
        <v>12</v>
      </c>
      <c r="M24" s="42" t="s">
        <v>13</v>
      </c>
      <c r="N24" s="42" t="s">
        <v>14</v>
      </c>
      <c r="O24" s="42" t="s">
        <v>15</v>
      </c>
      <c r="P24" s="17">
        <v>2000</v>
      </c>
      <c r="Q24" s="1"/>
      <c r="R24" s="1"/>
      <c r="S24" s="1"/>
    </row>
    <row r="25" spans="1:19" ht="12.6" customHeight="1" x14ac:dyDescent="0.2">
      <c r="A25" s="53" t="s">
        <v>26</v>
      </c>
      <c r="B25" s="47"/>
      <c r="C25" s="47"/>
      <c r="D25" s="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1"/>
      <c r="R25" s="1"/>
      <c r="S25" s="1"/>
    </row>
    <row r="26" spans="1:19" ht="12.6" customHeight="1" x14ac:dyDescent="0.2">
      <c r="A26" s="1"/>
      <c r="B26" s="37" t="s">
        <v>17</v>
      </c>
      <c r="C26" s="37"/>
      <c r="D26" s="49">
        <f>+O11</f>
        <v>-107852</v>
      </c>
      <c r="E26" s="49">
        <f>+D29</f>
        <v>-108406</v>
      </c>
      <c r="F26" s="49">
        <f t="shared" ref="F26:O26" si="6">+E29</f>
        <v>-108963</v>
      </c>
      <c r="G26" s="49">
        <f t="shared" si="6"/>
        <v>-109469</v>
      </c>
      <c r="H26" s="49">
        <f t="shared" si="6"/>
        <v>-110032</v>
      </c>
      <c r="I26" s="49">
        <f t="shared" si="6"/>
        <v>-110579</v>
      </c>
      <c r="J26" s="49">
        <f t="shared" si="6"/>
        <v>-111147</v>
      </c>
      <c r="K26" s="49">
        <f t="shared" si="6"/>
        <v>-111700</v>
      </c>
      <c r="L26" s="49">
        <f t="shared" si="6"/>
        <v>-112274</v>
      </c>
      <c r="M26" s="49">
        <f t="shared" si="6"/>
        <v>-112851</v>
      </c>
      <c r="N26" s="49">
        <f t="shared" si="6"/>
        <v>-113413</v>
      </c>
      <c r="O26" s="49">
        <f t="shared" si="6"/>
        <v>-113996</v>
      </c>
      <c r="P26" s="8"/>
      <c r="Q26" s="1"/>
      <c r="R26" s="1"/>
      <c r="S26" s="1"/>
    </row>
    <row r="27" spans="1:19" ht="12.6" customHeight="1" x14ac:dyDescent="0.2">
      <c r="A27" s="1"/>
      <c r="B27" s="37" t="s">
        <v>18</v>
      </c>
      <c r="C27" s="37"/>
      <c r="D27" s="49">
        <f>+O20</f>
        <v>-554</v>
      </c>
      <c r="E27" s="49">
        <f>+D38</f>
        <v>-557</v>
      </c>
      <c r="F27" s="49">
        <f t="shared" ref="F27:O27" si="7">+E38</f>
        <v>-506</v>
      </c>
      <c r="G27" s="49">
        <f t="shared" si="7"/>
        <v>-563</v>
      </c>
      <c r="H27" s="49">
        <f t="shared" si="7"/>
        <v>-547</v>
      </c>
      <c r="I27" s="49">
        <f t="shared" si="7"/>
        <v>-568</v>
      </c>
      <c r="J27" s="49">
        <f t="shared" si="7"/>
        <v>-553</v>
      </c>
      <c r="K27" s="49">
        <f t="shared" si="7"/>
        <v>-574</v>
      </c>
      <c r="L27" s="49">
        <f t="shared" si="7"/>
        <v>-577</v>
      </c>
      <c r="M27" s="49">
        <f t="shared" si="7"/>
        <v>-562</v>
      </c>
      <c r="N27" s="49">
        <f t="shared" si="7"/>
        <v>-583</v>
      </c>
      <c r="O27" s="49">
        <f t="shared" si="7"/>
        <v>-567</v>
      </c>
      <c r="P27" s="8"/>
      <c r="Q27" s="1"/>
      <c r="R27" s="1"/>
      <c r="S27" s="1"/>
    </row>
    <row r="28" spans="1:19" ht="12.6" customHeight="1" x14ac:dyDescent="0.2">
      <c r="A28" s="1"/>
      <c r="B28" s="37" t="s">
        <v>19</v>
      </c>
      <c r="C28" s="37"/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8">
        <f>SUM(D28:O28)</f>
        <v>0</v>
      </c>
      <c r="Q28" s="1"/>
      <c r="R28" s="1"/>
      <c r="S28" s="1"/>
    </row>
    <row r="29" spans="1:19" ht="12.6" customHeight="1" x14ac:dyDescent="0.2">
      <c r="A29" s="1"/>
      <c r="B29" s="37" t="s">
        <v>20</v>
      </c>
      <c r="C29" s="37"/>
      <c r="D29" s="11">
        <f>SUM(D26:D28)</f>
        <v>-108406</v>
      </c>
      <c r="E29" s="11">
        <f t="shared" ref="E29:O29" si="8">SUM(E26:E28)</f>
        <v>-108963</v>
      </c>
      <c r="F29" s="11">
        <f t="shared" si="8"/>
        <v>-109469</v>
      </c>
      <c r="G29" s="11">
        <f t="shared" si="8"/>
        <v>-110032</v>
      </c>
      <c r="H29" s="11">
        <f t="shared" si="8"/>
        <v>-110579</v>
      </c>
      <c r="I29" s="11">
        <f t="shared" si="8"/>
        <v>-111147</v>
      </c>
      <c r="J29" s="11">
        <f t="shared" si="8"/>
        <v>-111700</v>
      </c>
      <c r="K29" s="11">
        <f t="shared" si="8"/>
        <v>-112274</v>
      </c>
      <c r="L29" s="11">
        <f t="shared" si="8"/>
        <v>-112851</v>
      </c>
      <c r="M29" s="11">
        <f t="shared" si="8"/>
        <v>-113413</v>
      </c>
      <c r="N29" s="11">
        <f t="shared" si="8"/>
        <v>-113996</v>
      </c>
      <c r="O29" s="11">
        <f t="shared" si="8"/>
        <v>-114563</v>
      </c>
      <c r="P29" s="8"/>
      <c r="Q29" s="1"/>
      <c r="R29" s="1"/>
      <c r="S29" s="1"/>
    </row>
    <row r="30" spans="1:19" ht="3.95" customHeight="1" x14ac:dyDescent="0.2">
      <c r="A30" s="1"/>
      <c r="B30" s="36"/>
      <c r="C30" s="3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"/>
      <c r="R30" s="1"/>
      <c r="S30" s="1"/>
    </row>
    <row r="31" spans="1:19" ht="12.6" customHeight="1" x14ac:dyDescent="0.2">
      <c r="A31" s="1"/>
      <c r="B31" s="37" t="s">
        <v>21</v>
      </c>
      <c r="C31" s="37"/>
      <c r="D31" s="8">
        <f>ROUND((D29),0)</f>
        <v>-108406</v>
      </c>
      <c r="E31" s="8">
        <f>ROUND((E29),0)</f>
        <v>-108963</v>
      </c>
      <c r="F31" s="8">
        <f>ROUND((F29),0)</f>
        <v>-109469</v>
      </c>
      <c r="G31" s="8">
        <f t="shared" ref="G31:O31" si="9">ROUND((G29),0)</f>
        <v>-110032</v>
      </c>
      <c r="H31" s="8">
        <f t="shared" si="9"/>
        <v>-110579</v>
      </c>
      <c r="I31" s="8">
        <f t="shared" si="9"/>
        <v>-111147</v>
      </c>
      <c r="J31" s="8">
        <f t="shared" si="9"/>
        <v>-111700</v>
      </c>
      <c r="K31" s="8">
        <f t="shared" si="9"/>
        <v>-112274</v>
      </c>
      <c r="L31" s="8">
        <f t="shared" si="9"/>
        <v>-112851</v>
      </c>
      <c r="M31" s="8">
        <f t="shared" si="9"/>
        <v>-113413</v>
      </c>
      <c r="N31" s="8">
        <f t="shared" si="9"/>
        <v>-113996</v>
      </c>
      <c r="O31" s="8">
        <f t="shared" si="9"/>
        <v>-114563</v>
      </c>
      <c r="P31" s="4"/>
      <c r="Q31" s="1"/>
      <c r="R31" s="1"/>
      <c r="S31" s="1"/>
    </row>
    <row r="32" spans="1:19" ht="3.95" customHeight="1" x14ac:dyDescent="0.2">
      <c r="A32" s="1"/>
      <c r="B32" s="37"/>
      <c r="C32" s="3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4"/>
      <c r="Q32" s="1"/>
      <c r="R32" s="1"/>
      <c r="S32" s="1"/>
    </row>
    <row r="33" spans="1:19" ht="12.6" customHeight="1" x14ac:dyDescent="0.2">
      <c r="A33" s="1"/>
      <c r="B33" s="37" t="s">
        <v>22</v>
      </c>
      <c r="C33" s="37"/>
      <c r="D33" s="23">
        <v>0.1</v>
      </c>
      <c r="E33" s="23">
        <v>0.1</v>
      </c>
      <c r="F33" s="23">
        <v>0.1</v>
      </c>
      <c r="G33" s="23">
        <v>0.1</v>
      </c>
      <c r="H33" s="23">
        <v>0.1</v>
      </c>
      <c r="I33" s="23">
        <v>0.1</v>
      </c>
      <c r="J33" s="23">
        <v>0.1</v>
      </c>
      <c r="K33" s="23">
        <v>0.1</v>
      </c>
      <c r="L33" s="23">
        <v>0.1</v>
      </c>
      <c r="M33" s="23">
        <v>0.1</v>
      </c>
      <c r="N33" s="23">
        <v>0.1</v>
      </c>
      <c r="O33" s="23">
        <v>0.1</v>
      </c>
      <c r="P33" s="4"/>
      <c r="Q33" s="1"/>
      <c r="R33" s="1"/>
      <c r="S33" s="1"/>
    </row>
    <row r="34" spans="1:19" ht="3.95" customHeight="1" x14ac:dyDescent="0.2">
      <c r="A34" s="1"/>
      <c r="B34" s="38"/>
      <c r="C34" s="3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"/>
      <c r="Q34" s="1"/>
      <c r="R34" s="1"/>
      <c r="S34" s="1"/>
    </row>
    <row r="35" spans="1:19" ht="12.6" customHeight="1" x14ac:dyDescent="0.2">
      <c r="A35" s="1"/>
      <c r="B35" s="37" t="s">
        <v>23</v>
      </c>
      <c r="C35" s="37"/>
      <c r="D35" s="8">
        <f>ROUND((D31)*(D33*(31/365)),0)</f>
        <v>-921</v>
      </c>
      <c r="E35" s="8">
        <f>ROUND((E31)*(E33*(28/365)),0)</f>
        <v>-836</v>
      </c>
      <c r="F35" s="8">
        <f>ROUND((F31)*(F33*(31/365)),0)</f>
        <v>-930</v>
      </c>
      <c r="G35" s="8">
        <f>ROUND((G31)*(G33*(30/365)),0)</f>
        <v>-904</v>
      </c>
      <c r="H35" s="8">
        <f>ROUND((H31)*(H33*(31/365)),0)</f>
        <v>-939</v>
      </c>
      <c r="I35" s="8">
        <f>ROUND((I31)*(I33*(30/365)),0)</f>
        <v>-914</v>
      </c>
      <c r="J35" s="8">
        <f>ROUND((J31)*(J33*(31/365)),0)</f>
        <v>-949</v>
      </c>
      <c r="K35" s="8">
        <f>ROUND((K31)*(K33*(31/365)),0)</f>
        <v>-954</v>
      </c>
      <c r="L35" s="8">
        <f>ROUND((L31)*(L33*(30/365)),0)</f>
        <v>-928</v>
      </c>
      <c r="M35" s="8">
        <f>ROUND((M31)*(M33*(31/365)),0)</f>
        <v>-963</v>
      </c>
      <c r="N35" s="8">
        <f>ROUND((N31)*(N33*(30/365)),0)</f>
        <v>-937</v>
      </c>
      <c r="O35" s="8">
        <f>ROUND((O31)*(O33*(31/365)),0)</f>
        <v>-973</v>
      </c>
      <c r="P35" s="25">
        <f>SUM(D35:O35)</f>
        <v>-11148</v>
      </c>
      <c r="Q35" s="1"/>
      <c r="R35" s="1"/>
      <c r="S35" s="1"/>
    </row>
    <row r="36" spans="1:19" ht="12.6" customHeight="1" x14ac:dyDescent="0.2">
      <c r="A36" s="1"/>
      <c r="B36" s="37" t="s">
        <v>24</v>
      </c>
      <c r="C36" s="37"/>
      <c r="D36" s="10">
        <f>ROUND(+D35*-0.3947,0)</f>
        <v>364</v>
      </c>
      <c r="E36" s="10">
        <f t="shared" ref="E36:O36" si="10">ROUND(+E35*-0.3947,0)</f>
        <v>330</v>
      </c>
      <c r="F36" s="10">
        <f t="shared" si="10"/>
        <v>367</v>
      </c>
      <c r="G36" s="10">
        <f t="shared" si="10"/>
        <v>357</v>
      </c>
      <c r="H36" s="10">
        <f t="shared" si="10"/>
        <v>371</v>
      </c>
      <c r="I36" s="10">
        <f t="shared" si="10"/>
        <v>361</v>
      </c>
      <c r="J36" s="10">
        <f t="shared" si="10"/>
        <v>375</v>
      </c>
      <c r="K36" s="10">
        <f t="shared" si="10"/>
        <v>377</v>
      </c>
      <c r="L36" s="10">
        <f t="shared" si="10"/>
        <v>366</v>
      </c>
      <c r="M36" s="10">
        <f t="shared" si="10"/>
        <v>380</v>
      </c>
      <c r="N36" s="10">
        <f t="shared" si="10"/>
        <v>370</v>
      </c>
      <c r="O36" s="10">
        <f t="shared" si="10"/>
        <v>384</v>
      </c>
      <c r="P36" s="114">
        <f>SUM(D36:O36)</f>
        <v>4402</v>
      </c>
      <c r="Q36" s="1"/>
      <c r="R36" s="1"/>
      <c r="S36" s="1"/>
    </row>
    <row r="37" spans="1:19" ht="3.95" customHeight="1" x14ac:dyDescent="0.2">
      <c r="A37" s="1"/>
      <c r="B37" s="37"/>
      <c r="C37" s="3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"/>
      <c r="R37" s="1"/>
      <c r="S37" s="1"/>
    </row>
    <row r="38" spans="1:19" ht="12.6" customHeight="1" x14ac:dyDescent="0.2">
      <c r="A38" s="1"/>
      <c r="B38" s="107" t="s">
        <v>27</v>
      </c>
      <c r="C38" s="61"/>
      <c r="D38" s="26">
        <f t="shared" ref="D38:P38" si="11">SUM(D35:D36)</f>
        <v>-557</v>
      </c>
      <c r="E38" s="26">
        <f t="shared" si="11"/>
        <v>-506</v>
      </c>
      <c r="F38" s="26">
        <f t="shared" si="11"/>
        <v>-563</v>
      </c>
      <c r="G38" s="26">
        <f t="shared" si="11"/>
        <v>-547</v>
      </c>
      <c r="H38" s="26">
        <f t="shared" si="11"/>
        <v>-568</v>
      </c>
      <c r="I38" s="26">
        <f t="shared" si="11"/>
        <v>-553</v>
      </c>
      <c r="J38" s="26">
        <f t="shared" si="11"/>
        <v>-574</v>
      </c>
      <c r="K38" s="26">
        <f t="shared" si="11"/>
        <v>-577</v>
      </c>
      <c r="L38" s="26">
        <f t="shared" si="11"/>
        <v>-562</v>
      </c>
      <c r="M38" s="26">
        <f t="shared" si="11"/>
        <v>-583</v>
      </c>
      <c r="N38" s="26">
        <f t="shared" si="11"/>
        <v>-567</v>
      </c>
      <c r="O38" s="26">
        <f t="shared" si="11"/>
        <v>-589</v>
      </c>
      <c r="P38" s="26">
        <f t="shared" si="11"/>
        <v>-6746</v>
      </c>
      <c r="Q38" s="59">
        <f>+P38-SUM(D38:O38)</f>
        <v>0</v>
      </c>
      <c r="R38" s="1"/>
      <c r="S38" s="1"/>
    </row>
    <row r="39" spans="1:19" ht="12.6" customHeight="1" x14ac:dyDescent="0.2">
      <c r="A39" s="1"/>
      <c r="B39" s="37"/>
      <c r="C39" s="37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4"/>
      <c r="Q39" s="1"/>
      <c r="R39" s="1"/>
      <c r="S39" s="1"/>
    </row>
    <row r="40" spans="1:19" ht="6" customHeight="1" x14ac:dyDescent="0.2">
      <c r="A40" s="115"/>
      <c r="B40" s="116"/>
      <c r="C40" s="116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8"/>
      <c r="Q40" s="1"/>
      <c r="R40" s="1"/>
      <c r="S40" s="1"/>
    </row>
    <row r="41" spans="1:19" ht="12.6" customHeight="1" x14ac:dyDescent="0.2">
      <c r="A41" s="1"/>
      <c r="B41" s="37"/>
      <c r="C41" s="3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4"/>
      <c r="Q41" s="1"/>
      <c r="R41" s="1"/>
      <c r="S41" s="1"/>
    </row>
    <row r="42" spans="1:19" ht="12.6" customHeight="1" x14ac:dyDescent="0.2">
      <c r="A42" s="1"/>
      <c r="B42" s="3"/>
      <c r="C42" s="3"/>
      <c r="D42" s="42" t="s">
        <v>4</v>
      </c>
      <c r="E42" s="42" t="s">
        <v>5</v>
      </c>
      <c r="F42" s="42" t="s">
        <v>6</v>
      </c>
      <c r="G42" s="42" t="s">
        <v>7</v>
      </c>
      <c r="H42" s="42" t="s">
        <v>8</v>
      </c>
      <c r="I42" s="42" t="s">
        <v>9</v>
      </c>
      <c r="J42" s="42" t="s">
        <v>10</v>
      </c>
      <c r="K42" s="42" t="s">
        <v>11</v>
      </c>
      <c r="L42" s="42" t="s">
        <v>12</v>
      </c>
      <c r="M42" s="42" t="s">
        <v>13</v>
      </c>
      <c r="N42" s="42" t="s">
        <v>14</v>
      </c>
      <c r="O42" s="42" t="s">
        <v>15</v>
      </c>
      <c r="P42" s="17">
        <v>2001</v>
      </c>
      <c r="Q42" s="1"/>
      <c r="R42" s="1"/>
      <c r="S42" s="1"/>
    </row>
    <row r="43" spans="1:19" ht="12.6" customHeight="1" x14ac:dyDescent="0.2">
      <c r="A43" s="53" t="s">
        <v>28</v>
      </c>
      <c r="B43" s="47"/>
      <c r="C43" s="47"/>
      <c r="D43" s="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1"/>
      <c r="R43" s="1"/>
      <c r="S43" s="1"/>
    </row>
    <row r="44" spans="1:19" ht="12.6" customHeight="1" x14ac:dyDescent="0.2">
      <c r="A44" s="1"/>
      <c r="B44" s="37" t="s">
        <v>17</v>
      </c>
      <c r="C44" s="37"/>
      <c r="D44" s="49">
        <f>+O29</f>
        <v>-114563</v>
      </c>
      <c r="E44" s="49">
        <f>+D47</f>
        <v>-115152</v>
      </c>
      <c r="F44" s="49">
        <f t="shared" ref="F44:O44" si="12">+E47</f>
        <v>-115744</v>
      </c>
      <c r="G44" s="49">
        <f t="shared" si="12"/>
        <v>-116282</v>
      </c>
      <c r="H44" s="49">
        <f t="shared" si="12"/>
        <v>-116880</v>
      </c>
      <c r="I44" s="49">
        <f t="shared" si="12"/>
        <v>-117462</v>
      </c>
      <c r="J44" s="49">
        <f t="shared" si="12"/>
        <v>-118066</v>
      </c>
      <c r="K44" s="49">
        <f t="shared" si="12"/>
        <v>-118653</v>
      </c>
      <c r="L44" s="49">
        <f t="shared" si="12"/>
        <v>-119263</v>
      </c>
      <c r="M44" s="49">
        <f t="shared" si="12"/>
        <v>-119876</v>
      </c>
      <c r="N44" s="49">
        <f t="shared" si="12"/>
        <v>-120472</v>
      </c>
      <c r="O44" s="49">
        <f t="shared" si="12"/>
        <v>-121091</v>
      </c>
      <c r="P44" s="8"/>
      <c r="Q44" s="1"/>
      <c r="R44" s="1"/>
      <c r="S44" s="1"/>
    </row>
    <row r="45" spans="1:19" ht="12.6" customHeight="1" x14ac:dyDescent="0.2">
      <c r="A45" s="1"/>
      <c r="B45" s="37" t="s">
        <v>18</v>
      </c>
      <c r="C45" s="37"/>
      <c r="D45" s="49">
        <f>+O38</f>
        <v>-589</v>
      </c>
      <c r="E45" s="49">
        <f>+D56</f>
        <v>-592</v>
      </c>
      <c r="F45" s="49">
        <f t="shared" ref="F45:O45" si="13">+E56</f>
        <v>-538</v>
      </c>
      <c r="G45" s="49">
        <f t="shared" si="13"/>
        <v>-598</v>
      </c>
      <c r="H45" s="49">
        <f t="shared" si="13"/>
        <v>-582</v>
      </c>
      <c r="I45" s="49">
        <f t="shared" si="13"/>
        <v>-604</v>
      </c>
      <c r="J45" s="49">
        <f t="shared" si="13"/>
        <v>-587</v>
      </c>
      <c r="K45" s="49">
        <f t="shared" si="13"/>
        <v>-610</v>
      </c>
      <c r="L45" s="49">
        <f t="shared" si="13"/>
        <v>-613</v>
      </c>
      <c r="M45" s="49">
        <f t="shared" si="13"/>
        <v>-596</v>
      </c>
      <c r="N45" s="49">
        <f t="shared" si="13"/>
        <v>-619</v>
      </c>
      <c r="O45" s="49">
        <f t="shared" si="13"/>
        <v>-602</v>
      </c>
      <c r="P45" s="8"/>
      <c r="Q45" s="1"/>
      <c r="R45" s="1"/>
      <c r="S45" s="1"/>
    </row>
    <row r="46" spans="1:19" ht="12.6" customHeight="1" x14ac:dyDescent="0.2">
      <c r="A46" s="1"/>
      <c r="B46" s="37" t="s">
        <v>19</v>
      </c>
      <c r="C46" s="37"/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8">
        <f>SUM(D46:O46)</f>
        <v>0</v>
      </c>
      <c r="Q46" s="1"/>
      <c r="R46" s="1"/>
      <c r="S46" s="1"/>
    </row>
    <row r="47" spans="1:19" ht="12.6" customHeight="1" x14ac:dyDescent="0.2">
      <c r="A47" s="1"/>
      <c r="B47" s="37" t="s">
        <v>20</v>
      </c>
      <c r="C47" s="37"/>
      <c r="D47" s="11">
        <f>SUM(D44:D46)</f>
        <v>-115152</v>
      </c>
      <c r="E47" s="11">
        <f t="shared" ref="E47:O47" si="14">SUM(E44:E46)</f>
        <v>-115744</v>
      </c>
      <c r="F47" s="11">
        <f t="shared" si="14"/>
        <v>-116282</v>
      </c>
      <c r="G47" s="11">
        <f t="shared" si="14"/>
        <v>-116880</v>
      </c>
      <c r="H47" s="11">
        <f t="shared" si="14"/>
        <v>-117462</v>
      </c>
      <c r="I47" s="11">
        <f t="shared" si="14"/>
        <v>-118066</v>
      </c>
      <c r="J47" s="11">
        <f t="shared" si="14"/>
        <v>-118653</v>
      </c>
      <c r="K47" s="11">
        <f t="shared" si="14"/>
        <v>-119263</v>
      </c>
      <c r="L47" s="11">
        <f t="shared" si="14"/>
        <v>-119876</v>
      </c>
      <c r="M47" s="11">
        <f t="shared" si="14"/>
        <v>-120472</v>
      </c>
      <c r="N47" s="11">
        <f t="shared" si="14"/>
        <v>-121091</v>
      </c>
      <c r="O47" s="11">
        <f t="shared" si="14"/>
        <v>-121693</v>
      </c>
      <c r="P47" s="8"/>
      <c r="Q47" s="1"/>
      <c r="R47" s="1"/>
      <c r="S47" s="1"/>
    </row>
    <row r="48" spans="1:19" ht="3.95" customHeight="1" x14ac:dyDescent="0.2">
      <c r="A48" s="1"/>
      <c r="B48" s="36"/>
      <c r="C48" s="3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"/>
      <c r="R48" s="1"/>
      <c r="S48" s="1"/>
    </row>
    <row r="49" spans="1:19" ht="12.6" customHeight="1" x14ac:dyDescent="0.2">
      <c r="A49" s="1"/>
      <c r="B49" s="37" t="s">
        <v>21</v>
      </c>
      <c r="C49" s="37"/>
      <c r="D49" s="8">
        <f>ROUND((D47),0)</f>
        <v>-115152</v>
      </c>
      <c r="E49" s="8">
        <f>ROUND((E47),0)</f>
        <v>-115744</v>
      </c>
      <c r="F49" s="8">
        <f>ROUND((F47),0)</f>
        <v>-116282</v>
      </c>
      <c r="G49" s="8">
        <f t="shared" ref="G49:O49" si="15">ROUND((G47),0)</f>
        <v>-116880</v>
      </c>
      <c r="H49" s="8">
        <f t="shared" si="15"/>
        <v>-117462</v>
      </c>
      <c r="I49" s="8">
        <f t="shared" si="15"/>
        <v>-118066</v>
      </c>
      <c r="J49" s="8">
        <f t="shared" si="15"/>
        <v>-118653</v>
      </c>
      <c r="K49" s="8">
        <f t="shared" si="15"/>
        <v>-119263</v>
      </c>
      <c r="L49" s="8">
        <f t="shared" si="15"/>
        <v>-119876</v>
      </c>
      <c r="M49" s="8">
        <f t="shared" si="15"/>
        <v>-120472</v>
      </c>
      <c r="N49" s="8">
        <f t="shared" si="15"/>
        <v>-121091</v>
      </c>
      <c r="O49" s="8">
        <f t="shared" si="15"/>
        <v>-121693</v>
      </c>
      <c r="P49" s="4"/>
      <c r="Q49" s="1"/>
      <c r="R49" s="1"/>
      <c r="S49" s="1"/>
    </row>
    <row r="50" spans="1:19" ht="3.95" customHeight="1" x14ac:dyDescent="0.2">
      <c r="A50" s="1"/>
      <c r="B50" s="37"/>
      <c r="C50" s="3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4"/>
      <c r="Q50" s="1"/>
      <c r="R50" s="1"/>
      <c r="S50" s="1"/>
    </row>
    <row r="51" spans="1:19" ht="12.6" customHeight="1" x14ac:dyDescent="0.2">
      <c r="A51" s="1"/>
      <c r="B51" s="37" t="s">
        <v>22</v>
      </c>
      <c r="C51" s="37"/>
      <c r="D51" s="23">
        <v>0.1</v>
      </c>
      <c r="E51" s="23">
        <v>0.1</v>
      </c>
      <c r="F51" s="23">
        <v>0.1</v>
      </c>
      <c r="G51" s="23">
        <v>0.1</v>
      </c>
      <c r="H51" s="23">
        <v>0.1</v>
      </c>
      <c r="I51" s="23">
        <v>0.1</v>
      </c>
      <c r="J51" s="23">
        <v>0.1</v>
      </c>
      <c r="K51" s="23">
        <v>0.1</v>
      </c>
      <c r="L51" s="23">
        <v>0.1</v>
      </c>
      <c r="M51" s="23">
        <v>0.1</v>
      </c>
      <c r="N51" s="23">
        <v>0.1</v>
      </c>
      <c r="O51" s="23">
        <v>0.1</v>
      </c>
      <c r="P51" s="4"/>
      <c r="Q51" s="1"/>
      <c r="R51" s="1"/>
      <c r="S51" s="1"/>
    </row>
    <row r="52" spans="1:19" ht="3.95" customHeight="1" x14ac:dyDescent="0.2">
      <c r="A52" s="1"/>
      <c r="B52" s="38"/>
      <c r="C52" s="3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4"/>
      <c r="Q52" s="1"/>
      <c r="R52" s="1"/>
      <c r="S52" s="1"/>
    </row>
    <row r="53" spans="1:19" ht="12.6" customHeight="1" x14ac:dyDescent="0.2">
      <c r="A53" s="1"/>
      <c r="B53" s="37" t="s">
        <v>23</v>
      </c>
      <c r="C53" s="37"/>
      <c r="D53" s="8">
        <f>ROUND((D49)*(D51*(31/365)),0)</f>
        <v>-978</v>
      </c>
      <c r="E53" s="8">
        <f>ROUND((E49)*(E51*(28/365)),0)</f>
        <v>-888</v>
      </c>
      <c r="F53" s="8">
        <f>ROUND((F49)*(F51*(31/365)),0)</f>
        <v>-988</v>
      </c>
      <c r="G53" s="8">
        <f>ROUND((G49)*(G51*(30/365)),0)</f>
        <v>-961</v>
      </c>
      <c r="H53" s="8">
        <f>ROUND((H49)*(H51*(31/365)),0)</f>
        <v>-998</v>
      </c>
      <c r="I53" s="8">
        <f>ROUND((I49)*(I51*(30/365)),0)</f>
        <v>-970</v>
      </c>
      <c r="J53" s="8">
        <f>ROUND((J49)*(J51*(31/365)),0)</f>
        <v>-1008</v>
      </c>
      <c r="K53" s="8">
        <f>ROUND((K49)*(K51*(31/365)),0)</f>
        <v>-1013</v>
      </c>
      <c r="L53" s="8">
        <f>ROUND((L49)*(L51*(30/365)),0)</f>
        <v>-985</v>
      </c>
      <c r="M53" s="8">
        <f>ROUND((M49)*(M51*(31/365)),0)</f>
        <v>-1023</v>
      </c>
      <c r="N53" s="8">
        <f>ROUND((N49)*(N51*(30/365)),0)</f>
        <v>-995</v>
      </c>
      <c r="O53" s="8">
        <f>ROUND((O49)*(O51*(31/365)),0)</f>
        <v>-1034</v>
      </c>
      <c r="P53" s="25">
        <f>SUM(D53:O53)</f>
        <v>-11841</v>
      </c>
      <c r="Q53" s="1"/>
      <c r="R53" s="1"/>
      <c r="S53" s="1"/>
    </row>
    <row r="54" spans="1:19" ht="12.6" customHeight="1" x14ac:dyDescent="0.2">
      <c r="A54" s="1"/>
      <c r="B54" s="37" t="s">
        <v>24</v>
      </c>
      <c r="C54" s="37"/>
      <c r="D54" s="10">
        <f>ROUND(+D53*-0.3947,0)</f>
        <v>386</v>
      </c>
      <c r="E54" s="10">
        <f t="shared" ref="E54:O54" si="16">ROUND(+E53*-0.3947,0)</f>
        <v>350</v>
      </c>
      <c r="F54" s="10">
        <f t="shared" si="16"/>
        <v>390</v>
      </c>
      <c r="G54" s="10">
        <f t="shared" si="16"/>
        <v>379</v>
      </c>
      <c r="H54" s="10">
        <f t="shared" si="16"/>
        <v>394</v>
      </c>
      <c r="I54" s="10">
        <f t="shared" si="16"/>
        <v>383</v>
      </c>
      <c r="J54" s="10">
        <f t="shared" si="16"/>
        <v>398</v>
      </c>
      <c r="K54" s="10">
        <f t="shared" si="16"/>
        <v>400</v>
      </c>
      <c r="L54" s="10">
        <f t="shared" si="16"/>
        <v>389</v>
      </c>
      <c r="M54" s="10">
        <f t="shared" si="16"/>
        <v>404</v>
      </c>
      <c r="N54" s="10">
        <f t="shared" si="16"/>
        <v>393</v>
      </c>
      <c r="O54" s="10">
        <f t="shared" si="16"/>
        <v>408</v>
      </c>
      <c r="P54" s="114">
        <f>SUM(D54:O54)</f>
        <v>4674</v>
      </c>
      <c r="Q54" s="1"/>
      <c r="R54" s="1"/>
      <c r="S54" s="1"/>
    </row>
    <row r="55" spans="1:19" ht="3.95" customHeight="1" x14ac:dyDescent="0.2">
      <c r="A55" s="1"/>
      <c r="B55" s="37"/>
      <c r="C55" s="37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"/>
      <c r="R55" s="1"/>
      <c r="S55" s="1"/>
    </row>
    <row r="56" spans="1:19" ht="12.6" customHeight="1" x14ac:dyDescent="0.2">
      <c r="A56" s="1"/>
      <c r="B56" s="107" t="s">
        <v>29</v>
      </c>
      <c r="C56" s="61"/>
      <c r="D56" s="26">
        <f t="shared" ref="D56:P56" si="17">SUM(D53:D54)</f>
        <v>-592</v>
      </c>
      <c r="E56" s="26">
        <f t="shared" si="17"/>
        <v>-538</v>
      </c>
      <c r="F56" s="26">
        <f t="shared" si="17"/>
        <v>-598</v>
      </c>
      <c r="G56" s="26">
        <f t="shared" si="17"/>
        <v>-582</v>
      </c>
      <c r="H56" s="26">
        <f t="shared" si="17"/>
        <v>-604</v>
      </c>
      <c r="I56" s="26">
        <f t="shared" si="17"/>
        <v>-587</v>
      </c>
      <c r="J56" s="26">
        <f t="shared" si="17"/>
        <v>-610</v>
      </c>
      <c r="K56" s="26">
        <f t="shared" si="17"/>
        <v>-613</v>
      </c>
      <c r="L56" s="26">
        <f t="shared" si="17"/>
        <v>-596</v>
      </c>
      <c r="M56" s="26">
        <f t="shared" si="17"/>
        <v>-619</v>
      </c>
      <c r="N56" s="26">
        <f t="shared" si="17"/>
        <v>-602</v>
      </c>
      <c r="O56" s="26">
        <f t="shared" si="17"/>
        <v>-626</v>
      </c>
      <c r="P56" s="26">
        <f t="shared" si="17"/>
        <v>-7167</v>
      </c>
      <c r="Q56" s="59">
        <f>+P56-SUM(D56:O56)</f>
        <v>0</v>
      </c>
      <c r="R56" s="1"/>
      <c r="S56" s="1"/>
    </row>
    <row r="57" spans="1:19" ht="12.6" customHeight="1" x14ac:dyDescent="0.2">
      <c r="A57" s="1"/>
      <c r="B57" s="37"/>
      <c r="C57" s="3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4"/>
      <c r="Q57" s="1"/>
      <c r="R57" s="1"/>
      <c r="S57" s="1"/>
    </row>
    <row r="58" spans="1:19" ht="12.6" customHeight="1" x14ac:dyDescent="0.2">
      <c r="A58" s="1"/>
      <c r="B58" s="37"/>
      <c r="C58" s="3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4"/>
      <c r="Q58" s="1"/>
      <c r="R58" s="1"/>
      <c r="S58" s="1"/>
    </row>
    <row r="59" spans="1:19" ht="12.6" customHeight="1" x14ac:dyDescent="0.2">
      <c r="A59" s="1"/>
      <c r="B59" s="37"/>
      <c r="C59" s="3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99">
        <f ca="1">NOW()</f>
        <v>37189.602767708333</v>
      </c>
      <c r="Q59" s="1"/>
      <c r="R59" s="1"/>
      <c r="S59" s="1"/>
    </row>
    <row r="60" spans="1:19" ht="12.6" customHeight="1" x14ac:dyDescent="0.2">
      <c r="A60" s="124" t="str">
        <f ca="1">CELL("FILENAME")</f>
        <v>H:\2002\[DBTEQTY02.xls]NNG-Original 2002 Plan</v>
      </c>
      <c r="B60" s="58"/>
      <c r="C60" s="58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35">
        <f ca="1">NOW()</f>
        <v>37189.602767708333</v>
      </c>
      <c r="Q60" s="1"/>
      <c r="R60" s="1"/>
      <c r="S60" s="1"/>
    </row>
    <row r="61" spans="1:19" ht="11.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1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1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</sheetData>
  <printOptions horizontalCentered="1" gridLinesSet="0"/>
  <pageMargins left="0.25" right="0.25" top="0.25" bottom="0" header="0" footer="0"/>
  <pageSetup paperSize="5" scale="89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D87"/>
  <sheetViews>
    <sheetView showGridLines="0" topLeftCell="A4" workbookViewId="0">
      <pane xSplit="2" ySplit="3" topLeftCell="J7" activePane="bottomRight" state="frozen"/>
      <selection activeCell="A4" sqref="A4"/>
      <selection pane="topRight" activeCell="C4" sqref="C4"/>
      <selection pane="bottomLeft" activeCell="A7" sqref="A7"/>
      <selection pane="bottomRight" activeCell="K9" sqref="K9"/>
    </sheetView>
  </sheetViews>
  <sheetFormatPr defaultColWidth="9.83203125" defaultRowHeight="10.5" x14ac:dyDescent="0.15"/>
  <cols>
    <col min="1" max="1" width="1.83203125" customWidth="1"/>
    <col min="2" max="2" width="60.83203125" customWidth="1"/>
    <col min="3" max="3" width="13.83203125" customWidth="1"/>
    <col min="4" max="15" width="12.83203125" customWidth="1"/>
    <col min="16" max="16" width="13.83203125" customWidth="1"/>
    <col min="17" max="17" width="5.83203125" customWidth="1"/>
    <col min="18" max="18" width="4.83203125" customWidth="1"/>
    <col min="19" max="19" width="45.83203125" customWidth="1"/>
    <col min="20" max="20" width="11.83203125" customWidth="1"/>
    <col min="21" max="21" width="10.83203125" customWidth="1"/>
  </cols>
  <sheetData>
    <row r="1" spans="1:24" ht="12.75" customHeight="1" x14ac:dyDescent="0.25">
      <c r="A1" s="41" t="s">
        <v>30</v>
      </c>
      <c r="B1" s="63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65"/>
      <c r="Q1" s="66"/>
      <c r="R1" s="66"/>
      <c r="S1" s="66"/>
      <c r="T1" s="66"/>
      <c r="U1" s="64"/>
      <c r="V1" s="1"/>
      <c r="W1" s="1"/>
      <c r="X1" s="1"/>
    </row>
    <row r="2" spans="1:24" ht="12.75" customHeight="1" x14ac:dyDescent="0.25">
      <c r="A2" s="52" t="s">
        <v>31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67"/>
      <c r="Q2" s="66"/>
      <c r="R2" s="66"/>
      <c r="S2" s="66"/>
      <c r="T2" s="66"/>
      <c r="U2" s="64"/>
      <c r="V2" s="1"/>
      <c r="W2" s="1"/>
      <c r="X2" s="1"/>
    </row>
    <row r="3" spans="1:24" ht="12.75" customHeight="1" x14ac:dyDescent="0.25">
      <c r="A3" s="29" t="s">
        <v>32</v>
      </c>
      <c r="B3" s="64"/>
      <c r="C3" s="68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66"/>
      <c r="R3" s="66"/>
      <c r="S3" s="66"/>
      <c r="T3" s="66"/>
      <c r="U3" s="66"/>
      <c r="V3" s="1"/>
      <c r="W3" s="1"/>
      <c r="X3" s="1"/>
    </row>
    <row r="4" spans="1:24" ht="12.6" customHeight="1" x14ac:dyDescent="0.2">
      <c r="A4" s="1"/>
      <c r="B4" s="40" t="s">
        <v>33</v>
      </c>
      <c r="C4" s="14" t="s">
        <v>34</v>
      </c>
      <c r="D4" s="3"/>
      <c r="E4" s="18"/>
      <c r="F4" s="1"/>
      <c r="G4" s="1"/>
      <c r="H4" s="18"/>
      <c r="J4" s="51"/>
      <c r="K4" s="18" t="s">
        <v>35</v>
      </c>
      <c r="L4" s="3"/>
      <c r="M4" s="3"/>
      <c r="N4" s="3"/>
      <c r="O4" s="3"/>
      <c r="P4" s="3"/>
      <c r="Q4" s="4"/>
      <c r="R4" s="4"/>
      <c r="S4" s="4"/>
      <c r="T4" s="5"/>
      <c r="U4" s="4"/>
      <c r="V4" s="1"/>
      <c r="W4" s="1"/>
      <c r="X4" s="1"/>
    </row>
    <row r="5" spans="1:24" ht="12.6" customHeight="1" x14ac:dyDescent="0.2">
      <c r="A5" s="1"/>
      <c r="B5" s="3"/>
      <c r="C5" s="15" t="s">
        <v>36</v>
      </c>
      <c r="D5" s="18" t="s">
        <v>37</v>
      </c>
      <c r="E5" s="18" t="s">
        <v>37</v>
      </c>
      <c r="F5" s="18" t="s">
        <v>37</v>
      </c>
      <c r="G5" s="18" t="s">
        <v>37</v>
      </c>
      <c r="H5" s="18" t="s">
        <v>37</v>
      </c>
      <c r="I5" s="18" t="s">
        <v>37</v>
      </c>
      <c r="J5" s="18" t="s">
        <v>37</v>
      </c>
      <c r="K5" s="18" t="s">
        <v>37</v>
      </c>
      <c r="L5" s="18"/>
      <c r="M5" s="18"/>
      <c r="N5" s="18"/>
      <c r="O5" s="18"/>
      <c r="P5" s="6" t="str">
        <f>+C5</f>
        <v>YEAR END</v>
      </c>
      <c r="Q5" s="4"/>
      <c r="R5" s="4"/>
      <c r="S5" s="5"/>
      <c r="T5" s="5"/>
      <c r="U5" s="4"/>
      <c r="V5" s="1"/>
      <c r="W5" s="1"/>
      <c r="X5" s="1"/>
    </row>
    <row r="6" spans="1:24" ht="12.6" customHeight="1" x14ac:dyDescent="0.2">
      <c r="A6" s="1"/>
      <c r="B6" s="3"/>
      <c r="C6" s="17" t="s">
        <v>38</v>
      </c>
      <c r="D6" s="42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17" t="s">
        <v>39</v>
      </c>
      <c r="Q6" s="4"/>
      <c r="R6" s="4"/>
      <c r="S6" s="7"/>
      <c r="T6" s="7"/>
      <c r="U6" s="4"/>
      <c r="V6" s="1"/>
      <c r="W6" s="1"/>
      <c r="X6" s="1"/>
    </row>
    <row r="7" spans="1:24" ht="12.6" customHeight="1" x14ac:dyDescent="0.2">
      <c r="A7" s="98" t="s">
        <v>40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4"/>
      <c r="R7" s="4"/>
      <c r="S7" s="7"/>
      <c r="T7" s="7"/>
      <c r="U7" s="4"/>
      <c r="V7" s="1"/>
      <c r="W7" s="1"/>
      <c r="X7" s="1"/>
    </row>
    <row r="8" spans="1:24" ht="12.6" customHeight="1" x14ac:dyDescent="0.2">
      <c r="A8" s="1"/>
      <c r="B8" s="37" t="s">
        <v>41</v>
      </c>
      <c r="C8" s="106">
        <f>-897027+21513+5040</f>
        <v>-870474</v>
      </c>
      <c r="D8" s="8">
        <f t="shared" ref="D8:O8" si="0">C15</f>
        <v>-296604</v>
      </c>
      <c r="E8" s="8">
        <f t="shared" si="0"/>
        <v>-328236</v>
      </c>
      <c r="F8" s="8">
        <f t="shared" si="0"/>
        <v>-299342</v>
      </c>
      <c r="G8" s="8">
        <f t="shared" si="0"/>
        <v>-312067</v>
      </c>
      <c r="H8" s="8">
        <f t="shared" si="0"/>
        <v>-360058</v>
      </c>
      <c r="I8" s="8">
        <f t="shared" si="0"/>
        <v>-373598</v>
      </c>
      <c r="J8" s="8">
        <f t="shared" si="0"/>
        <v>-367642</v>
      </c>
      <c r="K8" s="8">
        <f t="shared" si="0"/>
        <v>-378828</v>
      </c>
      <c r="L8" s="8">
        <f t="shared" si="0"/>
        <v>-389028</v>
      </c>
      <c r="M8" s="8">
        <f t="shared" si="0"/>
        <v>-383028</v>
      </c>
      <c r="N8" s="8">
        <f t="shared" si="0"/>
        <v>-366628</v>
      </c>
      <c r="O8" s="8">
        <f t="shared" si="0"/>
        <v>-344828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">
      <c r="A9" s="1"/>
      <c r="B9" s="37" t="s">
        <v>42</v>
      </c>
      <c r="C9" s="4"/>
      <c r="D9" s="20">
        <v>-50624</v>
      </c>
      <c r="E9" s="20">
        <v>10151</v>
      </c>
      <c r="F9" s="106">
        <f>-33140+800</f>
        <v>-32340</v>
      </c>
      <c r="G9" s="20">
        <v>-47864</v>
      </c>
      <c r="H9" s="20">
        <v>-19184</v>
      </c>
      <c r="I9" s="106">
        <f>-10770+800+3000</f>
        <v>-6970</v>
      </c>
      <c r="J9" s="106">
        <f>-19433+33</f>
        <v>-19400</v>
      </c>
      <c r="K9" s="106">
        <f>-17900+2000</f>
        <v>-15900</v>
      </c>
      <c r="L9" s="106">
        <f>-1400+800</f>
        <v>-600</v>
      </c>
      <c r="M9" s="20">
        <v>-3400</v>
      </c>
      <c r="N9" s="20">
        <v>1500</v>
      </c>
      <c r="O9" s="106">
        <f>-4500+800</f>
        <v>-3700</v>
      </c>
      <c r="P9" s="8">
        <f>SUM(D9:O9)</f>
        <v>-188331</v>
      </c>
      <c r="Q9" s="4"/>
      <c r="R9" s="4"/>
      <c r="S9" s="5"/>
      <c r="T9" s="9"/>
      <c r="U9" s="4"/>
      <c r="V9" s="1"/>
      <c r="W9" s="1"/>
      <c r="X9" s="1"/>
    </row>
    <row r="10" spans="1:24" ht="12.6" customHeight="1" x14ac:dyDescent="0.2">
      <c r="A10" s="1"/>
      <c r="B10" s="37" t="s">
        <v>43</v>
      </c>
      <c r="C10" s="20">
        <v>573870</v>
      </c>
      <c r="D10" s="106">
        <f>19260-268</f>
        <v>18992</v>
      </c>
      <c r="E10" s="106">
        <f>18943-200</f>
        <v>18743</v>
      </c>
      <c r="F10" s="143">
        <f>24848-194-5039</f>
        <v>19615</v>
      </c>
      <c r="G10" s="106">
        <f>407-534</f>
        <v>-127</v>
      </c>
      <c r="H10" s="106">
        <f>5839-195</f>
        <v>5644</v>
      </c>
      <c r="I10" s="106">
        <f>13163-237</f>
        <v>12926</v>
      </c>
      <c r="J10" s="106">
        <f>8416-202</f>
        <v>8214</v>
      </c>
      <c r="K10" s="106">
        <f>5900-200</f>
        <v>5700</v>
      </c>
      <c r="L10" s="106">
        <f>6800-200</f>
        <v>6600</v>
      </c>
      <c r="M10" s="106">
        <f>20000-200</f>
        <v>19800</v>
      </c>
      <c r="N10" s="106">
        <f>20500-200</f>
        <v>20300</v>
      </c>
      <c r="O10" s="106">
        <f>18800-200</f>
        <v>18600</v>
      </c>
      <c r="P10" s="8">
        <f>SUM(D10:O10)</f>
        <v>155007</v>
      </c>
      <c r="Q10" s="4"/>
      <c r="R10" s="4"/>
      <c r="S10" s="32" t="s">
        <v>44</v>
      </c>
      <c r="U10" s="59">
        <f>ROUND(SUM(D15:O15)/12,0)</f>
        <v>-352768</v>
      </c>
      <c r="V10" s="1"/>
      <c r="W10" s="1"/>
      <c r="X10" s="1"/>
    </row>
    <row r="11" spans="1:24" ht="12.6" customHeight="1" x14ac:dyDescent="0.2">
      <c r="A11" s="1"/>
      <c r="B11" s="37" t="s">
        <v>45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4"/>
      <c r="R11" s="4"/>
      <c r="S11" s="110" t="s">
        <v>46</v>
      </c>
      <c r="T11" s="9"/>
      <c r="U11" s="21">
        <v>17179</v>
      </c>
      <c r="V11" s="1"/>
      <c r="W11" s="1"/>
      <c r="X11" s="1"/>
    </row>
    <row r="12" spans="1:24" ht="12.6" customHeight="1" x14ac:dyDescent="0.2">
      <c r="A12" s="1"/>
      <c r="B12" s="71" t="s">
        <v>47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4"/>
      <c r="R12" s="4"/>
      <c r="S12" s="4" t="s">
        <v>48</v>
      </c>
      <c r="T12" s="4"/>
      <c r="U12" s="111">
        <f>SUM(U10:U11)</f>
        <v>-335589</v>
      </c>
      <c r="V12" s="1"/>
      <c r="W12" s="1"/>
      <c r="X12" s="1"/>
    </row>
    <row r="13" spans="1:24" ht="12.6" customHeight="1" x14ac:dyDescent="0.2">
      <c r="A13" s="1"/>
      <c r="B13" s="37" t="s">
        <v>49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5" customHeight="1" x14ac:dyDescent="0.2">
      <c r="A14" s="1"/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">
      <c r="A15" s="1"/>
      <c r="B15" s="37" t="s">
        <v>50</v>
      </c>
      <c r="C15" s="11">
        <f t="shared" ref="C15:O15" si="2">SUM(C8:C14)</f>
        <v>-296604</v>
      </c>
      <c r="D15" s="11">
        <f t="shared" si="2"/>
        <v>-328236</v>
      </c>
      <c r="E15" s="11">
        <f t="shared" si="2"/>
        <v>-299342</v>
      </c>
      <c r="F15" s="11">
        <f t="shared" si="2"/>
        <v>-312067</v>
      </c>
      <c r="G15" s="11">
        <f t="shared" si="2"/>
        <v>-360058</v>
      </c>
      <c r="H15" s="11">
        <f t="shared" si="2"/>
        <v>-373598</v>
      </c>
      <c r="I15" s="11">
        <f t="shared" si="2"/>
        <v>-367642</v>
      </c>
      <c r="J15" s="11">
        <f t="shared" si="2"/>
        <v>-378828</v>
      </c>
      <c r="K15" s="11">
        <f t="shared" si="2"/>
        <v>-389028</v>
      </c>
      <c r="L15" s="11">
        <f t="shared" si="2"/>
        <v>-383028</v>
      </c>
      <c r="M15" s="11">
        <f t="shared" si="2"/>
        <v>-366628</v>
      </c>
      <c r="N15" s="11">
        <f t="shared" si="2"/>
        <v>-344828</v>
      </c>
      <c r="O15" s="11">
        <f t="shared" si="2"/>
        <v>-329928</v>
      </c>
      <c r="P15" s="4" t="s">
        <v>51</v>
      </c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30" ht="12.6" customHeight="1" x14ac:dyDescent="0.2">
      <c r="A17" s="1"/>
      <c r="B17" s="37" t="s">
        <v>52</v>
      </c>
      <c r="C17" s="20">
        <v>500000</v>
      </c>
      <c r="D17" s="8">
        <f t="shared" ref="D17:O17" si="3">C23</f>
        <v>499666</v>
      </c>
      <c r="E17" s="8">
        <f t="shared" si="3"/>
        <v>499672</v>
      </c>
      <c r="F17" s="8">
        <f t="shared" si="3"/>
        <v>499678</v>
      </c>
      <c r="G17" s="8">
        <f t="shared" si="3"/>
        <v>499685</v>
      </c>
      <c r="H17" s="8">
        <f t="shared" si="3"/>
        <v>499691</v>
      </c>
      <c r="I17" s="8">
        <f t="shared" si="3"/>
        <v>499698</v>
      </c>
      <c r="J17" s="8">
        <f t="shared" si="3"/>
        <v>499704</v>
      </c>
      <c r="K17" s="8">
        <f t="shared" si="3"/>
        <v>499711</v>
      </c>
      <c r="L17" s="8">
        <f t="shared" si="3"/>
        <v>499717</v>
      </c>
      <c r="M17" s="8">
        <f t="shared" si="3"/>
        <v>499724</v>
      </c>
      <c r="N17" s="8">
        <f t="shared" si="3"/>
        <v>499730</v>
      </c>
      <c r="O17" s="8">
        <f t="shared" si="3"/>
        <v>499737</v>
      </c>
      <c r="P17" s="4"/>
      <c r="Q17" s="8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30" ht="12.6" customHeight="1" x14ac:dyDescent="0.2">
      <c r="A18" s="1"/>
      <c r="B18" s="37" t="s">
        <v>56</v>
      </c>
      <c r="C18" s="5"/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4"/>
      <c r="Q18" s="4"/>
      <c r="R18" s="4"/>
      <c r="S18" s="78" t="s">
        <v>57</v>
      </c>
      <c r="T18" s="20">
        <v>500000</v>
      </c>
      <c r="U18" s="79">
        <f>ROUND(T18/T20,4)</f>
        <v>0.32290000000000002</v>
      </c>
      <c r="V18" s="1"/>
      <c r="W18" s="1"/>
      <c r="X18" s="1"/>
    </row>
    <row r="19" spans="1:30" ht="12.6" customHeight="1" x14ac:dyDescent="0.2">
      <c r="A19" s="1"/>
      <c r="B19" s="37" t="s">
        <v>58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59</v>
      </c>
      <c r="T19" s="109">
        <f>L31-36788</f>
        <v>1048371</v>
      </c>
      <c r="U19" s="81">
        <f>ROUND(T19/T20,4)</f>
        <v>0.67710000000000004</v>
      </c>
      <c r="V19" s="1"/>
      <c r="W19" s="1"/>
      <c r="X19" s="1"/>
    </row>
    <row r="20" spans="1:30" ht="12.6" customHeight="1" x14ac:dyDescent="0.2">
      <c r="A20" s="1"/>
      <c r="B20" s="37" t="s">
        <v>60</v>
      </c>
      <c r="C20" s="20">
        <v>-334</v>
      </c>
      <c r="D20" s="59">
        <f t="shared" ref="D20:O20" si="4">D53</f>
        <v>6</v>
      </c>
      <c r="E20" s="59">
        <f t="shared" si="4"/>
        <v>6</v>
      </c>
      <c r="F20" s="125">
        <f t="shared" si="4"/>
        <v>7</v>
      </c>
      <c r="G20" s="59">
        <f t="shared" si="4"/>
        <v>6</v>
      </c>
      <c r="H20" s="59">
        <f t="shared" si="4"/>
        <v>7</v>
      </c>
      <c r="I20" s="59">
        <f t="shared" si="4"/>
        <v>6</v>
      </c>
      <c r="J20" s="59">
        <f t="shared" si="4"/>
        <v>7</v>
      </c>
      <c r="K20" s="59">
        <f t="shared" si="4"/>
        <v>6</v>
      </c>
      <c r="L20" s="59">
        <f t="shared" si="4"/>
        <v>7</v>
      </c>
      <c r="M20" s="59">
        <f t="shared" si="4"/>
        <v>6</v>
      </c>
      <c r="N20" s="59">
        <f t="shared" si="4"/>
        <v>7</v>
      </c>
      <c r="O20" s="59">
        <f t="shared" si="4"/>
        <v>6</v>
      </c>
      <c r="P20" s="4"/>
      <c r="Q20" s="4"/>
      <c r="R20" s="4"/>
      <c r="S20" s="80" t="s">
        <v>61</v>
      </c>
      <c r="T20" s="12">
        <f>T18+T19</f>
        <v>1548371</v>
      </c>
      <c r="U20" s="82">
        <f>U18+U19</f>
        <v>1</v>
      </c>
      <c r="V20" s="1"/>
      <c r="W20" s="1"/>
      <c r="X20" s="1"/>
    </row>
    <row r="21" spans="1:30" ht="12.6" customHeight="1" x14ac:dyDescent="0.2">
      <c r="A21" s="1"/>
      <c r="B21" s="37" t="s">
        <v>49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8"/>
      <c r="R21" s="8"/>
      <c r="S21" s="83"/>
      <c r="T21" s="84"/>
      <c r="U21" s="85"/>
      <c r="V21" s="1"/>
      <c r="W21" s="1"/>
      <c r="X21" s="1"/>
    </row>
    <row r="22" spans="1:30" ht="3.95" customHeight="1" x14ac:dyDescent="0.2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30" ht="12.6" customHeight="1" x14ac:dyDescent="0.2">
      <c r="A23" s="1"/>
      <c r="B23" s="37" t="s">
        <v>62</v>
      </c>
      <c r="C23" s="11">
        <f>SUM(C17:C22)</f>
        <v>499666</v>
      </c>
      <c r="D23" s="11">
        <f>SUM(D17:D20)</f>
        <v>499672</v>
      </c>
      <c r="E23" s="11">
        <f t="shared" ref="E23:O23" si="5">SUM(E17:E21)</f>
        <v>499678</v>
      </c>
      <c r="F23" s="11">
        <f t="shared" si="5"/>
        <v>499685</v>
      </c>
      <c r="G23" s="11">
        <f t="shared" si="5"/>
        <v>499691</v>
      </c>
      <c r="H23" s="11">
        <f t="shared" si="5"/>
        <v>499698</v>
      </c>
      <c r="I23" s="11">
        <f t="shared" si="5"/>
        <v>499704</v>
      </c>
      <c r="J23" s="11">
        <f t="shared" si="5"/>
        <v>499711</v>
      </c>
      <c r="K23" s="11">
        <f t="shared" si="5"/>
        <v>499717</v>
      </c>
      <c r="L23" s="11">
        <f t="shared" si="5"/>
        <v>499724</v>
      </c>
      <c r="M23" s="11">
        <f t="shared" si="5"/>
        <v>499730</v>
      </c>
      <c r="N23" s="11">
        <f t="shared" si="5"/>
        <v>499737</v>
      </c>
      <c r="O23" s="11">
        <f t="shared" si="5"/>
        <v>499743</v>
      </c>
      <c r="P23" s="4"/>
      <c r="Q23" s="8"/>
      <c r="R23" s="8"/>
      <c r="S23" s="9"/>
      <c r="T23" s="86"/>
      <c r="U23" s="4"/>
      <c r="V23" s="1"/>
      <c r="W23" s="1"/>
      <c r="X23" s="1"/>
    </row>
    <row r="24" spans="1:30" ht="8.1" customHeight="1" x14ac:dyDescent="0.2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8"/>
      <c r="R24" s="8"/>
      <c r="S24" s="9"/>
      <c r="T24" s="4"/>
      <c r="U24" s="4"/>
      <c r="V24" s="1"/>
      <c r="W24" s="1"/>
      <c r="X24" s="1"/>
    </row>
    <row r="25" spans="1:30" ht="12.6" customHeight="1" x14ac:dyDescent="0.2">
      <c r="A25" s="1"/>
      <c r="B25" s="37" t="s">
        <v>63</v>
      </c>
      <c r="C25" s="4"/>
      <c r="D25" s="8">
        <f t="shared" ref="D25:O25" si="6">C31</f>
        <v>1019770</v>
      </c>
      <c r="E25" s="8">
        <f t="shared" si="6"/>
        <v>1039557</v>
      </c>
      <c r="F25" s="8">
        <f t="shared" si="6"/>
        <v>1058023</v>
      </c>
      <c r="G25" s="8">
        <f t="shared" si="6"/>
        <v>1075196</v>
      </c>
      <c r="H25" s="8">
        <f t="shared" si="6"/>
        <v>1077483</v>
      </c>
      <c r="I25" s="8">
        <f t="shared" si="6"/>
        <v>1078296</v>
      </c>
      <c r="J25" s="8">
        <f t="shared" si="6"/>
        <v>1081006</v>
      </c>
      <c r="K25" s="8">
        <f t="shared" si="6"/>
        <v>1082366</v>
      </c>
      <c r="L25" s="8">
        <f t="shared" si="6"/>
        <v>1084693</v>
      </c>
      <c r="M25" s="8">
        <f t="shared" si="6"/>
        <v>1085159</v>
      </c>
      <c r="N25" s="8">
        <f t="shared" si="6"/>
        <v>1083793</v>
      </c>
      <c r="O25" s="8">
        <f t="shared" si="6"/>
        <v>1099953</v>
      </c>
      <c r="P25" s="4"/>
      <c r="Q25" s="4"/>
      <c r="R25" s="4"/>
      <c r="S25" s="1"/>
      <c r="T25" s="1"/>
      <c r="U25" s="4"/>
      <c r="V25" s="1"/>
      <c r="W25" s="1"/>
      <c r="X25" s="1"/>
    </row>
    <row r="26" spans="1:30" ht="12.6" customHeight="1" x14ac:dyDescent="0.2">
      <c r="A26" s="1"/>
      <c r="B26" s="37" t="s">
        <v>64</v>
      </c>
      <c r="C26" s="4"/>
      <c r="D26" s="20">
        <v>19321</v>
      </c>
      <c r="E26" s="20">
        <v>18599</v>
      </c>
      <c r="F26" s="20">
        <v>17521</v>
      </c>
      <c r="G26" s="20">
        <v>2272</v>
      </c>
      <c r="H26" s="20">
        <v>813</v>
      </c>
      <c r="I26" s="20">
        <v>2710</v>
      </c>
      <c r="J26" s="20">
        <v>1360</v>
      </c>
      <c r="K26" s="20">
        <v>2327</v>
      </c>
      <c r="L26" s="20">
        <v>466</v>
      </c>
      <c r="M26" s="20">
        <v>-1366</v>
      </c>
      <c r="N26" s="20">
        <v>16160</v>
      </c>
      <c r="O26" s="20">
        <v>16763</v>
      </c>
      <c r="P26" s="8">
        <f>SUM(D26:O26)</f>
        <v>96946</v>
      </c>
      <c r="Q26" s="8"/>
      <c r="R26" s="8"/>
      <c r="V26" s="1"/>
      <c r="W26" s="1"/>
      <c r="X26" s="1"/>
      <c r="AB26" s="87" t="s">
        <v>57</v>
      </c>
      <c r="AC26" s="88">
        <v>600000</v>
      </c>
      <c r="AD26" s="89">
        <f>ROUND(AC26/AC29,4)</f>
        <v>0.35599999999999998</v>
      </c>
    </row>
    <row r="27" spans="1:30" ht="12.6" customHeight="1" x14ac:dyDescent="0.2">
      <c r="A27" s="1"/>
      <c r="B27" s="37" t="s">
        <v>45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4"/>
      <c r="R27" s="4"/>
      <c r="V27" s="1"/>
      <c r="W27" s="1"/>
      <c r="X27" s="1"/>
      <c r="AB27" s="90" t="s">
        <v>65</v>
      </c>
      <c r="AC27" s="91">
        <f>L31</f>
        <v>1085159</v>
      </c>
      <c r="AD27" s="92">
        <f>ROUND(AC27/AC29,4)</f>
        <v>0.64400000000000002</v>
      </c>
    </row>
    <row r="28" spans="1:30" ht="12.6" customHeight="1" x14ac:dyDescent="0.2">
      <c r="A28" s="1"/>
      <c r="B28" s="37" t="s">
        <v>66</v>
      </c>
      <c r="C28" s="20">
        <v>36396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4"/>
      <c r="R28" s="4"/>
      <c r="V28" s="1"/>
      <c r="W28" s="1"/>
      <c r="X28" s="1"/>
      <c r="AB28" s="90"/>
      <c r="AC28" s="91"/>
      <c r="AD28" s="92"/>
    </row>
    <row r="29" spans="1:30" ht="12.6" customHeight="1" x14ac:dyDescent="0.2">
      <c r="A29" s="1"/>
      <c r="B29" s="37" t="s">
        <v>67</v>
      </c>
      <c r="C29" s="5"/>
      <c r="D29" s="21">
        <v>466</v>
      </c>
      <c r="E29" s="21">
        <v>-133</v>
      </c>
      <c r="F29" s="21">
        <v>-348</v>
      </c>
      <c r="G29" s="21">
        <v>15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0</v>
      </c>
      <c r="Q29" s="4"/>
      <c r="R29" s="4"/>
      <c r="V29" s="1"/>
      <c r="W29" s="1"/>
      <c r="X29" s="1"/>
      <c r="AB29" s="90" t="s">
        <v>61</v>
      </c>
      <c r="AC29" s="93">
        <f>AC26+AC27</f>
        <v>1685159</v>
      </c>
      <c r="AD29" s="94">
        <f>AD26+AD27</f>
        <v>1</v>
      </c>
    </row>
    <row r="30" spans="1:30" ht="3.95" customHeight="1" x14ac:dyDescent="0.2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4"/>
      <c r="R30" s="4"/>
      <c r="V30" s="1"/>
      <c r="W30" s="1"/>
      <c r="X30" s="1"/>
      <c r="AB30" s="95"/>
      <c r="AC30" s="96"/>
      <c r="AD30" s="97"/>
    </row>
    <row r="31" spans="1:30" ht="12.6" customHeight="1" x14ac:dyDescent="0.2">
      <c r="A31" s="1"/>
      <c r="B31" s="37" t="s">
        <v>68</v>
      </c>
      <c r="C31" s="128">
        <f>1087527-67757</f>
        <v>1019770</v>
      </c>
      <c r="D31" s="11">
        <f t="shared" ref="D31:O31" si="7">SUM(D25:D29)</f>
        <v>1039557</v>
      </c>
      <c r="E31" s="11">
        <f t="shared" si="7"/>
        <v>1058023</v>
      </c>
      <c r="F31" s="11">
        <f t="shared" si="7"/>
        <v>1075196</v>
      </c>
      <c r="G31" s="11">
        <f t="shared" si="7"/>
        <v>1077483</v>
      </c>
      <c r="H31" s="11">
        <f t="shared" si="7"/>
        <v>1078296</v>
      </c>
      <c r="I31" s="11">
        <f t="shared" si="7"/>
        <v>1081006</v>
      </c>
      <c r="J31" s="11">
        <f t="shared" si="7"/>
        <v>1082366</v>
      </c>
      <c r="K31" s="11">
        <f t="shared" si="7"/>
        <v>1084693</v>
      </c>
      <c r="L31" s="11">
        <f t="shared" si="7"/>
        <v>1085159</v>
      </c>
      <c r="M31" s="11">
        <f t="shared" si="7"/>
        <v>1083793</v>
      </c>
      <c r="N31" s="11">
        <f t="shared" si="7"/>
        <v>1099953</v>
      </c>
      <c r="O31" s="11">
        <f t="shared" si="7"/>
        <v>1116716</v>
      </c>
      <c r="P31" s="8">
        <f>SUM(P26:P29)</f>
        <v>96946</v>
      </c>
      <c r="Q31" s="4"/>
      <c r="R31" s="4"/>
      <c r="S31" s="1"/>
      <c r="T31" s="1"/>
      <c r="U31" s="1"/>
      <c r="V31" s="1"/>
      <c r="W31" s="1"/>
      <c r="X31" s="1"/>
    </row>
    <row r="32" spans="1:30" ht="3.95" customHeight="1" x14ac:dyDescent="0.2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">
      <c r="A33" s="1"/>
      <c r="B33" s="37" t="s">
        <v>61</v>
      </c>
      <c r="C33" s="12">
        <f t="shared" ref="C33:O33" si="8">C15+C23+C31</f>
        <v>1222832</v>
      </c>
      <c r="D33" s="12">
        <f t="shared" si="8"/>
        <v>1210993</v>
      </c>
      <c r="E33" s="12">
        <f t="shared" si="8"/>
        <v>1258359</v>
      </c>
      <c r="F33" s="12">
        <f t="shared" si="8"/>
        <v>1262814</v>
      </c>
      <c r="G33" s="12">
        <f t="shared" si="8"/>
        <v>1217116</v>
      </c>
      <c r="H33" s="12">
        <f t="shared" si="8"/>
        <v>1204396</v>
      </c>
      <c r="I33" s="12">
        <f t="shared" si="8"/>
        <v>1213068</v>
      </c>
      <c r="J33" s="12">
        <f t="shared" si="8"/>
        <v>1203249</v>
      </c>
      <c r="K33" s="12">
        <f t="shared" si="8"/>
        <v>1195382</v>
      </c>
      <c r="L33" s="12">
        <f t="shared" si="8"/>
        <v>1201855</v>
      </c>
      <c r="M33" s="12">
        <f t="shared" si="8"/>
        <v>1216895</v>
      </c>
      <c r="N33" s="12">
        <f t="shared" si="8"/>
        <v>1254862</v>
      </c>
      <c r="O33" s="12">
        <f t="shared" si="8"/>
        <v>1286531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">
      <c r="A36" s="1"/>
      <c r="B36" s="3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"/>
      <c r="T36" s="1"/>
      <c r="U36" s="1"/>
      <c r="V36" s="1"/>
      <c r="W36" s="1"/>
      <c r="X36" s="1"/>
    </row>
    <row r="37" spans="1:29" ht="12.6" customHeight="1" x14ac:dyDescent="0.2">
      <c r="A37" s="53" t="s">
        <v>69</v>
      </c>
      <c r="B37" s="3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/>
      <c r="W37" s="1"/>
      <c r="X37" s="1"/>
    </row>
    <row r="38" spans="1:29" ht="12.6" customHeight="1" x14ac:dyDescent="0.2">
      <c r="A38" s="1"/>
      <c r="B38" s="24" t="s">
        <v>70</v>
      </c>
      <c r="C38" s="4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">
      <c r="A39" s="1"/>
      <c r="B39" s="37" t="s">
        <v>72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73</v>
      </c>
      <c r="AC39" s="59">
        <f>ROUND(5601*0.6053,0)</f>
        <v>3390</v>
      </c>
    </row>
    <row r="40" spans="1:29" ht="12.6" customHeight="1" x14ac:dyDescent="0.2">
      <c r="A40" s="1"/>
      <c r="B40" s="37" t="s">
        <v>74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4"/>
      <c r="R40" s="4"/>
      <c r="U40" s="1"/>
      <c r="V40" s="1"/>
      <c r="W40" s="1"/>
      <c r="X40" s="1"/>
      <c r="AB40" s="61" t="s">
        <v>75</v>
      </c>
      <c r="AC40" s="59">
        <f>-ROUND((5601-3213)*0.6053,0)</f>
        <v>-1445</v>
      </c>
    </row>
    <row r="41" spans="1:29" ht="12.6" customHeight="1" x14ac:dyDescent="0.2">
      <c r="A41" s="1"/>
      <c r="B41" s="37" t="s">
        <v>76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4"/>
      <c r="R41" s="4"/>
      <c r="U41" s="4"/>
      <c r="V41" s="4"/>
      <c r="W41" s="1"/>
      <c r="X41" s="1"/>
      <c r="AB41" s="61" t="s">
        <v>77</v>
      </c>
      <c r="AC41" s="59">
        <f>-ROUND((3213-810)*0.6053,0)</f>
        <v>-1455</v>
      </c>
    </row>
    <row r="42" spans="1:29" ht="12.6" customHeight="1" x14ac:dyDescent="0.2">
      <c r="A42" s="1"/>
      <c r="B42" s="37" t="s">
        <v>78</v>
      </c>
      <c r="C42" s="50">
        <f>-91055+38836+39092+(-789-789-791)+15496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4"/>
      <c r="R42" s="4"/>
      <c r="U42" s="1"/>
      <c r="V42" s="1"/>
      <c r="W42" s="1"/>
      <c r="X42" s="1"/>
      <c r="AB42" s="61" t="s">
        <v>79</v>
      </c>
      <c r="AC42" s="59">
        <f>ROUND((1650)*0.6053,0)</f>
        <v>999</v>
      </c>
    </row>
    <row r="43" spans="1:29" ht="3.95" customHeight="1" x14ac:dyDescent="0.2">
      <c r="A43" s="1"/>
      <c r="B43" s="37"/>
      <c r="C43" s="4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/>
      <c r="Q43" s="4"/>
      <c r="R43" s="4"/>
      <c r="U43" s="1"/>
      <c r="V43" s="1"/>
      <c r="W43" s="1"/>
      <c r="X43" s="1"/>
      <c r="AB43" s="61"/>
      <c r="AC43" s="59"/>
    </row>
    <row r="44" spans="1:29" ht="12.6" customHeight="1" x14ac:dyDescent="0.2">
      <c r="A44" s="1"/>
      <c r="B44" s="37" t="s">
        <v>80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U44" s="1"/>
      <c r="V44" s="1"/>
      <c r="W44" s="1"/>
      <c r="X44" s="1"/>
      <c r="AB44" s="61" t="s">
        <v>81</v>
      </c>
      <c r="AC44" s="59">
        <f>-ROUND((1376)*0.6053,0)</f>
        <v>-833</v>
      </c>
    </row>
    <row r="45" spans="1:29" ht="12.6" customHeight="1" x14ac:dyDescent="0.2">
      <c r="A45" s="1"/>
      <c r="B45" s="37" t="s">
        <v>82</v>
      </c>
      <c r="C45" s="23">
        <v>0.06</v>
      </c>
      <c r="D45" s="23">
        <v>0.06</v>
      </c>
      <c r="E45" s="23">
        <v>0.06</v>
      </c>
      <c r="F45" s="23">
        <v>0.06</v>
      </c>
      <c r="G45" s="23">
        <v>0.06</v>
      </c>
      <c r="H45" s="23">
        <v>0.06</v>
      </c>
      <c r="I45" s="23">
        <v>0.06</v>
      </c>
      <c r="J45" s="23">
        <v>0.06</v>
      </c>
      <c r="K45" s="23">
        <v>0.06</v>
      </c>
      <c r="L45" s="23">
        <v>0.06</v>
      </c>
      <c r="M45" s="23">
        <v>0.06</v>
      </c>
      <c r="N45" s="23">
        <v>0.06</v>
      </c>
      <c r="O45" s="23">
        <v>0.06</v>
      </c>
      <c r="P45" s="4"/>
      <c r="Q45" s="4"/>
      <c r="R45" s="4"/>
      <c r="S45" s="1"/>
      <c r="T45" s="1"/>
      <c r="U45" s="1"/>
      <c r="V45" s="1"/>
      <c r="W45" s="1"/>
      <c r="X45" s="1"/>
    </row>
    <row r="46" spans="1:29" ht="3.95" customHeight="1" x14ac:dyDescent="0.2">
      <c r="A46" s="1"/>
      <c r="B46" s="37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">
      <c r="A47" s="1"/>
      <c r="B47" s="37" t="s">
        <v>83</v>
      </c>
      <c r="C47" s="137">
        <f>ROUND((C42)*(C45*(30/360)),0)+11-11</f>
        <v>0</v>
      </c>
      <c r="D47" s="137">
        <f>ROUND((D44)*(D45*(30/360)),0)+12-12</f>
        <v>0</v>
      </c>
      <c r="E47" s="137">
        <f>ROUND((E44)*(E45*(30/360)),0)+13-13</f>
        <v>0</v>
      </c>
      <c r="F47" s="137">
        <f>ROUND((F44)*(F45*(30/360)),0)+12-12</f>
        <v>0</v>
      </c>
      <c r="G47" s="137">
        <f>ROUND((G44)*(G45*(30/360)),0)+13-13</f>
        <v>0</v>
      </c>
      <c r="H47" s="137">
        <f>ROUND((H44)*(H45*(30/360)),0)+13-13</f>
        <v>0</v>
      </c>
      <c r="I47" s="137">
        <f>ROUND((I44)*(I45*(30/360)),0)+13-13</f>
        <v>0</v>
      </c>
      <c r="J47" s="137">
        <f>ROUND((J44)*(J45*(30/360)),0)+14-14</f>
        <v>0</v>
      </c>
      <c r="K47" s="137">
        <f>ROUND((K44)*(K45*(30/360)),0)+14-14</f>
        <v>0</v>
      </c>
      <c r="L47" s="137">
        <f>ROUND((L44)*(L45*(30/360)),0)+14-14</f>
        <v>0</v>
      </c>
      <c r="M47" s="137">
        <f>ROUND((M44)*(M45*(30/360)),0)+15-15</f>
        <v>0</v>
      </c>
      <c r="N47" s="137">
        <f>ROUND((N44)*(N45*(30/360)),0)+15-15</f>
        <v>0</v>
      </c>
      <c r="O47" s="137">
        <f>ROUND((O44)*(O45*(30/360)),0)+15-15</f>
        <v>0</v>
      </c>
      <c r="P47" s="4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">
      <c r="A48" s="1"/>
      <c r="B48" s="39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U50+U51+U52+U53-P50-P51-P52-P78</f>
        <v>0</v>
      </c>
      <c r="Q48" s="4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">
      <c r="A49" s="1"/>
      <c r="B49" s="47" t="s">
        <v>86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8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">
      <c r="A50" s="1"/>
      <c r="B50" s="37" t="s">
        <v>89</v>
      </c>
      <c r="C50" s="4"/>
      <c r="D50" s="8">
        <f>ROUND((+$T$50*0.08)*(30/360),0)</f>
        <v>0</v>
      </c>
      <c r="E50" s="8">
        <f>ROUND((+$T$50*0.08)*(30/360),0)</f>
        <v>0</v>
      </c>
      <c r="F50" s="8">
        <f>ROUND((+$T$50*0.08)*(30/360),0)</f>
        <v>0</v>
      </c>
      <c r="G50" s="8">
        <f>ROUND((+$T$50*0.08)*(30/360),0)</f>
        <v>0</v>
      </c>
      <c r="H50" s="8">
        <f>ROUND((+$T$50*0.08)*(30/360),0)</f>
        <v>0</v>
      </c>
      <c r="I50" s="8">
        <f t="shared" ref="I50:O50" si="13">ROUND((+$T$50*0)*(30/360),0)</f>
        <v>0</v>
      </c>
      <c r="J50" s="8">
        <f t="shared" si="13"/>
        <v>0</v>
      </c>
      <c r="K50" s="8">
        <f t="shared" si="13"/>
        <v>0</v>
      </c>
      <c r="L50" s="8">
        <f t="shared" si="13"/>
        <v>0</v>
      </c>
      <c r="M50" s="8">
        <f t="shared" si="13"/>
        <v>0</v>
      </c>
      <c r="N50" s="8">
        <f t="shared" si="13"/>
        <v>0</v>
      </c>
      <c r="O50" s="8">
        <f t="shared" si="13"/>
        <v>0</v>
      </c>
      <c r="P50" s="8">
        <f t="shared" ref="P50:P59" si="14">SUM(D50:O50)</f>
        <v>0</v>
      </c>
      <c r="Q50" s="4"/>
      <c r="R50" s="4"/>
      <c r="S50" s="19" t="s">
        <v>90</v>
      </c>
      <c r="T50" s="20">
        <v>0</v>
      </c>
      <c r="U50" s="8">
        <f>ROUND(($T50*0.08)*150/360,0)</f>
        <v>0</v>
      </c>
      <c r="V50" s="1"/>
      <c r="W50" s="1"/>
      <c r="X50" s="1"/>
    </row>
    <row r="51" spans="1:24" ht="12.6" customHeight="1" x14ac:dyDescent="0.2">
      <c r="A51" s="1"/>
      <c r="B51" s="37" t="s">
        <v>91</v>
      </c>
      <c r="C51" s="4"/>
      <c r="D51" s="8">
        <f>ROUND((+$T$51*0.06875)*(30/360),0)</f>
        <v>573</v>
      </c>
      <c r="E51" s="48">
        <f>ROUND((+$T$51*0.06875)*(30/360),0)-1</f>
        <v>572</v>
      </c>
      <c r="F51" s="8">
        <f t="shared" ref="F51:O51" si="15">ROUND((+$T$51*0.06875)*(30/360),0)</f>
        <v>573</v>
      </c>
      <c r="G51" s="8">
        <f t="shared" si="15"/>
        <v>573</v>
      </c>
      <c r="H51" s="8">
        <f t="shared" si="15"/>
        <v>573</v>
      </c>
      <c r="I51" s="8">
        <f t="shared" si="15"/>
        <v>573</v>
      </c>
      <c r="J51" s="8">
        <f t="shared" si="15"/>
        <v>573</v>
      </c>
      <c r="K51" s="8">
        <f t="shared" si="15"/>
        <v>573</v>
      </c>
      <c r="L51" s="8">
        <f t="shared" si="15"/>
        <v>573</v>
      </c>
      <c r="M51" s="8">
        <f t="shared" si="15"/>
        <v>573</v>
      </c>
      <c r="N51" s="8">
        <f t="shared" si="15"/>
        <v>573</v>
      </c>
      <c r="O51" s="8">
        <f t="shared" si="15"/>
        <v>573</v>
      </c>
      <c r="P51" s="8">
        <f t="shared" si="14"/>
        <v>6875</v>
      </c>
      <c r="Q51" s="4"/>
      <c r="R51" s="4"/>
      <c r="S51" s="32" t="s">
        <v>92</v>
      </c>
      <c r="T51" s="20">
        <v>100000</v>
      </c>
      <c r="U51" s="8">
        <f>ROUND($T51*0.06875,0)</f>
        <v>6875</v>
      </c>
      <c r="V51" s="1"/>
      <c r="W51" s="1"/>
      <c r="X51" s="1"/>
    </row>
    <row r="52" spans="1:24" ht="12.6" customHeight="1" x14ac:dyDescent="0.2">
      <c r="A52" s="1"/>
      <c r="B52" s="37" t="s">
        <v>93</v>
      </c>
      <c r="C52" s="4"/>
      <c r="D52" s="8">
        <f>ROUND((+$T$53*0.07)*(30/360),0)</f>
        <v>1458</v>
      </c>
      <c r="E52" s="8">
        <f>ROUND((+$T$53*0.07)*(30/360),0)</f>
        <v>1458</v>
      </c>
      <c r="F52" s="48">
        <f>ROUND((+$T$53*0.07)*(30/360),0)+1</f>
        <v>1459</v>
      </c>
      <c r="G52" s="8">
        <f>ROUND((+$T$53*0.07)*(30/360),0)</f>
        <v>1458</v>
      </c>
      <c r="H52" s="8">
        <f>ROUND((+$T$53*0.07)*(30/360),0)</f>
        <v>1458</v>
      </c>
      <c r="I52" s="48">
        <f>ROUND((+$T$53*0.07)*(30/360),0)+1</f>
        <v>1459</v>
      </c>
      <c r="J52" s="8">
        <f>ROUND((+$T$53*0.07)*(30/360),0)</f>
        <v>1458</v>
      </c>
      <c r="K52" s="8">
        <f>ROUND((+$T$53*0.07)*(30/360),0)</f>
        <v>1458</v>
      </c>
      <c r="L52" s="48">
        <f>ROUND((+$T$53*0.07)*(30/360),0)+1</f>
        <v>1459</v>
      </c>
      <c r="M52" s="8">
        <f>ROUND((+$T$53*0.07)*(30/360),0)</f>
        <v>1458</v>
      </c>
      <c r="N52" s="8">
        <f>ROUND((+$T$53*0.07)*(30/360),0)</f>
        <v>1458</v>
      </c>
      <c r="O52" s="48">
        <f>ROUND((+$T$53*0.07)*(30/360),0)+1</f>
        <v>1459</v>
      </c>
      <c r="P52" s="8">
        <f t="shared" si="14"/>
        <v>17500</v>
      </c>
      <c r="Q52" s="4"/>
      <c r="R52" s="4"/>
      <c r="S52" s="32" t="s">
        <v>94</v>
      </c>
      <c r="T52" s="20">
        <v>150000</v>
      </c>
      <c r="U52" s="49">
        <f>ROUND(+$T52*0.0675,0)</f>
        <v>10125</v>
      </c>
      <c r="V52" s="1"/>
      <c r="W52" s="1"/>
      <c r="X52" s="1"/>
    </row>
    <row r="53" spans="1:24" ht="12.6" customHeight="1" x14ac:dyDescent="0.2">
      <c r="A53" s="1"/>
      <c r="B53" s="37" t="s">
        <v>95</v>
      </c>
      <c r="C53" s="8"/>
      <c r="D53" s="20">
        <v>6</v>
      </c>
      <c r="E53" s="20">
        <v>6</v>
      </c>
      <c r="F53" s="20">
        <v>7</v>
      </c>
      <c r="G53" s="20">
        <v>6</v>
      </c>
      <c r="H53" s="20">
        <v>7</v>
      </c>
      <c r="I53" s="20">
        <v>6</v>
      </c>
      <c r="J53" s="20">
        <v>7</v>
      </c>
      <c r="K53" s="20">
        <v>6</v>
      </c>
      <c r="L53" s="20">
        <v>7</v>
      </c>
      <c r="M53" s="20">
        <v>6</v>
      </c>
      <c r="N53" s="20">
        <v>7</v>
      </c>
      <c r="O53" s="20">
        <v>6</v>
      </c>
      <c r="P53" s="8">
        <f t="shared" si="14"/>
        <v>77</v>
      </c>
      <c r="Q53" s="4"/>
      <c r="R53" s="4"/>
      <c r="S53" s="19" t="s">
        <v>96</v>
      </c>
      <c r="T53" s="20">
        <v>250000</v>
      </c>
      <c r="U53" s="8">
        <f>ROUND($T53*0.07,0)</f>
        <v>17500</v>
      </c>
      <c r="V53" s="1"/>
      <c r="W53" s="1"/>
      <c r="X53" s="1"/>
    </row>
    <row r="54" spans="1:24" ht="12.6" customHeight="1" x14ac:dyDescent="0.2">
      <c r="A54" s="1"/>
      <c r="B54" s="37" t="s">
        <v>97</v>
      </c>
      <c r="C54" s="4"/>
      <c r="D54" s="20">
        <v>21</v>
      </c>
      <c r="E54" s="20">
        <v>23</v>
      </c>
      <c r="F54" s="20">
        <v>19</v>
      </c>
      <c r="G54" s="20">
        <v>21</v>
      </c>
      <c r="H54" s="20">
        <v>20</v>
      </c>
      <c r="I54" s="20">
        <v>20</v>
      </c>
      <c r="J54" s="20">
        <v>20</v>
      </c>
      <c r="K54" s="20">
        <v>21</v>
      </c>
      <c r="L54" s="20">
        <v>19</v>
      </c>
      <c r="M54" s="20">
        <v>21</v>
      </c>
      <c r="N54" s="20">
        <v>20</v>
      </c>
      <c r="O54" s="20">
        <v>20</v>
      </c>
      <c r="P54" s="8">
        <f t="shared" si="14"/>
        <v>245</v>
      </c>
      <c r="Q54" s="4"/>
      <c r="R54" s="4"/>
      <c r="S54" s="32" t="s">
        <v>98</v>
      </c>
      <c r="T54" s="20">
        <v>0</v>
      </c>
      <c r="U54" s="8">
        <f>ROUND($T54*0.08,0)</f>
        <v>0</v>
      </c>
      <c r="V54" s="1"/>
      <c r="W54" s="1"/>
      <c r="X54" s="1"/>
    </row>
    <row r="55" spans="1:24" ht="12.6" customHeight="1" x14ac:dyDescent="0.2">
      <c r="A55" s="1"/>
      <c r="B55" s="37" t="s">
        <v>74</v>
      </c>
      <c r="C55" s="4"/>
      <c r="D55" s="8">
        <f>D47</f>
        <v>0</v>
      </c>
      <c r="E55" s="8">
        <f>E47</f>
        <v>0</v>
      </c>
      <c r="F55" s="8">
        <f>F47</f>
        <v>0</v>
      </c>
      <c r="G55" s="8">
        <f t="shared" ref="G55:O55" si="16">G47</f>
        <v>0</v>
      </c>
      <c r="H55" s="8">
        <f t="shared" si="16"/>
        <v>0</v>
      </c>
      <c r="I55" s="8">
        <f t="shared" si="16"/>
        <v>0</v>
      </c>
      <c r="J55" s="8">
        <f t="shared" si="16"/>
        <v>0</v>
      </c>
      <c r="K55" s="8">
        <f t="shared" si="16"/>
        <v>0</v>
      </c>
      <c r="L55" s="8">
        <f t="shared" si="16"/>
        <v>0</v>
      </c>
      <c r="M55" s="8">
        <f t="shared" si="16"/>
        <v>0</v>
      </c>
      <c r="N55" s="8">
        <f t="shared" si="16"/>
        <v>0</v>
      </c>
      <c r="O55" s="8">
        <f t="shared" si="16"/>
        <v>0</v>
      </c>
      <c r="P55" s="8">
        <f t="shared" si="14"/>
        <v>0</v>
      </c>
      <c r="Q55" s="4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">
      <c r="A56" s="1"/>
      <c r="B56" s="37" t="s">
        <v>100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4"/>
        <v>0</v>
      </c>
      <c r="Q56" s="4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">
      <c r="A57" s="1"/>
      <c r="B57" s="37" t="s">
        <v>102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4"/>
        <v>0</v>
      </c>
      <c r="Q57" s="8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">
      <c r="A58" s="1"/>
      <c r="B58" s="37" t="s">
        <v>104</v>
      </c>
      <c r="C58" s="8"/>
      <c r="D58" s="8">
        <f t="shared" ref="D58:O58" si="17">SUM(D50:D57)</f>
        <v>2058</v>
      </c>
      <c r="E58" s="8">
        <f t="shared" si="17"/>
        <v>2059</v>
      </c>
      <c r="F58" s="8">
        <f t="shared" si="17"/>
        <v>2058</v>
      </c>
      <c r="G58" s="8">
        <f t="shared" si="17"/>
        <v>2058</v>
      </c>
      <c r="H58" s="8">
        <f t="shared" si="17"/>
        <v>2058</v>
      </c>
      <c r="I58" s="8">
        <f t="shared" si="17"/>
        <v>2058</v>
      </c>
      <c r="J58" s="8">
        <f t="shared" si="17"/>
        <v>2058</v>
      </c>
      <c r="K58" s="8">
        <f t="shared" si="17"/>
        <v>2058</v>
      </c>
      <c r="L58" s="8">
        <f t="shared" si="17"/>
        <v>2058</v>
      </c>
      <c r="M58" s="8">
        <f t="shared" si="17"/>
        <v>2058</v>
      </c>
      <c r="N58" s="8">
        <f t="shared" si="17"/>
        <v>2058</v>
      </c>
      <c r="O58" s="8">
        <f t="shared" si="17"/>
        <v>2058</v>
      </c>
      <c r="P58" s="8">
        <f t="shared" si="14"/>
        <v>24697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">
      <c r="A59" s="1"/>
      <c r="B59" s="37" t="s">
        <v>105</v>
      </c>
      <c r="C59" s="8"/>
      <c r="D59" s="21">
        <f>ROUND(+D58*-0.3947,0)-1</f>
        <v>-813</v>
      </c>
      <c r="E59" s="21">
        <f>ROUND(+E58*-0.3947,0)+1</f>
        <v>-812</v>
      </c>
      <c r="F59" s="112">
        <f>ROUND(+F58*-0.3947,0)</f>
        <v>-812</v>
      </c>
      <c r="G59" s="112">
        <f t="shared" ref="G59:O59" si="18">ROUND(+G58*-0.3947,0)</f>
        <v>-812</v>
      </c>
      <c r="H59" s="112">
        <f t="shared" si="18"/>
        <v>-812</v>
      </c>
      <c r="I59" s="112">
        <f t="shared" si="18"/>
        <v>-812</v>
      </c>
      <c r="J59" s="112">
        <f t="shared" si="18"/>
        <v>-812</v>
      </c>
      <c r="K59" s="112">
        <f t="shared" si="18"/>
        <v>-812</v>
      </c>
      <c r="L59" s="112">
        <f t="shared" si="18"/>
        <v>-812</v>
      </c>
      <c r="M59" s="112">
        <f t="shared" si="18"/>
        <v>-812</v>
      </c>
      <c r="N59" s="112">
        <f t="shared" si="18"/>
        <v>-812</v>
      </c>
      <c r="O59" s="112">
        <f t="shared" si="18"/>
        <v>-812</v>
      </c>
      <c r="P59" s="11">
        <f t="shared" si="14"/>
        <v>-9745</v>
      </c>
      <c r="Q59" s="8"/>
      <c r="R59" s="8"/>
      <c r="S59" s="32" t="s">
        <v>106</v>
      </c>
      <c r="T59" s="12"/>
      <c r="U59" s="12">
        <f>SUM(U50:U58)</f>
        <v>34500</v>
      </c>
      <c r="V59" s="1"/>
      <c r="W59" s="1"/>
      <c r="X59" s="1"/>
    </row>
    <row r="60" spans="1:24" ht="3.95" customHeight="1" x14ac:dyDescent="0.2">
      <c r="A60" s="1"/>
      <c r="B60" s="38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">
      <c r="A61" s="1"/>
      <c r="B61" s="40" t="s">
        <v>107</v>
      </c>
      <c r="C61" s="25"/>
      <c r="D61" s="26">
        <f t="shared" ref="D61:O61" si="19">D58+D59</f>
        <v>1245</v>
      </c>
      <c r="E61" s="26">
        <f t="shared" si="19"/>
        <v>1247</v>
      </c>
      <c r="F61" s="26">
        <f t="shared" si="19"/>
        <v>1246</v>
      </c>
      <c r="G61" s="26">
        <f t="shared" si="19"/>
        <v>1246</v>
      </c>
      <c r="H61" s="26">
        <f t="shared" si="19"/>
        <v>1246</v>
      </c>
      <c r="I61" s="26">
        <f t="shared" si="19"/>
        <v>1246</v>
      </c>
      <c r="J61" s="26">
        <f t="shared" si="19"/>
        <v>1246</v>
      </c>
      <c r="K61" s="26">
        <f t="shared" si="19"/>
        <v>1246</v>
      </c>
      <c r="L61" s="26">
        <f t="shared" si="19"/>
        <v>1246</v>
      </c>
      <c r="M61" s="26">
        <f t="shared" si="19"/>
        <v>1246</v>
      </c>
      <c r="N61" s="26">
        <f t="shared" si="19"/>
        <v>1246</v>
      </c>
      <c r="O61" s="26">
        <f t="shared" si="19"/>
        <v>1246</v>
      </c>
      <c r="P61" s="26">
        <f>SUM(D61:O61)</f>
        <v>14952</v>
      </c>
      <c r="Q61" s="4"/>
      <c r="R61" s="4"/>
      <c r="V61" s="1"/>
      <c r="W61" s="1"/>
      <c r="X61" s="1"/>
    </row>
    <row r="62" spans="1:24" ht="12.6" customHeight="1" x14ac:dyDescent="0.2">
      <c r="A62" s="1"/>
      <c r="C62" s="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22" t="s">
        <v>108</v>
      </c>
      <c r="T62" s="4"/>
      <c r="U62" s="4"/>
      <c r="V62" s="1"/>
      <c r="W62" s="1"/>
      <c r="X62" s="1"/>
    </row>
    <row r="63" spans="1:24" ht="12.6" customHeight="1" x14ac:dyDescent="0.2">
      <c r="A63" s="53" t="s">
        <v>109</v>
      </c>
      <c r="B63" s="47"/>
      <c r="C63" s="133"/>
      <c r="D63" s="13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/>
      <c r="S63" s="32" t="s">
        <v>110</v>
      </c>
      <c r="T63" s="1"/>
      <c r="U63" s="20">
        <v>0</v>
      </c>
      <c r="V63" s="1"/>
      <c r="W63" s="1"/>
      <c r="X63" s="1"/>
    </row>
    <row r="64" spans="1:24" ht="12.6" customHeight="1" x14ac:dyDescent="0.2">
      <c r="A64" s="1"/>
      <c r="B64" s="24" t="s">
        <v>70</v>
      </c>
      <c r="C64" s="134"/>
      <c r="D64" s="13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4"/>
      <c r="Q64" s="4"/>
      <c r="R64" s="4"/>
      <c r="S64" s="32" t="s">
        <v>111</v>
      </c>
      <c r="T64" s="13"/>
      <c r="U64" s="20">
        <v>0</v>
      </c>
      <c r="V64" s="1"/>
      <c r="W64" s="1"/>
      <c r="X64" s="1"/>
    </row>
    <row r="65" spans="1:24" ht="12.6" customHeight="1" x14ac:dyDescent="0.2">
      <c r="A65" s="1"/>
      <c r="B65" s="37" t="s">
        <v>112</v>
      </c>
      <c r="C65" s="133"/>
      <c r="D65" s="130">
        <f>+C8</f>
        <v>-870474</v>
      </c>
      <c r="E65" s="8">
        <f>D65+D68</f>
        <v>-921098</v>
      </c>
      <c r="F65" s="8">
        <f t="shared" ref="F65:O65" si="20">+E65+E68</f>
        <v>-910947</v>
      </c>
      <c r="G65" s="8">
        <f t="shared" si="20"/>
        <v>-943287</v>
      </c>
      <c r="H65" s="8">
        <f t="shared" si="20"/>
        <v>-991151</v>
      </c>
      <c r="I65" s="8">
        <f t="shared" si="20"/>
        <v>-1010335</v>
      </c>
      <c r="J65" s="8">
        <f t="shared" si="20"/>
        <v>-1017305</v>
      </c>
      <c r="K65" s="8">
        <f t="shared" si="20"/>
        <v>-1036705</v>
      </c>
      <c r="L65" s="8">
        <f t="shared" si="20"/>
        <v>-1052605</v>
      </c>
      <c r="M65" s="8">
        <f t="shared" si="20"/>
        <v>-1053205</v>
      </c>
      <c r="N65" s="8">
        <f t="shared" si="20"/>
        <v>-1056605</v>
      </c>
      <c r="O65" s="8">
        <f t="shared" si="20"/>
        <v>-1055105</v>
      </c>
      <c r="P65" s="8"/>
      <c r="Q65" s="4"/>
      <c r="R65" s="4"/>
      <c r="S65" s="32" t="s">
        <v>113</v>
      </c>
      <c r="T65" s="1"/>
      <c r="U65" s="20">
        <v>3437</v>
      </c>
      <c r="V65" s="1"/>
      <c r="W65" s="1"/>
      <c r="X65" s="1"/>
    </row>
    <row r="66" spans="1:24" ht="12.6" customHeight="1" x14ac:dyDescent="0.2">
      <c r="A66" s="1"/>
      <c r="B66" s="37" t="s">
        <v>114</v>
      </c>
      <c r="C66" s="134"/>
      <c r="D66" s="140">
        <f>+C10</f>
        <v>573870</v>
      </c>
      <c r="E66" s="11">
        <f t="shared" ref="E66:O66" si="21">+D66+D10-D47</f>
        <v>592862</v>
      </c>
      <c r="F66" s="11">
        <f t="shared" si="21"/>
        <v>611605</v>
      </c>
      <c r="G66" s="11">
        <f t="shared" si="21"/>
        <v>631220</v>
      </c>
      <c r="H66" s="11">
        <f t="shared" si="21"/>
        <v>631093</v>
      </c>
      <c r="I66" s="11">
        <f t="shared" si="21"/>
        <v>636737</v>
      </c>
      <c r="J66" s="11">
        <f t="shared" si="21"/>
        <v>649663</v>
      </c>
      <c r="K66" s="11">
        <f t="shared" si="21"/>
        <v>657877</v>
      </c>
      <c r="L66" s="11">
        <f t="shared" si="21"/>
        <v>663577</v>
      </c>
      <c r="M66" s="11">
        <f t="shared" si="21"/>
        <v>670177</v>
      </c>
      <c r="N66" s="11">
        <f t="shared" si="21"/>
        <v>689977</v>
      </c>
      <c r="O66" s="11">
        <f t="shared" si="21"/>
        <v>710277</v>
      </c>
      <c r="P66" s="8"/>
      <c r="Q66" s="59">
        <f>+O66-(D66+P10-O10)+(P55-O55)</f>
        <v>0</v>
      </c>
      <c r="R66" s="59"/>
      <c r="S66" s="32" t="s">
        <v>115</v>
      </c>
      <c r="T66" s="1"/>
      <c r="U66" s="20">
        <v>3438</v>
      </c>
      <c r="V66" s="1"/>
      <c r="W66" s="1"/>
      <c r="X66" s="1"/>
    </row>
    <row r="67" spans="1:24" ht="12.6" customHeight="1" x14ac:dyDescent="0.2">
      <c r="A67" s="1"/>
      <c r="B67" s="37" t="s">
        <v>116</v>
      </c>
      <c r="D67" s="8">
        <f t="shared" ref="D67:O67" si="22">SUM(D65:D66)</f>
        <v>-296604</v>
      </c>
      <c r="E67" s="8">
        <f t="shared" si="22"/>
        <v>-328236</v>
      </c>
      <c r="F67" s="8">
        <f t="shared" si="22"/>
        <v>-299342</v>
      </c>
      <c r="G67" s="8">
        <f t="shared" si="22"/>
        <v>-312067</v>
      </c>
      <c r="H67" s="8">
        <f t="shared" si="22"/>
        <v>-360058</v>
      </c>
      <c r="I67" s="8">
        <f t="shared" si="22"/>
        <v>-373598</v>
      </c>
      <c r="J67" s="8">
        <f t="shared" si="22"/>
        <v>-367642</v>
      </c>
      <c r="K67" s="8">
        <f t="shared" si="22"/>
        <v>-378828</v>
      </c>
      <c r="L67" s="8">
        <f t="shared" si="22"/>
        <v>-389028</v>
      </c>
      <c r="M67" s="8">
        <f t="shared" si="22"/>
        <v>-383028</v>
      </c>
      <c r="N67" s="8">
        <f t="shared" si="22"/>
        <v>-366628</v>
      </c>
      <c r="O67" s="8">
        <f t="shared" si="22"/>
        <v>-344828</v>
      </c>
      <c r="Q67" s="4"/>
      <c r="R67" s="4"/>
      <c r="S67" s="32" t="s">
        <v>117</v>
      </c>
      <c r="U67" s="20">
        <v>5063</v>
      </c>
      <c r="V67" s="1"/>
      <c r="W67" s="1"/>
      <c r="X67" s="1"/>
    </row>
    <row r="68" spans="1:24" ht="12.6" customHeight="1" x14ac:dyDescent="0.2">
      <c r="A68" s="1"/>
      <c r="B68" s="37" t="s">
        <v>118</v>
      </c>
      <c r="C68" s="4"/>
      <c r="D68" s="49">
        <f t="shared" ref="D68:O68" si="23">+D9+D11</f>
        <v>-50624</v>
      </c>
      <c r="E68" s="49">
        <f t="shared" si="23"/>
        <v>10151</v>
      </c>
      <c r="F68" s="49">
        <f t="shared" si="23"/>
        <v>-32340</v>
      </c>
      <c r="G68" s="49">
        <f t="shared" si="23"/>
        <v>-47864</v>
      </c>
      <c r="H68" s="49">
        <f t="shared" si="23"/>
        <v>-19184</v>
      </c>
      <c r="I68" s="49">
        <f t="shared" si="23"/>
        <v>-6970</v>
      </c>
      <c r="J68" s="49">
        <f t="shared" si="23"/>
        <v>-19400</v>
      </c>
      <c r="K68" s="49">
        <f t="shared" si="23"/>
        <v>-15900</v>
      </c>
      <c r="L68" s="49">
        <f t="shared" si="23"/>
        <v>-600</v>
      </c>
      <c r="M68" s="49">
        <f t="shared" si="23"/>
        <v>-3400</v>
      </c>
      <c r="N68" s="49">
        <f t="shared" si="23"/>
        <v>1500</v>
      </c>
      <c r="O68" s="49">
        <f t="shared" si="23"/>
        <v>-3700</v>
      </c>
      <c r="P68" s="8">
        <f>SUM(D68:O68)</f>
        <v>-188331</v>
      </c>
      <c r="Q68" s="59">
        <f>+P68+D65-O65-O68</f>
        <v>0</v>
      </c>
      <c r="R68" s="59"/>
      <c r="S68" s="32" t="s">
        <v>119</v>
      </c>
      <c r="T68" s="1"/>
      <c r="U68" s="20">
        <v>5062</v>
      </c>
      <c r="W68" s="1"/>
      <c r="X68" s="1"/>
    </row>
    <row r="69" spans="1:24" ht="12.6" customHeight="1" x14ac:dyDescent="0.2">
      <c r="A69" s="1"/>
      <c r="B69" s="37" t="s">
        <v>76</v>
      </c>
      <c r="C69" s="4"/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120</v>
      </c>
      <c r="T69" s="1"/>
      <c r="U69" s="20">
        <v>8750</v>
      </c>
      <c r="W69" s="1"/>
      <c r="X69" s="1"/>
    </row>
    <row r="70" spans="1:24" ht="12.6" customHeight="1" x14ac:dyDescent="0.2">
      <c r="A70" s="1"/>
      <c r="B70" s="37" t="s">
        <v>121</v>
      </c>
      <c r="C70" s="48"/>
      <c r="D70" s="11">
        <f t="shared" ref="D70:O70" si="24">SUM(D67:D69)</f>
        <v>-347228</v>
      </c>
      <c r="E70" s="11">
        <f t="shared" si="24"/>
        <v>-318085</v>
      </c>
      <c r="F70" s="11">
        <f t="shared" si="24"/>
        <v>-331682</v>
      </c>
      <c r="G70" s="11">
        <f t="shared" si="24"/>
        <v>-359931</v>
      </c>
      <c r="H70" s="11">
        <f t="shared" si="24"/>
        <v>-379242</v>
      </c>
      <c r="I70" s="11">
        <f t="shared" si="24"/>
        <v>-380568</v>
      </c>
      <c r="J70" s="11">
        <f t="shared" si="24"/>
        <v>-387042</v>
      </c>
      <c r="K70" s="11">
        <f t="shared" si="24"/>
        <v>-394728</v>
      </c>
      <c r="L70" s="11">
        <f t="shared" si="24"/>
        <v>-389628</v>
      </c>
      <c r="M70" s="11">
        <f t="shared" si="24"/>
        <v>-386428</v>
      </c>
      <c r="N70" s="11">
        <f t="shared" si="24"/>
        <v>-365128</v>
      </c>
      <c r="O70" s="11">
        <f t="shared" si="24"/>
        <v>-348528</v>
      </c>
      <c r="P70" s="8"/>
      <c r="Q70" s="4"/>
      <c r="R70" s="4"/>
      <c r="S70" s="32" t="s">
        <v>111</v>
      </c>
      <c r="T70" s="13"/>
      <c r="U70" s="21">
        <v>8750</v>
      </c>
      <c r="V70" s="8">
        <f>U59-SUM(U63:U70)</f>
        <v>0</v>
      </c>
      <c r="W70" s="1"/>
      <c r="X70" s="1"/>
    </row>
    <row r="71" spans="1:24" ht="3.95" customHeight="1" x14ac:dyDescent="0.2">
      <c r="A71" s="1"/>
      <c r="B71" s="3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"/>
      <c r="W71" s="1"/>
      <c r="X71" s="1"/>
    </row>
    <row r="72" spans="1:24" ht="12.6" customHeight="1" x14ac:dyDescent="0.2">
      <c r="A72" s="1"/>
      <c r="B72" s="37" t="s">
        <v>80</v>
      </c>
      <c r="C72" s="9"/>
      <c r="D72" s="142">
        <f t="shared" ref="D72:O72" si="25">ROUND((D67+D70)/1.95,0)</f>
        <v>-330170</v>
      </c>
      <c r="E72" s="142">
        <f t="shared" si="25"/>
        <v>-331447</v>
      </c>
      <c r="F72" s="142">
        <f t="shared" si="25"/>
        <v>-323602</v>
      </c>
      <c r="G72" s="142">
        <f t="shared" si="25"/>
        <v>-344614</v>
      </c>
      <c r="H72" s="142">
        <f t="shared" si="25"/>
        <v>-379128</v>
      </c>
      <c r="I72" s="142">
        <f t="shared" si="25"/>
        <v>-386752</v>
      </c>
      <c r="J72" s="142">
        <f t="shared" si="25"/>
        <v>-387017</v>
      </c>
      <c r="K72" s="142">
        <f t="shared" si="25"/>
        <v>-396695</v>
      </c>
      <c r="L72" s="142">
        <f t="shared" si="25"/>
        <v>-399311</v>
      </c>
      <c r="M72" s="142">
        <f t="shared" si="25"/>
        <v>-394593</v>
      </c>
      <c r="N72" s="142">
        <f t="shared" si="25"/>
        <v>-375259</v>
      </c>
      <c r="O72" s="142">
        <f t="shared" si="25"/>
        <v>-355567</v>
      </c>
      <c r="P72" s="4"/>
      <c r="Q72" s="4"/>
      <c r="R72" s="4"/>
      <c r="S72" s="32" t="s">
        <v>122</v>
      </c>
      <c r="T72" s="4"/>
      <c r="U72" s="111">
        <f>SUM(U63:U70)</f>
        <v>34500</v>
      </c>
      <c r="V72" s="1"/>
      <c r="W72" s="1"/>
      <c r="X72" s="1"/>
    </row>
    <row r="73" spans="1:24" ht="12.6" customHeight="1" x14ac:dyDescent="0.2">
      <c r="A73" s="1"/>
      <c r="B73" s="37" t="s">
        <v>123</v>
      </c>
      <c r="C73" s="23">
        <v>0.06</v>
      </c>
      <c r="D73" s="23">
        <v>5.74E-2</v>
      </c>
      <c r="E73" s="23">
        <v>5.3900000000000003E-2</v>
      </c>
      <c r="F73" s="23">
        <v>0.05</v>
      </c>
      <c r="G73" s="23">
        <v>0.05</v>
      </c>
      <c r="H73" s="23">
        <v>4.1599999999999998E-2</v>
      </c>
      <c r="I73" s="23">
        <v>3.9199999999999999E-2</v>
      </c>
      <c r="J73" s="23">
        <v>3.7199999999999997E-2</v>
      </c>
      <c r="K73" s="23">
        <v>3.5999999999999997E-2</v>
      </c>
      <c r="L73" s="23">
        <v>3.5999999999999997E-2</v>
      </c>
      <c r="M73" s="23">
        <v>3.5999999999999997E-2</v>
      </c>
      <c r="N73" s="23">
        <v>3.5999999999999997E-2</v>
      </c>
      <c r="O73" s="23">
        <v>3.5999999999999997E-2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5" customHeight="1" x14ac:dyDescent="0.2">
      <c r="A74" s="1"/>
      <c r="B74" s="3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8"/>
      <c r="T74" s="1"/>
      <c r="U74" s="4"/>
      <c r="V74" s="1"/>
      <c r="W74" s="1"/>
      <c r="X74" s="1"/>
    </row>
    <row r="75" spans="1:24" ht="12.6" customHeight="1" x14ac:dyDescent="0.2">
      <c r="A75" s="1"/>
      <c r="B75" s="37" t="s">
        <v>124</v>
      </c>
      <c r="C75" s="8">
        <f>ROUND((C70)*(C73*(31/365)),0)</f>
        <v>0</v>
      </c>
      <c r="D75" s="8">
        <f>ROUND((D72)*(D73*(31/365)),0)</f>
        <v>-1610</v>
      </c>
      <c r="E75" s="8">
        <f>ROUND((E72)*(E73*(28/365)),0)</f>
        <v>-1370</v>
      </c>
      <c r="F75" s="8">
        <f>ROUND((F72)*(F73*(31/365)),0)</f>
        <v>-1374</v>
      </c>
      <c r="G75" s="8">
        <f>ROUND((G72)*(G73*(30/365)),0)</f>
        <v>-1416</v>
      </c>
      <c r="H75" s="8">
        <f>ROUND((H72)*(H73*(31/365)),0)</f>
        <v>-1340</v>
      </c>
      <c r="I75" s="8">
        <f>ROUND((I72)*(I73*(30/365)),0)</f>
        <v>-1246</v>
      </c>
      <c r="J75" s="8">
        <f>ROUND((J72)*(J73*(31/365)),0)</f>
        <v>-1223</v>
      </c>
      <c r="K75" s="8">
        <f>ROUND((K72)*(K73*(31/365)),0)</f>
        <v>-1213</v>
      </c>
      <c r="L75" s="8">
        <f>ROUND((L72)*(L73*(30/365)),0)</f>
        <v>-1182</v>
      </c>
      <c r="M75" s="8">
        <f>ROUND((M72)*(M73*(31/365)),0)</f>
        <v>-1206</v>
      </c>
      <c r="N75" s="8">
        <f>ROUND((N72)*(N73*(30/365)),0)</f>
        <v>-1110</v>
      </c>
      <c r="O75" s="8">
        <f>ROUND((O72)*(O73*(31/365)),0)</f>
        <v>-1087</v>
      </c>
      <c r="P75" s="8">
        <f>SUM(D75:O75)</f>
        <v>-15377</v>
      </c>
      <c r="Q75" s="4"/>
      <c r="R75" s="4"/>
      <c r="S75" s="4"/>
      <c r="T75" s="4"/>
      <c r="U75" s="4"/>
      <c r="V75" s="1"/>
      <c r="W75" s="1"/>
      <c r="X75" s="1"/>
    </row>
    <row r="76" spans="1:24" ht="12.6" customHeight="1" x14ac:dyDescent="0.2">
      <c r="A76" s="1"/>
      <c r="B76" s="37" t="s">
        <v>125</v>
      </c>
      <c r="C76" s="12"/>
      <c r="D76" s="128">
        <f>-5+1615</f>
        <v>1610</v>
      </c>
      <c r="E76" s="128">
        <f>-43+1413</f>
        <v>1370</v>
      </c>
      <c r="F76" s="128">
        <f>-1615-1413+39</f>
        <v>-2989</v>
      </c>
      <c r="G76" s="21">
        <v>-47</v>
      </c>
      <c r="H76" s="21">
        <v>52</v>
      </c>
      <c r="I76" s="21">
        <v>48</v>
      </c>
      <c r="J76" s="21">
        <v>28</v>
      </c>
      <c r="K76" s="21">
        <v>29</v>
      </c>
      <c r="L76" s="21">
        <v>47</v>
      </c>
      <c r="M76" s="21">
        <v>60</v>
      </c>
      <c r="N76" s="21">
        <v>58</v>
      </c>
      <c r="O76" s="21">
        <v>45</v>
      </c>
      <c r="P76" s="11">
        <f>SUM(D76:O76)</f>
        <v>311</v>
      </c>
      <c r="Q76" s="4"/>
      <c r="R76" s="4"/>
      <c r="S76" s="4"/>
      <c r="T76" s="4"/>
      <c r="U76" s="4"/>
      <c r="V76" s="1"/>
      <c r="W76" s="1"/>
      <c r="X76" s="1"/>
    </row>
    <row r="77" spans="1:24" ht="12.6" customHeight="1" x14ac:dyDescent="0.2">
      <c r="A77" s="1"/>
      <c r="B77" s="61" t="s">
        <v>126</v>
      </c>
      <c r="C77" s="1"/>
      <c r="D77" s="8">
        <f t="shared" ref="D77:P77" si="26">SUM(D75:D76)</f>
        <v>0</v>
      </c>
      <c r="E77" s="8">
        <f t="shared" si="26"/>
        <v>0</v>
      </c>
      <c r="F77" s="8">
        <f t="shared" si="26"/>
        <v>-4363</v>
      </c>
      <c r="G77" s="8">
        <f t="shared" si="26"/>
        <v>-1463</v>
      </c>
      <c r="H77" s="8">
        <f t="shared" si="26"/>
        <v>-1288</v>
      </c>
      <c r="I77" s="8">
        <f t="shared" si="26"/>
        <v>-1198</v>
      </c>
      <c r="J77" s="8">
        <f t="shared" si="26"/>
        <v>-1195</v>
      </c>
      <c r="K77" s="8">
        <f t="shared" si="26"/>
        <v>-1184</v>
      </c>
      <c r="L77" s="8">
        <f t="shared" si="26"/>
        <v>-1135</v>
      </c>
      <c r="M77" s="8">
        <f t="shared" si="26"/>
        <v>-1146</v>
      </c>
      <c r="N77" s="8">
        <f t="shared" si="26"/>
        <v>-1052</v>
      </c>
      <c r="O77" s="8">
        <f t="shared" si="26"/>
        <v>-1042</v>
      </c>
      <c r="P77" s="8">
        <f t="shared" si="26"/>
        <v>-15066</v>
      </c>
      <c r="Q77" s="4"/>
      <c r="R77" s="4"/>
      <c r="S77" s="4"/>
      <c r="T77" s="4"/>
      <c r="U77" s="4"/>
      <c r="V77" s="1"/>
      <c r="W77" s="1"/>
      <c r="X77" s="1"/>
    </row>
    <row r="78" spans="1:24" ht="12.6" customHeight="1" x14ac:dyDescent="0.2">
      <c r="A78" s="1"/>
      <c r="B78" s="37" t="s">
        <v>127</v>
      </c>
      <c r="C78" s="4"/>
      <c r="D78" s="49">
        <f>ROUND((+$T$52*0.0675)*(30/360),0)</f>
        <v>844</v>
      </c>
      <c r="E78" s="49">
        <f>ROUND((+$T$52*0.0675)*(30/360),0)</f>
        <v>844</v>
      </c>
      <c r="F78" s="49">
        <f>ROUND((+$T$52*0.0675)*(30/360),0)</f>
        <v>844</v>
      </c>
      <c r="G78" s="48">
        <f>ROUND((+$T$52*0.0675)*(30/360),0)-1</f>
        <v>843</v>
      </c>
      <c r="H78" s="49">
        <f>ROUND((+$T$52*0.0675)*(30/360),0)</f>
        <v>844</v>
      </c>
      <c r="I78" s="49">
        <f>ROUND((+$T$52*0.0675)*(30/360),0)</f>
        <v>844</v>
      </c>
      <c r="J78" s="49">
        <f>ROUND((+$T$52*0.0675)*(30/360),0)</f>
        <v>844</v>
      </c>
      <c r="K78" s="48">
        <f>ROUND((+$T$52*0.0675)*(30/360),0)-1</f>
        <v>843</v>
      </c>
      <c r="L78" s="49">
        <f>ROUND((+$T$52*0.0675)*(30/360),0)</f>
        <v>844</v>
      </c>
      <c r="M78" s="49">
        <f>ROUND((+$T$52*0.0675)*(30/360),0)</f>
        <v>844</v>
      </c>
      <c r="N78" s="49">
        <f>ROUND((+$T$52*0.0675)*(30/360),0)</f>
        <v>844</v>
      </c>
      <c r="O78" s="48">
        <f>ROUND((+$T$52*0.0675)*(30/360),0)-1</f>
        <v>843</v>
      </c>
      <c r="P78" s="8">
        <f>SUM(D78:O78)</f>
        <v>10125</v>
      </c>
      <c r="Q78" s="4"/>
      <c r="R78" s="4"/>
      <c r="S78" s="4"/>
      <c r="T78" s="4"/>
      <c r="U78" s="4"/>
      <c r="V78" s="1"/>
      <c r="W78" s="1"/>
      <c r="X78" s="1"/>
    </row>
    <row r="79" spans="1:24" ht="12.6" customHeight="1" x14ac:dyDescent="0.2">
      <c r="A79" s="1"/>
      <c r="B79" s="37" t="s">
        <v>128</v>
      </c>
      <c r="C79" s="4"/>
      <c r="D79" s="20">
        <v>11</v>
      </c>
      <c r="E79" s="20">
        <v>11</v>
      </c>
      <c r="F79" s="20">
        <v>11</v>
      </c>
      <c r="G79" s="20">
        <v>10</v>
      </c>
      <c r="H79" s="20">
        <v>11</v>
      </c>
      <c r="I79" s="20">
        <v>11</v>
      </c>
      <c r="J79" s="20">
        <v>11</v>
      </c>
      <c r="K79" s="20">
        <v>11</v>
      </c>
      <c r="L79" s="20">
        <v>11</v>
      </c>
      <c r="M79" s="20">
        <v>10</v>
      </c>
      <c r="N79" s="20">
        <v>11</v>
      </c>
      <c r="O79" s="20">
        <v>11</v>
      </c>
      <c r="P79" s="8">
        <f>SUM(D79:O79)</f>
        <v>130</v>
      </c>
      <c r="Q79" s="4"/>
      <c r="R79" s="4"/>
      <c r="S79" s="4"/>
      <c r="T79" s="4"/>
      <c r="U79" s="4"/>
      <c r="V79" s="1"/>
      <c r="W79" s="1"/>
      <c r="X79" s="1"/>
    </row>
    <row r="80" spans="1:24" ht="12.6" customHeight="1" x14ac:dyDescent="0.2">
      <c r="A80" s="1"/>
      <c r="B80" s="37" t="s">
        <v>129</v>
      </c>
      <c r="C80" s="4"/>
      <c r="D80" s="109">
        <f t="shared" ref="D80:N80" si="27">ROUND((+$T$52*0.0275)*(30/360),0)-344</f>
        <v>0</v>
      </c>
      <c r="E80" s="109">
        <f t="shared" si="27"/>
        <v>0</v>
      </c>
      <c r="F80" s="109">
        <f t="shared" si="27"/>
        <v>0</v>
      </c>
      <c r="G80" s="109">
        <f t="shared" si="27"/>
        <v>0</v>
      </c>
      <c r="H80" s="109">
        <f t="shared" si="27"/>
        <v>0</v>
      </c>
      <c r="I80" s="109">
        <f t="shared" si="27"/>
        <v>0</v>
      </c>
      <c r="J80" s="109">
        <f t="shared" si="27"/>
        <v>0</v>
      </c>
      <c r="K80" s="109">
        <f t="shared" si="27"/>
        <v>0</v>
      </c>
      <c r="L80" s="109">
        <f t="shared" si="27"/>
        <v>0</v>
      </c>
      <c r="M80" s="109">
        <f t="shared" si="27"/>
        <v>0</v>
      </c>
      <c r="N80" s="109">
        <f t="shared" si="27"/>
        <v>0</v>
      </c>
      <c r="O80" s="109">
        <f>ROUND((+$T$52*0.0275)*(30/360),0)-344+4125-4125</f>
        <v>0</v>
      </c>
      <c r="P80" s="11">
        <f>SUM(D80:O80)</f>
        <v>0</v>
      </c>
      <c r="Q80" s="4"/>
      <c r="R80" s="4"/>
      <c r="S80" s="4"/>
      <c r="T80" s="4"/>
      <c r="U80" s="4"/>
      <c r="V80" s="1"/>
      <c r="W80" s="1"/>
      <c r="X80" s="1"/>
    </row>
    <row r="81" spans="1:24" ht="3.95" customHeight="1" x14ac:dyDescent="0.2">
      <c r="A81" s="1"/>
      <c r="B81" s="37"/>
      <c r="C81" s="4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4"/>
      <c r="R81" s="4"/>
      <c r="S81" s="4"/>
      <c r="T81" s="4"/>
      <c r="U81" s="4"/>
      <c r="V81" s="1"/>
      <c r="W81" s="1"/>
      <c r="X81" s="1"/>
    </row>
    <row r="82" spans="1:24" ht="12.6" customHeight="1" x14ac:dyDescent="0.2">
      <c r="A82" s="1"/>
      <c r="B82" s="107" t="s">
        <v>130</v>
      </c>
      <c r="C82" s="4"/>
      <c r="D82" s="108">
        <f t="shared" ref="D82:P82" si="28">SUM(D77:D80)</f>
        <v>855</v>
      </c>
      <c r="E82" s="108">
        <f t="shared" si="28"/>
        <v>855</v>
      </c>
      <c r="F82" s="108">
        <f t="shared" si="28"/>
        <v>-3508</v>
      </c>
      <c r="G82" s="108">
        <f t="shared" si="28"/>
        <v>-610</v>
      </c>
      <c r="H82" s="108">
        <f t="shared" si="28"/>
        <v>-433</v>
      </c>
      <c r="I82" s="108">
        <f t="shared" si="28"/>
        <v>-343</v>
      </c>
      <c r="J82" s="108">
        <f t="shared" si="28"/>
        <v>-340</v>
      </c>
      <c r="K82" s="108">
        <f t="shared" si="28"/>
        <v>-330</v>
      </c>
      <c r="L82" s="108">
        <f t="shared" si="28"/>
        <v>-280</v>
      </c>
      <c r="M82" s="108">
        <f t="shared" si="28"/>
        <v>-292</v>
      </c>
      <c r="N82" s="108">
        <f t="shared" si="28"/>
        <v>-197</v>
      </c>
      <c r="O82" s="108">
        <f t="shared" si="28"/>
        <v>-188</v>
      </c>
      <c r="P82" s="108">
        <f t="shared" si="28"/>
        <v>-4811</v>
      </c>
      <c r="Q82" s="59">
        <f>+P82-SUM(D82:O82)</f>
        <v>0</v>
      </c>
      <c r="R82" s="59"/>
      <c r="T82" s="4"/>
      <c r="U82" s="4"/>
      <c r="V82" s="1"/>
      <c r="W82" s="1"/>
      <c r="X82" s="1"/>
    </row>
    <row r="83" spans="1:24" ht="12.6" customHeight="1" x14ac:dyDescent="0.2">
      <c r="A83" s="1"/>
      <c r="B83" s="3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4"/>
      <c r="Q83" s="4"/>
      <c r="R83" s="4"/>
      <c r="S83" s="4"/>
      <c r="T83" s="4"/>
      <c r="U83" s="99">
        <f ca="1">NOW()</f>
        <v>37189.602767708333</v>
      </c>
      <c r="V83" s="1"/>
      <c r="W83" s="1"/>
      <c r="X83" s="1"/>
    </row>
    <row r="84" spans="1:24" ht="12.6" customHeight="1" x14ac:dyDescent="0.2">
      <c r="A84" s="113" t="str">
        <f ca="1">CELL("FILENAME")</f>
        <v>H:\2002\[DBTEQTY02.xls]NNG-Original 2002 Plan</v>
      </c>
      <c r="B84" s="5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59"/>
      <c r="R84" s="59"/>
      <c r="T84" s="4"/>
      <c r="U84" s="35">
        <f ca="1">NOW()</f>
        <v>37189.602767708333</v>
      </c>
      <c r="V84" s="1"/>
      <c r="W84" s="1"/>
      <c r="X84" s="1"/>
    </row>
    <row r="85" spans="1:24" ht="11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1.25" x14ac:dyDescent="0.2">
      <c r="A86" s="1"/>
      <c r="B86" s="1"/>
      <c r="C86" s="1">
        <v>34</v>
      </c>
      <c r="D86" s="126">
        <f t="shared" ref="D86:O86" si="29">+C86+D79</f>
        <v>45</v>
      </c>
      <c r="E86" s="126">
        <f t="shared" si="29"/>
        <v>56</v>
      </c>
      <c r="F86" s="126">
        <f t="shared" si="29"/>
        <v>67</v>
      </c>
      <c r="G86" s="126">
        <f t="shared" si="29"/>
        <v>77</v>
      </c>
      <c r="H86" s="126">
        <f t="shared" si="29"/>
        <v>88</v>
      </c>
      <c r="I86" s="126">
        <f t="shared" si="29"/>
        <v>99</v>
      </c>
      <c r="J86" s="126">
        <f t="shared" si="29"/>
        <v>110</v>
      </c>
      <c r="K86" s="126">
        <f t="shared" si="29"/>
        <v>121</v>
      </c>
      <c r="L86" s="126">
        <f t="shared" si="29"/>
        <v>132</v>
      </c>
      <c r="M86" s="126">
        <f t="shared" si="29"/>
        <v>142</v>
      </c>
      <c r="N86" s="126">
        <f t="shared" si="29"/>
        <v>153</v>
      </c>
      <c r="O86" s="126">
        <f t="shared" si="29"/>
        <v>164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1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87"/>
  <sheetViews>
    <sheetView showGridLines="0" topLeftCell="A4" workbookViewId="0">
      <pane xSplit="2" ySplit="3" topLeftCell="J7" activePane="bottomRight" state="frozen"/>
      <selection activeCell="A4" sqref="A4"/>
      <selection pane="topRight" activeCell="C4" sqref="C4"/>
      <selection pane="bottomLeft" activeCell="A7" sqref="A7"/>
      <selection pane="bottomRight" activeCell="K9" sqref="K9"/>
    </sheetView>
  </sheetViews>
  <sheetFormatPr defaultColWidth="9.83203125" defaultRowHeight="10.5" x14ac:dyDescent="0.15"/>
  <cols>
    <col min="1" max="1" width="1.83203125" customWidth="1"/>
    <col min="2" max="2" width="60.83203125" customWidth="1"/>
    <col min="3" max="3" width="13.83203125" customWidth="1"/>
    <col min="4" max="15" width="12.83203125" customWidth="1"/>
    <col min="16" max="16" width="13.83203125" customWidth="1"/>
    <col min="17" max="17" width="6.83203125" customWidth="1"/>
    <col min="18" max="18" width="4.83203125" customWidth="1"/>
    <col min="19" max="19" width="45.83203125" customWidth="1"/>
    <col min="20" max="20" width="11.83203125" customWidth="1"/>
    <col min="21" max="21" width="10.83203125" customWidth="1"/>
  </cols>
  <sheetData>
    <row r="1" spans="1:24" ht="12.75" customHeight="1" x14ac:dyDescent="0.25">
      <c r="A1" s="41" t="s">
        <v>131</v>
      </c>
      <c r="B1" s="69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28"/>
      <c r="Q1" s="28"/>
      <c r="R1" s="66"/>
      <c r="S1" s="66"/>
      <c r="T1" s="66"/>
      <c r="U1" s="64"/>
      <c r="V1" s="1"/>
      <c r="W1" s="1"/>
      <c r="X1" s="1"/>
    </row>
    <row r="2" spans="1:24" ht="12.75" customHeight="1" x14ac:dyDescent="0.25">
      <c r="A2" s="136" t="str">
        <f>+'NNG-3rd CE 2001'!A2</f>
        <v>2001 ACTUAL / ESTIMATE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28"/>
      <c r="Q2" s="28"/>
      <c r="R2" s="66"/>
      <c r="S2" s="66"/>
      <c r="T2" s="66"/>
      <c r="U2" s="64"/>
      <c r="V2" s="1"/>
      <c r="W2" s="1"/>
      <c r="X2" s="1"/>
    </row>
    <row r="3" spans="1:24" ht="12.75" customHeight="1" x14ac:dyDescent="0.25">
      <c r="A3" s="70" t="str">
        <f>+'NNG-3rd CE 2001'!A3</f>
        <v>INTERCOMPANY FINANCING CALCULATION</v>
      </c>
      <c r="B3" s="64"/>
      <c r="C3" s="70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28"/>
      <c r="R3" s="66"/>
      <c r="S3" s="66"/>
      <c r="T3" s="66"/>
      <c r="U3" s="66"/>
      <c r="V3" s="1"/>
      <c r="W3" s="1"/>
      <c r="X3" s="1"/>
    </row>
    <row r="4" spans="1:24" ht="12.6" customHeight="1" x14ac:dyDescent="0.2">
      <c r="B4" s="43" t="str">
        <f>+'NNG-3rd CE 2001'!B4</f>
        <v xml:space="preserve">  " 3rd Current Estimate (9/19) "</v>
      </c>
      <c r="C4" s="44" t="str">
        <f>+'NNG-3rd CE 2001'!C4</f>
        <v>ACTUAL</v>
      </c>
      <c r="D4" s="3"/>
      <c r="E4" s="44"/>
      <c r="F4" s="1"/>
      <c r="G4" s="1"/>
      <c r="H4" s="44"/>
      <c r="J4" s="51"/>
      <c r="K4" s="44" t="str">
        <f>+'NNG-3rd CE 2001'!K4</f>
        <v>PRE</v>
      </c>
      <c r="L4" s="3"/>
      <c r="M4" s="3"/>
      <c r="N4" s="3"/>
      <c r="O4" s="3"/>
      <c r="P4" s="3"/>
      <c r="Q4" s="3"/>
      <c r="R4" s="4"/>
      <c r="S4" s="4"/>
      <c r="T4" s="5"/>
      <c r="U4" s="4"/>
      <c r="V4" s="1"/>
      <c r="W4" s="1"/>
      <c r="X4" s="1"/>
    </row>
    <row r="5" spans="1:24" ht="12.6" customHeight="1" x14ac:dyDescent="0.2">
      <c r="B5" s="3"/>
      <c r="C5" s="44" t="str">
        <f>+'NNG-3rd CE 2001'!C5</f>
        <v>YEAR END</v>
      </c>
      <c r="D5" s="44" t="str">
        <f>+'NNG-3rd CE 2001'!D5</f>
        <v>ACT.</v>
      </c>
      <c r="E5" s="44" t="str">
        <f>+'NNG-3rd CE 2001'!E5</f>
        <v>ACT.</v>
      </c>
      <c r="F5" s="44" t="str">
        <f>+'NNG-3rd CE 2001'!F5</f>
        <v>ACT.</v>
      </c>
      <c r="G5" s="44" t="str">
        <f>+'NNG-3rd CE 2001'!G5</f>
        <v>ACT.</v>
      </c>
      <c r="H5" s="44" t="str">
        <f>+'NNG-3rd CE 2001'!H5</f>
        <v>ACT.</v>
      </c>
      <c r="I5" s="44" t="str">
        <f>+'NNG-3rd CE 2001'!I5</f>
        <v>ACT.</v>
      </c>
      <c r="J5" s="44" t="str">
        <f>+'NNG-3rd CE 2001'!J5</f>
        <v>ACT.</v>
      </c>
      <c r="K5" s="44" t="str">
        <f>+'NNG-3rd CE 2001'!K5</f>
        <v>ACT.</v>
      </c>
      <c r="L5" s="44">
        <f>+'NNG-3rd CE 2001'!L5</f>
        <v>0</v>
      </c>
      <c r="M5" s="44">
        <f>+'NNG-3rd CE 2001'!M5</f>
        <v>0</v>
      </c>
      <c r="N5" s="44">
        <f>+'NNG-3rd CE 2001'!N5</f>
        <v>0</v>
      </c>
      <c r="O5" s="44">
        <f>+'NNG-3rd CE 2001'!O5</f>
        <v>0</v>
      </c>
      <c r="P5" s="44" t="str">
        <f>+'NNG-3rd CE 2001'!P5</f>
        <v>YEAR END</v>
      </c>
      <c r="Q5" s="44"/>
      <c r="R5" s="4"/>
      <c r="S5" s="5"/>
      <c r="T5" s="5"/>
      <c r="U5" s="4"/>
      <c r="V5" s="1"/>
      <c r="W5" s="1"/>
      <c r="X5" s="1"/>
    </row>
    <row r="6" spans="1:24" ht="12.6" customHeight="1" x14ac:dyDescent="0.2">
      <c r="B6" s="3"/>
      <c r="C6" s="16" t="str">
        <f>+'NNG-3rd CE 2001'!C6</f>
        <v>12/31/00</v>
      </c>
      <c r="D6" s="16" t="str">
        <f>+'NNG-3rd CE 2001'!D6</f>
        <v>JAN.</v>
      </c>
      <c r="E6" s="16" t="str">
        <f>+'NNG-3rd CE 2001'!E6</f>
        <v>FEB.</v>
      </c>
      <c r="F6" s="16" t="str">
        <f>+'NNG-3rd CE 2001'!F6</f>
        <v>MAR.</v>
      </c>
      <c r="G6" s="16" t="str">
        <f>+'NNG-3rd CE 2001'!G6</f>
        <v>APR.</v>
      </c>
      <c r="H6" s="16" t="str">
        <f>+'NNG-3rd CE 2001'!H6</f>
        <v>MAY</v>
      </c>
      <c r="I6" s="16" t="str">
        <f>+'NNG-3rd CE 2001'!I6</f>
        <v>JUNE</v>
      </c>
      <c r="J6" s="16" t="str">
        <f>+'NNG-3rd CE 2001'!J6</f>
        <v>JULY</v>
      </c>
      <c r="K6" s="16" t="str">
        <f>+'NNG-3rd CE 2001'!K6</f>
        <v>AUG.</v>
      </c>
      <c r="L6" s="16" t="str">
        <f>+'NNG-3rd CE 2001'!L6</f>
        <v>SEP.</v>
      </c>
      <c r="M6" s="16" t="str">
        <f>+'NNG-3rd CE 2001'!M6</f>
        <v>OCT.</v>
      </c>
      <c r="N6" s="16" t="str">
        <f>+'NNG-3rd CE 2001'!N6</f>
        <v>NOV.</v>
      </c>
      <c r="O6" s="16" t="str">
        <f>+'NNG-3rd CE 2001'!O6</f>
        <v>DEC.</v>
      </c>
      <c r="P6" s="16" t="str">
        <f>+'NNG-3rd CE 2001'!P6</f>
        <v>12/31/01</v>
      </c>
      <c r="Q6" s="16"/>
      <c r="R6" s="4"/>
      <c r="S6" s="7"/>
      <c r="T6" s="7"/>
      <c r="U6" s="4"/>
      <c r="V6" s="1"/>
      <c r="W6" s="1"/>
      <c r="X6" s="1"/>
    </row>
    <row r="7" spans="1:24" ht="12.6" customHeight="1" x14ac:dyDescent="0.2">
      <c r="A7" s="60" t="e">
        <f>+'[1]NNG-Forecast '!A7</f>
        <v>#REF!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17"/>
      <c r="R7" s="4"/>
      <c r="S7" s="7"/>
      <c r="T7" s="7"/>
      <c r="U7" s="4"/>
      <c r="V7" s="1"/>
      <c r="W7" s="1"/>
      <c r="X7" s="1"/>
    </row>
    <row r="8" spans="1:24" ht="12.6" customHeight="1" x14ac:dyDescent="0.2">
      <c r="A8" s="1"/>
      <c r="B8" s="43" t="str">
        <f>+'NNG-3rd CE 2001'!B8</f>
        <v>Payable / (Receivable) Corp. - Beg. Balance</v>
      </c>
      <c r="C8" s="106">
        <v>-524956</v>
      </c>
      <c r="D8" s="8">
        <f t="shared" ref="D8:O8" si="0">C15</f>
        <v>-378021</v>
      </c>
      <c r="E8" s="8">
        <f t="shared" si="0"/>
        <v>-388644</v>
      </c>
      <c r="F8" s="8">
        <f t="shared" si="0"/>
        <v>-399000</v>
      </c>
      <c r="G8" s="8">
        <f t="shared" si="0"/>
        <v>-413673</v>
      </c>
      <c r="H8" s="8">
        <f t="shared" si="0"/>
        <v>-407687</v>
      </c>
      <c r="I8" s="8">
        <f t="shared" si="0"/>
        <v>-398228</v>
      </c>
      <c r="J8" s="8">
        <f t="shared" si="0"/>
        <v>-265943</v>
      </c>
      <c r="K8" s="8">
        <f t="shared" si="0"/>
        <v>-261881</v>
      </c>
      <c r="L8" s="8">
        <f t="shared" si="0"/>
        <v>-272081</v>
      </c>
      <c r="M8" s="8">
        <f t="shared" si="0"/>
        <v>-269081</v>
      </c>
      <c r="N8" s="8">
        <f t="shared" si="0"/>
        <v>-272781</v>
      </c>
      <c r="O8" s="8">
        <f t="shared" si="0"/>
        <v>-266781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">
      <c r="A9" s="1"/>
      <c r="B9" s="37" t="s">
        <v>132</v>
      </c>
      <c r="C9" s="4"/>
      <c r="D9" s="20">
        <v>-16843</v>
      </c>
      <c r="E9" s="20">
        <v>-18216</v>
      </c>
      <c r="F9" s="20">
        <v>-19681</v>
      </c>
      <c r="G9" s="20">
        <v>-11641</v>
      </c>
      <c r="H9" s="20">
        <v>4026</v>
      </c>
      <c r="I9" s="106">
        <f>-22714+150000</f>
        <v>127286</v>
      </c>
      <c r="J9" s="20">
        <v>-1246</v>
      </c>
      <c r="K9" s="20">
        <v>-15600</v>
      </c>
      <c r="L9" s="20">
        <v>-1900</v>
      </c>
      <c r="M9" s="20">
        <v>-5700</v>
      </c>
      <c r="N9" s="20">
        <v>200</v>
      </c>
      <c r="O9" s="20">
        <v>200</v>
      </c>
      <c r="P9" s="8">
        <f>SUM(D9:O9)</f>
        <v>40885</v>
      </c>
      <c r="Q9" s="8"/>
      <c r="R9" s="4"/>
      <c r="S9" s="5"/>
      <c r="T9" s="9"/>
      <c r="U9" s="4"/>
      <c r="V9" s="1"/>
      <c r="W9" s="1"/>
      <c r="X9" s="1"/>
    </row>
    <row r="10" spans="1:24" ht="12.6" customHeight="1" x14ac:dyDescent="0.2">
      <c r="A10" s="1"/>
      <c r="B10" s="110" t="str">
        <f>+'NNG-3rd CE 2001'!B10</f>
        <v xml:space="preserve">   Pay. / (Rec.) - Corp. (Co.011) / Interco.Netting (Co.827) </v>
      </c>
      <c r="C10" s="106">
        <v>146935</v>
      </c>
      <c r="D10" s="20">
        <v>6220</v>
      </c>
      <c r="E10" s="20">
        <v>7860</v>
      </c>
      <c r="F10" s="20">
        <f>(8516-368)-5198+2058</f>
        <v>5008</v>
      </c>
      <c r="G10" s="20">
        <v>17627</v>
      </c>
      <c r="H10" s="20">
        <v>5433</v>
      </c>
      <c r="I10" s="20">
        <v>4999</v>
      </c>
      <c r="J10" s="20">
        <v>5308</v>
      </c>
      <c r="K10" s="20">
        <v>5400</v>
      </c>
      <c r="L10" s="20">
        <v>4900</v>
      </c>
      <c r="M10" s="20">
        <v>2000</v>
      </c>
      <c r="N10" s="20">
        <v>5800</v>
      </c>
      <c r="O10" s="20">
        <v>5400</v>
      </c>
      <c r="P10" s="8">
        <f>SUM(D10:O10)</f>
        <v>75955</v>
      </c>
      <c r="Q10" s="8"/>
      <c r="R10" s="4"/>
      <c r="S10" s="4"/>
      <c r="T10" s="4"/>
      <c r="U10" s="4"/>
      <c r="V10" s="1"/>
      <c r="W10" s="1"/>
      <c r="X10" s="1"/>
    </row>
    <row r="11" spans="1:24" ht="12.6" customHeight="1" x14ac:dyDescent="0.2">
      <c r="A11" s="1"/>
      <c r="B11" s="110" t="str">
        <f>+'NNG-3rd CE 2001'!B11</f>
        <v xml:space="preserve">   Dividends to EPC 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8"/>
      <c r="R11" s="4"/>
      <c r="S11" s="9"/>
      <c r="T11" s="9"/>
      <c r="U11" s="4"/>
      <c r="V11" s="1"/>
      <c r="W11" s="1"/>
      <c r="X11" s="1"/>
    </row>
    <row r="12" spans="1:24" ht="12.6" customHeight="1" x14ac:dyDescent="0.2">
      <c r="A12" s="1"/>
      <c r="B12" s="110" t="str">
        <f>+'NNG-3rd CE 2001'!B12</f>
        <v xml:space="preserve">   Other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8"/>
      <c r="R12" s="4"/>
      <c r="S12" s="4"/>
      <c r="T12" s="4"/>
      <c r="U12" s="4"/>
      <c r="V12" s="1"/>
      <c r="W12" s="1"/>
      <c r="X12" s="1"/>
    </row>
    <row r="13" spans="1:24" ht="12.6" customHeight="1" x14ac:dyDescent="0.2">
      <c r="A13" s="1"/>
      <c r="B13" s="110" t="str">
        <f>+'NNG-3rd CE 2001'!B13</f>
        <v xml:space="preserve">   Miscellaneous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5" customHeight="1" x14ac:dyDescent="0.2">
      <c r="A14" s="1"/>
      <c r="B14" s="13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">
      <c r="A15" s="1"/>
      <c r="B15" s="110" t="str">
        <f>+'NNG-3rd CE 2001'!B15</f>
        <v xml:space="preserve">Payable / (Receivable) Corp. - End. Balance </v>
      </c>
      <c r="C15" s="11">
        <f t="shared" ref="C15:O15" si="2">SUM(C8:C14)</f>
        <v>-378021</v>
      </c>
      <c r="D15" s="11">
        <f t="shared" si="2"/>
        <v>-388644</v>
      </c>
      <c r="E15" s="11">
        <f t="shared" si="2"/>
        <v>-399000</v>
      </c>
      <c r="F15" s="11">
        <f t="shared" si="2"/>
        <v>-413673</v>
      </c>
      <c r="G15" s="11">
        <f t="shared" si="2"/>
        <v>-407687</v>
      </c>
      <c r="H15" s="11">
        <f t="shared" si="2"/>
        <v>-398228</v>
      </c>
      <c r="I15" s="11">
        <f t="shared" si="2"/>
        <v>-265943</v>
      </c>
      <c r="J15" s="11">
        <f t="shared" si="2"/>
        <v>-261881</v>
      </c>
      <c r="K15" s="11">
        <f t="shared" si="2"/>
        <v>-272081</v>
      </c>
      <c r="L15" s="11">
        <f t="shared" si="2"/>
        <v>-269081</v>
      </c>
      <c r="M15" s="11">
        <f t="shared" si="2"/>
        <v>-272781</v>
      </c>
      <c r="N15" s="11">
        <f t="shared" si="2"/>
        <v>-266781</v>
      </c>
      <c r="O15" s="11">
        <f t="shared" si="2"/>
        <v>-261181</v>
      </c>
      <c r="P15" s="4"/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24" ht="12.6" customHeight="1" x14ac:dyDescent="0.2">
      <c r="A17" s="1"/>
      <c r="B17" s="110" t="str">
        <f>+'NNG-3rd CE 2001'!B17</f>
        <v>Long Term Debt - Beginning Balance</v>
      </c>
      <c r="C17" s="20">
        <v>165450</v>
      </c>
      <c r="D17" s="8">
        <f t="shared" ref="D17:O17" si="3">C23</f>
        <v>165450</v>
      </c>
      <c r="E17" s="8">
        <f t="shared" si="3"/>
        <v>165450</v>
      </c>
      <c r="F17" s="8">
        <f t="shared" si="3"/>
        <v>165450</v>
      </c>
      <c r="G17" s="8">
        <f t="shared" si="3"/>
        <v>165450</v>
      </c>
      <c r="H17" s="8">
        <f t="shared" si="3"/>
        <v>165450</v>
      </c>
      <c r="I17" s="8">
        <f t="shared" si="3"/>
        <v>165450</v>
      </c>
      <c r="J17" s="8">
        <f t="shared" si="3"/>
        <v>15450</v>
      </c>
      <c r="K17" s="8">
        <f t="shared" si="3"/>
        <v>15450</v>
      </c>
      <c r="L17" s="8">
        <f t="shared" si="3"/>
        <v>15450</v>
      </c>
      <c r="M17" s="8">
        <f t="shared" si="3"/>
        <v>15450</v>
      </c>
      <c r="N17" s="8">
        <f t="shared" si="3"/>
        <v>15450</v>
      </c>
      <c r="O17" s="8">
        <f t="shared" si="3"/>
        <v>11600</v>
      </c>
      <c r="P17" s="4"/>
      <c r="Q17" s="4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24" ht="12.6" customHeight="1" x14ac:dyDescent="0.2">
      <c r="A18" s="1"/>
      <c r="B18" s="110" t="str">
        <f>+'NNG-3rd CE 2001'!B18</f>
        <v xml:space="preserve">   Principal - External</v>
      </c>
      <c r="C18" s="5"/>
      <c r="D18" s="20">
        <v>0</v>
      </c>
      <c r="E18" s="20">
        <v>0</v>
      </c>
      <c r="F18" s="20">
        <v>0</v>
      </c>
      <c r="G18" s="20">
        <v>0</v>
      </c>
      <c r="H18" s="129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-3850</v>
      </c>
      <c r="O18" s="20">
        <v>0</v>
      </c>
      <c r="P18" s="4"/>
      <c r="Q18" s="4"/>
      <c r="R18" s="4"/>
      <c r="S18" s="78" t="s">
        <v>57</v>
      </c>
      <c r="T18" s="20">
        <v>146150</v>
      </c>
      <c r="U18" s="79">
        <f>ROUND(T18/T20,4)</f>
        <v>0.12959999999999999</v>
      </c>
      <c r="V18" s="1"/>
      <c r="W18" s="1"/>
      <c r="X18" s="1"/>
    </row>
    <row r="19" spans="1:24" ht="12.6" customHeight="1" x14ac:dyDescent="0.2">
      <c r="A19" s="1"/>
      <c r="B19" s="110" t="str">
        <f>+'NNG-3rd CE 2001'!B19</f>
        <v xml:space="preserve">                 - Corporate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-150000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65</v>
      </c>
      <c r="T19" s="11">
        <f>L31</f>
        <v>981270</v>
      </c>
      <c r="U19" s="81">
        <f>ROUND(T19/T20,4)</f>
        <v>0.87039999999999995</v>
      </c>
      <c r="V19" s="1"/>
      <c r="W19" s="1"/>
      <c r="X19" s="1"/>
    </row>
    <row r="20" spans="1:24" ht="12.6" customHeight="1" x14ac:dyDescent="0.2">
      <c r="A20" s="1"/>
      <c r="B20" s="110" t="str">
        <f>+'NNG-3rd CE 2001'!B20</f>
        <v xml:space="preserve">   Debt Discount</v>
      </c>
      <c r="C20" s="20">
        <v>0</v>
      </c>
      <c r="D20" s="59">
        <f t="shared" ref="D20:O20" si="4">D53</f>
        <v>0</v>
      </c>
      <c r="E20" s="59">
        <f t="shared" si="4"/>
        <v>0</v>
      </c>
      <c r="F20" s="59">
        <f t="shared" si="4"/>
        <v>0</v>
      </c>
      <c r="G20" s="59">
        <f t="shared" si="4"/>
        <v>0</v>
      </c>
      <c r="H20" s="59">
        <f t="shared" si="4"/>
        <v>0</v>
      </c>
      <c r="I20" s="59">
        <f t="shared" si="4"/>
        <v>0</v>
      </c>
      <c r="J20" s="59">
        <f t="shared" si="4"/>
        <v>0</v>
      </c>
      <c r="K20" s="59">
        <f t="shared" si="4"/>
        <v>0</v>
      </c>
      <c r="L20" s="59">
        <f t="shared" si="4"/>
        <v>0</v>
      </c>
      <c r="M20" s="59">
        <f t="shared" si="4"/>
        <v>0</v>
      </c>
      <c r="N20" s="59">
        <f t="shared" si="4"/>
        <v>0</v>
      </c>
      <c r="O20" s="59">
        <f t="shared" si="4"/>
        <v>0</v>
      </c>
      <c r="P20" s="4"/>
      <c r="Q20" s="4"/>
      <c r="R20" s="4"/>
      <c r="S20" s="80" t="s">
        <v>61</v>
      </c>
      <c r="T20" s="12">
        <f>T18+T19</f>
        <v>1127420</v>
      </c>
      <c r="U20" s="82">
        <f>U18+U19</f>
        <v>1</v>
      </c>
      <c r="V20" s="1"/>
      <c r="W20" s="1"/>
      <c r="X20" s="1"/>
    </row>
    <row r="21" spans="1:24" ht="12.6" customHeight="1" x14ac:dyDescent="0.2">
      <c r="A21" s="1"/>
      <c r="B21" s="110" t="str">
        <f>+'NNG-3rd CE 2001'!B21</f>
        <v xml:space="preserve">   Miscellaneous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4"/>
      <c r="R21" s="8"/>
      <c r="S21" s="83"/>
      <c r="T21" s="84"/>
      <c r="U21" s="85"/>
      <c r="V21" s="1"/>
      <c r="W21" s="1"/>
      <c r="X21" s="1"/>
    </row>
    <row r="22" spans="1:24" ht="3.95" customHeight="1" x14ac:dyDescent="0.2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24" ht="12.6" customHeight="1" x14ac:dyDescent="0.2">
      <c r="A23" s="1"/>
      <c r="B23" s="110" t="str">
        <f>+'NNG-3rd CE 2001'!B23</f>
        <v>Long Term Debt - Ending Balance</v>
      </c>
      <c r="C23" s="11">
        <f>SUM(C17:C22)</f>
        <v>165450</v>
      </c>
      <c r="D23" s="11">
        <f>SUM(D17:D20)</f>
        <v>165450</v>
      </c>
      <c r="E23" s="11">
        <f t="shared" ref="E23:O23" si="5">SUM(E17:E21)</f>
        <v>165450</v>
      </c>
      <c r="F23" s="11">
        <f t="shared" si="5"/>
        <v>165450</v>
      </c>
      <c r="G23" s="11">
        <f t="shared" si="5"/>
        <v>165450</v>
      </c>
      <c r="H23" s="11">
        <f t="shared" si="5"/>
        <v>165450</v>
      </c>
      <c r="I23" s="11">
        <f t="shared" si="5"/>
        <v>15450</v>
      </c>
      <c r="J23" s="11">
        <f t="shared" si="5"/>
        <v>15450</v>
      </c>
      <c r="K23" s="11">
        <f t="shared" si="5"/>
        <v>15450</v>
      </c>
      <c r="L23" s="11">
        <f t="shared" si="5"/>
        <v>15450</v>
      </c>
      <c r="M23" s="11">
        <f t="shared" si="5"/>
        <v>15450</v>
      </c>
      <c r="N23" s="11">
        <f t="shared" si="5"/>
        <v>11600</v>
      </c>
      <c r="O23" s="11">
        <f t="shared" si="5"/>
        <v>11600</v>
      </c>
      <c r="P23" s="4"/>
      <c r="Q23" s="4"/>
      <c r="R23" s="8"/>
      <c r="S23" s="9"/>
      <c r="T23" s="86"/>
      <c r="U23" s="4"/>
      <c r="V23" s="1"/>
      <c r="W23" s="1"/>
      <c r="X23" s="1"/>
    </row>
    <row r="24" spans="1:24" ht="8.1" customHeight="1" x14ac:dyDescent="0.2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8"/>
      <c r="S24" s="9"/>
      <c r="T24" s="4"/>
      <c r="U24" s="4"/>
      <c r="V24" s="1"/>
      <c r="W24" s="1"/>
      <c r="X24" s="1"/>
    </row>
    <row r="25" spans="1:24" ht="12.6" customHeight="1" x14ac:dyDescent="0.2">
      <c r="A25" s="1"/>
      <c r="B25" s="110" t="str">
        <f>+'NNG-3rd CE 2001'!B25</f>
        <v>Equity - Beginning Balance</v>
      </c>
      <c r="C25" s="4"/>
      <c r="D25" s="8">
        <f t="shared" ref="D25:O25" si="6">C31</f>
        <v>942827</v>
      </c>
      <c r="E25" s="8">
        <f t="shared" si="6"/>
        <v>923268</v>
      </c>
      <c r="F25" s="8">
        <f t="shared" si="6"/>
        <v>940277</v>
      </c>
      <c r="G25" s="8">
        <f t="shared" si="6"/>
        <v>939317</v>
      </c>
      <c r="H25" s="8">
        <f t="shared" si="6"/>
        <v>947471</v>
      </c>
      <c r="I25" s="8">
        <f t="shared" si="6"/>
        <v>955049</v>
      </c>
      <c r="J25" s="8">
        <f t="shared" si="6"/>
        <v>961345</v>
      </c>
      <c r="K25" s="8">
        <f t="shared" si="6"/>
        <v>968260</v>
      </c>
      <c r="L25" s="8">
        <f t="shared" si="6"/>
        <v>974712</v>
      </c>
      <c r="M25" s="8">
        <f t="shared" si="6"/>
        <v>981270</v>
      </c>
      <c r="N25" s="8">
        <f t="shared" si="6"/>
        <v>987268</v>
      </c>
      <c r="O25" s="8">
        <f t="shared" si="6"/>
        <v>992754</v>
      </c>
      <c r="P25" s="4"/>
      <c r="Q25" s="4"/>
      <c r="R25" s="4"/>
      <c r="S25" s="1"/>
      <c r="T25" s="1"/>
      <c r="U25" s="4"/>
      <c r="V25" s="1"/>
      <c r="W25" s="1"/>
      <c r="X25" s="1"/>
    </row>
    <row r="26" spans="1:24" ht="12.6" customHeight="1" x14ac:dyDescent="0.2">
      <c r="A26" s="1"/>
      <c r="B26" s="110" t="str">
        <f>+'NNG-3rd CE 2001'!B26</f>
        <v xml:space="preserve">   Net Income</v>
      </c>
      <c r="C26" s="4"/>
      <c r="D26" s="20">
        <v>6658</v>
      </c>
      <c r="E26" s="20">
        <v>8540</v>
      </c>
      <c r="F26" s="20">
        <v>3341</v>
      </c>
      <c r="G26" s="20">
        <v>8154</v>
      </c>
      <c r="H26" s="20">
        <v>7578</v>
      </c>
      <c r="I26" s="20">
        <v>6296</v>
      </c>
      <c r="J26" s="20">
        <v>6915</v>
      </c>
      <c r="K26" s="20">
        <v>6452</v>
      </c>
      <c r="L26" s="20">
        <v>6558</v>
      </c>
      <c r="M26" s="20">
        <v>5998</v>
      </c>
      <c r="N26" s="20">
        <v>5486</v>
      </c>
      <c r="O26" s="20">
        <v>5977</v>
      </c>
      <c r="P26" s="8">
        <f>SUM(D26:O26)</f>
        <v>77953</v>
      </c>
      <c r="Q26" s="8"/>
      <c r="R26" s="8"/>
      <c r="S26" s="100"/>
      <c r="T26" s="88"/>
      <c r="U26" s="101"/>
      <c r="V26" s="1"/>
      <c r="W26" s="1"/>
      <c r="X26" s="1"/>
    </row>
    <row r="27" spans="1:24" ht="12.6" customHeight="1" x14ac:dyDescent="0.2">
      <c r="A27" s="1"/>
      <c r="B27" s="110" t="str">
        <f>+'NNG-3rd CE 2001'!B27</f>
        <v xml:space="preserve">   Dividends to EPC 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8"/>
      <c r="R27" s="4"/>
      <c r="S27" s="102"/>
      <c r="T27" s="91"/>
      <c r="U27" s="103"/>
      <c r="V27" s="1"/>
      <c r="W27" s="1"/>
      <c r="X27" s="1"/>
    </row>
    <row r="28" spans="1:24" ht="12.6" customHeight="1" x14ac:dyDescent="0.2">
      <c r="A28" s="1"/>
      <c r="B28" s="127" t="s">
        <v>47</v>
      </c>
      <c r="C28" s="5"/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8"/>
      <c r="R28" s="4"/>
      <c r="S28" s="102"/>
      <c r="T28" s="91"/>
      <c r="U28" s="103"/>
      <c r="V28" s="1"/>
      <c r="W28" s="1"/>
      <c r="X28" s="1"/>
    </row>
    <row r="29" spans="1:24" ht="12.6" customHeight="1" x14ac:dyDescent="0.2">
      <c r="A29" s="1"/>
      <c r="B29" s="110" t="str">
        <f>+'NNG-3rd CE 2001'!B29</f>
        <v xml:space="preserve">   Misc. (FASB 133)</v>
      </c>
      <c r="C29" s="5"/>
      <c r="D29" s="21">
        <v>-26217</v>
      </c>
      <c r="E29" s="21">
        <v>8469</v>
      </c>
      <c r="F29" s="128">
        <f>-18333+14032</f>
        <v>-4301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-22049</v>
      </c>
      <c r="Q29" s="8"/>
      <c r="R29" s="4"/>
      <c r="S29" s="102"/>
      <c r="T29" s="93"/>
      <c r="U29" s="104"/>
      <c r="V29" s="1"/>
      <c r="W29" s="1"/>
      <c r="X29" s="1"/>
    </row>
    <row r="30" spans="1:24" ht="3.95" customHeight="1" x14ac:dyDescent="0.2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1"/>
      <c r="R30" s="4"/>
      <c r="S30" s="105"/>
      <c r="T30" s="105"/>
      <c r="U30" s="105"/>
      <c r="V30" s="1"/>
      <c r="W30" s="1"/>
      <c r="X30" s="1"/>
    </row>
    <row r="31" spans="1:24" ht="12.6" customHeight="1" x14ac:dyDescent="0.2">
      <c r="A31" s="1"/>
      <c r="B31" s="110" t="str">
        <f>+'NNG-3rd CE 2001'!B31</f>
        <v>Equity - Ending Balance</v>
      </c>
      <c r="C31" s="21">
        <v>942827</v>
      </c>
      <c r="D31" s="11">
        <f t="shared" ref="D31:O31" si="7">SUM(D25:D29)</f>
        <v>923268</v>
      </c>
      <c r="E31" s="11">
        <f t="shared" si="7"/>
        <v>940277</v>
      </c>
      <c r="F31" s="11">
        <f t="shared" si="7"/>
        <v>939317</v>
      </c>
      <c r="G31" s="11">
        <f t="shared" si="7"/>
        <v>947471</v>
      </c>
      <c r="H31" s="11">
        <f t="shared" si="7"/>
        <v>955049</v>
      </c>
      <c r="I31" s="11">
        <f t="shared" si="7"/>
        <v>961345</v>
      </c>
      <c r="J31" s="11">
        <f t="shared" si="7"/>
        <v>968260</v>
      </c>
      <c r="K31" s="11">
        <f t="shared" si="7"/>
        <v>974712</v>
      </c>
      <c r="L31" s="11">
        <f t="shared" si="7"/>
        <v>981270</v>
      </c>
      <c r="M31" s="11">
        <f t="shared" si="7"/>
        <v>987268</v>
      </c>
      <c r="N31" s="11">
        <f t="shared" si="7"/>
        <v>992754</v>
      </c>
      <c r="O31" s="11">
        <f t="shared" si="7"/>
        <v>998731</v>
      </c>
      <c r="P31" s="8">
        <f>SUM(P26:P29)</f>
        <v>55904</v>
      </c>
      <c r="Q31" s="8"/>
      <c r="R31" s="4"/>
      <c r="S31" s="1"/>
      <c r="T31" s="1"/>
      <c r="U31" s="1"/>
      <c r="V31" s="1"/>
      <c r="W31" s="1"/>
      <c r="X31" s="1"/>
    </row>
    <row r="32" spans="1:24" ht="3.95" customHeight="1" x14ac:dyDescent="0.2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">
      <c r="A33" s="1"/>
      <c r="B33" s="110" t="str">
        <f>+'NNG-3rd CE 2001'!B33</f>
        <v xml:space="preserve">      Total Debt / Equity</v>
      </c>
      <c r="C33" s="12">
        <f t="shared" ref="C33:O33" si="8">C15+C23+C31</f>
        <v>730256</v>
      </c>
      <c r="D33" s="12">
        <f t="shared" si="8"/>
        <v>700074</v>
      </c>
      <c r="E33" s="12">
        <f t="shared" si="8"/>
        <v>706727</v>
      </c>
      <c r="F33" s="12">
        <f t="shared" si="8"/>
        <v>691094</v>
      </c>
      <c r="G33" s="12">
        <f t="shared" si="8"/>
        <v>705234</v>
      </c>
      <c r="H33" s="12">
        <f t="shared" si="8"/>
        <v>722271</v>
      </c>
      <c r="I33" s="12">
        <f t="shared" si="8"/>
        <v>710852</v>
      </c>
      <c r="J33" s="12">
        <f t="shared" si="8"/>
        <v>721829</v>
      </c>
      <c r="K33" s="12">
        <f t="shared" si="8"/>
        <v>718081</v>
      </c>
      <c r="L33" s="12">
        <f t="shared" si="8"/>
        <v>727639</v>
      </c>
      <c r="M33" s="12">
        <f t="shared" si="8"/>
        <v>729937</v>
      </c>
      <c r="N33" s="12">
        <f t="shared" si="8"/>
        <v>737573</v>
      </c>
      <c r="O33" s="12">
        <f t="shared" si="8"/>
        <v>749150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">
      <c r="B36" s="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7"/>
      <c r="T36" s="7"/>
      <c r="U36" s="4"/>
      <c r="V36" s="1"/>
      <c r="W36" s="1"/>
      <c r="X36" s="1"/>
    </row>
    <row r="37" spans="1:29" ht="12.6" customHeight="1" x14ac:dyDescent="0.2">
      <c r="A37" s="60" t="str">
        <f>+'NNG-3rd CE 2001'!A37:B37</f>
        <v xml:space="preserve">Revised Plan - Financing Costs (Below The Line)  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1"/>
      <c r="U37" s="1"/>
      <c r="V37" s="1"/>
      <c r="W37" s="1"/>
      <c r="X37" s="1"/>
    </row>
    <row r="38" spans="1:29" ht="12.6" customHeight="1" x14ac:dyDescent="0.2">
      <c r="A38" s="43">
        <f>+'NNG-3rd CE 2001'!A38</f>
        <v>0</v>
      </c>
      <c r="B38" s="45" t="str">
        <f>+'NNG-3rd CE 2001'!B38</f>
        <v xml:space="preserve">Short Term Interest Expense / (Income)  </v>
      </c>
      <c r="C38" s="4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">
      <c r="B39" s="110" t="str">
        <f>+'NNG-3rd CE 2001'!B39</f>
        <v xml:space="preserve">   Payable / (Receivable) Corp. - Beg. Balance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133</v>
      </c>
      <c r="AC39" s="59">
        <f>ROUND(12465*0.6112,0)</f>
        <v>7619</v>
      </c>
    </row>
    <row r="40" spans="1:29" ht="12.6" customHeight="1" x14ac:dyDescent="0.2">
      <c r="B40" s="110" t="str">
        <f>+'NNG-3rd CE 2001'!B40</f>
        <v xml:space="preserve">      Short Term Interest Expense / (Income) 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8"/>
      <c r="R40" s="4"/>
      <c r="U40" s="1"/>
      <c r="V40" s="1"/>
      <c r="W40" s="1"/>
      <c r="X40" s="1"/>
      <c r="AB40" s="61" t="s">
        <v>134</v>
      </c>
      <c r="AC40" s="59">
        <f>-ROUND((12465-11229)*0.6112,0)</f>
        <v>-755</v>
      </c>
    </row>
    <row r="41" spans="1:29" ht="12.6" customHeight="1" x14ac:dyDescent="0.2">
      <c r="B41" s="110" t="str">
        <f>+'NNG-3rd CE 2001'!B41</f>
        <v xml:space="preserve">      Interco. Cash Adjustment (Inc.) / Dec.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8"/>
      <c r="R41" s="4"/>
      <c r="U41" s="4"/>
      <c r="V41" s="4"/>
      <c r="W41" s="1"/>
      <c r="X41" s="1"/>
      <c r="AB41" s="61" t="s">
        <v>135</v>
      </c>
      <c r="AC41" s="59">
        <f>-ROUND((11229-10712)*0.6112,0)</f>
        <v>-316</v>
      </c>
    </row>
    <row r="42" spans="1:29" ht="12.6" customHeight="1" x14ac:dyDescent="0.2">
      <c r="B42" s="110" t="str">
        <f>+'NNG-3rd CE 2001'!B42</f>
        <v xml:space="preserve">   Payable / (Receivable) Corp. - End. Balance</v>
      </c>
      <c r="C42" s="50">
        <f>-202572+20087+8806+(-10421-10421-10421)+204942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8"/>
      <c r="R42" s="4"/>
      <c r="U42" s="1"/>
      <c r="V42" s="1"/>
      <c r="W42" s="1"/>
      <c r="X42" s="1"/>
      <c r="AB42" s="61" t="s">
        <v>136</v>
      </c>
      <c r="AC42" s="59">
        <f>ROUND((600)*0.6112,0)</f>
        <v>367</v>
      </c>
    </row>
    <row r="43" spans="1:29" ht="3.95" customHeight="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"/>
      <c r="T43" s="1"/>
      <c r="U43" s="1"/>
      <c r="V43" s="1"/>
      <c r="W43" s="1"/>
      <c r="X43" s="1"/>
    </row>
    <row r="44" spans="1:29" ht="12.6" customHeight="1" x14ac:dyDescent="0.2">
      <c r="B44" s="110" t="str">
        <f>+'NNG-3rd CE 2001'!B44</f>
        <v xml:space="preserve">         Average Monthly Balance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S44" s="1"/>
      <c r="T44" s="1"/>
      <c r="U44" s="1"/>
      <c r="V44" s="1"/>
      <c r="W44" s="1"/>
      <c r="X44" s="1"/>
    </row>
    <row r="45" spans="1:29" ht="12.6" customHeight="1" x14ac:dyDescent="0.2">
      <c r="B45" s="110" t="str">
        <f>+'NNG-3rd CE 2001'!B45</f>
        <v xml:space="preserve">   Avg. Short Term Interest Rate (LIBOR-%)</v>
      </c>
      <c r="C45" s="138">
        <v>0.06</v>
      </c>
      <c r="D45" s="138">
        <v>0.06</v>
      </c>
      <c r="E45" s="138">
        <v>0.06</v>
      </c>
      <c r="F45" s="138">
        <v>0.06</v>
      </c>
      <c r="G45" s="138">
        <v>0.06</v>
      </c>
      <c r="H45" s="138">
        <v>0.06</v>
      </c>
      <c r="I45" s="138">
        <v>0.06</v>
      </c>
      <c r="J45" s="138">
        <v>0.06</v>
      </c>
      <c r="K45" s="138">
        <v>0.06</v>
      </c>
      <c r="L45" s="138">
        <v>0.06</v>
      </c>
      <c r="M45" s="138">
        <v>0.06</v>
      </c>
      <c r="N45" s="138">
        <v>0.06</v>
      </c>
      <c r="O45" s="138">
        <v>0.06</v>
      </c>
      <c r="P45" s="139"/>
      <c r="Q45" s="4"/>
      <c r="R45" s="4"/>
      <c r="S45" s="1"/>
      <c r="T45" s="1"/>
      <c r="U45" s="1"/>
      <c r="V45" s="1"/>
      <c r="W45" s="1"/>
      <c r="X45" s="1"/>
    </row>
    <row r="46" spans="1:29" ht="3.95" customHeight="1" x14ac:dyDescent="0.2">
      <c r="B46" s="5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39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">
      <c r="B47" s="110" t="str">
        <f>+'NNG-3rd CE 2001'!B47</f>
        <v xml:space="preserve">         Monthly Interest Expense / (Income)</v>
      </c>
      <c r="C47" s="137">
        <f>ROUND((C42)*(C45*(30/360)),0)+157-157</f>
        <v>0</v>
      </c>
      <c r="D47" s="137">
        <f>ROUND((D44)*(D45*(30/360)),0)+161-161</f>
        <v>0</v>
      </c>
      <c r="E47" s="137">
        <f>ROUND((E44)*(E45*(30/360)),0)+164-164</f>
        <v>0</v>
      </c>
      <c r="F47" s="137">
        <f>ROUND((F44)*(F45*(30/360)),0)+170-170</f>
        <v>0</v>
      </c>
      <c r="G47" s="137">
        <f>ROUND((G44)*(G45*(30/360)),0)+173-173</f>
        <v>0</v>
      </c>
      <c r="H47" s="137">
        <f>ROUND((H44)*(H45*(30/360)),0)+178-178</f>
        <v>0</v>
      </c>
      <c r="I47" s="137">
        <f>ROUND((I44)*(I45*(30/360)),0)+183-183</f>
        <v>0</v>
      </c>
      <c r="J47" s="137">
        <f>ROUND((J44)*(J45*(30/360)),0)+186-186</f>
        <v>0</v>
      </c>
      <c r="K47" s="137">
        <f>ROUND((K44)*(K45*(30/360)),0)+191-191</f>
        <v>0</v>
      </c>
      <c r="L47" s="137">
        <f>ROUND((L44)*(L45*(30/360)),0)+195-195</f>
        <v>0</v>
      </c>
      <c r="M47" s="137">
        <f>ROUND((M44)*(M45*(30/360)),0)+200-200</f>
        <v>0</v>
      </c>
      <c r="N47" s="137">
        <f>ROUND((N44)*(N45*(30/360)),0)+203-203</f>
        <v>0</v>
      </c>
      <c r="O47" s="137">
        <f>ROUND((O44)*(O45*(30/360)),0)+209-209</f>
        <v>0</v>
      </c>
      <c r="P47" s="139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">
      <c r="B48" s="7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U50+U51+U52+U53+U54-P50-P51-P52</f>
        <v>0</v>
      </c>
      <c r="Q48" s="8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">
      <c r="B49" s="45" t="str">
        <f>+'NNG-3rd CE 2001'!B49</f>
        <v>2001 Actual / Estimate (Financing Costs)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1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">
      <c r="B50" s="37" t="s">
        <v>137</v>
      </c>
      <c r="C50" s="4"/>
      <c r="D50" s="8">
        <f>ROUND(((+$T$50*0)+(+$T$54*0.074))*(30/360),0)</f>
        <v>925</v>
      </c>
      <c r="E50" s="8">
        <f>ROUND(((+$T$50*0)+(+$T$54*0.074))*(30/360),0)</f>
        <v>925</v>
      </c>
      <c r="F50" s="8">
        <f>ROUND(((+$T$50*0)+(+$T$54*0.074))*(30/360),0)</f>
        <v>925</v>
      </c>
      <c r="G50" s="8">
        <f>ROUND(((+$T$50*0.052525)+(+$T$54*0))*(30/360),0)</f>
        <v>657</v>
      </c>
      <c r="H50" s="8">
        <f>ROUND(((+$T$50*0.052525)+(+$T$54*0))*(31/360),0)</f>
        <v>678</v>
      </c>
      <c r="I50" s="8">
        <f>ROUND(((+$T$50*0.052525)+(+$T$54*0))*(28/360),0)</f>
        <v>613</v>
      </c>
      <c r="J50" s="8">
        <f>ROUND(((+$T$50*0)+(+$T$54*0))*(31/360),0)</f>
        <v>0</v>
      </c>
      <c r="K50" s="8">
        <f>ROUND(((+$T$50*0)+(+$T$54*0))*(31/360),0)</f>
        <v>0</v>
      </c>
      <c r="L50" s="8">
        <f>ROUND(((+$T$50*0)+(+$T$54*0))*(30/360),0)</f>
        <v>0</v>
      </c>
      <c r="M50" s="8">
        <f>ROUND(((+$T$50*0)+(+$T$54*0))*(31/360),0)</f>
        <v>0</v>
      </c>
      <c r="N50" s="8">
        <f>ROUND(((+$T$50*0)+(+$T$54*0))*(30/360),0)</f>
        <v>0</v>
      </c>
      <c r="O50" s="8">
        <f>ROUND(((+$T$50*0)+(+$T$54*0))*(31/360),0)</f>
        <v>0</v>
      </c>
      <c r="P50" s="8">
        <f t="shared" ref="P50:P59" si="13">SUM(D50:O50)</f>
        <v>4723</v>
      </c>
      <c r="Q50" s="8"/>
      <c r="R50" s="4"/>
      <c r="S50" s="19" t="s">
        <v>138</v>
      </c>
      <c r="T50" s="20">
        <v>150000</v>
      </c>
      <c r="U50" s="8">
        <f>ROUND(($T50*0.052525)*89/360,0)</f>
        <v>1948</v>
      </c>
      <c r="V50" s="1"/>
      <c r="W50" s="1"/>
      <c r="X50" s="1"/>
    </row>
    <row r="51" spans="1:24" ht="12.6" customHeight="1" x14ac:dyDescent="0.2">
      <c r="B51" s="110" t="str">
        <f>+'NNG-3rd CE 2001'!B51</f>
        <v xml:space="preserve">                    - Interest Expense (External - Note #2) </v>
      </c>
      <c r="C51" s="4"/>
      <c r="D51" s="8">
        <f>ROUND((+$T$51*0.091)*(30/360),0)</f>
        <v>0</v>
      </c>
      <c r="E51" s="8">
        <f>ROUND((+$T$51*0.091)*(30/360),0)</f>
        <v>0</v>
      </c>
      <c r="F51" s="8">
        <f>ROUND((+$T$51*0.091)*(30/360),0)</f>
        <v>0</v>
      </c>
      <c r="G51" s="8">
        <f>ROUND((+$T$51*0.091)*(30/360),0)</f>
        <v>0</v>
      </c>
      <c r="H51" s="8">
        <f t="shared" ref="H51:O51" si="14">ROUND((+$T$51*0.091)*(0/360),0)</f>
        <v>0</v>
      </c>
      <c r="I51" s="8">
        <f t="shared" si="14"/>
        <v>0</v>
      </c>
      <c r="J51" s="8">
        <f t="shared" si="14"/>
        <v>0</v>
      </c>
      <c r="K51" s="8">
        <f t="shared" si="14"/>
        <v>0</v>
      </c>
      <c r="L51" s="8">
        <f t="shared" si="14"/>
        <v>0</v>
      </c>
      <c r="M51" s="8">
        <f t="shared" si="14"/>
        <v>0</v>
      </c>
      <c r="N51" s="8">
        <f t="shared" si="14"/>
        <v>0</v>
      </c>
      <c r="O51" s="8">
        <f t="shared" si="14"/>
        <v>0</v>
      </c>
      <c r="P51" s="8">
        <f t="shared" si="13"/>
        <v>0</v>
      </c>
      <c r="Q51" s="8"/>
      <c r="R51" s="4"/>
      <c r="S51" s="32" t="s">
        <v>139</v>
      </c>
      <c r="T51" s="20">
        <v>0</v>
      </c>
      <c r="U51" s="8">
        <f>ROUND(($T51*0.091)*120/360,0)</f>
        <v>0</v>
      </c>
      <c r="V51" s="1"/>
      <c r="W51" s="1"/>
      <c r="X51" s="1"/>
    </row>
    <row r="52" spans="1:24" ht="12.6" customHeight="1" x14ac:dyDescent="0.2">
      <c r="B52" s="37" t="s">
        <v>140</v>
      </c>
      <c r="C52" s="4"/>
      <c r="D52" s="8">
        <f>ROUND(((+$T$52*0.092)+(+$T$53*0.092))*(30/360),0)</f>
        <v>118</v>
      </c>
      <c r="E52" s="8">
        <f>ROUND(((+$T$52*0.092)+(+$T$53*0.092))*(30/360),0)</f>
        <v>118</v>
      </c>
      <c r="F52" s="48">
        <f>ROUND(((+$T$52*0.092)+(+$T$53*0.092))*(30/360),0)+1</f>
        <v>119</v>
      </c>
      <c r="G52" s="8">
        <f>ROUND(((+$T$52*0.092)+(+$T$53*0.092))*(30/360),0)</f>
        <v>118</v>
      </c>
      <c r="H52" s="8">
        <f>ROUND(((+$T$52*0.092)+(+$T$53*0.092))*(30/360),0)</f>
        <v>118</v>
      </c>
      <c r="I52" s="48">
        <f>ROUND(((+$T$52*0.092)+(+$T$53*0.092))*(30/360),0)+1</f>
        <v>119</v>
      </c>
      <c r="J52" s="8">
        <f>ROUND(((+$T$52*0.092)+(+$T$53*0.092))*(30/360),0)</f>
        <v>118</v>
      </c>
      <c r="K52" s="8">
        <f>ROUND(((+$T$52*0.092)+(+$T$53*0.092))*(30/360),0)</f>
        <v>118</v>
      </c>
      <c r="L52" s="48">
        <f>ROUND(((+$T$52*0.092)+(+$T$53*0.092))*(30/360),0)+1</f>
        <v>119</v>
      </c>
      <c r="M52" s="8">
        <f>ROUND(((+$T$52*0.092)+(+$T$53*0.092))*(30/360),0)</f>
        <v>118</v>
      </c>
      <c r="N52" s="8">
        <f>ROUND((+$T$52*0.092)*(30/360),0)</f>
        <v>89</v>
      </c>
      <c r="O52" s="8">
        <f>ROUND((+$T$52*0.092)*(30/360),0)</f>
        <v>89</v>
      </c>
      <c r="P52" s="8">
        <f t="shared" si="13"/>
        <v>1361</v>
      </c>
      <c r="Q52" s="8"/>
      <c r="R52" s="4"/>
      <c r="S52" s="32" t="s">
        <v>141</v>
      </c>
      <c r="T52" s="20">
        <f>27000-3857-3857-3857-3857</f>
        <v>11572</v>
      </c>
      <c r="U52" s="8">
        <f>ROUND($T52*0.092,0)</f>
        <v>1065</v>
      </c>
      <c r="V52" s="1"/>
      <c r="W52" s="1"/>
      <c r="X52" s="1"/>
    </row>
    <row r="53" spans="1:24" ht="12.6" customHeight="1" x14ac:dyDescent="0.2">
      <c r="B53" s="110" t="str">
        <f>+'NNG-3rd CE 2001'!B53</f>
        <v xml:space="preserve">                    - Unamortized Debt Discount</v>
      </c>
      <c r="C53" s="8"/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8">
        <f t="shared" si="13"/>
        <v>0</v>
      </c>
      <c r="Q53" s="8"/>
      <c r="R53" s="4"/>
      <c r="S53" s="32" t="s">
        <v>142</v>
      </c>
      <c r="T53" s="20">
        <v>3857</v>
      </c>
      <c r="U53" s="50">
        <f>ROUND((+$T53*0.092)*(300/360),0)</f>
        <v>296</v>
      </c>
      <c r="V53" s="1"/>
      <c r="W53" s="1"/>
      <c r="X53" s="1"/>
    </row>
    <row r="54" spans="1:24" ht="12.6" customHeight="1" x14ac:dyDescent="0.2">
      <c r="B54" s="110" t="str">
        <f>+'NNG-3rd CE 2001'!B54</f>
        <v xml:space="preserve">                    - Unamortized Debt Expense </v>
      </c>
      <c r="C54" s="4"/>
      <c r="D54" s="20">
        <v>1</v>
      </c>
      <c r="E54" s="20">
        <v>1</v>
      </c>
      <c r="F54" s="20">
        <v>0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8">
        <f t="shared" si="13"/>
        <v>11</v>
      </c>
      <c r="Q54" s="8"/>
      <c r="R54" s="4"/>
      <c r="S54" s="19" t="s">
        <v>143</v>
      </c>
      <c r="T54" s="20">
        <v>150000</v>
      </c>
      <c r="U54" s="8">
        <f>ROUND(($T54*0.074)*(90/360),0)</f>
        <v>2775</v>
      </c>
      <c r="V54" s="1"/>
      <c r="W54" s="1"/>
      <c r="X54" s="1"/>
    </row>
    <row r="55" spans="1:24" ht="12.6" customHeight="1" x14ac:dyDescent="0.2">
      <c r="B55" s="110" t="str">
        <f>+'NNG-3rd CE 2001'!B55</f>
        <v xml:space="preserve">      Short Term Interest Expense / (Income) </v>
      </c>
      <c r="C55" s="4"/>
      <c r="D55" s="8">
        <f>D47</f>
        <v>0</v>
      </c>
      <c r="E55" s="8">
        <f>E47</f>
        <v>0</v>
      </c>
      <c r="F55" s="8">
        <f>F47</f>
        <v>0</v>
      </c>
      <c r="G55" s="8">
        <f t="shared" ref="G55:O55" si="15">G47</f>
        <v>0</v>
      </c>
      <c r="H55" s="8">
        <f t="shared" si="15"/>
        <v>0</v>
      </c>
      <c r="I55" s="8">
        <f t="shared" si="15"/>
        <v>0</v>
      </c>
      <c r="J55" s="8">
        <f t="shared" si="15"/>
        <v>0</v>
      </c>
      <c r="K55" s="8">
        <f t="shared" si="15"/>
        <v>0</v>
      </c>
      <c r="L55" s="8">
        <f t="shared" si="15"/>
        <v>0</v>
      </c>
      <c r="M55" s="8">
        <f t="shared" si="15"/>
        <v>0</v>
      </c>
      <c r="N55" s="8">
        <f t="shared" si="15"/>
        <v>0</v>
      </c>
      <c r="O55" s="8">
        <f t="shared" si="15"/>
        <v>0</v>
      </c>
      <c r="P55" s="8">
        <f t="shared" si="13"/>
        <v>0</v>
      </c>
      <c r="Q55" s="8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">
      <c r="B56" s="110" t="str">
        <f>+'NNG-3rd CE 2001'!B56</f>
        <v xml:space="preserve">                    - Corporate Tie-In Amount (Actual) 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3"/>
        <v>0</v>
      </c>
      <c r="Q56" s="8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">
      <c r="B57" s="110" t="str">
        <f>+'NNG-3rd CE 2001'!B57</f>
        <v xml:space="preserve">      Assigned Receivables / Other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3"/>
        <v>0</v>
      </c>
      <c r="Q57" s="11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">
      <c r="B58" s="110" t="str">
        <f>+'NNG-3rd CE 2001'!B58</f>
        <v xml:space="preserve">         Total Intercompany Impact (Net)</v>
      </c>
      <c r="C58" s="8"/>
      <c r="D58" s="8">
        <f t="shared" ref="D58:O58" si="16">SUM(D50:D57)</f>
        <v>1044</v>
      </c>
      <c r="E58" s="8">
        <f t="shared" si="16"/>
        <v>1044</v>
      </c>
      <c r="F58" s="8">
        <f t="shared" si="16"/>
        <v>1044</v>
      </c>
      <c r="G58" s="8">
        <f t="shared" si="16"/>
        <v>776</v>
      </c>
      <c r="H58" s="8">
        <f t="shared" si="16"/>
        <v>797</v>
      </c>
      <c r="I58" s="8">
        <f t="shared" si="16"/>
        <v>733</v>
      </c>
      <c r="J58" s="8">
        <f t="shared" si="16"/>
        <v>119</v>
      </c>
      <c r="K58" s="8">
        <f t="shared" si="16"/>
        <v>119</v>
      </c>
      <c r="L58" s="8">
        <f t="shared" si="16"/>
        <v>120</v>
      </c>
      <c r="M58" s="8">
        <f t="shared" si="16"/>
        <v>119</v>
      </c>
      <c r="N58" s="8">
        <f t="shared" si="16"/>
        <v>90</v>
      </c>
      <c r="O58" s="8">
        <f t="shared" si="16"/>
        <v>90</v>
      </c>
      <c r="P58" s="8">
        <f t="shared" si="13"/>
        <v>6095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">
      <c r="B59" s="110" t="str">
        <f>+'NNG-3rd CE 2001'!B59</f>
        <v xml:space="preserve">         Composite F.I.T. &amp; S.I.T. Tax Impact</v>
      </c>
      <c r="C59" s="8"/>
      <c r="D59" s="10">
        <f t="shared" ref="D59:O59" si="17">ROUND(+D58*-0.3888,0)</f>
        <v>-406</v>
      </c>
      <c r="E59" s="10">
        <f t="shared" si="17"/>
        <v>-406</v>
      </c>
      <c r="F59" s="10">
        <f t="shared" si="17"/>
        <v>-406</v>
      </c>
      <c r="G59" s="10">
        <f t="shared" si="17"/>
        <v>-302</v>
      </c>
      <c r="H59" s="10">
        <f t="shared" si="17"/>
        <v>-310</v>
      </c>
      <c r="I59" s="10">
        <f t="shared" si="17"/>
        <v>-285</v>
      </c>
      <c r="J59" s="10">
        <f t="shared" si="17"/>
        <v>-46</v>
      </c>
      <c r="K59" s="10">
        <f t="shared" si="17"/>
        <v>-46</v>
      </c>
      <c r="L59" s="10">
        <f t="shared" si="17"/>
        <v>-47</v>
      </c>
      <c r="M59" s="10">
        <f t="shared" si="17"/>
        <v>-46</v>
      </c>
      <c r="N59" s="10">
        <f t="shared" si="17"/>
        <v>-35</v>
      </c>
      <c r="O59" s="10">
        <f t="shared" si="17"/>
        <v>-35</v>
      </c>
      <c r="P59" s="11">
        <f t="shared" si="13"/>
        <v>-2370</v>
      </c>
      <c r="Q59" s="11"/>
      <c r="R59" s="8"/>
      <c r="S59" s="32" t="s">
        <v>144</v>
      </c>
      <c r="T59" s="12"/>
      <c r="U59" s="12">
        <f>SUM(U50:U58)</f>
        <v>6084</v>
      </c>
      <c r="V59" s="1"/>
      <c r="W59" s="1"/>
      <c r="X59" s="1"/>
    </row>
    <row r="60" spans="1:24" ht="3.95" customHeight="1" x14ac:dyDescent="0.2">
      <c r="B60" s="5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">
      <c r="B61" s="132" t="str">
        <f>+'NNG-3rd CE 2001'!B61</f>
        <v xml:space="preserve">            Updated Net Financing Costs</v>
      </c>
      <c r="C61" s="25"/>
      <c r="D61" s="26">
        <f t="shared" ref="D61:O61" si="18">D58+D59</f>
        <v>638</v>
      </c>
      <c r="E61" s="26">
        <f t="shared" si="18"/>
        <v>638</v>
      </c>
      <c r="F61" s="26">
        <f t="shared" si="18"/>
        <v>638</v>
      </c>
      <c r="G61" s="26">
        <f t="shared" si="18"/>
        <v>474</v>
      </c>
      <c r="H61" s="26">
        <f t="shared" si="18"/>
        <v>487</v>
      </c>
      <c r="I61" s="26">
        <f t="shared" si="18"/>
        <v>448</v>
      </c>
      <c r="J61" s="26">
        <f t="shared" si="18"/>
        <v>73</v>
      </c>
      <c r="K61" s="26">
        <f t="shared" si="18"/>
        <v>73</v>
      </c>
      <c r="L61" s="26">
        <f t="shared" si="18"/>
        <v>73</v>
      </c>
      <c r="M61" s="26">
        <f t="shared" si="18"/>
        <v>73</v>
      </c>
      <c r="N61" s="26">
        <f t="shared" si="18"/>
        <v>55</v>
      </c>
      <c r="O61" s="26">
        <f t="shared" si="18"/>
        <v>55</v>
      </c>
      <c r="P61" s="26">
        <f>SUM(D61:O61)</f>
        <v>3725</v>
      </c>
      <c r="Q61" s="26"/>
      <c r="R61" s="4"/>
      <c r="V61" s="1"/>
      <c r="W61" s="1"/>
      <c r="X61" s="1"/>
    </row>
    <row r="62" spans="1:24" ht="12.6" customHeight="1" x14ac:dyDescent="0.2">
      <c r="A62" s="60" t="e">
        <f>+'[1]NNG-Forecast '!A64</f>
        <v>#REF!</v>
      </c>
      <c r="B62" s="45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/>
      <c r="W62" s="1"/>
      <c r="X62" s="1"/>
    </row>
    <row r="63" spans="1:24" ht="12.6" customHeight="1" x14ac:dyDescent="0.2">
      <c r="A63" s="60" t="str">
        <f>+'NNG-3rd CE 2001'!A63:B63</f>
        <v xml:space="preserve">Revised Plan - Financing Costs (Above The Line)  </v>
      </c>
      <c r="B63" s="110"/>
      <c r="C63" s="133"/>
      <c r="D63" s="13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4"/>
      <c r="Q63" s="4"/>
      <c r="R63" s="4"/>
      <c r="S63" s="22" t="s">
        <v>108</v>
      </c>
      <c r="T63" s="4"/>
      <c r="U63" s="4"/>
      <c r="V63" s="1"/>
      <c r="W63" s="1"/>
      <c r="X63" s="1"/>
    </row>
    <row r="64" spans="1:24" ht="12.6" customHeight="1" x14ac:dyDescent="0.2">
      <c r="A64" s="1"/>
      <c r="B64" s="45" t="str">
        <f>+'NNG-3rd CE 2001'!B64</f>
        <v xml:space="preserve">Short Term Interest Expense / (Income)  </v>
      </c>
      <c r="C64" s="134"/>
      <c r="D64" s="135"/>
      <c r="R64" s="4"/>
      <c r="S64" s="32" t="s">
        <v>145</v>
      </c>
      <c r="T64" s="1"/>
      <c r="U64" s="20">
        <v>1948</v>
      </c>
      <c r="V64" s="1"/>
      <c r="W64" s="1"/>
      <c r="X64" s="1"/>
    </row>
    <row r="65" spans="1:24" ht="12.6" customHeight="1" x14ac:dyDescent="0.2">
      <c r="A65" s="1"/>
      <c r="B65" s="110" t="str">
        <f>+'NNG-3rd CE 2001'!B65</f>
        <v xml:space="preserve">   Beg. Balance - Corp. (Rec.) + Check Book Activity</v>
      </c>
      <c r="C65" s="133"/>
      <c r="D65" s="130">
        <f>+C8</f>
        <v>-524956</v>
      </c>
      <c r="E65" s="8">
        <f t="shared" ref="E65:O65" si="19">+D65+D68</f>
        <v>-541799</v>
      </c>
      <c r="F65" s="8">
        <f t="shared" si="19"/>
        <v>-560015</v>
      </c>
      <c r="G65" s="8">
        <f t="shared" si="19"/>
        <v>-579696</v>
      </c>
      <c r="H65" s="8">
        <f t="shared" si="19"/>
        <v>-591337</v>
      </c>
      <c r="I65" s="8">
        <f t="shared" si="19"/>
        <v>-587311</v>
      </c>
      <c r="J65" s="8">
        <f t="shared" si="19"/>
        <v>-460025</v>
      </c>
      <c r="K65" s="8">
        <f t="shared" si="19"/>
        <v>-461271</v>
      </c>
      <c r="L65" s="8">
        <f t="shared" si="19"/>
        <v>-476871</v>
      </c>
      <c r="M65" s="8">
        <f t="shared" si="19"/>
        <v>-478771</v>
      </c>
      <c r="N65" s="8">
        <f t="shared" si="19"/>
        <v>-484471</v>
      </c>
      <c r="O65" s="8">
        <f t="shared" si="19"/>
        <v>-484271</v>
      </c>
      <c r="P65" s="8"/>
      <c r="Q65" s="4"/>
      <c r="R65" s="4"/>
      <c r="S65" s="32" t="s">
        <v>146</v>
      </c>
      <c r="T65" s="13"/>
      <c r="U65" s="20">
        <v>1991</v>
      </c>
      <c r="V65" s="1"/>
      <c r="W65" s="1"/>
      <c r="X65" s="1"/>
    </row>
    <row r="66" spans="1:24" ht="12.6" customHeight="1" x14ac:dyDescent="0.2">
      <c r="A66" s="1"/>
      <c r="B66" s="110" t="str">
        <f>+'NNG-3rd CE 2001'!B66</f>
        <v xml:space="preserve">      - Corp. Pay.+ Co.011 / Netting Co.827 (1 Mo. Lag)</v>
      </c>
      <c r="C66" s="134"/>
      <c r="D66" s="140">
        <f>+C10</f>
        <v>146935</v>
      </c>
      <c r="E66" s="11">
        <f t="shared" ref="E66:O66" si="20">+D66+D10-D47</f>
        <v>153155</v>
      </c>
      <c r="F66" s="11">
        <f t="shared" si="20"/>
        <v>161015</v>
      </c>
      <c r="G66" s="11">
        <f t="shared" si="20"/>
        <v>166023</v>
      </c>
      <c r="H66" s="11">
        <f t="shared" si="20"/>
        <v>183650</v>
      </c>
      <c r="I66" s="11">
        <f t="shared" si="20"/>
        <v>189083</v>
      </c>
      <c r="J66" s="11">
        <f t="shared" si="20"/>
        <v>194082</v>
      </c>
      <c r="K66" s="11">
        <f t="shared" si="20"/>
        <v>199390</v>
      </c>
      <c r="L66" s="11">
        <f t="shared" si="20"/>
        <v>204790</v>
      </c>
      <c r="M66" s="11">
        <f t="shared" si="20"/>
        <v>209690</v>
      </c>
      <c r="N66" s="11">
        <f t="shared" si="20"/>
        <v>211690</v>
      </c>
      <c r="O66" s="11">
        <f t="shared" si="20"/>
        <v>217490</v>
      </c>
      <c r="P66" s="8"/>
      <c r="Q66" s="59">
        <f>+O66-(D66+P10-O10)+(P55-O55)</f>
        <v>0</v>
      </c>
      <c r="R66" s="4"/>
      <c r="S66" s="32" t="s">
        <v>147</v>
      </c>
      <c r="T66" s="1"/>
      <c r="U66" s="20">
        <v>2079</v>
      </c>
      <c r="V66" s="1"/>
      <c r="W66" s="1"/>
      <c r="X66" s="1"/>
    </row>
    <row r="67" spans="1:24" ht="12.6" customHeight="1" x14ac:dyDescent="0.2">
      <c r="A67" s="1"/>
      <c r="B67" s="110" t="str">
        <f>+'NNG-3rd CE 2001'!B67</f>
        <v xml:space="preserve">   Adjusted Beginning Balance</v>
      </c>
      <c r="D67" s="8">
        <f t="shared" ref="D67:O67" si="21">SUM(D65:D66)</f>
        <v>-378021</v>
      </c>
      <c r="E67" s="8">
        <f t="shared" si="21"/>
        <v>-388644</v>
      </c>
      <c r="F67" s="8">
        <f t="shared" si="21"/>
        <v>-399000</v>
      </c>
      <c r="G67" s="8">
        <f t="shared" si="21"/>
        <v>-413673</v>
      </c>
      <c r="H67" s="8">
        <f t="shared" si="21"/>
        <v>-407687</v>
      </c>
      <c r="I67" s="8">
        <f t="shared" si="21"/>
        <v>-398228</v>
      </c>
      <c r="J67" s="8">
        <f t="shared" si="21"/>
        <v>-265943</v>
      </c>
      <c r="K67" s="8">
        <f t="shared" si="21"/>
        <v>-261881</v>
      </c>
      <c r="L67" s="8">
        <f t="shared" si="21"/>
        <v>-272081</v>
      </c>
      <c r="M67" s="8">
        <f t="shared" si="21"/>
        <v>-269081</v>
      </c>
      <c r="N67" s="8">
        <f t="shared" si="21"/>
        <v>-272781</v>
      </c>
      <c r="O67" s="8">
        <f t="shared" si="21"/>
        <v>-266781</v>
      </c>
      <c r="Q67" s="4"/>
      <c r="R67" s="4"/>
      <c r="S67" s="32" t="s">
        <v>148</v>
      </c>
      <c r="T67" s="1"/>
      <c r="U67" s="20">
        <v>710</v>
      </c>
      <c r="W67" s="1"/>
      <c r="X67" s="1"/>
    </row>
    <row r="68" spans="1:24" ht="12.6" customHeight="1" x14ac:dyDescent="0.2">
      <c r="A68" s="1"/>
      <c r="B68" s="110" t="str">
        <f>+'NNG-3rd CE 2001'!B68</f>
        <v xml:space="preserve">      (Inc.) / Dec. in Check Book Cash (Current Month) </v>
      </c>
      <c r="C68" s="4"/>
      <c r="D68" s="49">
        <f t="shared" ref="D68:O68" si="22">+D9</f>
        <v>-16843</v>
      </c>
      <c r="E68" s="49">
        <f t="shared" si="22"/>
        <v>-18216</v>
      </c>
      <c r="F68" s="49">
        <f t="shared" si="22"/>
        <v>-19681</v>
      </c>
      <c r="G68" s="49">
        <f t="shared" si="22"/>
        <v>-11641</v>
      </c>
      <c r="H68" s="49">
        <f t="shared" si="22"/>
        <v>4026</v>
      </c>
      <c r="I68" s="49">
        <f t="shared" si="22"/>
        <v>127286</v>
      </c>
      <c r="J68" s="49">
        <f t="shared" si="22"/>
        <v>-1246</v>
      </c>
      <c r="K68" s="49">
        <f t="shared" si="22"/>
        <v>-15600</v>
      </c>
      <c r="L68" s="49">
        <f t="shared" si="22"/>
        <v>-1900</v>
      </c>
      <c r="M68" s="49">
        <f t="shared" si="22"/>
        <v>-5700</v>
      </c>
      <c r="N68" s="49">
        <f t="shared" si="22"/>
        <v>200</v>
      </c>
      <c r="O68" s="49">
        <f t="shared" si="22"/>
        <v>200</v>
      </c>
      <c r="P68" s="8">
        <f>SUM(D68:O68)</f>
        <v>40885</v>
      </c>
      <c r="Q68" s="59">
        <f>+P68+D65-O65-O68</f>
        <v>0</v>
      </c>
      <c r="R68" s="4"/>
      <c r="S68" s="32" t="s">
        <v>115</v>
      </c>
      <c r="T68" s="13"/>
      <c r="U68" s="20">
        <v>710</v>
      </c>
      <c r="W68" s="1"/>
      <c r="X68" s="1"/>
    </row>
    <row r="69" spans="1:24" ht="12.6" customHeight="1" x14ac:dyDescent="0.2">
      <c r="A69" s="1"/>
      <c r="B69" s="110" t="str">
        <f>+'NNG-3rd CE 2001'!B69</f>
        <v xml:space="preserve">      Interco. Cash Adjustment (Inc.) / Dec.</v>
      </c>
      <c r="C69" s="48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149</v>
      </c>
      <c r="T69" s="1"/>
      <c r="U69" s="20">
        <v>5550</v>
      </c>
      <c r="W69" s="1"/>
      <c r="X69" s="1"/>
    </row>
    <row r="70" spans="1:24" ht="12.6" customHeight="1" x14ac:dyDescent="0.2">
      <c r="A70" s="1"/>
      <c r="B70" s="110" t="str">
        <f>+'NNG-3rd CE 2001'!B70</f>
        <v xml:space="preserve">   Ending Balance</v>
      </c>
      <c r="C70" s="9"/>
      <c r="D70" s="11">
        <f t="shared" ref="D70:O70" si="23">SUM(D67:D69)</f>
        <v>-394864</v>
      </c>
      <c r="E70" s="11">
        <f t="shared" si="23"/>
        <v>-406860</v>
      </c>
      <c r="F70" s="11">
        <f t="shared" si="23"/>
        <v>-418681</v>
      </c>
      <c r="G70" s="11">
        <f t="shared" si="23"/>
        <v>-425314</v>
      </c>
      <c r="H70" s="11">
        <f t="shared" si="23"/>
        <v>-403661</v>
      </c>
      <c r="I70" s="11">
        <f t="shared" si="23"/>
        <v>-270942</v>
      </c>
      <c r="J70" s="11">
        <f t="shared" si="23"/>
        <v>-267189</v>
      </c>
      <c r="K70" s="11">
        <f t="shared" si="23"/>
        <v>-277481</v>
      </c>
      <c r="L70" s="11">
        <f t="shared" si="23"/>
        <v>-273981</v>
      </c>
      <c r="M70" s="11">
        <f t="shared" si="23"/>
        <v>-274781</v>
      </c>
      <c r="N70" s="11">
        <f t="shared" si="23"/>
        <v>-272581</v>
      </c>
      <c r="O70" s="11">
        <f t="shared" si="23"/>
        <v>-266581</v>
      </c>
      <c r="P70" s="8"/>
      <c r="Q70" s="4"/>
      <c r="R70" s="4"/>
      <c r="S70" s="32" t="s">
        <v>150</v>
      </c>
      <c r="T70" s="13"/>
      <c r="U70" s="21">
        <v>0</v>
      </c>
      <c r="V70" s="8">
        <f>U59-SUM(U64:U70)</f>
        <v>-6904</v>
      </c>
      <c r="W70" s="1"/>
      <c r="X70" s="1"/>
    </row>
    <row r="71" spans="1:24" ht="3.95" customHeight="1" x14ac:dyDescent="0.2">
      <c r="A71" s="1"/>
      <c r="B71" s="110"/>
      <c r="C71" s="9"/>
      <c r="P71" s="4"/>
      <c r="Q71" s="4"/>
      <c r="R71" s="4"/>
      <c r="V71" s="1"/>
      <c r="W71" s="1"/>
      <c r="X71" s="1"/>
    </row>
    <row r="72" spans="1:24" ht="12.6" customHeight="1" x14ac:dyDescent="0.2">
      <c r="A72" s="1"/>
      <c r="B72" s="110" t="str">
        <f>+'NNG-3rd CE 2001'!B72</f>
        <v xml:space="preserve">         Average Monthly Balance</v>
      </c>
      <c r="D72" s="142">
        <f>ROUND((D67+D70)/2.01,0)</f>
        <v>-384520</v>
      </c>
      <c r="E72" s="142">
        <f>ROUND((E67+E70)/2.01,0)</f>
        <v>-395773</v>
      </c>
      <c r="F72" s="142">
        <f t="shared" ref="F72:O72" si="24">ROUND((F67+F70)/2.01,0)</f>
        <v>-406806</v>
      </c>
      <c r="G72" s="142">
        <f t="shared" si="24"/>
        <v>-417406</v>
      </c>
      <c r="H72" s="142">
        <f t="shared" si="24"/>
        <v>-403656</v>
      </c>
      <c r="I72" s="142">
        <f t="shared" si="24"/>
        <v>-332920</v>
      </c>
      <c r="J72" s="142">
        <f t="shared" si="24"/>
        <v>-265240</v>
      </c>
      <c r="K72" s="142">
        <f t="shared" si="24"/>
        <v>-268339</v>
      </c>
      <c r="L72" s="142">
        <f t="shared" si="24"/>
        <v>-271673</v>
      </c>
      <c r="M72" s="142">
        <f t="shared" si="24"/>
        <v>-270578</v>
      </c>
      <c r="N72" s="142">
        <f t="shared" si="24"/>
        <v>-271324</v>
      </c>
      <c r="O72" s="142">
        <f t="shared" si="24"/>
        <v>-265354</v>
      </c>
      <c r="P72" s="4"/>
      <c r="Q72" s="4"/>
      <c r="R72" s="4"/>
      <c r="S72" s="32" t="s">
        <v>122</v>
      </c>
      <c r="T72" s="4"/>
      <c r="U72" s="111">
        <f>SUM(U64:U70)</f>
        <v>12988</v>
      </c>
      <c r="V72" s="1"/>
      <c r="W72" s="1"/>
      <c r="X72" s="1"/>
    </row>
    <row r="73" spans="1:24" ht="12.75" customHeight="1" x14ac:dyDescent="0.2">
      <c r="A73" s="1"/>
      <c r="B73" s="110" t="str">
        <f>+'NNG-3rd CE 2001'!B73</f>
        <v xml:space="preserve">   Average Short Term Interest Rate (Corp.-%)</v>
      </c>
      <c r="C73" s="141">
        <f>+'NNG-3rd CE 2001'!C73</f>
        <v>0.06</v>
      </c>
      <c r="D73" s="141">
        <f>+'NNG-3rd CE 2001'!D73</f>
        <v>5.74E-2</v>
      </c>
      <c r="E73" s="141">
        <f>+'NNG-3rd CE 2001'!E73</f>
        <v>5.3900000000000003E-2</v>
      </c>
      <c r="F73" s="141">
        <f>+'NNG-3rd CE 2001'!F73</f>
        <v>0.05</v>
      </c>
      <c r="G73" s="141">
        <f>+'NNG-3rd CE 2001'!G73</f>
        <v>0.05</v>
      </c>
      <c r="H73" s="141">
        <f>+'NNG-3rd CE 2001'!H73</f>
        <v>4.1599999999999998E-2</v>
      </c>
      <c r="I73" s="141">
        <f>+'NNG-3rd CE 2001'!I73</f>
        <v>3.9199999999999999E-2</v>
      </c>
      <c r="J73" s="141">
        <f>+'NNG-3rd CE 2001'!J73</f>
        <v>3.7199999999999997E-2</v>
      </c>
      <c r="K73" s="141">
        <f>+'NNG-3rd CE 2001'!K73</f>
        <v>3.5999999999999997E-2</v>
      </c>
      <c r="L73" s="141">
        <f>+'NNG-3rd CE 2001'!L73</f>
        <v>3.5999999999999997E-2</v>
      </c>
      <c r="M73" s="141">
        <f>+'NNG-3rd CE 2001'!M73</f>
        <v>3.5999999999999997E-2</v>
      </c>
      <c r="N73" s="141">
        <f>+'NNG-3rd CE 2001'!N73</f>
        <v>3.5999999999999997E-2</v>
      </c>
      <c r="O73" s="141">
        <f>+'NNG-3rd CE 2001'!O73</f>
        <v>3.5999999999999997E-2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5" customHeight="1" x14ac:dyDescent="0.2">
      <c r="A74" s="1"/>
      <c r="B74" s="1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4"/>
      <c r="T74" s="4"/>
      <c r="U74" s="4"/>
      <c r="V74" s="1"/>
      <c r="W74" s="1"/>
      <c r="X74" s="1"/>
    </row>
    <row r="75" spans="1:24" ht="12.6" customHeight="1" x14ac:dyDescent="0.2">
      <c r="A75" s="1"/>
      <c r="B75" s="110" t="str">
        <f>+'NNG-3rd CE 2001'!B75</f>
        <v xml:space="preserve">      Short Term Interest (Inc.) / Exp. Calculation </v>
      </c>
      <c r="C75" s="8">
        <f>ROUND((C69)*(C73*(31/365)),0)</f>
        <v>0</v>
      </c>
      <c r="D75" s="8">
        <f>ROUND((D72)*(D73*(31/365)),0)</f>
        <v>-1875</v>
      </c>
      <c r="E75" s="8">
        <f>ROUND((E72)*(E73*(28/365)),0)</f>
        <v>-1636</v>
      </c>
      <c r="F75" s="8">
        <f>ROUND((F72)*(F73*(31/365)),0)</f>
        <v>-1728</v>
      </c>
      <c r="G75" s="8">
        <f>ROUND((G72)*(G73*(30/365)),0)</f>
        <v>-1715</v>
      </c>
      <c r="H75" s="8">
        <f>ROUND((H72)*(H73*(31/365)),0)</f>
        <v>-1426</v>
      </c>
      <c r="I75" s="8">
        <f>ROUND((I72)*(I73*(30/365)),0)</f>
        <v>-1073</v>
      </c>
      <c r="J75" s="8">
        <f>ROUND((J72)*(J73*(31/365)),0)</f>
        <v>-838</v>
      </c>
      <c r="K75" s="8">
        <f>ROUND((K72)*(K73*(31/365)),0)</f>
        <v>-820</v>
      </c>
      <c r="L75" s="8">
        <f>ROUND((L72)*(L73*(30/365)),0)</f>
        <v>-804</v>
      </c>
      <c r="M75" s="8">
        <f>ROUND((M72)*(M73*(31/365)),0)</f>
        <v>-827</v>
      </c>
      <c r="N75" s="8">
        <f>ROUND((N72)*(N73*(30/365)),0)</f>
        <v>-803</v>
      </c>
      <c r="O75" s="8">
        <f>ROUND((O72)*(O73*(31/365)),0)</f>
        <v>-811</v>
      </c>
      <c r="P75" s="8">
        <f>SUM(D75:O75)</f>
        <v>-14356</v>
      </c>
      <c r="Q75" s="4"/>
      <c r="R75" s="4"/>
      <c r="S75" s="1"/>
      <c r="T75" s="1"/>
      <c r="U75" s="1"/>
      <c r="V75" s="1"/>
      <c r="W75" s="1"/>
      <c r="X75" s="1"/>
    </row>
    <row r="76" spans="1:24" ht="12.6" customHeight="1" x14ac:dyDescent="0.2">
      <c r="A76" s="1"/>
      <c r="B76" s="110" t="str">
        <f>+'NNG-3rd CE 2001'!B76</f>
        <v xml:space="preserve">         Corporate Tie-In Amount (Act. / Est. Adjust.) </v>
      </c>
      <c r="C76" s="12"/>
      <c r="D76" s="128">
        <f>1+1874</f>
        <v>1875</v>
      </c>
      <c r="E76" s="128">
        <f>5+1631</f>
        <v>1636</v>
      </c>
      <c r="F76" s="128">
        <f>-1874-1631+35</f>
        <v>-3470</v>
      </c>
      <c r="G76" s="21">
        <v>-70</v>
      </c>
      <c r="H76" s="21">
        <v>-3</v>
      </c>
      <c r="I76" s="21">
        <v>-246</v>
      </c>
      <c r="J76" s="21">
        <v>13</v>
      </c>
      <c r="K76" s="21">
        <v>-5</v>
      </c>
      <c r="L76" s="21">
        <v>34</v>
      </c>
      <c r="M76" s="21">
        <v>39</v>
      </c>
      <c r="N76" s="21">
        <v>60</v>
      </c>
      <c r="O76" s="21">
        <v>81</v>
      </c>
      <c r="P76" s="11">
        <f>SUM(D76:O76)</f>
        <v>-56</v>
      </c>
      <c r="Q76" s="4"/>
      <c r="R76" s="4"/>
      <c r="S76" s="1"/>
      <c r="T76" s="1"/>
      <c r="U76" s="1"/>
      <c r="V76" s="1"/>
      <c r="W76" s="1"/>
      <c r="X76" s="1"/>
    </row>
    <row r="77" spans="1:24" ht="12.6" customHeight="1" x14ac:dyDescent="0.2">
      <c r="A77" s="1"/>
      <c r="B77" s="110" t="str">
        <f>+'NNG-3rd CE 2001'!B77</f>
        <v xml:space="preserve">            Total Short Term Interest (Inc.) / Exp. </v>
      </c>
      <c r="C77" s="1"/>
      <c r="D77" s="8">
        <f t="shared" ref="D77:P77" si="25">SUM(D75:D76)</f>
        <v>0</v>
      </c>
      <c r="E77" s="8">
        <f t="shared" si="25"/>
        <v>0</v>
      </c>
      <c r="F77" s="8">
        <f t="shared" si="25"/>
        <v>-5198</v>
      </c>
      <c r="G77" s="8">
        <f t="shared" si="25"/>
        <v>-1785</v>
      </c>
      <c r="H77" s="8">
        <f t="shared" si="25"/>
        <v>-1429</v>
      </c>
      <c r="I77" s="8">
        <f t="shared" si="25"/>
        <v>-1319</v>
      </c>
      <c r="J77" s="8">
        <f t="shared" si="25"/>
        <v>-825</v>
      </c>
      <c r="K77" s="8">
        <f t="shared" si="25"/>
        <v>-825</v>
      </c>
      <c r="L77" s="8">
        <f t="shared" si="25"/>
        <v>-770</v>
      </c>
      <c r="M77" s="8">
        <f t="shared" si="25"/>
        <v>-788</v>
      </c>
      <c r="N77" s="8">
        <f t="shared" si="25"/>
        <v>-743</v>
      </c>
      <c r="O77" s="8">
        <f t="shared" si="25"/>
        <v>-730</v>
      </c>
      <c r="P77" s="8">
        <f t="shared" si="25"/>
        <v>-14412</v>
      </c>
      <c r="Q77" s="4"/>
      <c r="R77" s="4"/>
      <c r="S77" s="1"/>
      <c r="T77" s="1"/>
      <c r="U77" s="1"/>
      <c r="V77" s="1"/>
      <c r="W77" s="1"/>
      <c r="X77" s="1"/>
    </row>
    <row r="78" spans="1:24" ht="12.6" customHeight="1" x14ac:dyDescent="0.2">
      <c r="A78" s="1"/>
      <c r="B78" s="37" t="s">
        <v>151</v>
      </c>
      <c r="C78" s="4"/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8">
        <f>SUM(D78:O78)</f>
        <v>0</v>
      </c>
      <c r="Q78" s="4"/>
      <c r="R78" s="4"/>
      <c r="S78" s="1"/>
      <c r="T78" s="1"/>
      <c r="U78" s="1"/>
      <c r="V78" s="1"/>
      <c r="W78" s="1"/>
      <c r="X78" s="1"/>
    </row>
    <row r="79" spans="1:24" ht="12.6" customHeight="1" x14ac:dyDescent="0.2">
      <c r="A79" s="1"/>
      <c r="B79" s="110" t="str">
        <f>+'NNG-3rd CE 2001'!B79</f>
        <v xml:space="preserve">         Unamortized Debt Expense</v>
      </c>
      <c r="C79" s="4"/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8">
        <f>SUM(D79:O79)</f>
        <v>0</v>
      </c>
      <c r="Q79" s="4"/>
      <c r="R79" s="4"/>
      <c r="S79" s="1"/>
      <c r="T79" s="1"/>
      <c r="U79" s="1"/>
      <c r="V79" s="1"/>
      <c r="W79" s="1"/>
      <c r="X79" s="1"/>
    </row>
    <row r="80" spans="1:24" ht="12.75" customHeight="1" x14ac:dyDescent="0.2">
      <c r="A80" s="1"/>
      <c r="B80" s="37" t="s">
        <v>152</v>
      </c>
      <c r="C80" s="4"/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11">
        <f>SUM(D80:O80)</f>
        <v>0</v>
      </c>
      <c r="Q80" s="4"/>
      <c r="R80" s="4"/>
      <c r="S80" s="1"/>
      <c r="T80" s="1"/>
      <c r="U80" s="1"/>
      <c r="V80" s="1"/>
      <c r="W80" s="1"/>
      <c r="X80" s="1"/>
    </row>
    <row r="81" spans="1:24" ht="3.95" customHeight="1" x14ac:dyDescent="0.2">
      <c r="A81" s="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4"/>
      <c r="Q81" s="4"/>
      <c r="R81" s="4"/>
      <c r="S81" s="1"/>
      <c r="T81" s="1"/>
      <c r="U81" s="1"/>
      <c r="V81" s="1"/>
      <c r="W81" s="1"/>
      <c r="X81" s="1"/>
    </row>
    <row r="82" spans="1:24" ht="12.6" customHeight="1" x14ac:dyDescent="0.2">
      <c r="A82" s="1"/>
      <c r="B82" s="43"/>
      <c r="C82" s="12"/>
      <c r="D82" s="108">
        <f t="shared" ref="D82:P82" si="26">SUM(D77:D80)</f>
        <v>0</v>
      </c>
      <c r="E82" s="108">
        <f t="shared" si="26"/>
        <v>0</v>
      </c>
      <c r="F82" s="108">
        <f t="shared" si="26"/>
        <v>-5198</v>
      </c>
      <c r="G82" s="108">
        <f t="shared" si="26"/>
        <v>-1785</v>
      </c>
      <c r="H82" s="108">
        <f t="shared" si="26"/>
        <v>-1429</v>
      </c>
      <c r="I82" s="108">
        <f t="shared" si="26"/>
        <v>-1319</v>
      </c>
      <c r="J82" s="108">
        <f t="shared" si="26"/>
        <v>-825</v>
      </c>
      <c r="K82" s="108">
        <f t="shared" si="26"/>
        <v>-825</v>
      </c>
      <c r="L82" s="108">
        <f t="shared" si="26"/>
        <v>-770</v>
      </c>
      <c r="M82" s="108">
        <f t="shared" si="26"/>
        <v>-788</v>
      </c>
      <c r="N82" s="108">
        <f t="shared" si="26"/>
        <v>-743</v>
      </c>
      <c r="O82" s="108">
        <f t="shared" si="26"/>
        <v>-730</v>
      </c>
      <c r="P82" s="108">
        <f t="shared" si="26"/>
        <v>-14412</v>
      </c>
      <c r="Q82" s="59">
        <f>+P82-SUM(D82:O82)</f>
        <v>0</v>
      </c>
      <c r="R82" s="59"/>
      <c r="S82" s="1"/>
      <c r="T82" s="1"/>
      <c r="U82" s="34">
        <f ca="1">NOW()</f>
        <v>37189.602767708333</v>
      </c>
      <c r="V82" s="1"/>
      <c r="W82" s="1"/>
      <c r="X82" s="1"/>
    </row>
    <row r="83" spans="1:24" ht="12.6" customHeight="1" x14ac:dyDescent="0.2">
      <c r="A83" s="1"/>
      <c r="B83" s="43"/>
      <c r="C83" s="12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59"/>
      <c r="R83" s="59"/>
      <c r="S83" s="1"/>
      <c r="T83" s="1"/>
      <c r="U83" s="34"/>
      <c r="V83" s="1"/>
      <c r="W83" s="1"/>
      <c r="X83" s="1"/>
    </row>
    <row r="84" spans="1:24" ht="12.6" customHeight="1" x14ac:dyDescent="0.2">
      <c r="A84" s="33" t="str">
        <f ca="1">CELL("FILENAME")</f>
        <v>H:\2002\[DBTEQTY02.xls]NNG-Original 2002 Plan</v>
      </c>
      <c r="B84" s="43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59"/>
      <c r="S84" s="1"/>
      <c r="T84" s="1"/>
      <c r="U84" s="35">
        <f ca="1">NOW()</f>
        <v>37189.602767708333</v>
      </c>
      <c r="V84" s="1"/>
      <c r="W84" s="1"/>
      <c r="X84" s="1"/>
    </row>
    <row r="85" spans="1:24" ht="11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1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1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D87"/>
  <sheetViews>
    <sheetView showGridLines="0" tabSelected="1"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C7" sqref="C7"/>
    </sheetView>
  </sheetViews>
  <sheetFormatPr defaultColWidth="9.83203125" defaultRowHeight="10.5" x14ac:dyDescent="0.15"/>
  <cols>
    <col min="1" max="1" width="1.83203125" customWidth="1"/>
    <col min="2" max="2" width="60.83203125" customWidth="1"/>
    <col min="3" max="3" width="13.83203125" customWidth="1"/>
    <col min="4" max="15" width="12.83203125" customWidth="1"/>
    <col min="16" max="16" width="13.83203125" customWidth="1"/>
    <col min="17" max="17" width="5.83203125" customWidth="1"/>
    <col min="18" max="18" width="4.83203125" customWidth="1"/>
    <col min="19" max="19" width="45.83203125" customWidth="1"/>
    <col min="20" max="20" width="11.83203125" customWidth="1"/>
    <col min="21" max="21" width="10.83203125" customWidth="1"/>
  </cols>
  <sheetData>
    <row r="1" spans="1:24" ht="12.75" customHeight="1" x14ac:dyDescent="0.25">
      <c r="A1" s="41" t="s">
        <v>30</v>
      </c>
      <c r="B1" s="63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65"/>
      <c r="Q1" s="66"/>
      <c r="R1" s="66"/>
      <c r="S1" s="66"/>
      <c r="T1" s="66"/>
      <c r="U1" s="64"/>
      <c r="V1" s="1"/>
      <c r="W1" s="1"/>
      <c r="X1" s="1"/>
    </row>
    <row r="2" spans="1:24" ht="12.75" customHeight="1" x14ac:dyDescent="0.25">
      <c r="A2" s="52" t="s">
        <v>153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67"/>
      <c r="Q2" s="66"/>
      <c r="R2" s="66"/>
      <c r="S2" s="66"/>
      <c r="T2" s="66"/>
      <c r="U2" s="64"/>
      <c r="V2" s="1"/>
      <c r="W2" s="1"/>
      <c r="X2" s="1"/>
    </row>
    <row r="3" spans="1:24" ht="12.75" customHeight="1" x14ac:dyDescent="0.25">
      <c r="A3" s="29" t="s">
        <v>32</v>
      </c>
      <c r="B3" s="64"/>
      <c r="C3" s="68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66"/>
      <c r="R3" s="66"/>
      <c r="S3" s="66"/>
      <c r="T3" s="66"/>
      <c r="U3" s="66"/>
      <c r="V3" s="1"/>
      <c r="W3" s="1"/>
      <c r="X3" s="1"/>
    </row>
    <row r="4" spans="1:24" ht="12.6" customHeight="1" x14ac:dyDescent="0.2">
      <c r="A4" s="1"/>
      <c r="B4" s="40" t="s">
        <v>154</v>
      </c>
      <c r="C4" s="14" t="s">
        <v>155</v>
      </c>
      <c r="D4" s="3"/>
      <c r="E4" s="18"/>
      <c r="F4" s="1"/>
      <c r="G4" s="1"/>
      <c r="H4" s="18"/>
      <c r="J4" s="51"/>
      <c r="K4" s="18"/>
      <c r="L4" s="3"/>
      <c r="M4" s="3"/>
      <c r="N4" s="3"/>
      <c r="O4" s="3"/>
      <c r="P4" s="3"/>
      <c r="Q4" s="4"/>
      <c r="R4" s="4"/>
      <c r="S4" s="4"/>
      <c r="T4" s="5"/>
      <c r="U4" s="4"/>
      <c r="V4" s="1"/>
      <c r="W4" s="1"/>
      <c r="X4" s="1"/>
    </row>
    <row r="5" spans="1:24" ht="12.6" customHeight="1" x14ac:dyDescent="0.2">
      <c r="A5" s="1"/>
      <c r="B5" s="3"/>
      <c r="C5" s="15" t="s">
        <v>36</v>
      </c>
      <c r="D5" s="18" t="s">
        <v>156</v>
      </c>
      <c r="E5" s="18" t="s">
        <v>156</v>
      </c>
      <c r="F5" s="18" t="s">
        <v>156</v>
      </c>
      <c r="G5" s="18" t="s">
        <v>156</v>
      </c>
      <c r="H5" s="18" t="s">
        <v>156</v>
      </c>
      <c r="I5" s="18" t="s">
        <v>156</v>
      </c>
      <c r="J5" s="18" t="s">
        <v>156</v>
      </c>
      <c r="K5" s="18" t="s">
        <v>156</v>
      </c>
      <c r="L5" s="18" t="s">
        <v>156</v>
      </c>
      <c r="M5" s="18" t="s">
        <v>156</v>
      </c>
      <c r="N5" s="18" t="s">
        <v>156</v>
      </c>
      <c r="O5" s="18" t="s">
        <v>156</v>
      </c>
      <c r="P5" s="6" t="str">
        <f>+C5</f>
        <v>YEAR END</v>
      </c>
      <c r="Q5" s="4"/>
      <c r="R5" s="4"/>
      <c r="S5" s="5"/>
      <c r="T5" s="5"/>
      <c r="U5" s="4"/>
      <c r="V5" s="1"/>
      <c r="W5" s="1"/>
      <c r="X5" s="1"/>
    </row>
    <row r="6" spans="1:24" ht="12.6" customHeight="1" x14ac:dyDescent="0.2">
      <c r="A6" s="1"/>
      <c r="B6" s="3"/>
      <c r="C6" s="17" t="s">
        <v>39</v>
      </c>
      <c r="D6" s="42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17" t="s">
        <v>157</v>
      </c>
      <c r="Q6" s="4"/>
      <c r="R6" s="4"/>
      <c r="S6" s="7"/>
      <c r="T6" s="7"/>
      <c r="U6" s="4"/>
      <c r="V6" s="1"/>
      <c r="W6" s="1"/>
      <c r="X6" s="1"/>
    </row>
    <row r="7" spans="1:24" ht="12.6" customHeight="1" x14ac:dyDescent="0.2">
      <c r="A7" s="98" t="s">
        <v>40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4"/>
      <c r="R7" s="4"/>
      <c r="S7" s="7"/>
      <c r="T7" s="7"/>
      <c r="U7" s="4"/>
      <c r="V7" s="1"/>
      <c r="W7" s="1"/>
      <c r="X7" s="1"/>
    </row>
    <row r="8" spans="1:24" ht="12.6" customHeight="1" x14ac:dyDescent="0.2">
      <c r="A8" s="1"/>
      <c r="B8" s="37" t="s">
        <v>41</v>
      </c>
      <c r="C8" s="106">
        <f>-870474-188331</f>
        <v>-1058805</v>
      </c>
      <c r="D8" s="8">
        <f t="shared" ref="D8:O8" si="0">C15</f>
        <v>-329928</v>
      </c>
      <c r="E8" s="8">
        <f t="shared" si="0"/>
        <v>-349828</v>
      </c>
      <c r="F8" s="8">
        <f t="shared" si="0"/>
        <v>-366528</v>
      </c>
      <c r="G8" s="8">
        <f t="shared" si="0"/>
        <v>-376928</v>
      </c>
      <c r="H8" s="8">
        <f t="shared" si="0"/>
        <v>-411128</v>
      </c>
      <c r="I8" s="8">
        <f t="shared" si="0"/>
        <v>-399628</v>
      </c>
      <c r="J8" s="8">
        <f t="shared" si="0"/>
        <v>-380528</v>
      </c>
      <c r="K8" s="8">
        <f t="shared" si="0"/>
        <v>-374228</v>
      </c>
      <c r="L8" s="8">
        <f t="shared" si="0"/>
        <v>-368128</v>
      </c>
      <c r="M8" s="8">
        <f t="shared" si="0"/>
        <v>-346328</v>
      </c>
      <c r="N8" s="8">
        <f t="shared" si="0"/>
        <v>-338128</v>
      </c>
      <c r="O8" s="8">
        <f t="shared" si="0"/>
        <v>-318928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">
      <c r="A9" s="1"/>
      <c r="B9" s="37" t="s">
        <v>158</v>
      </c>
      <c r="C9" s="4"/>
      <c r="D9" s="20">
        <v>-40200</v>
      </c>
      <c r="E9" s="20">
        <v>-41500</v>
      </c>
      <c r="F9" s="106">
        <f>-32200+900</f>
        <v>-31300</v>
      </c>
      <c r="G9" s="20">
        <v>-41800</v>
      </c>
      <c r="H9" s="20">
        <v>5400</v>
      </c>
      <c r="I9" s="106">
        <f>5700+1300</f>
        <v>7000</v>
      </c>
      <c r="J9" s="20">
        <v>-1900</v>
      </c>
      <c r="K9" s="20">
        <v>-1900</v>
      </c>
      <c r="L9" s="106">
        <f>13100+1900</f>
        <v>15000</v>
      </c>
      <c r="M9" s="20">
        <v>300</v>
      </c>
      <c r="N9" s="20">
        <v>-500</v>
      </c>
      <c r="O9" s="106">
        <f>-22800+1900</f>
        <v>-20900</v>
      </c>
      <c r="P9" s="8">
        <f>SUM(D9:O9)</f>
        <v>-152300</v>
      </c>
      <c r="Q9" s="4"/>
      <c r="R9" s="4"/>
      <c r="S9" s="5"/>
      <c r="T9" s="9"/>
      <c r="U9" s="4"/>
      <c r="V9" s="1"/>
      <c r="W9" s="1"/>
      <c r="X9" s="1"/>
    </row>
    <row r="10" spans="1:24" ht="12.6" customHeight="1" x14ac:dyDescent="0.2">
      <c r="A10" s="1"/>
      <c r="B10" s="37" t="s">
        <v>43</v>
      </c>
      <c r="C10" s="20">
        <f>573870+155007</f>
        <v>728877</v>
      </c>
      <c r="D10" s="106">
        <f>20500-200</f>
        <v>20300</v>
      </c>
      <c r="E10" s="106">
        <f>25000-200</f>
        <v>24800</v>
      </c>
      <c r="F10" s="106">
        <f>21100-200</f>
        <v>20900</v>
      </c>
      <c r="G10" s="106">
        <f>7800-200</f>
        <v>7600</v>
      </c>
      <c r="H10" s="106">
        <f>6300-200</f>
        <v>6100</v>
      </c>
      <c r="I10" s="106">
        <f>12700-600</f>
        <v>12100</v>
      </c>
      <c r="J10" s="106">
        <f>8800-600</f>
        <v>8200</v>
      </c>
      <c r="K10" s="106">
        <f>8500-500</f>
        <v>8000</v>
      </c>
      <c r="L10" s="106">
        <f>7300-500</f>
        <v>6800</v>
      </c>
      <c r="M10" s="106">
        <f>8400-500</f>
        <v>7900</v>
      </c>
      <c r="N10" s="106">
        <f>20200-500</f>
        <v>19700</v>
      </c>
      <c r="O10" s="106">
        <f>22200-500</f>
        <v>21700</v>
      </c>
      <c r="P10" s="8">
        <f>SUM(D10:O10)</f>
        <v>164100</v>
      </c>
      <c r="Q10" s="4"/>
      <c r="R10" s="4"/>
      <c r="S10" s="32" t="s">
        <v>44</v>
      </c>
      <c r="U10" s="59">
        <f>ROUND(SUM(D15:O15)/12,0)</f>
        <v>-362370</v>
      </c>
      <c r="V10" s="1"/>
      <c r="W10" s="1"/>
      <c r="X10" s="1"/>
    </row>
    <row r="11" spans="1:24" ht="12.6" customHeight="1" x14ac:dyDescent="0.2">
      <c r="A11" s="1"/>
      <c r="B11" s="37" t="s">
        <v>45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4"/>
      <c r="R11" s="4"/>
      <c r="S11" s="110" t="s">
        <v>46</v>
      </c>
      <c r="T11" s="9"/>
      <c r="U11" s="21">
        <v>17179</v>
      </c>
      <c r="V11" s="1"/>
      <c r="W11" s="1"/>
      <c r="X11" s="1"/>
    </row>
    <row r="12" spans="1:24" ht="12.6" customHeight="1" x14ac:dyDescent="0.2">
      <c r="A12" s="1"/>
      <c r="B12" s="71" t="s">
        <v>47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4"/>
      <c r="R12" s="4"/>
      <c r="S12" s="4" t="s">
        <v>48</v>
      </c>
      <c r="T12" s="4"/>
      <c r="U12" s="111">
        <f>SUM(U10:U11)</f>
        <v>-345191</v>
      </c>
      <c r="V12" s="1"/>
      <c r="W12" s="1"/>
      <c r="X12" s="1"/>
    </row>
    <row r="13" spans="1:24" ht="12.6" customHeight="1" x14ac:dyDescent="0.2">
      <c r="A13" s="1"/>
      <c r="B13" s="37" t="s">
        <v>49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5" customHeight="1" x14ac:dyDescent="0.2">
      <c r="A14" s="1"/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">
      <c r="A15" s="1"/>
      <c r="B15" s="37" t="s">
        <v>50</v>
      </c>
      <c r="C15" s="11">
        <f t="shared" ref="C15:O15" si="2">SUM(C8:C14)</f>
        <v>-329928</v>
      </c>
      <c r="D15" s="11">
        <f t="shared" si="2"/>
        <v>-349828</v>
      </c>
      <c r="E15" s="11">
        <f t="shared" si="2"/>
        <v>-366528</v>
      </c>
      <c r="F15" s="11">
        <f t="shared" si="2"/>
        <v>-376928</v>
      </c>
      <c r="G15" s="11">
        <f t="shared" si="2"/>
        <v>-411128</v>
      </c>
      <c r="H15" s="11">
        <f t="shared" si="2"/>
        <v>-399628</v>
      </c>
      <c r="I15" s="11">
        <f t="shared" si="2"/>
        <v>-380528</v>
      </c>
      <c r="J15" s="11">
        <f t="shared" si="2"/>
        <v>-374228</v>
      </c>
      <c r="K15" s="11">
        <f t="shared" si="2"/>
        <v>-368128</v>
      </c>
      <c r="L15" s="11">
        <f t="shared" si="2"/>
        <v>-346328</v>
      </c>
      <c r="M15" s="11">
        <f t="shared" si="2"/>
        <v>-338128</v>
      </c>
      <c r="N15" s="11">
        <f t="shared" si="2"/>
        <v>-318928</v>
      </c>
      <c r="O15" s="11">
        <f t="shared" si="2"/>
        <v>-318128</v>
      </c>
      <c r="P15" s="4" t="s">
        <v>51</v>
      </c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30" ht="12.6" customHeight="1" x14ac:dyDescent="0.2">
      <c r="A17" s="1"/>
      <c r="B17" s="37" t="s">
        <v>52</v>
      </c>
      <c r="C17" s="20">
        <v>500000</v>
      </c>
      <c r="D17" s="8">
        <f t="shared" ref="D17:O17" si="3">C23</f>
        <v>499743</v>
      </c>
      <c r="E17" s="8">
        <f t="shared" si="3"/>
        <v>499749</v>
      </c>
      <c r="F17" s="8">
        <f t="shared" si="3"/>
        <v>499755</v>
      </c>
      <c r="G17" s="8">
        <f t="shared" si="3"/>
        <v>499762</v>
      </c>
      <c r="H17" s="8">
        <f t="shared" si="3"/>
        <v>499768</v>
      </c>
      <c r="I17" s="8">
        <f t="shared" si="3"/>
        <v>499775</v>
      </c>
      <c r="J17" s="8">
        <f t="shared" si="3"/>
        <v>499781</v>
      </c>
      <c r="K17" s="8">
        <f t="shared" si="3"/>
        <v>499788</v>
      </c>
      <c r="L17" s="8">
        <f t="shared" si="3"/>
        <v>499794</v>
      </c>
      <c r="M17" s="8">
        <f t="shared" si="3"/>
        <v>499801</v>
      </c>
      <c r="N17" s="8">
        <f t="shared" si="3"/>
        <v>499807</v>
      </c>
      <c r="O17" s="8">
        <f t="shared" si="3"/>
        <v>499814</v>
      </c>
      <c r="P17" s="4"/>
      <c r="Q17" s="8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30" ht="12.6" customHeight="1" x14ac:dyDescent="0.2">
      <c r="A18" s="1"/>
      <c r="B18" s="37" t="s">
        <v>56</v>
      </c>
      <c r="C18" s="5"/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4"/>
      <c r="Q18" s="4"/>
      <c r="R18" s="4"/>
      <c r="S18" s="78" t="s">
        <v>57</v>
      </c>
      <c r="T18" s="20">
        <v>500000</v>
      </c>
      <c r="U18" s="79">
        <f>ROUND(T18/T20,4)</f>
        <v>0.3049</v>
      </c>
      <c r="V18" s="1"/>
      <c r="W18" s="1"/>
      <c r="X18" s="1"/>
    </row>
    <row r="19" spans="1:30" ht="12.6" customHeight="1" x14ac:dyDescent="0.2">
      <c r="A19" s="1"/>
      <c r="B19" s="37" t="s">
        <v>58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59</v>
      </c>
      <c r="T19" s="109">
        <f>L31-36788</f>
        <v>1140104</v>
      </c>
      <c r="U19" s="81">
        <f>ROUND(T19/T20,4)</f>
        <v>0.69510000000000005</v>
      </c>
      <c r="V19" s="1"/>
      <c r="W19" s="1"/>
      <c r="X19" s="1"/>
    </row>
    <row r="20" spans="1:30" ht="12.6" customHeight="1" x14ac:dyDescent="0.2">
      <c r="A20" s="1"/>
      <c r="B20" s="37" t="s">
        <v>60</v>
      </c>
      <c r="C20" s="20">
        <v>-257</v>
      </c>
      <c r="D20" s="59">
        <f t="shared" ref="D20:O20" si="4">D53</f>
        <v>6</v>
      </c>
      <c r="E20" s="59">
        <f t="shared" si="4"/>
        <v>6</v>
      </c>
      <c r="F20" s="125">
        <f t="shared" si="4"/>
        <v>7</v>
      </c>
      <c r="G20" s="59">
        <f t="shared" si="4"/>
        <v>6</v>
      </c>
      <c r="H20" s="59">
        <f t="shared" si="4"/>
        <v>7</v>
      </c>
      <c r="I20" s="59">
        <f t="shared" si="4"/>
        <v>6</v>
      </c>
      <c r="J20" s="59">
        <f t="shared" si="4"/>
        <v>7</v>
      </c>
      <c r="K20" s="59">
        <f t="shared" si="4"/>
        <v>6</v>
      </c>
      <c r="L20" s="59">
        <f t="shared" si="4"/>
        <v>7</v>
      </c>
      <c r="M20" s="59">
        <f t="shared" si="4"/>
        <v>6</v>
      </c>
      <c r="N20" s="59">
        <f t="shared" si="4"/>
        <v>7</v>
      </c>
      <c r="O20" s="59">
        <f t="shared" si="4"/>
        <v>6</v>
      </c>
      <c r="P20" s="4"/>
      <c r="Q20" s="4"/>
      <c r="R20" s="4"/>
      <c r="S20" s="80" t="s">
        <v>61</v>
      </c>
      <c r="T20" s="12">
        <f>T18+T19</f>
        <v>1640104</v>
      </c>
      <c r="U20" s="82">
        <f>U18+U19</f>
        <v>1</v>
      </c>
      <c r="V20" s="1"/>
      <c r="W20" s="1"/>
      <c r="X20" s="1"/>
    </row>
    <row r="21" spans="1:30" ht="12.6" customHeight="1" x14ac:dyDescent="0.2">
      <c r="A21" s="1"/>
      <c r="B21" s="37" t="s">
        <v>49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8"/>
      <c r="R21" s="8"/>
      <c r="S21" s="83"/>
      <c r="T21" s="84"/>
      <c r="U21" s="85"/>
      <c r="V21" s="1"/>
      <c r="W21" s="1"/>
      <c r="X21" s="1"/>
    </row>
    <row r="22" spans="1:30" ht="3.95" customHeight="1" x14ac:dyDescent="0.2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30" ht="12.6" customHeight="1" x14ac:dyDescent="0.2">
      <c r="A23" s="1"/>
      <c r="B23" s="37" t="s">
        <v>62</v>
      </c>
      <c r="C23" s="11">
        <f>SUM(C17:C22)</f>
        <v>499743</v>
      </c>
      <c r="D23" s="11">
        <f>SUM(D17:D20)</f>
        <v>499749</v>
      </c>
      <c r="E23" s="11">
        <f t="shared" ref="E23:O23" si="5">SUM(E17:E21)</f>
        <v>499755</v>
      </c>
      <c r="F23" s="11">
        <f t="shared" si="5"/>
        <v>499762</v>
      </c>
      <c r="G23" s="11">
        <f t="shared" si="5"/>
        <v>499768</v>
      </c>
      <c r="H23" s="11">
        <f t="shared" si="5"/>
        <v>499775</v>
      </c>
      <c r="I23" s="11">
        <f t="shared" si="5"/>
        <v>499781</v>
      </c>
      <c r="J23" s="11">
        <f t="shared" si="5"/>
        <v>499788</v>
      </c>
      <c r="K23" s="11">
        <f t="shared" si="5"/>
        <v>499794</v>
      </c>
      <c r="L23" s="11">
        <f t="shared" si="5"/>
        <v>499801</v>
      </c>
      <c r="M23" s="11">
        <f t="shared" si="5"/>
        <v>499807</v>
      </c>
      <c r="N23" s="11">
        <f t="shared" si="5"/>
        <v>499814</v>
      </c>
      <c r="O23" s="11">
        <f t="shared" si="5"/>
        <v>499820</v>
      </c>
      <c r="P23" s="4"/>
      <c r="Q23" s="8"/>
      <c r="R23" s="8"/>
      <c r="S23" s="9"/>
      <c r="T23" s="86"/>
      <c r="U23" s="4"/>
      <c r="V23" s="1"/>
      <c r="W23" s="1"/>
      <c r="X23" s="1"/>
    </row>
    <row r="24" spans="1:30" ht="8.1" customHeight="1" x14ac:dyDescent="0.2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8"/>
      <c r="R24" s="8"/>
      <c r="S24" s="9"/>
      <c r="T24" s="4"/>
      <c r="U24" s="4"/>
      <c r="V24" s="1"/>
      <c r="W24" s="1"/>
      <c r="X24" s="1"/>
    </row>
    <row r="25" spans="1:30" ht="12.6" customHeight="1" x14ac:dyDescent="0.2">
      <c r="A25" s="1"/>
      <c r="B25" s="37" t="s">
        <v>63</v>
      </c>
      <c r="C25" s="4"/>
      <c r="D25" s="8">
        <f t="shared" ref="D25:O25" si="6">C31</f>
        <v>1116716</v>
      </c>
      <c r="E25" s="8">
        <f t="shared" si="6"/>
        <v>1135057</v>
      </c>
      <c r="F25" s="8">
        <f t="shared" si="6"/>
        <v>1152679</v>
      </c>
      <c r="G25" s="8">
        <f t="shared" si="6"/>
        <v>1172968</v>
      </c>
      <c r="H25" s="8">
        <f t="shared" si="6"/>
        <v>1171883</v>
      </c>
      <c r="I25" s="8">
        <f t="shared" si="6"/>
        <v>1170787</v>
      </c>
      <c r="J25" s="8">
        <f t="shared" si="6"/>
        <v>1178185</v>
      </c>
      <c r="K25" s="8">
        <f t="shared" si="6"/>
        <v>1177338</v>
      </c>
      <c r="L25" s="8">
        <f t="shared" si="6"/>
        <v>1177149</v>
      </c>
      <c r="M25" s="8">
        <f t="shared" si="6"/>
        <v>1176892</v>
      </c>
      <c r="N25" s="8">
        <f t="shared" si="6"/>
        <v>1175878</v>
      </c>
      <c r="O25" s="8">
        <f t="shared" si="6"/>
        <v>1192880</v>
      </c>
      <c r="P25" s="4"/>
      <c r="Q25" s="4"/>
      <c r="R25" s="4"/>
      <c r="S25" s="1"/>
      <c r="T25" s="1"/>
      <c r="U25" s="4"/>
      <c r="V25" s="1"/>
      <c r="W25" s="1"/>
      <c r="X25" s="1"/>
    </row>
    <row r="26" spans="1:30" ht="12.6" customHeight="1" x14ac:dyDescent="0.2">
      <c r="A26" s="1"/>
      <c r="B26" s="37" t="s">
        <v>64</v>
      </c>
      <c r="C26" s="4"/>
      <c r="D26" s="20">
        <v>18341</v>
      </c>
      <c r="E26" s="20">
        <v>17622</v>
      </c>
      <c r="F26" s="20">
        <v>20289</v>
      </c>
      <c r="G26" s="20">
        <v>-1085</v>
      </c>
      <c r="H26" s="20">
        <v>-1096</v>
      </c>
      <c r="I26" s="20">
        <v>7398</v>
      </c>
      <c r="J26" s="20">
        <v>-847</v>
      </c>
      <c r="K26" s="20">
        <v>-189</v>
      </c>
      <c r="L26" s="20">
        <v>-257</v>
      </c>
      <c r="M26" s="20">
        <v>-1014</v>
      </c>
      <c r="N26" s="20">
        <v>17002</v>
      </c>
      <c r="O26" s="20">
        <v>20971</v>
      </c>
      <c r="P26" s="8">
        <f>SUM(D26:O26)</f>
        <v>97135</v>
      </c>
      <c r="Q26" s="8"/>
      <c r="R26" s="8"/>
      <c r="V26" s="1"/>
      <c r="W26" s="1"/>
      <c r="X26" s="1"/>
      <c r="AB26" s="87" t="s">
        <v>57</v>
      </c>
      <c r="AC26" s="88">
        <v>600000</v>
      </c>
      <c r="AD26" s="89">
        <f>ROUND(AC26/AC29,4)</f>
        <v>0.3377</v>
      </c>
    </row>
    <row r="27" spans="1:30" ht="12.6" customHeight="1" x14ac:dyDescent="0.2">
      <c r="A27" s="1"/>
      <c r="B27" s="37" t="s">
        <v>45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4"/>
      <c r="R27" s="4"/>
      <c r="V27" s="1"/>
      <c r="W27" s="1"/>
      <c r="X27" s="1"/>
      <c r="AB27" s="90" t="s">
        <v>65</v>
      </c>
      <c r="AC27" s="91">
        <f>L31</f>
        <v>1176892</v>
      </c>
      <c r="AD27" s="92">
        <f>ROUND(AC27/AC29,4)</f>
        <v>0.6623</v>
      </c>
    </row>
    <row r="28" spans="1:30" ht="12.6" customHeight="1" x14ac:dyDescent="0.2">
      <c r="A28" s="1"/>
      <c r="B28" s="37" t="s">
        <v>66</v>
      </c>
      <c r="C28" s="20">
        <v>36396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4"/>
      <c r="R28" s="4"/>
      <c r="V28" s="1"/>
      <c r="W28" s="1"/>
      <c r="X28" s="1"/>
      <c r="AB28" s="90"/>
      <c r="AC28" s="91"/>
      <c r="AD28" s="92"/>
    </row>
    <row r="29" spans="1:30" ht="12.6" customHeight="1" x14ac:dyDescent="0.2">
      <c r="A29" s="1"/>
      <c r="B29" s="37" t="s">
        <v>67</v>
      </c>
      <c r="C29" s="5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0</v>
      </c>
      <c r="Q29" s="4"/>
      <c r="R29" s="4"/>
      <c r="V29" s="1"/>
      <c r="W29" s="1"/>
      <c r="X29" s="1"/>
      <c r="AB29" s="90" t="s">
        <v>61</v>
      </c>
      <c r="AC29" s="93">
        <f>AC26+AC27</f>
        <v>1776892</v>
      </c>
      <c r="AD29" s="94">
        <f>AD26+AD27</f>
        <v>1</v>
      </c>
    </row>
    <row r="30" spans="1:30" ht="3.95" customHeight="1" x14ac:dyDescent="0.2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4"/>
      <c r="R30" s="4"/>
      <c r="V30" s="1"/>
      <c r="W30" s="1"/>
      <c r="X30" s="1"/>
      <c r="AB30" s="95"/>
      <c r="AC30" s="96"/>
      <c r="AD30" s="97"/>
    </row>
    <row r="31" spans="1:30" ht="12.6" customHeight="1" x14ac:dyDescent="0.2">
      <c r="A31" s="1"/>
      <c r="B31" s="37" t="s">
        <v>68</v>
      </c>
      <c r="C31" s="128">
        <f>1116716-0</f>
        <v>1116716</v>
      </c>
      <c r="D31" s="11">
        <f t="shared" ref="D31:O31" si="7">SUM(D25:D29)</f>
        <v>1135057</v>
      </c>
      <c r="E31" s="11">
        <f t="shared" si="7"/>
        <v>1152679</v>
      </c>
      <c r="F31" s="11">
        <f t="shared" si="7"/>
        <v>1172968</v>
      </c>
      <c r="G31" s="11">
        <f t="shared" si="7"/>
        <v>1171883</v>
      </c>
      <c r="H31" s="11">
        <f t="shared" si="7"/>
        <v>1170787</v>
      </c>
      <c r="I31" s="11">
        <f t="shared" si="7"/>
        <v>1178185</v>
      </c>
      <c r="J31" s="11">
        <f t="shared" si="7"/>
        <v>1177338</v>
      </c>
      <c r="K31" s="11">
        <f t="shared" si="7"/>
        <v>1177149</v>
      </c>
      <c r="L31" s="11">
        <f t="shared" si="7"/>
        <v>1176892</v>
      </c>
      <c r="M31" s="11">
        <f t="shared" si="7"/>
        <v>1175878</v>
      </c>
      <c r="N31" s="11">
        <f t="shared" si="7"/>
        <v>1192880</v>
      </c>
      <c r="O31" s="11">
        <f t="shared" si="7"/>
        <v>1213851</v>
      </c>
      <c r="P31" s="8">
        <f>SUM(P26:P29)</f>
        <v>97135</v>
      </c>
      <c r="Q31" s="4"/>
      <c r="R31" s="4"/>
      <c r="S31" s="1"/>
      <c r="T31" s="1"/>
      <c r="U31" s="1"/>
      <c r="V31" s="1"/>
      <c r="W31" s="1"/>
      <c r="X31" s="1"/>
    </row>
    <row r="32" spans="1:30" ht="3.95" customHeight="1" x14ac:dyDescent="0.2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">
      <c r="A33" s="1"/>
      <c r="B33" s="37" t="s">
        <v>61</v>
      </c>
      <c r="C33" s="12">
        <f t="shared" ref="C33:O33" si="8">C15+C23+C31</f>
        <v>1286531</v>
      </c>
      <c r="D33" s="12">
        <f t="shared" si="8"/>
        <v>1284978</v>
      </c>
      <c r="E33" s="12">
        <f t="shared" si="8"/>
        <v>1285906</v>
      </c>
      <c r="F33" s="12">
        <f t="shared" si="8"/>
        <v>1295802</v>
      </c>
      <c r="G33" s="12">
        <f t="shared" si="8"/>
        <v>1260523</v>
      </c>
      <c r="H33" s="12">
        <f t="shared" si="8"/>
        <v>1270934</v>
      </c>
      <c r="I33" s="12">
        <f t="shared" si="8"/>
        <v>1297438</v>
      </c>
      <c r="J33" s="12">
        <f t="shared" si="8"/>
        <v>1302898</v>
      </c>
      <c r="K33" s="12">
        <f t="shared" si="8"/>
        <v>1308815</v>
      </c>
      <c r="L33" s="12">
        <f t="shared" si="8"/>
        <v>1330365</v>
      </c>
      <c r="M33" s="12">
        <f t="shared" si="8"/>
        <v>1337557</v>
      </c>
      <c r="N33" s="12">
        <f t="shared" si="8"/>
        <v>1373766</v>
      </c>
      <c r="O33" s="12">
        <f t="shared" si="8"/>
        <v>1395543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">
      <c r="A36" s="1"/>
      <c r="B36" s="3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"/>
      <c r="T36" s="1"/>
      <c r="U36" s="1"/>
      <c r="V36" s="1"/>
      <c r="W36" s="1"/>
      <c r="X36" s="1"/>
    </row>
    <row r="37" spans="1:29" ht="12.6" customHeight="1" x14ac:dyDescent="0.2">
      <c r="A37" s="53" t="s">
        <v>69</v>
      </c>
      <c r="B37" s="3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/>
      <c r="W37" s="1"/>
      <c r="X37" s="1"/>
    </row>
    <row r="38" spans="1:29" ht="12.6" customHeight="1" x14ac:dyDescent="0.2">
      <c r="A38" s="1"/>
      <c r="B38" s="24" t="s">
        <v>70</v>
      </c>
      <c r="C38" s="4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">
      <c r="A39" s="1"/>
      <c r="B39" s="37" t="s">
        <v>72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73</v>
      </c>
      <c r="AC39" s="59">
        <f>ROUND(5601*0.6053,0)</f>
        <v>3390</v>
      </c>
    </row>
    <row r="40" spans="1:29" ht="12.6" customHeight="1" x14ac:dyDescent="0.2">
      <c r="A40" s="1"/>
      <c r="B40" s="37" t="s">
        <v>74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4"/>
      <c r="R40" s="4"/>
      <c r="U40" s="1"/>
      <c r="V40" s="1"/>
      <c r="W40" s="1"/>
      <c r="X40" s="1"/>
      <c r="AB40" s="61" t="s">
        <v>75</v>
      </c>
      <c r="AC40" s="59">
        <f>-ROUND((5601-3213)*0.6053,0)</f>
        <v>-1445</v>
      </c>
    </row>
    <row r="41" spans="1:29" ht="12.6" customHeight="1" x14ac:dyDescent="0.2">
      <c r="A41" s="1"/>
      <c r="B41" s="37" t="s">
        <v>76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4"/>
      <c r="R41" s="4"/>
      <c r="U41" s="4"/>
      <c r="V41" s="4"/>
      <c r="W41" s="1"/>
      <c r="X41" s="1"/>
      <c r="AB41" s="61" t="s">
        <v>77</v>
      </c>
      <c r="AC41" s="59">
        <f>-ROUND((3213-810)*0.6053,0)</f>
        <v>-1455</v>
      </c>
    </row>
    <row r="42" spans="1:29" ht="12.6" customHeight="1" x14ac:dyDescent="0.2">
      <c r="A42" s="1"/>
      <c r="B42" s="37" t="s">
        <v>78</v>
      </c>
      <c r="C42" s="50">
        <f>-91055+38836+39092+(-789-789-791)+15496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4"/>
      <c r="R42" s="4"/>
      <c r="U42" s="1"/>
      <c r="V42" s="1"/>
      <c r="W42" s="1"/>
      <c r="X42" s="1"/>
      <c r="AB42" s="61" t="s">
        <v>79</v>
      </c>
      <c r="AC42" s="59">
        <f>ROUND((1650)*0.6053,0)</f>
        <v>999</v>
      </c>
    </row>
    <row r="43" spans="1:29" ht="3.95" customHeight="1" x14ac:dyDescent="0.2">
      <c r="A43" s="1"/>
      <c r="B43" s="37"/>
      <c r="C43" s="4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/>
      <c r="Q43" s="4"/>
      <c r="R43" s="4"/>
      <c r="U43" s="1"/>
      <c r="V43" s="1"/>
      <c r="W43" s="1"/>
      <c r="X43" s="1"/>
      <c r="AB43" s="61"/>
      <c r="AC43" s="59"/>
    </row>
    <row r="44" spans="1:29" ht="12.6" customHeight="1" x14ac:dyDescent="0.2">
      <c r="A44" s="1"/>
      <c r="B44" s="37" t="s">
        <v>80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U44" s="1"/>
      <c r="V44" s="1"/>
      <c r="W44" s="1"/>
      <c r="X44" s="1"/>
      <c r="AB44" s="61" t="s">
        <v>81</v>
      </c>
      <c r="AC44" s="59">
        <f>-ROUND((1376)*0.6053,0)</f>
        <v>-833</v>
      </c>
    </row>
    <row r="45" spans="1:29" ht="12.6" customHeight="1" x14ac:dyDescent="0.2">
      <c r="A45" s="1"/>
      <c r="B45" s="37" t="s">
        <v>82</v>
      </c>
      <c r="C45" s="23">
        <v>0.06</v>
      </c>
      <c r="D45" s="23">
        <v>0.06</v>
      </c>
      <c r="E45" s="23">
        <v>0.06</v>
      </c>
      <c r="F45" s="23">
        <v>0.06</v>
      </c>
      <c r="G45" s="23">
        <v>0.06</v>
      </c>
      <c r="H45" s="23">
        <v>0.06</v>
      </c>
      <c r="I45" s="23">
        <v>0.06</v>
      </c>
      <c r="J45" s="23">
        <v>0.06</v>
      </c>
      <c r="K45" s="23">
        <v>0.06</v>
      </c>
      <c r="L45" s="23">
        <v>0.06</v>
      </c>
      <c r="M45" s="23">
        <v>0.06</v>
      </c>
      <c r="N45" s="23">
        <v>0.06</v>
      </c>
      <c r="O45" s="23">
        <v>0.06</v>
      </c>
      <c r="P45" s="4"/>
      <c r="Q45" s="4"/>
      <c r="R45" s="4"/>
      <c r="S45" s="1"/>
      <c r="T45" s="1"/>
      <c r="U45" s="1"/>
      <c r="V45" s="1"/>
      <c r="W45" s="1"/>
      <c r="X45" s="1"/>
    </row>
    <row r="46" spans="1:29" ht="3.95" customHeight="1" x14ac:dyDescent="0.2">
      <c r="A46" s="1"/>
      <c r="B46" s="37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">
      <c r="A47" s="1"/>
      <c r="B47" s="37" t="s">
        <v>83</v>
      </c>
      <c r="C47" s="137">
        <f>ROUND((C42)*(C45*(30/360)),0)+11-11</f>
        <v>0</v>
      </c>
      <c r="D47" s="137">
        <f>ROUND((D44)*(D45*(30/360)),0)+12-12</f>
        <v>0</v>
      </c>
      <c r="E47" s="137">
        <f>ROUND((E44)*(E45*(30/360)),0)+13-13</f>
        <v>0</v>
      </c>
      <c r="F47" s="137">
        <f>ROUND((F44)*(F45*(30/360)),0)+12-12</f>
        <v>0</v>
      </c>
      <c r="G47" s="137">
        <f>ROUND((G44)*(G45*(30/360)),0)+13-13</f>
        <v>0</v>
      </c>
      <c r="H47" s="137">
        <f>ROUND((H44)*(H45*(30/360)),0)+13-13</f>
        <v>0</v>
      </c>
      <c r="I47" s="137">
        <f>ROUND((I44)*(I45*(30/360)),0)+13-13</f>
        <v>0</v>
      </c>
      <c r="J47" s="137">
        <f>ROUND((J44)*(J45*(30/360)),0)+14-14</f>
        <v>0</v>
      </c>
      <c r="K47" s="137">
        <f>ROUND((K44)*(K45*(30/360)),0)+14-14</f>
        <v>0</v>
      </c>
      <c r="L47" s="137">
        <f>ROUND((L44)*(L45*(30/360)),0)+14-14</f>
        <v>0</v>
      </c>
      <c r="M47" s="137">
        <f>ROUND((M44)*(M45*(30/360)),0)+15-15</f>
        <v>0</v>
      </c>
      <c r="N47" s="137">
        <f>ROUND((N44)*(N45*(30/360)),0)+15-15</f>
        <v>0</v>
      </c>
      <c r="O47" s="137">
        <f>ROUND((O44)*(O45*(30/360)),0)+15-15</f>
        <v>0</v>
      </c>
      <c r="P47" s="4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">
      <c r="A48" s="1"/>
      <c r="B48" s="39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U50+U51+U52+U53-P50-P51-P52-P78</f>
        <v>0</v>
      </c>
      <c r="Q48" s="4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">
      <c r="A49" s="1"/>
      <c r="B49" s="47" t="s">
        <v>159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8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">
      <c r="A50" s="1"/>
      <c r="B50" s="37" t="s">
        <v>160</v>
      </c>
      <c r="C50" s="4"/>
      <c r="D50" s="8">
        <f>ROUND((+$T$50*0.0675)*(30/360),0)</f>
        <v>0</v>
      </c>
      <c r="E50" s="8">
        <f t="shared" ref="E50:O50" si="13">ROUND((+$T$50*0.0675)*(30/360),0)</f>
        <v>0</v>
      </c>
      <c r="F50" s="8">
        <f t="shared" si="13"/>
        <v>0</v>
      </c>
      <c r="G50" s="8">
        <f t="shared" si="13"/>
        <v>0</v>
      </c>
      <c r="H50" s="8">
        <f t="shared" si="13"/>
        <v>0</v>
      </c>
      <c r="I50" s="8">
        <f t="shared" si="13"/>
        <v>0</v>
      </c>
      <c r="J50" s="8">
        <f t="shared" si="13"/>
        <v>0</v>
      </c>
      <c r="K50" s="8">
        <f t="shared" si="13"/>
        <v>0</v>
      </c>
      <c r="L50" s="8">
        <f t="shared" si="13"/>
        <v>0</v>
      </c>
      <c r="M50" s="8">
        <f t="shared" si="13"/>
        <v>0</v>
      </c>
      <c r="N50" s="8">
        <f t="shared" si="13"/>
        <v>0</v>
      </c>
      <c r="O50" s="8">
        <f t="shared" si="13"/>
        <v>0</v>
      </c>
      <c r="P50" s="8">
        <f t="shared" ref="P50:P59" si="14">SUM(D50:O50)</f>
        <v>0</v>
      </c>
      <c r="Q50" s="4"/>
      <c r="R50" s="4"/>
      <c r="S50" s="19" t="s">
        <v>90</v>
      </c>
      <c r="T50" s="20">
        <v>0</v>
      </c>
      <c r="U50" s="8">
        <f>ROUND(($T50*0.08)*150/360,0)</f>
        <v>0</v>
      </c>
      <c r="V50" s="1"/>
      <c r="W50" s="1"/>
      <c r="X50" s="1"/>
    </row>
    <row r="51" spans="1:24" ht="12.6" customHeight="1" x14ac:dyDescent="0.2">
      <c r="A51" s="1"/>
      <c r="B51" s="37" t="s">
        <v>91</v>
      </c>
      <c r="C51" s="4"/>
      <c r="D51" s="8">
        <f>ROUND((+$T$51*0.06875)*(30/360),0)</f>
        <v>573</v>
      </c>
      <c r="E51" s="48">
        <f>ROUND((+$T$51*0.06875)*(30/360),0)-1</f>
        <v>572</v>
      </c>
      <c r="F51" s="8">
        <f t="shared" ref="F51:O51" si="15">ROUND((+$T$51*0.06875)*(30/360),0)</f>
        <v>573</v>
      </c>
      <c r="G51" s="8">
        <f t="shared" si="15"/>
        <v>573</v>
      </c>
      <c r="H51" s="8">
        <f t="shared" si="15"/>
        <v>573</v>
      </c>
      <c r="I51" s="8">
        <f t="shared" si="15"/>
        <v>573</v>
      </c>
      <c r="J51" s="8">
        <f t="shared" si="15"/>
        <v>573</v>
      </c>
      <c r="K51" s="8">
        <f t="shared" si="15"/>
        <v>573</v>
      </c>
      <c r="L51" s="8">
        <f t="shared" si="15"/>
        <v>573</v>
      </c>
      <c r="M51" s="8">
        <f t="shared" si="15"/>
        <v>573</v>
      </c>
      <c r="N51" s="8">
        <f t="shared" si="15"/>
        <v>573</v>
      </c>
      <c r="O51" s="8">
        <f t="shared" si="15"/>
        <v>573</v>
      </c>
      <c r="P51" s="8">
        <f t="shared" si="14"/>
        <v>6875</v>
      </c>
      <c r="Q51" s="4"/>
      <c r="R51" s="4"/>
      <c r="S51" s="32" t="s">
        <v>92</v>
      </c>
      <c r="T51" s="20">
        <v>100000</v>
      </c>
      <c r="U51" s="8">
        <f>ROUND($T51*0.06875,0)</f>
        <v>6875</v>
      </c>
      <c r="V51" s="1"/>
      <c r="W51" s="1"/>
      <c r="X51" s="1"/>
    </row>
    <row r="52" spans="1:24" ht="12.6" customHeight="1" x14ac:dyDescent="0.2">
      <c r="A52" s="1"/>
      <c r="B52" s="37" t="s">
        <v>93</v>
      </c>
      <c r="C52" s="4"/>
      <c r="D52" s="8">
        <f>ROUND((+$T$53*0.07)*(30/360),0)</f>
        <v>1458</v>
      </c>
      <c r="E52" s="8">
        <f>ROUND((+$T$53*0.07)*(30/360),0)</f>
        <v>1458</v>
      </c>
      <c r="F52" s="48">
        <f>ROUND((+$T$53*0.07)*(30/360),0)+1</f>
        <v>1459</v>
      </c>
      <c r="G52" s="8">
        <f>ROUND((+$T$53*0.07)*(30/360),0)</f>
        <v>1458</v>
      </c>
      <c r="H52" s="8">
        <f>ROUND((+$T$53*0.07)*(30/360),0)</f>
        <v>1458</v>
      </c>
      <c r="I52" s="48">
        <f>ROUND((+$T$53*0.07)*(30/360),0)+1</f>
        <v>1459</v>
      </c>
      <c r="J52" s="8">
        <f>ROUND((+$T$53*0.07)*(30/360),0)</f>
        <v>1458</v>
      </c>
      <c r="K52" s="8">
        <f>ROUND((+$T$53*0.07)*(30/360),0)</f>
        <v>1458</v>
      </c>
      <c r="L52" s="48">
        <f>ROUND((+$T$53*0.07)*(30/360),0)+1</f>
        <v>1459</v>
      </c>
      <c r="M52" s="8">
        <f>ROUND((+$T$53*0.07)*(30/360),0)</f>
        <v>1458</v>
      </c>
      <c r="N52" s="8">
        <f>ROUND((+$T$53*0.07)*(30/360),0)</f>
        <v>1458</v>
      </c>
      <c r="O52" s="48">
        <f>ROUND((+$T$53*0.07)*(30/360),0)+1</f>
        <v>1459</v>
      </c>
      <c r="P52" s="8">
        <f t="shared" si="14"/>
        <v>17500</v>
      </c>
      <c r="Q52" s="4"/>
      <c r="R52" s="4"/>
      <c r="S52" s="32" t="s">
        <v>94</v>
      </c>
      <c r="T52" s="20">
        <v>150000</v>
      </c>
      <c r="U52" s="49">
        <f>ROUND(+$T52*0.0675,0)</f>
        <v>10125</v>
      </c>
      <c r="V52" s="1"/>
      <c r="W52" s="1"/>
      <c r="X52" s="1"/>
    </row>
    <row r="53" spans="1:24" ht="12.6" customHeight="1" x14ac:dyDescent="0.2">
      <c r="A53" s="1"/>
      <c r="B53" s="37" t="s">
        <v>95</v>
      </c>
      <c r="C53" s="8"/>
      <c r="D53" s="20">
        <v>6</v>
      </c>
      <c r="E53" s="20">
        <v>6</v>
      </c>
      <c r="F53" s="20">
        <v>7</v>
      </c>
      <c r="G53" s="20">
        <v>6</v>
      </c>
      <c r="H53" s="20">
        <v>7</v>
      </c>
      <c r="I53" s="20">
        <v>6</v>
      </c>
      <c r="J53" s="20">
        <v>7</v>
      </c>
      <c r="K53" s="20">
        <v>6</v>
      </c>
      <c r="L53" s="20">
        <v>7</v>
      </c>
      <c r="M53" s="20">
        <v>6</v>
      </c>
      <c r="N53" s="20">
        <v>7</v>
      </c>
      <c r="O53" s="20">
        <v>6</v>
      </c>
      <c r="P53" s="8">
        <f t="shared" si="14"/>
        <v>77</v>
      </c>
      <c r="Q53" s="4"/>
      <c r="R53" s="4"/>
      <c r="S53" s="19" t="s">
        <v>96</v>
      </c>
      <c r="T53" s="20">
        <v>250000</v>
      </c>
      <c r="U53" s="8">
        <f>ROUND($T53*0.07,0)</f>
        <v>17500</v>
      </c>
      <c r="V53" s="1"/>
      <c r="W53" s="1"/>
      <c r="X53" s="1"/>
    </row>
    <row r="54" spans="1:24" ht="12.6" customHeight="1" x14ac:dyDescent="0.2">
      <c r="A54" s="1"/>
      <c r="B54" s="37" t="s">
        <v>97</v>
      </c>
      <c r="C54" s="4"/>
      <c r="D54" s="20">
        <v>21</v>
      </c>
      <c r="E54" s="20">
        <v>21</v>
      </c>
      <c r="F54" s="20">
        <v>21</v>
      </c>
      <c r="G54" s="20">
        <v>20</v>
      </c>
      <c r="H54" s="20">
        <v>21</v>
      </c>
      <c r="I54" s="20">
        <v>21</v>
      </c>
      <c r="J54" s="20">
        <v>21</v>
      </c>
      <c r="K54" s="20">
        <v>20</v>
      </c>
      <c r="L54" s="20">
        <v>21</v>
      </c>
      <c r="M54" s="20">
        <v>21</v>
      </c>
      <c r="N54" s="20">
        <v>21</v>
      </c>
      <c r="O54" s="20">
        <v>20</v>
      </c>
      <c r="P54" s="8">
        <f t="shared" si="14"/>
        <v>249</v>
      </c>
      <c r="Q54" s="4"/>
      <c r="R54" s="4"/>
      <c r="S54" s="32" t="s">
        <v>98</v>
      </c>
      <c r="T54" s="20">
        <v>0</v>
      </c>
      <c r="U54" s="8">
        <f>ROUND($T54*0.08,0)</f>
        <v>0</v>
      </c>
      <c r="V54" s="1"/>
      <c r="W54" s="1"/>
      <c r="X54" s="1"/>
    </row>
    <row r="55" spans="1:24" ht="12.6" customHeight="1" x14ac:dyDescent="0.2">
      <c r="A55" s="1"/>
      <c r="B55" s="37" t="s">
        <v>74</v>
      </c>
      <c r="C55" s="4"/>
      <c r="D55" s="8">
        <f t="shared" ref="D55:O55" si="16">D47</f>
        <v>0</v>
      </c>
      <c r="E55" s="8">
        <f t="shared" si="16"/>
        <v>0</v>
      </c>
      <c r="F55" s="8">
        <f t="shared" si="16"/>
        <v>0</v>
      </c>
      <c r="G55" s="8">
        <f t="shared" si="16"/>
        <v>0</v>
      </c>
      <c r="H55" s="8">
        <f t="shared" si="16"/>
        <v>0</v>
      </c>
      <c r="I55" s="8">
        <f t="shared" si="16"/>
        <v>0</v>
      </c>
      <c r="J55" s="8">
        <f t="shared" si="16"/>
        <v>0</v>
      </c>
      <c r="K55" s="8">
        <f t="shared" si="16"/>
        <v>0</v>
      </c>
      <c r="L55" s="8">
        <f t="shared" si="16"/>
        <v>0</v>
      </c>
      <c r="M55" s="8">
        <f t="shared" si="16"/>
        <v>0</v>
      </c>
      <c r="N55" s="8">
        <f t="shared" si="16"/>
        <v>0</v>
      </c>
      <c r="O55" s="8">
        <f t="shared" si="16"/>
        <v>0</v>
      </c>
      <c r="P55" s="8">
        <f t="shared" si="14"/>
        <v>0</v>
      </c>
      <c r="Q55" s="4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">
      <c r="A56" s="1"/>
      <c r="B56" s="37" t="s">
        <v>100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4"/>
        <v>0</v>
      </c>
      <c r="Q56" s="4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">
      <c r="A57" s="1"/>
      <c r="B57" s="37" t="s">
        <v>102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4"/>
        <v>0</v>
      </c>
      <c r="Q57" s="8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">
      <c r="A58" s="1"/>
      <c r="B58" s="37" t="s">
        <v>104</v>
      </c>
      <c r="C58" s="8"/>
      <c r="D58" s="8">
        <f t="shared" ref="D58:O58" si="17">SUM(D50:D57)</f>
        <v>2058</v>
      </c>
      <c r="E58" s="8">
        <f t="shared" si="17"/>
        <v>2057</v>
      </c>
      <c r="F58" s="8">
        <f t="shared" si="17"/>
        <v>2060</v>
      </c>
      <c r="G58" s="8">
        <f t="shared" si="17"/>
        <v>2057</v>
      </c>
      <c r="H58" s="8">
        <f t="shared" si="17"/>
        <v>2059</v>
      </c>
      <c r="I58" s="8">
        <f t="shared" si="17"/>
        <v>2059</v>
      </c>
      <c r="J58" s="8">
        <f t="shared" si="17"/>
        <v>2059</v>
      </c>
      <c r="K58" s="8">
        <f t="shared" si="17"/>
        <v>2057</v>
      </c>
      <c r="L58" s="8">
        <f t="shared" si="17"/>
        <v>2060</v>
      </c>
      <c r="M58" s="8">
        <f t="shared" si="17"/>
        <v>2058</v>
      </c>
      <c r="N58" s="8">
        <f t="shared" si="17"/>
        <v>2059</v>
      </c>
      <c r="O58" s="8">
        <f t="shared" si="17"/>
        <v>2058</v>
      </c>
      <c r="P58" s="8">
        <f t="shared" si="14"/>
        <v>24701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">
      <c r="A59" s="1"/>
      <c r="B59" s="37" t="s">
        <v>105</v>
      </c>
      <c r="C59" s="8"/>
      <c r="D59" s="112">
        <f t="shared" ref="D59:O59" si="18">ROUND(+D58*-0.3947,0)</f>
        <v>-812</v>
      </c>
      <c r="E59" s="112">
        <f t="shared" si="18"/>
        <v>-812</v>
      </c>
      <c r="F59" s="112">
        <f t="shared" si="18"/>
        <v>-813</v>
      </c>
      <c r="G59" s="112">
        <f t="shared" si="18"/>
        <v>-812</v>
      </c>
      <c r="H59" s="112">
        <f t="shared" si="18"/>
        <v>-813</v>
      </c>
      <c r="I59" s="112">
        <f t="shared" si="18"/>
        <v>-813</v>
      </c>
      <c r="J59" s="112">
        <f t="shared" si="18"/>
        <v>-813</v>
      </c>
      <c r="K59" s="112">
        <f t="shared" si="18"/>
        <v>-812</v>
      </c>
      <c r="L59" s="112">
        <f t="shared" si="18"/>
        <v>-813</v>
      </c>
      <c r="M59" s="112">
        <f t="shared" si="18"/>
        <v>-812</v>
      </c>
      <c r="N59" s="112">
        <f t="shared" si="18"/>
        <v>-813</v>
      </c>
      <c r="O59" s="112">
        <f t="shared" si="18"/>
        <v>-812</v>
      </c>
      <c r="P59" s="11">
        <f t="shared" si="14"/>
        <v>-9750</v>
      </c>
      <c r="Q59" s="8"/>
      <c r="R59" s="8"/>
      <c r="S59" s="32" t="s">
        <v>106</v>
      </c>
      <c r="T59" s="12"/>
      <c r="U59" s="12">
        <f>SUM(U50:U58)</f>
        <v>34500</v>
      </c>
      <c r="V59" s="1"/>
      <c r="W59" s="1"/>
      <c r="X59" s="1"/>
    </row>
    <row r="60" spans="1:24" ht="3.95" customHeight="1" x14ac:dyDescent="0.2">
      <c r="A60" s="1"/>
      <c r="B60" s="38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">
      <c r="A61" s="1"/>
      <c r="B61" s="40" t="s">
        <v>107</v>
      </c>
      <c r="C61" s="25"/>
      <c r="D61" s="26">
        <f t="shared" ref="D61:O61" si="19">D58+D59</f>
        <v>1246</v>
      </c>
      <c r="E61" s="26">
        <f t="shared" si="19"/>
        <v>1245</v>
      </c>
      <c r="F61" s="26">
        <f t="shared" si="19"/>
        <v>1247</v>
      </c>
      <c r="G61" s="26">
        <f t="shared" si="19"/>
        <v>1245</v>
      </c>
      <c r="H61" s="26">
        <f t="shared" si="19"/>
        <v>1246</v>
      </c>
      <c r="I61" s="26">
        <f t="shared" si="19"/>
        <v>1246</v>
      </c>
      <c r="J61" s="26">
        <f t="shared" si="19"/>
        <v>1246</v>
      </c>
      <c r="K61" s="26">
        <f t="shared" si="19"/>
        <v>1245</v>
      </c>
      <c r="L61" s="26">
        <f t="shared" si="19"/>
        <v>1247</v>
      </c>
      <c r="M61" s="26">
        <f t="shared" si="19"/>
        <v>1246</v>
      </c>
      <c r="N61" s="26">
        <f t="shared" si="19"/>
        <v>1246</v>
      </c>
      <c r="O61" s="26">
        <f t="shared" si="19"/>
        <v>1246</v>
      </c>
      <c r="P61" s="26">
        <f>SUM(D61:O61)</f>
        <v>14951</v>
      </c>
      <c r="Q61" s="4"/>
      <c r="R61" s="4"/>
      <c r="V61" s="1"/>
      <c r="W61" s="1"/>
      <c r="X61" s="1"/>
    </row>
    <row r="62" spans="1:24" ht="12.6" customHeight="1" x14ac:dyDescent="0.2">
      <c r="A62" s="1"/>
      <c r="C62" s="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22" t="s">
        <v>108</v>
      </c>
      <c r="T62" s="4"/>
      <c r="U62" s="4"/>
      <c r="V62" s="1"/>
      <c r="W62" s="1"/>
      <c r="X62" s="1"/>
    </row>
    <row r="63" spans="1:24" ht="12.6" customHeight="1" x14ac:dyDescent="0.2">
      <c r="A63" s="53" t="s">
        <v>109</v>
      </c>
      <c r="B63" s="47"/>
      <c r="C63" s="133"/>
      <c r="D63" s="13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/>
      <c r="S63" s="32" t="s">
        <v>110</v>
      </c>
      <c r="T63" s="1"/>
      <c r="U63" s="20">
        <v>0</v>
      </c>
      <c r="V63" s="1"/>
      <c r="W63" s="1"/>
      <c r="X63" s="1"/>
    </row>
    <row r="64" spans="1:24" ht="12.6" customHeight="1" x14ac:dyDescent="0.2">
      <c r="A64" s="1"/>
      <c r="B64" s="24" t="s">
        <v>70</v>
      </c>
      <c r="C64" s="134"/>
      <c r="D64" s="13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4"/>
      <c r="Q64" s="4"/>
      <c r="R64" s="4"/>
      <c r="S64" s="32" t="s">
        <v>111</v>
      </c>
      <c r="T64" s="13"/>
      <c r="U64" s="20">
        <v>0</v>
      </c>
      <c r="V64" s="1"/>
      <c r="W64" s="1"/>
      <c r="X64" s="1"/>
    </row>
    <row r="65" spans="1:24" ht="12.6" customHeight="1" x14ac:dyDescent="0.2">
      <c r="A65" s="1"/>
      <c r="B65" s="37" t="s">
        <v>112</v>
      </c>
      <c r="C65" s="133"/>
      <c r="D65" s="130">
        <f>+C8</f>
        <v>-1058805</v>
      </c>
      <c r="E65" s="8">
        <f>D65+D68</f>
        <v>-1099005</v>
      </c>
      <c r="F65" s="8">
        <f t="shared" ref="F65:O65" si="20">+E65+E68</f>
        <v>-1140505</v>
      </c>
      <c r="G65" s="8">
        <f t="shared" si="20"/>
        <v>-1171805</v>
      </c>
      <c r="H65" s="8">
        <f t="shared" si="20"/>
        <v>-1213605</v>
      </c>
      <c r="I65" s="8">
        <f t="shared" si="20"/>
        <v>-1208205</v>
      </c>
      <c r="J65" s="8">
        <f t="shared" si="20"/>
        <v>-1201205</v>
      </c>
      <c r="K65" s="8">
        <f t="shared" si="20"/>
        <v>-1203105</v>
      </c>
      <c r="L65" s="8">
        <f t="shared" si="20"/>
        <v>-1205005</v>
      </c>
      <c r="M65" s="8">
        <f t="shared" si="20"/>
        <v>-1190005</v>
      </c>
      <c r="N65" s="8">
        <f t="shared" si="20"/>
        <v>-1189705</v>
      </c>
      <c r="O65" s="8">
        <f t="shared" si="20"/>
        <v>-1190205</v>
      </c>
      <c r="P65" s="8"/>
      <c r="Q65" s="4"/>
      <c r="R65" s="4"/>
      <c r="S65" s="32" t="s">
        <v>113</v>
      </c>
      <c r="T65" s="1"/>
      <c r="U65" s="20">
        <v>3437</v>
      </c>
      <c r="V65" s="1"/>
      <c r="W65" s="1"/>
      <c r="X65" s="1"/>
    </row>
    <row r="66" spans="1:24" ht="12.6" customHeight="1" x14ac:dyDescent="0.2">
      <c r="A66" s="1"/>
      <c r="B66" s="37" t="s">
        <v>114</v>
      </c>
      <c r="C66" s="134"/>
      <c r="D66" s="140">
        <f>+C10</f>
        <v>728877</v>
      </c>
      <c r="E66" s="11">
        <f t="shared" ref="E66:O66" si="21">+D66+D10-D47</f>
        <v>749177</v>
      </c>
      <c r="F66" s="11">
        <f t="shared" si="21"/>
        <v>773977</v>
      </c>
      <c r="G66" s="11">
        <f t="shared" si="21"/>
        <v>794877</v>
      </c>
      <c r="H66" s="11">
        <f t="shared" si="21"/>
        <v>802477</v>
      </c>
      <c r="I66" s="11">
        <f t="shared" si="21"/>
        <v>808577</v>
      </c>
      <c r="J66" s="11">
        <f t="shared" si="21"/>
        <v>820677</v>
      </c>
      <c r="K66" s="11">
        <f t="shared" si="21"/>
        <v>828877</v>
      </c>
      <c r="L66" s="11">
        <f t="shared" si="21"/>
        <v>836877</v>
      </c>
      <c r="M66" s="11">
        <f t="shared" si="21"/>
        <v>843677</v>
      </c>
      <c r="N66" s="11">
        <f t="shared" si="21"/>
        <v>851577</v>
      </c>
      <c r="O66" s="11">
        <f t="shared" si="21"/>
        <v>871277</v>
      </c>
      <c r="P66" s="8"/>
      <c r="Q66" s="59">
        <f>+O66-(D66+P10-O10)+(P55-O55)</f>
        <v>0</v>
      </c>
      <c r="R66" s="59"/>
      <c r="S66" s="32" t="s">
        <v>115</v>
      </c>
      <c r="T66" s="1"/>
      <c r="U66" s="20">
        <v>3438</v>
      </c>
      <c r="V66" s="1"/>
      <c r="W66" s="1"/>
      <c r="X66" s="1"/>
    </row>
    <row r="67" spans="1:24" ht="12.6" customHeight="1" x14ac:dyDescent="0.2">
      <c r="A67" s="1"/>
      <c r="B67" s="37" t="s">
        <v>116</v>
      </c>
      <c r="D67" s="8">
        <f t="shared" ref="D67:O67" si="22">SUM(D65:D66)</f>
        <v>-329928</v>
      </c>
      <c r="E67" s="8">
        <f t="shared" si="22"/>
        <v>-349828</v>
      </c>
      <c r="F67" s="8">
        <f t="shared" si="22"/>
        <v>-366528</v>
      </c>
      <c r="G67" s="8">
        <f t="shared" si="22"/>
        <v>-376928</v>
      </c>
      <c r="H67" s="8">
        <f t="shared" si="22"/>
        <v>-411128</v>
      </c>
      <c r="I67" s="8">
        <f t="shared" si="22"/>
        <v>-399628</v>
      </c>
      <c r="J67" s="8">
        <f t="shared" si="22"/>
        <v>-380528</v>
      </c>
      <c r="K67" s="8">
        <f t="shared" si="22"/>
        <v>-374228</v>
      </c>
      <c r="L67" s="8">
        <f t="shared" si="22"/>
        <v>-368128</v>
      </c>
      <c r="M67" s="8">
        <f t="shared" si="22"/>
        <v>-346328</v>
      </c>
      <c r="N67" s="8">
        <f t="shared" si="22"/>
        <v>-338128</v>
      </c>
      <c r="O67" s="8">
        <f t="shared" si="22"/>
        <v>-318928</v>
      </c>
      <c r="Q67" s="4"/>
      <c r="R67" s="4"/>
      <c r="S67" s="32" t="s">
        <v>117</v>
      </c>
      <c r="U67" s="20">
        <v>5063</v>
      </c>
      <c r="V67" s="1"/>
      <c r="W67" s="1"/>
      <c r="X67" s="1"/>
    </row>
    <row r="68" spans="1:24" ht="12.6" customHeight="1" x14ac:dyDescent="0.2">
      <c r="A68" s="1"/>
      <c r="B68" s="37" t="s">
        <v>118</v>
      </c>
      <c r="C68" s="4"/>
      <c r="D68" s="49">
        <f t="shared" ref="D68:O68" si="23">+D9+D11</f>
        <v>-40200</v>
      </c>
      <c r="E68" s="49">
        <f t="shared" si="23"/>
        <v>-41500</v>
      </c>
      <c r="F68" s="49">
        <f t="shared" si="23"/>
        <v>-31300</v>
      </c>
      <c r="G68" s="49">
        <f t="shared" si="23"/>
        <v>-41800</v>
      </c>
      <c r="H68" s="49">
        <f t="shared" si="23"/>
        <v>5400</v>
      </c>
      <c r="I68" s="49">
        <f t="shared" si="23"/>
        <v>7000</v>
      </c>
      <c r="J68" s="49">
        <f t="shared" si="23"/>
        <v>-1900</v>
      </c>
      <c r="K68" s="49">
        <f t="shared" si="23"/>
        <v>-1900</v>
      </c>
      <c r="L68" s="49">
        <f t="shared" si="23"/>
        <v>15000</v>
      </c>
      <c r="M68" s="49">
        <f t="shared" si="23"/>
        <v>300</v>
      </c>
      <c r="N68" s="49">
        <f t="shared" si="23"/>
        <v>-500</v>
      </c>
      <c r="O68" s="49">
        <f t="shared" si="23"/>
        <v>-20900</v>
      </c>
      <c r="P68" s="8">
        <f>SUM(D68:O68)</f>
        <v>-152300</v>
      </c>
      <c r="Q68" s="59">
        <f>+P68+D65-O65-O68</f>
        <v>0</v>
      </c>
      <c r="R68" s="59"/>
      <c r="S68" s="32" t="s">
        <v>119</v>
      </c>
      <c r="T68" s="1"/>
      <c r="U68" s="20">
        <v>5062</v>
      </c>
      <c r="W68" s="1"/>
      <c r="X68" s="1"/>
    </row>
    <row r="69" spans="1:24" ht="12.6" customHeight="1" x14ac:dyDescent="0.2">
      <c r="A69" s="1"/>
      <c r="B69" s="37" t="s">
        <v>76</v>
      </c>
      <c r="C69" s="4"/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120</v>
      </c>
      <c r="T69" s="1"/>
      <c r="U69" s="20">
        <v>8750</v>
      </c>
      <c r="W69" s="1"/>
      <c r="X69" s="1"/>
    </row>
    <row r="70" spans="1:24" ht="12.6" customHeight="1" x14ac:dyDescent="0.2">
      <c r="A70" s="1"/>
      <c r="B70" s="37" t="s">
        <v>121</v>
      </c>
      <c r="C70" s="48"/>
      <c r="D70" s="11">
        <f t="shared" ref="D70:O70" si="24">SUM(D67:D69)</f>
        <v>-370128</v>
      </c>
      <c r="E70" s="11">
        <f t="shared" si="24"/>
        <v>-391328</v>
      </c>
      <c r="F70" s="11">
        <f t="shared" si="24"/>
        <v>-397828</v>
      </c>
      <c r="G70" s="11">
        <f t="shared" si="24"/>
        <v>-418728</v>
      </c>
      <c r="H70" s="11">
        <f t="shared" si="24"/>
        <v>-405728</v>
      </c>
      <c r="I70" s="11">
        <f t="shared" si="24"/>
        <v>-392628</v>
      </c>
      <c r="J70" s="11">
        <f t="shared" si="24"/>
        <v>-382428</v>
      </c>
      <c r="K70" s="11">
        <f t="shared" si="24"/>
        <v>-376128</v>
      </c>
      <c r="L70" s="11">
        <f t="shared" si="24"/>
        <v>-353128</v>
      </c>
      <c r="M70" s="11">
        <f t="shared" si="24"/>
        <v>-346028</v>
      </c>
      <c r="N70" s="11">
        <f t="shared" si="24"/>
        <v>-338628</v>
      </c>
      <c r="O70" s="11">
        <f t="shared" si="24"/>
        <v>-339828</v>
      </c>
      <c r="P70" s="8"/>
      <c r="Q70" s="4"/>
      <c r="R70" s="4"/>
      <c r="S70" s="32" t="s">
        <v>111</v>
      </c>
      <c r="T70" s="13"/>
      <c r="U70" s="21">
        <v>8750</v>
      </c>
      <c r="V70" s="8">
        <f>U59-SUM(U63:U70)</f>
        <v>0</v>
      </c>
      <c r="W70" s="1"/>
      <c r="X70" s="1"/>
    </row>
    <row r="71" spans="1:24" ht="3.95" customHeight="1" x14ac:dyDescent="0.2">
      <c r="A71" s="1"/>
      <c r="B71" s="3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"/>
      <c r="W71" s="1"/>
      <c r="X71" s="1"/>
    </row>
    <row r="72" spans="1:24" ht="12.6" customHeight="1" x14ac:dyDescent="0.2">
      <c r="A72" s="1"/>
      <c r="B72" s="37" t="s">
        <v>80</v>
      </c>
      <c r="C72" s="9"/>
      <c r="D72" s="142">
        <f t="shared" ref="D72:O72" si="25">ROUND((D67+D70)/1.95,0)</f>
        <v>-359003</v>
      </c>
      <c r="E72" s="142">
        <f t="shared" si="25"/>
        <v>-380080</v>
      </c>
      <c r="F72" s="142">
        <f t="shared" si="25"/>
        <v>-391977</v>
      </c>
      <c r="G72" s="142">
        <f t="shared" si="25"/>
        <v>-408029</v>
      </c>
      <c r="H72" s="142">
        <f t="shared" si="25"/>
        <v>-418901</v>
      </c>
      <c r="I72" s="142">
        <f t="shared" si="25"/>
        <v>-406285</v>
      </c>
      <c r="J72" s="142">
        <f t="shared" si="25"/>
        <v>-391259</v>
      </c>
      <c r="K72" s="142">
        <f t="shared" si="25"/>
        <v>-384798</v>
      </c>
      <c r="L72" s="142">
        <f t="shared" si="25"/>
        <v>-369875</v>
      </c>
      <c r="M72" s="142">
        <f t="shared" si="25"/>
        <v>-355054</v>
      </c>
      <c r="N72" s="142">
        <f t="shared" si="25"/>
        <v>-347054</v>
      </c>
      <c r="O72" s="142">
        <f t="shared" si="25"/>
        <v>-337824</v>
      </c>
      <c r="P72" s="4"/>
      <c r="Q72" s="4"/>
      <c r="R72" s="4"/>
      <c r="S72" s="32" t="s">
        <v>122</v>
      </c>
      <c r="T72" s="4"/>
      <c r="U72" s="111">
        <f>SUM(U63:U70)</f>
        <v>34500</v>
      </c>
      <c r="V72" s="1"/>
      <c r="W72" s="1"/>
      <c r="X72" s="1"/>
    </row>
    <row r="73" spans="1:24" ht="12.6" customHeight="1" x14ac:dyDescent="0.2">
      <c r="A73" s="1"/>
      <c r="B73" s="37" t="s">
        <v>123</v>
      </c>
      <c r="C73" s="23">
        <v>3.5999999999999997E-2</v>
      </c>
      <c r="D73" s="23">
        <v>3.2500000000000001E-2</v>
      </c>
      <c r="E73" s="23">
        <v>3.2500000000000001E-2</v>
      </c>
      <c r="F73" s="23">
        <v>3.2500000000000001E-2</v>
      </c>
      <c r="G73" s="23">
        <v>3.2500000000000001E-2</v>
      </c>
      <c r="H73" s="23">
        <v>3.2500000000000001E-2</v>
      </c>
      <c r="I73" s="23">
        <v>3.2500000000000001E-2</v>
      </c>
      <c r="J73" s="23">
        <v>3.2500000000000001E-2</v>
      </c>
      <c r="K73" s="23">
        <v>3.2500000000000001E-2</v>
      </c>
      <c r="L73" s="23">
        <v>3.2500000000000001E-2</v>
      </c>
      <c r="M73" s="23">
        <v>3.2500000000000001E-2</v>
      </c>
      <c r="N73" s="23">
        <v>3.2500000000000001E-2</v>
      </c>
      <c r="O73" s="23">
        <v>3.2500000000000001E-2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5" customHeight="1" x14ac:dyDescent="0.2">
      <c r="A74" s="1"/>
      <c r="B74" s="3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8"/>
      <c r="T74" s="1"/>
      <c r="U74" s="4"/>
      <c r="V74" s="1"/>
      <c r="W74" s="1"/>
      <c r="X74" s="1"/>
    </row>
    <row r="75" spans="1:24" ht="12.6" customHeight="1" x14ac:dyDescent="0.2">
      <c r="A75" s="1"/>
      <c r="B75" s="37" t="s">
        <v>124</v>
      </c>
      <c r="C75" s="8">
        <f>ROUND((C70)*(C73*(31/365)),0)</f>
        <v>0</v>
      </c>
      <c r="D75" s="8">
        <f>ROUND((D72)*(D73*(31/365)),0)</f>
        <v>-991</v>
      </c>
      <c r="E75" s="8">
        <f>ROUND((E72)*(E73*(28/365)),0)</f>
        <v>-948</v>
      </c>
      <c r="F75" s="8">
        <f>ROUND((F72)*(F73*(31/365)),0)</f>
        <v>-1082</v>
      </c>
      <c r="G75" s="8">
        <f>ROUND((G72)*(G73*(30/365)),0)</f>
        <v>-1090</v>
      </c>
      <c r="H75" s="8">
        <f>ROUND((H72)*(H73*(31/365)),0)</f>
        <v>-1156</v>
      </c>
      <c r="I75" s="8">
        <f>ROUND((I72)*(I73*(30/365)),0)</f>
        <v>-1085</v>
      </c>
      <c r="J75" s="8">
        <f>ROUND((J72)*(J73*(31/365)),0)</f>
        <v>-1080</v>
      </c>
      <c r="K75" s="8">
        <f>ROUND((K72)*(K73*(31/365)),0)</f>
        <v>-1062</v>
      </c>
      <c r="L75" s="8">
        <f>ROUND((L72)*(L73*(30/365)),0)</f>
        <v>-988</v>
      </c>
      <c r="M75" s="8">
        <f>ROUND((M72)*(M73*(31/365)),0)</f>
        <v>-980</v>
      </c>
      <c r="N75" s="8">
        <f>ROUND((N72)*(N73*(30/365)),0)</f>
        <v>-927</v>
      </c>
      <c r="O75" s="8">
        <f>ROUND((O72)*(O73*(31/365)),0)</f>
        <v>-932</v>
      </c>
      <c r="P75" s="8">
        <f>SUM(D75:O75)</f>
        <v>-12321</v>
      </c>
      <c r="Q75" s="4"/>
      <c r="R75" s="4"/>
      <c r="S75" s="4"/>
      <c r="T75" s="4"/>
      <c r="U75" s="4"/>
      <c r="V75" s="1"/>
      <c r="W75" s="1"/>
      <c r="X75" s="1"/>
    </row>
    <row r="76" spans="1:24" ht="12.6" customHeight="1" x14ac:dyDescent="0.2">
      <c r="A76" s="1"/>
      <c r="B76" s="37" t="s">
        <v>125</v>
      </c>
      <c r="C76" s="12"/>
      <c r="D76" s="21">
        <v>-9</v>
      </c>
      <c r="E76" s="21">
        <v>-52</v>
      </c>
      <c r="F76" s="21">
        <v>-18</v>
      </c>
      <c r="G76" s="21">
        <v>-10</v>
      </c>
      <c r="H76" s="21">
        <v>-44</v>
      </c>
      <c r="I76" s="21">
        <v>-15</v>
      </c>
      <c r="J76" s="21">
        <v>-20</v>
      </c>
      <c r="K76" s="21">
        <v>-38</v>
      </c>
      <c r="L76" s="21">
        <v>-12</v>
      </c>
      <c r="M76" s="21">
        <v>-20</v>
      </c>
      <c r="N76" s="21">
        <v>27</v>
      </c>
      <c r="O76" s="21">
        <v>32</v>
      </c>
      <c r="P76" s="11">
        <f>SUM(D76:O76)</f>
        <v>-179</v>
      </c>
      <c r="Q76" s="4"/>
      <c r="R76" s="4"/>
      <c r="S76" s="4"/>
      <c r="T76" s="4"/>
      <c r="U76" s="4"/>
      <c r="V76" s="1"/>
      <c r="W76" s="1"/>
      <c r="X76" s="1"/>
    </row>
    <row r="77" spans="1:24" ht="12.6" customHeight="1" x14ac:dyDescent="0.2">
      <c r="A77" s="1"/>
      <c r="B77" s="61" t="s">
        <v>126</v>
      </c>
      <c r="C77" s="1"/>
      <c r="D77" s="8">
        <f t="shared" ref="D77:P77" si="26">SUM(D75:D76)</f>
        <v>-1000</v>
      </c>
      <c r="E77" s="8">
        <f t="shared" si="26"/>
        <v>-1000</v>
      </c>
      <c r="F77" s="8">
        <f t="shared" si="26"/>
        <v>-1100</v>
      </c>
      <c r="G77" s="8">
        <f t="shared" si="26"/>
        <v>-1100</v>
      </c>
      <c r="H77" s="8">
        <f t="shared" si="26"/>
        <v>-1200</v>
      </c>
      <c r="I77" s="8">
        <f t="shared" si="26"/>
        <v>-1100</v>
      </c>
      <c r="J77" s="8">
        <f t="shared" si="26"/>
        <v>-1100</v>
      </c>
      <c r="K77" s="8">
        <f t="shared" si="26"/>
        <v>-1100</v>
      </c>
      <c r="L77" s="8">
        <f t="shared" si="26"/>
        <v>-1000</v>
      </c>
      <c r="M77" s="8">
        <f t="shared" si="26"/>
        <v>-1000</v>
      </c>
      <c r="N77" s="8">
        <f t="shared" si="26"/>
        <v>-900</v>
      </c>
      <c r="O77" s="8">
        <f t="shared" si="26"/>
        <v>-900</v>
      </c>
      <c r="P77" s="8">
        <f t="shared" si="26"/>
        <v>-12500</v>
      </c>
      <c r="Q77" s="4"/>
      <c r="R77" s="4"/>
      <c r="S77" s="4"/>
      <c r="T77" s="4"/>
      <c r="U77" s="4"/>
      <c r="V77" s="1"/>
      <c r="W77" s="1"/>
      <c r="X77" s="1"/>
    </row>
    <row r="78" spans="1:24" ht="12.6" customHeight="1" x14ac:dyDescent="0.2">
      <c r="A78" s="1"/>
      <c r="B78" s="37" t="s">
        <v>127</v>
      </c>
      <c r="C78" s="4"/>
      <c r="D78" s="49">
        <f>ROUND((+$T$52*0.0675)*(30/360),0)</f>
        <v>844</v>
      </c>
      <c r="E78" s="49">
        <f>ROUND((+$T$52*0.0675)*(30/360),0)</f>
        <v>844</v>
      </c>
      <c r="F78" s="49">
        <f>ROUND((+$T$52*0.0675)*(30/360),0)</f>
        <v>844</v>
      </c>
      <c r="G78" s="48">
        <f>ROUND((+$T$52*0.0675)*(30/360),0)-1</f>
        <v>843</v>
      </c>
      <c r="H78" s="49">
        <f>ROUND((+$T$52*0.0675)*(30/360),0)</f>
        <v>844</v>
      </c>
      <c r="I78" s="49">
        <f>ROUND((+$T$52*0.0675)*(30/360),0)</f>
        <v>844</v>
      </c>
      <c r="J78" s="49">
        <f>ROUND((+$T$52*0.0675)*(30/360),0)</f>
        <v>844</v>
      </c>
      <c r="K78" s="48">
        <f>ROUND((+$T$52*0.0675)*(30/360),0)-1</f>
        <v>843</v>
      </c>
      <c r="L78" s="49">
        <f>ROUND((+$T$52*0.0675)*(30/360),0)</f>
        <v>844</v>
      </c>
      <c r="M78" s="49">
        <f>ROUND((+$T$52*0.0675)*(30/360),0)</f>
        <v>844</v>
      </c>
      <c r="N78" s="49">
        <f>ROUND((+$T$52*0.0675)*(30/360),0)</f>
        <v>844</v>
      </c>
      <c r="O78" s="48">
        <f>ROUND((+$T$52*0.0675)*(30/360),0)-1</f>
        <v>843</v>
      </c>
      <c r="P78" s="8">
        <f>SUM(D78:O78)</f>
        <v>10125</v>
      </c>
      <c r="Q78" s="4"/>
      <c r="R78" s="4"/>
      <c r="S78" s="4"/>
      <c r="T78" s="4"/>
      <c r="U78" s="4"/>
      <c r="V78" s="1"/>
      <c r="W78" s="1"/>
      <c r="X78" s="1"/>
    </row>
    <row r="79" spans="1:24" ht="12.6" customHeight="1" x14ac:dyDescent="0.2">
      <c r="A79" s="1"/>
      <c r="B79" s="37" t="s">
        <v>128</v>
      </c>
      <c r="C79" s="4"/>
      <c r="D79" s="20">
        <v>11</v>
      </c>
      <c r="E79" s="20">
        <v>11</v>
      </c>
      <c r="F79" s="20">
        <v>11</v>
      </c>
      <c r="G79" s="20">
        <v>10</v>
      </c>
      <c r="H79" s="20">
        <v>11</v>
      </c>
      <c r="I79" s="20">
        <v>11</v>
      </c>
      <c r="J79" s="20">
        <v>11</v>
      </c>
      <c r="K79" s="20">
        <v>11</v>
      </c>
      <c r="L79" s="20">
        <v>11</v>
      </c>
      <c r="M79" s="20">
        <v>10</v>
      </c>
      <c r="N79" s="20">
        <v>11</v>
      </c>
      <c r="O79" s="20">
        <v>11</v>
      </c>
      <c r="P79" s="8">
        <f>SUM(D79:O79)</f>
        <v>130</v>
      </c>
      <c r="Q79" s="4"/>
      <c r="R79" s="4"/>
      <c r="S79" s="4"/>
      <c r="T79" s="4"/>
      <c r="U79" s="4"/>
      <c r="V79" s="1"/>
      <c r="W79" s="1"/>
      <c r="X79" s="1"/>
    </row>
    <row r="80" spans="1:24" ht="12.6" customHeight="1" x14ac:dyDescent="0.2">
      <c r="A80" s="1"/>
      <c r="B80" s="37" t="s">
        <v>129</v>
      </c>
      <c r="C80" s="4"/>
      <c r="D80" s="109">
        <f t="shared" ref="D80:N80" si="27">ROUND((+$T$52*0.0275)*(30/360),0)-344</f>
        <v>0</v>
      </c>
      <c r="E80" s="109">
        <f t="shared" si="27"/>
        <v>0</v>
      </c>
      <c r="F80" s="109">
        <f t="shared" si="27"/>
        <v>0</v>
      </c>
      <c r="G80" s="109">
        <f t="shared" si="27"/>
        <v>0</v>
      </c>
      <c r="H80" s="109">
        <f t="shared" si="27"/>
        <v>0</v>
      </c>
      <c r="I80" s="109">
        <f t="shared" si="27"/>
        <v>0</v>
      </c>
      <c r="J80" s="109">
        <f t="shared" si="27"/>
        <v>0</v>
      </c>
      <c r="K80" s="109">
        <f t="shared" si="27"/>
        <v>0</v>
      </c>
      <c r="L80" s="109">
        <f t="shared" si="27"/>
        <v>0</v>
      </c>
      <c r="M80" s="109">
        <f t="shared" si="27"/>
        <v>0</v>
      </c>
      <c r="N80" s="109">
        <f t="shared" si="27"/>
        <v>0</v>
      </c>
      <c r="O80" s="109">
        <f>ROUND((+$T$52*0.0275)*(30/360),0)-344+4125-4125</f>
        <v>0</v>
      </c>
      <c r="P80" s="11">
        <f>SUM(D80:O80)</f>
        <v>0</v>
      </c>
      <c r="Q80" s="4"/>
      <c r="R80" s="4"/>
      <c r="S80" s="4"/>
      <c r="T80" s="4"/>
      <c r="U80" s="4"/>
      <c r="V80" s="1"/>
      <c r="W80" s="1"/>
      <c r="X80" s="1"/>
    </row>
    <row r="81" spans="1:24" ht="3.95" customHeight="1" x14ac:dyDescent="0.2">
      <c r="A81" s="1"/>
      <c r="B81" s="37"/>
      <c r="C81" s="4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4"/>
      <c r="R81" s="4"/>
      <c r="S81" s="4"/>
      <c r="T81" s="4"/>
      <c r="U81" s="4"/>
      <c r="V81" s="1"/>
      <c r="W81" s="1"/>
      <c r="X81" s="1"/>
    </row>
    <row r="82" spans="1:24" ht="12.6" customHeight="1" x14ac:dyDescent="0.2">
      <c r="A82" s="1"/>
      <c r="B82" s="107" t="s">
        <v>130</v>
      </c>
      <c r="C82" s="4"/>
      <c r="D82" s="108">
        <f t="shared" ref="D82:P82" si="28">SUM(D77:D80)</f>
        <v>-145</v>
      </c>
      <c r="E82" s="108">
        <f t="shared" si="28"/>
        <v>-145</v>
      </c>
      <c r="F82" s="108">
        <f t="shared" si="28"/>
        <v>-245</v>
      </c>
      <c r="G82" s="108">
        <f t="shared" si="28"/>
        <v>-247</v>
      </c>
      <c r="H82" s="108">
        <f t="shared" si="28"/>
        <v>-345</v>
      </c>
      <c r="I82" s="108">
        <f t="shared" si="28"/>
        <v>-245</v>
      </c>
      <c r="J82" s="108">
        <f t="shared" si="28"/>
        <v>-245</v>
      </c>
      <c r="K82" s="108">
        <f t="shared" si="28"/>
        <v>-246</v>
      </c>
      <c r="L82" s="108">
        <f t="shared" si="28"/>
        <v>-145</v>
      </c>
      <c r="M82" s="108">
        <f t="shared" si="28"/>
        <v>-146</v>
      </c>
      <c r="N82" s="108">
        <f t="shared" si="28"/>
        <v>-45</v>
      </c>
      <c r="O82" s="108">
        <f t="shared" si="28"/>
        <v>-46</v>
      </c>
      <c r="P82" s="108">
        <f t="shared" si="28"/>
        <v>-2245</v>
      </c>
      <c r="Q82" s="59">
        <f>+P82-SUM(D82:O82)</f>
        <v>0</v>
      </c>
      <c r="R82" s="59"/>
      <c r="T82" s="4"/>
      <c r="U82" s="4"/>
      <c r="V82" s="1"/>
      <c r="W82" s="1"/>
      <c r="X82" s="1"/>
    </row>
    <row r="83" spans="1:24" ht="12.6" customHeight="1" x14ac:dyDescent="0.2">
      <c r="A83" s="1"/>
      <c r="B83" s="3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4"/>
      <c r="Q83" s="4"/>
      <c r="R83" s="4"/>
      <c r="S83" s="4"/>
      <c r="T83" s="4"/>
      <c r="U83" s="99">
        <f ca="1">NOW()</f>
        <v>37189.602767708333</v>
      </c>
      <c r="V83" s="1"/>
      <c r="W83" s="1"/>
      <c r="X83" s="1"/>
    </row>
    <row r="84" spans="1:24" ht="12.6" customHeight="1" x14ac:dyDescent="0.2">
      <c r="A84" s="113" t="str">
        <f ca="1">CELL("FILENAME")</f>
        <v>H:\2002\[DBTEQTY02.xls]NNG-Original 2002 Plan</v>
      </c>
      <c r="B84" s="5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59"/>
      <c r="R84" s="59"/>
      <c r="T84" s="4"/>
      <c r="U84" s="35">
        <f ca="1">NOW()</f>
        <v>37189.602767708333</v>
      </c>
      <c r="V84" s="1"/>
      <c r="W84" s="1"/>
      <c r="X84" s="1"/>
    </row>
    <row r="85" spans="1:24" ht="11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1.25" x14ac:dyDescent="0.2">
      <c r="A86" s="1"/>
      <c r="B86" s="1"/>
      <c r="C86" s="1">
        <v>34</v>
      </c>
      <c r="D86" s="126">
        <f t="shared" ref="D86:O86" si="29">+C86+D79</f>
        <v>45</v>
      </c>
      <c r="E86" s="126">
        <f t="shared" si="29"/>
        <v>56</v>
      </c>
      <c r="F86" s="126">
        <f t="shared" si="29"/>
        <v>67</v>
      </c>
      <c r="G86" s="126">
        <f t="shared" si="29"/>
        <v>77</v>
      </c>
      <c r="H86" s="126">
        <f t="shared" si="29"/>
        <v>88</v>
      </c>
      <c r="I86" s="126">
        <f t="shared" si="29"/>
        <v>99</v>
      </c>
      <c r="J86" s="126">
        <f t="shared" si="29"/>
        <v>110</v>
      </c>
      <c r="K86" s="126">
        <f t="shared" si="29"/>
        <v>121</v>
      </c>
      <c r="L86" s="126">
        <f t="shared" si="29"/>
        <v>132</v>
      </c>
      <c r="M86" s="126">
        <f t="shared" si="29"/>
        <v>142</v>
      </c>
      <c r="N86" s="126">
        <f t="shared" si="29"/>
        <v>153</v>
      </c>
      <c r="O86" s="126">
        <f t="shared" si="29"/>
        <v>164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1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87"/>
  <sheetViews>
    <sheetView showGridLines="0"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C7" sqref="C7"/>
    </sheetView>
  </sheetViews>
  <sheetFormatPr defaultColWidth="9.83203125" defaultRowHeight="10.5" x14ac:dyDescent="0.15"/>
  <cols>
    <col min="1" max="1" width="1.83203125" customWidth="1"/>
    <col min="2" max="2" width="60.83203125" customWidth="1"/>
    <col min="3" max="3" width="13.83203125" customWidth="1"/>
    <col min="4" max="15" width="12.83203125" customWidth="1"/>
    <col min="16" max="16" width="13.83203125" customWidth="1"/>
    <col min="17" max="17" width="6.83203125" customWidth="1"/>
    <col min="18" max="18" width="4.83203125" customWidth="1"/>
    <col min="19" max="19" width="45.83203125" customWidth="1"/>
    <col min="20" max="20" width="11.83203125" customWidth="1"/>
    <col min="21" max="21" width="10.83203125" customWidth="1"/>
  </cols>
  <sheetData>
    <row r="1" spans="1:24" ht="12.75" customHeight="1" x14ac:dyDescent="0.25">
      <c r="A1" s="41" t="s">
        <v>131</v>
      </c>
      <c r="B1" s="69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28"/>
      <c r="Q1" s="28"/>
      <c r="R1" s="66"/>
      <c r="S1" s="66"/>
      <c r="T1" s="66"/>
      <c r="U1" s="64"/>
      <c r="V1" s="1"/>
      <c r="W1" s="1"/>
      <c r="X1" s="1"/>
    </row>
    <row r="2" spans="1:24" ht="12.75" customHeight="1" x14ac:dyDescent="0.25">
      <c r="A2" s="136" t="str">
        <f>+'NNG-Original 2002 Plan'!A2</f>
        <v>2002 OPERATING PLAN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28"/>
      <c r="Q2" s="28"/>
      <c r="R2" s="66"/>
      <c r="S2" s="66"/>
      <c r="T2" s="66"/>
      <c r="U2" s="64"/>
      <c r="V2" s="1"/>
      <c r="W2" s="1"/>
      <c r="X2" s="1"/>
    </row>
    <row r="3" spans="1:24" ht="12.75" customHeight="1" x14ac:dyDescent="0.25">
      <c r="A3" s="70" t="str">
        <f>+'NNG-Original 2002 Plan'!A3</f>
        <v>INTERCOMPANY FINANCING CALCULATION</v>
      </c>
      <c r="B3" s="64"/>
      <c r="C3" s="70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28"/>
      <c r="R3" s="66"/>
      <c r="S3" s="66"/>
      <c r="T3" s="66"/>
      <c r="U3" s="66"/>
      <c r="V3" s="1"/>
      <c r="W3" s="1"/>
      <c r="X3" s="1"/>
    </row>
    <row r="4" spans="1:24" ht="12.6" customHeight="1" x14ac:dyDescent="0.2">
      <c r="B4" s="43" t="str">
        <f>+'NNG-Original 2002 Plan'!B4</f>
        <v xml:space="preserve">  " Preliminary 2002 Operating Plan (10/24/01) "</v>
      </c>
      <c r="C4" s="44" t="str">
        <f>+'NNG-Original 2002 Plan'!C4</f>
        <v>3rd CE</v>
      </c>
      <c r="D4" s="3"/>
      <c r="E4" s="44"/>
      <c r="F4" s="1"/>
      <c r="G4" s="1"/>
      <c r="H4" s="44"/>
      <c r="J4" s="51"/>
      <c r="K4" s="44"/>
      <c r="L4" s="3"/>
      <c r="M4" s="3"/>
      <c r="N4" s="3"/>
      <c r="O4" s="3"/>
      <c r="P4" s="3"/>
      <c r="Q4" s="3"/>
      <c r="R4" s="4"/>
      <c r="S4" s="4"/>
      <c r="T4" s="5"/>
      <c r="U4" s="4"/>
      <c r="V4" s="1"/>
      <c r="W4" s="1"/>
      <c r="X4" s="1"/>
    </row>
    <row r="5" spans="1:24" ht="12.6" customHeight="1" x14ac:dyDescent="0.2">
      <c r="B5" s="3"/>
      <c r="C5" s="44" t="str">
        <f>+'NNG-Original 2002 Plan'!C5</f>
        <v>YEAR END</v>
      </c>
      <c r="D5" s="44" t="str">
        <f>+'NNG-Original 2002 Plan'!D5</f>
        <v>PLAN</v>
      </c>
      <c r="E5" s="44" t="str">
        <f>+'NNG-Original 2002 Plan'!E5</f>
        <v>PLAN</v>
      </c>
      <c r="F5" s="44" t="str">
        <f>+'NNG-Original 2002 Plan'!F5</f>
        <v>PLAN</v>
      </c>
      <c r="G5" s="44" t="str">
        <f>+'NNG-Original 2002 Plan'!G5</f>
        <v>PLAN</v>
      </c>
      <c r="H5" s="44" t="str">
        <f>+'NNG-Original 2002 Plan'!H5</f>
        <v>PLAN</v>
      </c>
      <c r="I5" s="44" t="str">
        <f>+'NNG-Original 2002 Plan'!I5</f>
        <v>PLAN</v>
      </c>
      <c r="J5" s="44" t="str">
        <f>+'NNG-Original 2002 Plan'!J5</f>
        <v>PLAN</v>
      </c>
      <c r="K5" s="44" t="str">
        <f>+'NNG-Original 2002 Plan'!K5</f>
        <v>PLAN</v>
      </c>
      <c r="L5" s="44" t="str">
        <f>+'NNG-Original 2002 Plan'!L5</f>
        <v>PLAN</v>
      </c>
      <c r="M5" s="44" t="str">
        <f>+'NNG-Original 2002 Plan'!M5</f>
        <v>PLAN</v>
      </c>
      <c r="N5" s="44" t="str">
        <f>+'NNG-Original 2002 Plan'!N5</f>
        <v>PLAN</v>
      </c>
      <c r="O5" s="44" t="str">
        <f>+'NNG-Original 2002 Plan'!O5</f>
        <v>PLAN</v>
      </c>
      <c r="P5" s="44" t="str">
        <f>+'NNG-Original 2002 Plan'!P5</f>
        <v>YEAR END</v>
      </c>
      <c r="Q5" s="44"/>
      <c r="R5" s="4"/>
      <c r="S5" s="5"/>
      <c r="T5" s="5"/>
      <c r="U5" s="4"/>
      <c r="V5" s="1"/>
      <c r="W5" s="1"/>
      <c r="X5" s="1"/>
    </row>
    <row r="6" spans="1:24" ht="12.6" customHeight="1" x14ac:dyDescent="0.2">
      <c r="B6" s="3"/>
      <c r="C6" s="16" t="str">
        <f>+'NNG-Original 2002 Plan'!C6</f>
        <v>12/31/01</v>
      </c>
      <c r="D6" s="16" t="str">
        <f>+'NNG-Original 2002 Plan'!D6</f>
        <v>JAN.</v>
      </c>
      <c r="E6" s="16" t="str">
        <f>+'NNG-Original 2002 Plan'!E6</f>
        <v>FEB.</v>
      </c>
      <c r="F6" s="16" t="str">
        <f>+'NNG-Original 2002 Plan'!F6</f>
        <v>MAR.</v>
      </c>
      <c r="G6" s="16" t="str">
        <f>+'NNG-Original 2002 Plan'!G6</f>
        <v>APR.</v>
      </c>
      <c r="H6" s="16" t="str">
        <f>+'NNG-Original 2002 Plan'!H6</f>
        <v>MAY</v>
      </c>
      <c r="I6" s="16" t="str">
        <f>+'NNG-Original 2002 Plan'!I6</f>
        <v>JUNE</v>
      </c>
      <c r="J6" s="16" t="str">
        <f>+'NNG-Original 2002 Plan'!J6</f>
        <v>JULY</v>
      </c>
      <c r="K6" s="16" t="str">
        <f>+'NNG-Original 2002 Plan'!K6</f>
        <v>AUG.</v>
      </c>
      <c r="L6" s="16" t="str">
        <f>+'NNG-Original 2002 Plan'!L6</f>
        <v>SEP.</v>
      </c>
      <c r="M6" s="16" t="str">
        <f>+'NNG-Original 2002 Plan'!M6</f>
        <v>OCT.</v>
      </c>
      <c r="N6" s="16" t="str">
        <f>+'NNG-Original 2002 Plan'!N6</f>
        <v>NOV.</v>
      </c>
      <c r="O6" s="16" t="str">
        <f>+'NNG-Original 2002 Plan'!O6</f>
        <v>DEC.</v>
      </c>
      <c r="P6" s="16" t="str">
        <f>+'NNG-Original 2002 Plan'!P6</f>
        <v>12/31/02</v>
      </c>
      <c r="Q6" s="16"/>
      <c r="R6" s="4"/>
      <c r="S6" s="7"/>
      <c r="T6" s="7"/>
      <c r="U6" s="4"/>
      <c r="V6" s="1"/>
      <c r="W6" s="1"/>
      <c r="X6" s="1"/>
    </row>
    <row r="7" spans="1:24" ht="12.6" customHeight="1" x14ac:dyDescent="0.2">
      <c r="A7" s="60" t="e">
        <f>+'[1]NNG-Forecast '!A7</f>
        <v>#REF!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17"/>
      <c r="R7" s="4"/>
      <c r="S7" s="7"/>
      <c r="T7" s="7"/>
      <c r="U7" s="4"/>
      <c r="V7" s="1"/>
      <c r="W7" s="1"/>
      <c r="X7" s="1"/>
    </row>
    <row r="8" spans="1:24" ht="12.6" customHeight="1" x14ac:dyDescent="0.2">
      <c r="A8" s="1"/>
      <c r="B8" s="43" t="str">
        <f>+'NNG-Original 2002 Plan'!B8</f>
        <v>Payable / (Receivable) Corp. - Beg. Balance</v>
      </c>
      <c r="C8" s="106">
        <f>-524956+40885</f>
        <v>-484071</v>
      </c>
      <c r="D8" s="8">
        <f t="shared" ref="D8:O8" si="0">C15</f>
        <v>-261181</v>
      </c>
      <c r="E8" s="8">
        <f t="shared" si="0"/>
        <v>-259981</v>
      </c>
      <c r="F8" s="8">
        <f t="shared" si="0"/>
        <v>-262081</v>
      </c>
      <c r="G8" s="8">
        <f t="shared" si="0"/>
        <v>-263581</v>
      </c>
      <c r="H8" s="8">
        <f t="shared" si="0"/>
        <v>-261081</v>
      </c>
      <c r="I8" s="8">
        <f t="shared" si="0"/>
        <v>-261881</v>
      </c>
      <c r="J8" s="8">
        <f t="shared" si="0"/>
        <v>-264181</v>
      </c>
      <c r="K8" s="8">
        <f t="shared" si="0"/>
        <v>-269181</v>
      </c>
      <c r="L8" s="8">
        <f t="shared" si="0"/>
        <v>-275881</v>
      </c>
      <c r="M8" s="8">
        <f t="shared" si="0"/>
        <v>-282981</v>
      </c>
      <c r="N8" s="8">
        <f t="shared" si="0"/>
        <v>-283281</v>
      </c>
      <c r="O8" s="8">
        <f t="shared" si="0"/>
        <v>-286981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">
      <c r="A9" s="1"/>
      <c r="B9" s="37" t="s">
        <v>158</v>
      </c>
      <c r="C9" s="4"/>
      <c r="D9" s="20">
        <v>-3800</v>
      </c>
      <c r="E9" s="20">
        <v>-7600</v>
      </c>
      <c r="F9" s="20">
        <v>-6300</v>
      </c>
      <c r="G9" s="20">
        <v>-2200</v>
      </c>
      <c r="H9" s="20">
        <v>-5700</v>
      </c>
      <c r="I9" s="20">
        <v>-7400</v>
      </c>
      <c r="J9" s="20">
        <v>-10300</v>
      </c>
      <c r="K9" s="20">
        <v>-12000</v>
      </c>
      <c r="L9" s="20">
        <v>-11600</v>
      </c>
      <c r="M9" s="20">
        <v>-5600</v>
      </c>
      <c r="N9" s="20">
        <v>-9500</v>
      </c>
      <c r="O9" s="20">
        <v>-12800</v>
      </c>
      <c r="P9" s="8">
        <f>SUM(D9:O9)</f>
        <v>-94800</v>
      </c>
      <c r="Q9" s="8"/>
      <c r="R9" s="4"/>
      <c r="S9" s="5"/>
      <c r="T9" s="9"/>
      <c r="U9" s="4"/>
      <c r="V9" s="1"/>
      <c r="W9" s="1"/>
      <c r="X9" s="1"/>
    </row>
    <row r="10" spans="1:24" ht="12.6" customHeight="1" x14ac:dyDescent="0.2">
      <c r="A10" s="1"/>
      <c r="B10" s="110" t="str">
        <f>+'NNG-Original 2002 Plan'!B10</f>
        <v xml:space="preserve">   Pay. / (Rec.) - Corp. (Co.011) / Interco.Netting (Co.827) </v>
      </c>
      <c r="C10" s="106">
        <f>146935+75955</f>
        <v>222890</v>
      </c>
      <c r="D10" s="20">
        <v>5000</v>
      </c>
      <c r="E10" s="20">
        <v>5500</v>
      </c>
      <c r="F10" s="20">
        <v>4800</v>
      </c>
      <c r="G10" s="20">
        <v>4700</v>
      </c>
      <c r="H10" s="20">
        <v>4900</v>
      </c>
      <c r="I10" s="20">
        <v>5100</v>
      </c>
      <c r="J10" s="20">
        <v>5300</v>
      </c>
      <c r="K10" s="20">
        <v>5300</v>
      </c>
      <c r="L10" s="20">
        <v>4500</v>
      </c>
      <c r="M10" s="20">
        <v>5300</v>
      </c>
      <c r="N10" s="20">
        <v>5800</v>
      </c>
      <c r="O10" s="20">
        <v>5300</v>
      </c>
      <c r="P10" s="8">
        <f>SUM(D10:O10)</f>
        <v>61500</v>
      </c>
      <c r="Q10" s="8"/>
      <c r="R10" s="4"/>
      <c r="S10" s="4"/>
      <c r="T10" s="4"/>
      <c r="U10" s="4"/>
      <c r="V10" s="1"/>
      <c r="W10" s="1"/>
      <c r="X10" s="1"/>
    </row>
    <row r="11" spans="1:24" ht="12.6" customHeight="1" x14ac:dyDescent="0.2">
      <c r="A11" s="1"/>
      <c r="B11" s="110" t="str">
        <f>+'NNG-Original 2002 Plan'!B11</f>
        <v xml:space="preserve">   Dividends to EPC 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8"/>
      <c r="R11" s="4"/>
      <c r="S11" s="9"/>
      <c r="T11" s="9"/>
      <c r="U11" s="4"/>
      <c r="V11" s="1"/>
      <c r="W11" s="1"/>
      <c r="X11" s="1"/>
    </row>
    <row r="12" spans="1:24" ht="12.6" customHeight="1" x14ac:dyDescent="0.2">
      <c r="A12" s="1"/>
      <c r="B12" s="110" t="str">
        <f>+'NNG-Original 2002 Plan'!B12</f>
        <v xml:space="preserve">   Other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8"/>
      <c r="R12" s="4"/>
      <c r="S12" s="4"/>
      <c r="T12" s="4"/>
      <c r="U12" s="4"/>
      <c r="V12" s="1"/>
      <c r="W12" s="1"/>
      <c r="X12" s="1"/>
    </row>
    <row r="13" spans="1:24" ht="12.6" customHeight="1" x14ac:dyDescent="0.2">
      <c r="A13" s="1"/>
      <c r="B13" s="110" t="str">
        <f>+'NNG-Original 2002 Plan'!B13</f>
        <v xml:space="preserve">   Miscellaneous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5" customHeight="1" x14ac:dyDescent="0.2">
      <c r="A14" s="1"/>
      <c r="B14" s="13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">
      <c r="A15" s="1"/>
      <c r="B15" s="110" t="str">
        <f>+'NNG-Original 2002 Plan'!B15</f>
        <v xml:space="preserve">Payable / (Receivable) Corp. - End. Balance </v>
      </c>
      <c r="C15" s="11">
        <f t="shared" ref="C15:O15" si="2">SUM(C8:C14)</f>
        <v>-261181</v>
      </c>
      <c r="D15" s="11">
        <f t="shared" si="2"/>
        <v>-259981</v>
      </c>
      <c r="E15" s="11">
        <f t="shared" si="2"/>
        <v>-262081</v>
      </c>
      <c r="F15" s="11">
        <f t="shared" si="2"/>
        <v>-263581</v>
      </c>
      <c r="G15" s="11">
        <f t="shared" si="2"/>
        <v>-261081</v>
      </c>
      <c r="H15" s="11">
        <f t="shared" si="2"/>
        <v>-261881</v>
      </c>
      <c r="I15" s="11">
        <f t="shared" si="2"/>
        <v>-264181</v>
      </c>
      <c r="J15" s="11">
        <f t="shared" si="2"/>
        <v>-269181</v>
      </c>
      <c r="K15" s="11">
        <f t="shared" si="2"/>
        <v>-275881</v>
      </c>
      <c r="L15" s="11">
        <f t="shared" si="2"/>
        <v>-282981</v>
      </c>
      <c r="M15" s="11">
        <f t="shared" si="2"/>
        <v>-283281</v>
      </c>
      <c r="N15" s="11">
        <f t="shared" si="2"/>
        <v>-286981</v>
      </c>
      <c r="O15" s="11">
        <f t="shared" si="2"/>
        <v>-294481</v>
      </c>
      <c r="P15" s="4"/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24" ht="12.6" customHeight="1" x14ac:dyDescent="0.2">
      <c r="A17" s="1"/>
      <c r="B17" s="110" t="str">
        <f>+'NNG-Original 2002 Plan'!B17</f>
        <v>Long Term Debt - Beginning Balance</v>
      </c>
      <c r="C17" s="20">
        <v>11600</v>
      </c>
      <c r="D17" s="8">
        <f t="shared" ref="D17:O17" si="3">C23</f>
        <v>11600</v>
      </c>
      <c r="E17" s="8">
        <f t="shared" si="3"/>
        <v>11600</v>
      </c>
      <c r="F17" s="8">
        <f t="shared" si="3"/>
        <v>11600</v>
      </c>
      <c r="G17" s="8">
        <f t="shared" si="3"/>
        <v>11600</v>
      </c>
      <c r="H17" s="8">
        <f t="shared" si="3"/>
        <v>11600</v>
      </c>
      <c r="I17" s="8">
        <f t="shared" si="3"/>
        <v>11600</v>
      </c>
      <c r="J17" s="8">
        <f t="shared" si="3"/>
        <v>11600</v>
      </c>
      <c r="K17" s="8">
        <f t="shared" si="3"/>
        <v>11600</v>
      </c>
      <c r="L17" s="8">
        <f t="shared" si="3"/>
        <v>11600</v>
      </c>
      <c r="M17" s="8">
        <f t="shared" si="3"/>
        <v>11600</v>
      </c>
      <c r="N17" s="8">
        <f t="shared" si="3"/>
        <v>11600</v>
      </c>
      <c r="O17" s="8">
        <f t="shared" si="3"/>
        <v>7750</v>
      </c>
      <c r="P17" s="4"/>
      <c r="Q17" s="4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24" ht="12.6" customHeight="1" x14ac:dyDescent="0.2">
      <c r="A18" s="1"/>
      <c r="B18" s="110" t="str">
        <f>+'NNG-Original 2002 Plan'!B18</f>
        <v xml:space="preserve">   Principal - External</v>
      </c>
      <c r="C18" s="5"/>
      <c r="D18" s="20">
        <v>0</v>
      </c>
      <c r="E18" s="20">
        <v>0</v>
      </c>
      <c r="F18" s="20">
        <v>0</v>
      </c>
      <c r="G18" s="20">
        <v>0</v>
      </c>
      <c r="H18" s="129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-3850</v>
      </c>
      <c r="O18" s="20">
        <v>0</v>
      </c>
      <c r="P18" s="4"/>
      <c r="Q18" s="4"/>
      <c r="R18" s="4"/>
      <c r="S18" s="78" t="s">
        <v>57</v>
      </c>
      <c r="T18" s="20">
        <v>146150</v>
      </c>
      <c r="U18" s="79">
        <f>ROUND(T18/T20,4)</f>
        <v>0.1179</v>
      </c>
      <c r="V18" s="1"/>
      <c r="W18" s="1"/>
      <c r="X18" s="1"/>
    </row>
    <row r="19" spans="1:24" ht="12.6" customHeight="1" x14ac:dyDescent="0.2">
      <c r="A19" s="1"/>
      <c r="B19" s="110" t="str">
        <f>+'NNG-Original 2002 Plan'!B19</f>
        <v xml:space="preserve">                 - Corporate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65</v>
      </c>
      <c r="T19" s="11">
        <f>L31</f>
        <v>1093441</v>
      </c>
      <c r="U19" s="81">
        <f>ROUND(T19/T20,4)</f>
        <v>0.8821</v>
      </c>
      <c r="V19" s="1"/>
      <c r="W19" s="1"/>
      <c r="X19" s="1"/>
    </row>
    <row r="20" spans="1:24" ht="12.6" customHeight="1" x14ac:dyDescent="0.2">
      <c r="A20" s="1"/>
      <c r="B20" s="110" t="str">
        <f>+'NNG-Original 2002 Plan'!B20</f>
        <v xml:space="preserve">   Debt Discount</v>
      </c>
      <c r="C20" s="20">
        <v>0</v>
      </c>
      <c r="D20" s="59">
        <f t="shared" ref="D20:O20" si="4">D53</f>
        <v>0</v>
      </c>
      <c r="E20" s="59">
        <f t="shared" si="4"/>
        <v>0</v>
      </c>
      <c r="F20" s="59">
        <f t="shared" si="4"/>
        <v>0</v>
      </c>
      <c r="G20" s="59">
        <f t="shared" si="4"/>
        <v>0</v>
      </c>
      <c r="H20" s="59">
        <f t="shared" si="4"/>
        <v>0</v>
      </c>
      <c r="I20" s="59">
        <f t="shared" si="4"/>
        <v>0</v>
      </c>
      <c r="J20" s="59">
        <f t="shared" si="4"/>
        <v>0</v>
      </c>
      <c r="K20" s="59">
        <f t="shared" si="4"/>
        <v>0</v>
      </c>
      <c r="L20" s="59">
        <f t="shared" si="4"/>
        <v>0</v>
      </c>
      <c r="M20" s="59">
        <f t="shared" si="4"/>
        <v>0</v>
      </c>
      <c r="N20" s="59">
        <f t="shared" si="4"/>
        <v>0</v>
      </c>
      <c r="O20" s="59">
        <f t="shared" si="4"/>
        <v>0</v>
      </c>
      <c r="P20" s="4"/>
      <c r="Q20" s="4"/>
      <c r="R20" s="4"/>
      <c r="S20" s="80" t="s">
        <v>61</v>
      </c>
      <c r="T20" s="12">
        <f>T18+T19</f>
        <v>1239591</v>
      </c>
      <c r="U20" s="82">
        <f>U18+U19</f>
        <v>1</v>
      </c>
      <c r="V20" s="1"/>
      <c r="W20" s="1"/>
      <c r="X20" s="1"/>
    </row>
    <row r="21" spans="1:24" ht="12.6" customHeight="1" x14ac:dyDescent="0.2">
      <c r="A21" s="1"/>
      <c r="B21" s="110" t="str">
        <f>+'NNG-Original 2002 Plan'!B21</f>
        <v xml:space="preserve">   Miscellaneous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4"/>
      <c r="R21" s="8"/>
      <c r="S21" s="83"/>
      <c r="T21" s="84"/>
      <c r="U21" s="85"/>
      <c r="V21" s="1"/>
      <c r="W21" s="1"/>
      <c r="X21" s="1"/>
    </row>
    <row r="22" spans="1:24" ht="3.95" customHeight="1" x14ac:dyDescent="0.2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24" ht="12.6" customHeight="1" x14ac:dyDescent="0.2">
      <c r="A23" s="1"/>
      <c r="B23" s="110" t="str">
        <f>+'NNG-Original 2002 Plan'!B23</f>
        <v>Long Term Debt - Ending Balance</v>
      </c>
      <c r="C23" s="11">
        <f>SUM(C17:C22)</f>
        <v>11600</v>
      </c>
      <c r="D23" s="11">
        <f>SUM(D17:D20)</f>
        <v>11600</v>
      </c>
      <c r="E23" s="11">
        <f t="shared" ref="E23:O23" si="5">SUM(E17:E21)</f>
        <v>11600</v>
      </c>
      <c r="F23" s="11">
        <f t="shared" si="5"/>
        <v>11600</v>
      </c>
      <c r="G23" s="11">
        <f t="shared" si="5"/>
        <v>11600</v>
      </c>
      <c r="H23" s="11">
        <f t="shared" si="5"/>
        <v>11600</v>
      </c>
      <c r="I23" s="11">
        <f t="shared" si="5"/>
        <v>11600</v>
      </c>
      <c r="J23" s="11">
        <f t="shared" si="5"/>
        <v>11600</v>
      </c>
      <c r="K23" s="11">
        <f t="shared" si="5"/>
        <v>11600</v>
      </c>
      <c r="L23" s="11">
        <f t="shared" si="5"/>
        <v>11600</v>
      </c>
      <c r="M23" s="11">
        <f t="shared" si="5"/>
        <v>11600</v>
      </c>
      <c r="N23" s="11">
        <f t="shared" si="5"/>
        <v>7750</v>
      </c>
      <c r="O23" s="11">
        <f t="shared" si="5"/>
        <v>7750</v>
      </c>
      <c r="P23" s="4"/>
      <c r="Q23" s="4"/>
      <c r="R23" s="8"/>
      <c r="S23" s="9"/>
      <c r="T23" s="86"/>
      <c r="U23" s="4"/>
      <c r="V23" s="1"/>
      <c r="W23" s="1"/>
      <c r="X23" s="1"/>
    </row>
    <row r="24" spans="1:24" ht="8.1" customHeight="1" x14ac:dyDescent="0.2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8"/>
      <c r="S24" s="9"/>
      <c r="T24" s="4"/>
      <c r="U24" s="4"/>
      <c r="V24" s="1"/>
      <c r="W24" s="1"/>
      <c r="X24" s="1"/>
    </row>
    <row r="25" spans="1:24" ht="12.6" customHeight="1" x14ac:dyDescent="0.2">
      <c r="A25" s="1"/>
      <c r="B25" s="110" t="str">
        <f>+'NNG-Original 2002 Plan'!B25</f>
        <v>Equity - Beginning Balance</v>
      </c>
      <c r="C25" s="4"/>
      <c r="D25" s="8">
        <f t="shared" ref="D25:O25" si="6">C31</f>
        <v>1040232</v>
      </c>
      <c r="E25" s="8">
        <f t="shared" si="6"/>
        <v>1046121</v>
      </c>
      <c r="F25" s="8">
        <f t="shared" si="6"/>
        <v>1050909</v>
      </c>
      <c r="G25" s="8">
        <f t="shared" si="6"/>
        <v>1056553</v>
      </c>
      <c r="H25" s="8">
        <f t="shared" si="6"/>
        <v>1061982</v>
      </c>
      <c r="I25" s="8">
        <f t="shared" si="6"/>
        <v>1067802</v>
      </c>
      <c r="J25" s="8">
        <f t="shared" si="6"/>
        <v>1073969</v>
      </c>
      <c r="K25" s="8">
        <f t="shared" si="6"/>
        <v>1080627</v>
      </c>
      <c r="L25" s="8">
        <f t="shared" si="6"/>
        <v>1087227</v>
      </c>
      <c r="M25" s="8">
        <f t="shared" si="6"/>
        <v>1093441</v>
      </c>
      <c r="N25" s="8">
        <f t="shared" si="6"/>
        <v>1100014</v>
      </c>
      <c r="O25" s="8">
        <f t="shared" si="6"/>
        <v>1106572</v>
      </c>
      <c r="P25" s="4"/>
      <c r="Q25" s="4"/>
      <c r="R25" s="4"/>
      <c r="S25" s="1"/>
      <c r="T25" s="1"/>
      <c r="U25" s="4"/>
      <c r="V25" s="1"/>
      <c r="W25" s="1"/>
      <c r="X25" s="1"/>
    </row>
    <row r="26" spans="1:24" ht="12.6" customHeight="1" x14ac:dyDescent="0.2">
      <c r="A26" s="1"/>
      <c r="B26" s="110" t="str">
        <f>+'NNG-Original 2002 Plan'!B26</f>
        <v xml:space="preserve">   Net Income</v>
      </c>
      <c r="C26" s="4"/>
      <c r="D26" s="20">
        <v>5889</v>
      </c>
      <c r="E26" s="20">
        <v>4788</v>
      </c>
      <c r="F26" s="20">
        <v>5644</v>
      </c>
      <c r="G26" s="20">
        <v>5429</v>
      </c>
      <c r="H26" s="20">
        <v>5820</v>
      </c>
      <c r="I26" s="20">
        <v>6167</v>
      </c>
      <c r="J26" s="20">
        <v>6658</v>
      </c>
      <c r="K26" s="20">
        <v>6600</v>
      </c>
      <c r="L26" s="20">
        <v>6214</v>
      </c>
      <c r="M26" s="20">
        <v>6573</v>
      </c>
      <c r="N26" s="20">
        <v>6558</v>
      </c>
      <c r="O26" s="20">
        <v>6679</v>
      </c>
      <c r="P26" s="8">
        <f>SUM(D26:O26)</f>
        <v>73019</v>
      </c>
      <c r="Q26" s="8"/>
      <c r="R26" s="8"/>
      <c r="S26" s="100"/>
      <c r="T26" s="88"/>
      <c r="U26" s="101"/>
      <c r="V26" s="1"/>
      <c r="W26" s="1"/>
      <c r="X26" s="1"/>
    </row>
    <row r="27" spans="1:24" ht="12.6" customHeight="1" x14ac:dyDescent="0.2">
      <c r="A27" s="1"/>
      <c r="B27" s="110" t="str">
        <f>+'NNG-Original 2002 Plan'!B27</f>
        <v xml:space="preserve">   Dividends to EPC 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8"/>
      <c r="R27" s="4"/>
      <c r="S27" s="102"/>
      <c r="T27" s="91"/>
      <c r="U27" s="103"/>
      <c r="V27" s="1"/>
      <c r="W27" s="1"/>
      <c r="X27" s="1"/>
    </row>
    <row r="28" spans="1:24" ht="12.6" customHeight="1" x14ac:dyDescent="0.2">
      <c r="A28" s="1"/>
      <c r="B28" s="127" t="s">
        <v>47</v>
      </c>
      <c r="C28" s="5"/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8"/>
      <c r="R28" s="4"/>
      <c r="S28" s="102"/>
      <c r="T28" s="91"/>
      <c r="U28" s="103"/>
      <c r="V28" s="1"/>
      <c r="W28" s="1"/>
      <c r="X28" s="1"/>
    </row>
    <row r="29" spans="1:24" ht="12.6" customHeight="1" x14ac:dyDescent="0.2">
      <c r="A29" s="1"/>
      <c r="B29" s="110" t="str">
        <f>+'NNG-Original 2002 Plan'!B29</f>
        <v xml:space="preserve">   Misc. (FASB 133)</v>
      </c>
      <c r="C29" s="5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0</v>
      </c>
      <c r="Q29" s="8"/>
      <c r="R29" s="4"/>
      <c r="S29" s="102"/>
      <c r="T29" s="93"/>
      <c r="U29" s="104"/>
      <c r="V29" s="1"/>
      <c r="W29" s="1"/>
      <c r="X29" s="1"/>
    </row>
    <row r="30" spans="1:24" ht="3.95" customHeight="1" x14ac:dyDescent="0.2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1"/>
      <c r="R30" s="4"/>
      <c r="S30" s="105"/>
      <c r="T30" s="105"/>
      <c r="U30" s="105"/>
      <c r="V30" s="1"/>
      <c r="W30" s="1"/>
      <c r="X30" s="1"/>
    </row>
    <row r="31" spans="1:24" ht="12.6" customHeight="1" x14ac:dyDescent="0.2">
      <c r="A31" s="1"/>
      <c r="B31" s="110" t="str">
        <f>+'NNG-Original 2002 Plan'!B31</f>
        <v>Equity - Ending Balance</v>
      </c>
      <c r="C31" s="21">
        <v>1040232</v>
      </c>
      <c r="D31" s="11">
        <f t="shared" ref="D31:O31" si="7">SUM(D25:D29)</f>
        <v>1046121</v>
      </c>
      <c r="E31" s="11">
        <f t="shared" si="7"/>
        <v>1050909</v>
      </c>
      <c r="F31" s="11">
        <f t="shared" si="7"/>
        <v>1056553</v>
      </c>
      <c r="G31" s="11">
        <f t="shared" si="7"/>
        <v>1061982</v>
      </c>
      <c r="H31" s="11">
        <f t="shared" si="7"/>
        <v>1067802</v>
      </c>
      <c r="I31" s="11">
        <f t="shared" si="7"/>
        <v>1073969</v>
      </c>
      <c r="J31" s="11">
        <f t="shared" si="7"/>
        <v>1080627</v>
      </c>
      <c r="K31" s="11">
        <f t="shared" si="7"/>
        <v>1087227</v>
      </c>
      <c r="L31" s="11">
        <f t="shared" si="7"/>
        <v>1093441</v>
      </c>
      <c r="M31" s="11">
        <f t="shared" si="7"/>
        <v>1100014</v>
      </c>
      <c r="N31" s="11">
        <f t="shared" si="7"/>
        <v>1106572</v>
      </c>
      <c r="O31" s="11">
        <f t="shared" si="7"/>
        <v>1113251</v>
      </c>
      <c r="P31" s="8">
        <f>SUM(P26:P29)</f>
        <v>73019</v>
      </c>
      <c r="Q31" s="8"/>
      <c r="R31" s="4"/>
      <c r="S31" s="1"/>
      <c r="T31" s="1"/>
      <c r="U31" s="1"/>
      <c r="V31" s="1"/>
      <c r="W31" s="1"/>
      <c r="X31" s="1"/>
    </row>
    <row r="32" spans="1:24" ht="3.95" customHeight="1" x14ac:dyDescent="0.2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">
      <c r="A33" s="1"/>
      <c r="B33" s="110" t="str">
        <f>+'NNG-Original 2002 Plan'!B33</f>
        <v xml:space="preserve">      Total Debt / Equity</v>
      </c>
      <c r="C33" s="12">
        <f t="shared" ref="C33:O33" si="8">C15+C23+C31</f>
        <v>790651</v>
      </c>
      <c r="D33" s="12">
        <f t="shared" si="8"/>
        <v>797740</v>
      </c>
      <c r="E33" s="12">
        <f t="shared" si="8"/>
        <v>800428</v>
      </c>
      <c r="F33" s="12">
        <f t="shared" si="8"/>
        <v>804572</v>
      </c>
      <c r="G33" s="12">
        <f t="shared" si="8"/>
        <v>812501</v>
      </c>
      <c r="H33" s="12">
        <f t="shared" si="8"/>
        <v>817521</v>
      </c>
      <c r="I33" s="12">
        <f t="shared" si="8"/>
        <v>821388</v>
      </c>
      <c r="J33" s="12">
        <f t="shared" si="8"/>
        <v>823046</v>
      </c>
      <c r="K33" s="12">
        <f t="shared" si="8"/>
        <v>822946</v>
      </c>
      <c r="L33" s="12">
        <f t="shared" si="8"/>
        <v>822060</v>
      </c>
      <c r="M33" s="12">
        <f t="shared" si="8"/>
        <v>828333</v>
      </c>
      <c r="N33" s="12">
        <f t="shared" si="8"/>
        <v>827341</v>
      </c>
      <c r="O33" s="12">
        <f t="shared" si="8"/>
        <v>826520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">
      <c r="B36" s="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7"/>
      <c r="T36" s="7"/>
      <c r="U36" s="4"/>
      <c r="V36" s="1"/>
      <c r="W36" s="1"/>
      <c r="X36" s="1"/>
    </row>
    <row r="37" spans="1:29" ht="12.6" customHeight="1" x14ac:dyDescent="0.2">
      <c r="A37" s="60" t="str">
        <f>+'NNG-Original 2002 Plan'!A37:B37</f>
        <v xml:space="preserve">Revised Plan - Financing Costs (Below The Line)  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1"/>
      <c r="U37" s="1"/>
      <c r="V37" s="1"/>
      <c r="W37" s="1"/>
      <c r="X37" s="1"/>
    </row>
    <row r="38" spans="1:29" ht="12.6" customHeight="1" x14ac:dyDescent="0.2">
      <c r="A38" s="43">
        <f>+'NNG-Original 2002 Plan'!A38</f>
        <v>0</v>
      </c>
      <c r="B38" s="45" t="str">
        <f>+'NNG-Original 2002 Plan'!B38</f>
        <v xml:space="preserve">Short Term Interest Expense / (Income)  </v>
      </c>
      <c r="C38" s="4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">
      <c r="B39" s="110" t="str">
        <f>+'NNG-Original 2002 Plan'!B39</f>
        <v xml:space="preserve">   Payable / (Receivable) Corp. - Beg. Balance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133</v>
      </c>
      <c r="AC39" s="59">
        <f>ROUND(12465*0.6112,0)</f>
        <v>7619</v>
      </c>
    </row>
    <row r="40" spans="1:29" ht="12.6" customHeight="1" x14ac:dyDescent="0.2">
      <c r="B40" s="110" t="str">
        <f>+'NNG-Original 2002 Plan'!B40</f>
        <v xml:space="preserve">      Short Term Interest Expense / (Income) 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8"/>
      <c r="R40" s="4"/>
      <c r="U40" s="1"/>
      <c r="V40" s="1"/>
      <c r="W40" s="1"/>
      <c r="X40" s="1"/>
      <c r="AB40" s="61" t="s">
        <v>134</v>
      </c>
      <c r="AC40" s="59">
        <f>-ROUND((12465-11229)*0.6112,0)</f>
        <v>-755</v>
      </c>
    </row>
    <row r="41" spans="1:29" ht="12.6" customHeight="1" x14ac:dyDescent="0.2">
      <c r="B41" s="110" t="str">
        <f>+'NNG-Original 2002 Plan'!B41</f>
        <v xml:space="preserve">      Interco. Cash Adjustment (Inc.) / Dec.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8"/>
      <c r="R41" s="4"/>
      <c r="U41" s="4"/>
      <c r="V41" s="4"/>
      <c r="W41" s="1"/>
      <c r="X41" s="1"/>
      <c r="AB41" s="61" t="s">
        <v>135</v>
      </c>
      <c r="AC41" s="59">
        <f>-ROUND((11229-10712)*0.6112,0)</f>
        <v>-316</v>
      </c>
    </row>
    <row r="42" spans="1:29" ht="12.6" customHeight="1" x14ac:dyDescent="0.2">
      <c r="B42" s="110" t="str">
        <f>+'NNG-Original 2002 Plan'!B42</f>
        <v xml:space="preserve">   Payable / (Receivable) Corp. - End. Balance</v>
      </c>
      <c r="C42" s="50">
        <f>-202572+20087+8806+(-10421-10421-10421)+204942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8"/>
      <c r="R42" s="4"/>
      <c r="U42" s="1"/>
      <c r="V42" s="1"/>
      <c r="W42" s="1"/>
      <c r="X42" s="1"/>
      <c r="AB42" s="61" t="s">
        <v>136</v>
      </c>
      <c r="AC42" s="59">
        <f>ROUND((600)*0.6112,0)</f>
        <v>367</v>
      </c>
    </row>
    <row r="43" spans="1:29" ht="3.95" customHeight="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"/>
      <c r="T43" s="1"/>
      <c r="U43" s="1"/>
      <c r="V43" s="1"/>
      <c r="W43" s="1"/>
      <c r="X43" s="1"/>
    </row>
    <row r="44" spans="1:29" ht="12.6" customHeight="1" x14ac:dyDescent="0.2">
      <c r="B44" s="110" t="str">
        <f>+'NNG-Original 2002 Plan'!B44</f>
        <v xml:space="preserve">         Average Monthly Balance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S44" s="1"/>
      <c r="T44" s="1"/>
      <c r="U44" s="1"/>
      <c r="V44" s="1"/>
      <c r="W44" s="1"/>
      <c r="X44" s="1"/>
    </row>
    <row r="45" spans="1:29" ht="12.6" customHeight="1" x14ac:dyDescent="0.2">
      <c r="B45" s="110" t="str">
        <f>+'NNG-Original 2002 Plan'!B45</f>
        <v xml:space="preserve">   Avg. Short Term Interest Rate (LIBOR-%)</v>
      </c>
      <c r="C45" s="138">
        <v>0.06</v>
      </c>
      <c r="D45" s="138">
        <v>0.06</v>
      </c>
      <c r="E45" s="138">
        <v>0.06</v>
      </c>
      <c r="F45" s="138">
        <v>0.06</v>
      </c>
      <c r="G45" s="138">
        <v>0.06</v>
      </c>
      <c r="H45" s="138">
        <v>0.06</v>
      </c>
      <c r="I45" s="138">
        <v>0.06</v>
      </c>
      <c r="J45" s="138">
        <v>0.06</v>
      </c>
      <c r="K45" s="138">
        <v>0.06</v>
      </c>
      <c r="L45" s="138">
        <v>0.06</v>
      </c>
      <c r="M45" s="138">
        <v>0.06</v>
      </c>
      <c r="N45" s="138">
        <v>0.06</v>
      </c>
      <c r="O45" s="138">
        <v>0.06</v>
      </c>
      <c r="P45" s="139"/>
      <c r="Q45" s="4"/>
      <c r="R45" s="4"/>
      <c r="S45" s="1"/>
      <c r="T45" s="1"/>
      <c r="U45" s="1"/>
      <c r="V45" s="1"/>
      <c r="W45" s="1"/>
      <c r="X45" s="1"/>
    </row>
    <row r="46" spans="1:29" ht="3.95" customHeight="1" x14ac:dyDescent="0.2">
      <c r="B46" s="5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39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">
      <c r="B47" s="110" t="str">
        <f>+'NNG-Original 2002 Plan'!B47</f>
        <v xml:space="preserve">         Monthly Interest Expense / (Income)</v>
      </c>
      <c r="C47" s="137">
        <f>ROUND((C42)*(C45*(30/360)),0)+157-157</f>
        <v>0</v>
      </c>
      <c r="D47" s="137">
        <f>ROUND((D44)*(D45*(30/360)),0)+161-161</f>
        <v>0</v>
      </c>
      <c r="E47" s="137">
        <f>ROUND((E44)*(E45*(30/360)),0)+164-164</f>
        <v>0</v>
      </c>
      <c r="F47" s="137">
        <f>ROUND((F44)*(F45*(30/360)),0)+170-170</f>
        <v>0</v>
      </c>
      <c r="G47" s="137">
        <f>ROUND((G44)*(G45*(30/360)),0)+173-173</f>
        <v>0</v>
      </c>
      <c r="H47" s="137">
        <f>ROUND((H44)*(H45*(30/360)),0)+178-178</f>
        <v>0</v>
      </c>
      <c r="I47" s="137">
        <f>ROUND((I44)*(I45*(30/360)),0)+183-183</f>
        <v>0</v>
      </c>
      <c r="J47" s="137">
        <f>ROUND((J44)*(J45*(30/360)),0)+186-186</f>
        <v>0</v>
      </c>
      <c r="K47" s="137">
        <f>ROUND((K44)*(K45*(30/360)),0)+191-191</f>
        <v>0</v>
      </c>
      <c r="L47" s="137">
        <f>ROUND((L44)*(L45*(30/360)),0)+195-195</f>
        <v>0</v>
      </c>
      <c r="M47" s="137">
        <f>ROUND((M44)*(M45*(30/360)),0)+200-200</f>
        <v>0</v>
      </c>
      <c r="N47" s="137">
        <f>ROUND((N44)*(N45*(30/360)),0)+203-203</f>
        <v>0</v>
      </c>
      <c r="O47" s="137">
        <f>ROUND((O44)*(O45*(30/360)),0)+209-209</f>
        <v>0</v>
      </c>
      <c r="P47" s="139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">
      <c r="B48" s="7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U50+U51+U52+U53+U54-P50-P51-P52</f>
        <v>0</v>
      </c>
      <c r="Q48" s="8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">
      <c r="B49" s="45" t="str">
        <f>+'NNG-Original 2002 Plan'!B49</f>
        <v>2002 Operating Plan (Financing Costs)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1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">
      <c r="B50" s="37" t="s">
        <v>137</v>
      </c>
      <c r="C50" s="4"/>
      <c r="D50" s="8">
        <f>ROUND(((+$T$50*0)+(+$T$54*0.074))*(30/360),0)</f>
        <v>0</v>
      </c>
      <c r="E50" s="8">
        <f>ROUND(((+$T$50*0)+(+$T$54*0.074))*(30/360),0)</f>
        <v>0</v>
      </c>
      <c r="F50" s="8">
        <f>ROUND(((+$T$50*0)+(+$T$54*0.074))*(30/360),0)</f>
        <v>0</v>
      </c>
      <c r="G50" s="8">
        <f>ROUND(((+$T$50*0.052525)+(+$T$54*0))*(30/360),0)</f>
        <v>0</v>
      </c>
      <c r="H50" s="8">
        <f>ROUND(((+$T$50*0.052525)+(+$T$54*0))*(31/360),0)</f>
        <v>0</v>
      </c>
      <c r="I50" s="8">
        <f>ROUND(((+$T$50*0.052525)+(+$T$54*0))*(28/360),0)</f>
        <v>0</v>
      </c>
      <c r="J50" s="8">
        <f>ROUND(((+$T$50*0)+(+$T$54*0))*(31/360),0)</f>
        <v>0</v>
      </c>
      <c r="K50" s="8">
        <f>ROUND(((+$T$50*0)+(+$T$54*0))*(31/360),0)</f>
        <v>0</v>
      </c>
      <c r="L50" s="8">
        <f>ROUND(((+$T$50*0)+(+$T$54*0))*(30/360),0)</f>
        <v>0</v>
      </c>
      <c r="M50" s="8">
        <f>ROUND(((+$T$50*0)+(+$T$54*0))*(31/360),0)</f>
        <v>0</v>
      </c>
      <c r="N50" s="8">
        <f>ROUND(((+$T$50*0)+(+$T$54*0))*(30/360),0)</f>
        <v>0</v>
      </c>
      <c r="O50" s="8">
        <f>ROUND(((+$T$50*0)+(+$T$54*0))*(31/360),0)</f>
        <v>0</v>
      </c>
      <c r="P50" s="8">
        <f t="shared" ref="P50:P59" si="13">SUM(D50:O50)</f>
        <v>0</v>
      </c>
      <c r="Q50" s="8"/>
      <c r="R50" s="4"/>
      <c r="S50" s="19" t="s">
        <v>161</v>
      </c>
      <c r="T50" s="20">
        <v>0</v>
      </c>
      <c r="U50" s="8">
        <f>ROUND(($T50*0.052525)*89/360,0)</f>
        <v>0</v>
      </c>
      <c r="V50" s="1"/>
      <c r="W50" s="1"/>
      <c r="X50" s="1"/>
    </row>
    <row r="51" spans="1:24" ht="12.6" customHeight="1" x14ac:dyDescent="0.2">
      <c r="B51" s="110" t="str">
        <f>+'NNG-Original 2002 Plan'!B51</f>
        <v xml:space="preserve">                    - Interest Expense (External - Note #2) </v>
      </c>
      <c r="C51" s="4"/>
      <c r="D51" s="8">
        <f>ROUND((+$T$51*0.091)*(30/360),0)</f>
        <v>0</v>
      </c>
      <c r="E51" s="8">
        <f>ROUND((+$T$51*0.091)*(30/360),0)</f>
        <v>0</v>
      </c>
      <c r="F51" s="8">
        <f>ROUND((+$T$51*0.091)*(30/360),0)</f>
        <v>0</v>
      </c>
      <c r="G51" s="8">
        <f>ROUND((+$T$51*0.091)*(30/360),0)</f>
        <v>0</v>
      </c>
      <c r="H51" s="8">
        <f t="shared" ref="H51:O51" si="14">ROUND((+$T$51*0.091)*(0/360),0)</f>
        <v>0</v>
      </c>
      <c r="I51" s="8">
        <f t="shared" si="14"/>
        <v>0</v>
      </c>
      <c r="J51" s="8">
        <f t="shared" si="14"/>
        <v>0</v>
      </c>
      <c r="K51" s="8">
        <f t="shared" si="14"/>
        <v>0</v>
      </c>
      <c r="L51" s="8">
        <f t="shared" si="14"/>
        <v>0</v>
      </c>
      <c r="M51" s="8">
        <f t="shared" si="14"/>
        <v>0</v>
      </c>
      <c r="N51" s="8">
        <f t="shared" si="14"/>
        <v>0</v>
      </c>
      <c r="O51" s="8">
        <f t="shared" si="14"/>
        <v>0</v>
      </c>
      <c r="P51" s="8">
        <f t="shared" si="13"/>
        <v>0</v>
      </c>
      <c r="Q51" s="8"/>
      <c r="R51" s="4"/>
      <c r="S51" s="32" t="s">
        <v>139</v>
      </c>
      <c r="T51" s="20">
        <v>0</v>
      </c>
      <c r="U51" s="8">
        <f>ROUND(($T51*0.091)*120/360,0)</f>
        <v>0</v>
      </c>
      <c r="V51" s="1"/>
      <c r="W51" s="1"/>
      <c r="X51" s="1"/>
    </row>
    <row r="52" spans="1:24" ht="12.6" customHeight="1" x14ac:dyDescent="0.2">
      <c r="B52" s="37" t="s">
        <v>140</v>
      </c>
      <c r="C52" s="4"/>
      <c r="D52" s="8">
        <f>ROUND(((+$T$52*0.092)+(+$T$53*0.092))*(30/360),0)</f>
        <v>89</v>
      </c>
      <c r="E52" s="8">
        <f>ROUND(((+$T$52*0.092)+(+$T$53*0.092))*(30/360),0)</f>
        <v>89</v>
      </c>
      <c r="F52" s="8">
        <f>ROUND(((+$T$52*0.092)+(+$T$53*0.092))*(30/360),0)</f>
        <v>89</v>
      </c>
      <c r="G52" s="48">
        <f>ROUND(((+$T$52*0.092)+(+$T$53*0.092))*(30/360),0)-1</f>
        <v>88</v>
      </c>
      <c r="H52" s="8">
        <f>ROUND(((+$T$52*0.092)+(+$T$53*0.092))*(30/360),0)</f>
        <v>89</v>
      </c>
      <c r="I52" s="8">
        <f>ROUND(((+$T$52*0.092)+(+$T$53*0.092))*(30/360),0)</f>
        <v>89</v>
      </c>
      <c r="J52" s="8">
        <f>ROUND(((+$T$52*0.092)+(+$T$53*0.092))*(30/360),0)</f>
        <v>89</v>
      </c>
      <c r="K52" s="8">
        <f>ROUND(((+$T$52*0.092)+(+$T$53*0.092))*(30/360),0)</f>
        <v>89</v>
      </c>
      <c r="L52" s="8">
        <f>ROUND(((+$T$52*0.092)+(+$T$53*0.092))*(30/360),0)</f>
        <v>89</v>
      </c>
      <c r="M52" s="48">
        <f>ROUND(((+$T$52*0.092)+(+$T$53*0.092))*(30/360),0)-1</f>
        <v>88</v>
      </c>
      <c r="N52" s="8">
        <f>ROUND((+$T$52*0.092)*(30/360),0)</f>
        <v>59</v>
      </c>
      <c r="O52" s="8">
        <f>ROUND((+$T$52*0.092)*(30/360),0)</f>
        <v>59</v>
      </c>
      <c r="P52" s="8">
        <f t="shared" si="13"/>
        <v>1006</v>
      </c>
      <c r="Q52" s="8"/>
      <c r="R52" s="4"/>
      <c r="S52" s="32" t="s">
        <v>141</v>
      </c>
      <c r="T52" s="20">
        <f>27000-3857-3857-3857-3857-3857</f>
        <v>7715</v>
      </c>
      <c r="U52" s="8">
        <f>ROUND($T52*0.092,0)</f>
        <v>710</v>
      </c>
      <c r="V52" s="1"/>
      <c r="W52" s="1"/>
      <c r="X52" s="1"/>
    </row>
    <row r="53" spans="1:24" ht="12.6" customHeight="1" x14ac:dyDescent="0.2">
      <c r="B53" s="110" t="str">
        <f>+'NNG-Original 2002 Plan'!B53</f>
        <v xml:space="preserve">                    - Unamortized Debt Discount</v>
      </c>
      <c r="C53" s="8"/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8">
        <f t="shared" si="13"/>
        <v>0</v>
      </c>
      <c r="Q53" s="8"/>
      <c r="R53" s="4"/>
      <c r="S53" s="32" t="s">
        <v>162</v>
      </c>
      <c r="T53" s="20">
        <v>3857</v>
      </c>
      <c r="U53" s="50">
        <f>ROUND((+$T53*0.092)*(300/360),0)</f>
        <v>296</v>
      </c>
      <c r="V53" s="1"/>
      <c r="W53" s="1"/>
      <c r="X53" s="1"/>
    </row>
    <row r="54" spans="1:24" ht="12.6" customHeight="1" x14ac:dyDescent="0.2">
      <c r="B54" s="110" t="str">
        <f>+'NNG-Original 2002 Plan'!B54</f>
        <v xml:space="preserve">                    - Unamortized Debt Expense </v>
      </c>
      <c r="C54" s="4"/>
      <c r="D54" s="20">
        <v>1</v>
      </c>
      <c r="E54" s="20">
        <v>1</v>
      </c>
      <c r="F54" s="20">
        <v>0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8">
        <f t="shared" si="13"/>
        <v>11</v>
      </c>
      <c r="Q54" s="8"/>
      <c r="R54" s="4"/>
      <c r="S54" s="19" t="s">
        <v>163</v>
      </c>
      <c r="T54" s="20">
        <v>0</v>
      </c>
      <c r="U54" s="8">
        <f>ROUND(($T54*0.074)*(90/360),0)</f>
        <v>0</v>
      </c>
      <c r="V54" s="1"/>
      <c r="W54" s="1"/>
      <c r="X54" s="1"/>
    </row>
    <row r="55" spans="1:24" ht="12.6" customHeight="1" x14ac:dyDescent="0.2">
      <c r="B55" s="110" t="str">
        <f>+'NNG-Original 2002 Plan'!B55</f>
        <v xml:space="preserve">      Short Term Interest Expense / (Income) </v>
      </c>
      <c r="C55" s="4"/>
      <c r="D55" s="8">
        <f t="shared" ref="D55:O55" si="15">D47</f>
        <v>0</v>
      </c>
      <c r="E55" s="8">
        <f t="shared" si="15"/>
        <v>0</v>
      </c>
      <c r="F55" s="8">
        <f t="shared" si="15"/>
        <v>0</v>
      </c>
      <c r="G55" s="8">
        <f t="shared" si="15"/>
        <v>0</v>
      </c>
      <c r="H55" s="8">
        <f t="shared" si="15"/>
        <v>0</v>
      </c>
      <c r="I55" s="8">
        <f t="shared" si="15"/>
        <v>0</v>
      </c>
      <c r="J55" s="8">
        <f t="shared" si="15"/>
        <v>0</v>
      </c>
      <c r="K55" s="8">
        <f t="shared" si="15"/>
        <v>0</v>
      </c>
      <c r="L55" s="8">
        <f t="shared" si="15"/>
        <v>0</v>
      </c>
      <c r="M55" s="8">
        <f t="shared" si="15"/>
        <v>0</v>
      </c>
      <c r="N55" s="8">
        <f t="shared" si="15"/>
        <v>0</v>
      </c>
      <c r="O55" s="8">
        <f t="shared" si="15"/>
        <v>0</v>
      </c>
      <c r="P55" s="8">
        <f t="shared" si="13"/>
        <v>0</v>
      </c>
      <c r="Q55" s="8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">
      <c r="B56" s="110" t="str">
        <f>+'NNG-Original 2002 Plan'!B56</f>
        <v xml:space="preserve">                    - Corporate Tie-In Amount (Actual) 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3"/>
        <v>0</v>
      </c>
      <c r="Q56" s="8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">
      <c r="B57" s="110" t="str">
        <f>+'NNG-Original 2002 Plan'!B57</f>
        <v xml:space="preserve">      Assigned Receivables / Other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3"/>
        <v>0</v>
      </c>
      <c r="Q57" s="11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">
      <c r="B58" s="110" t="str">
        <f>+'NNG-Original 2002 Plan'!B58</f>
        <v xml:space="preserve">         Total Intercompany Impact (Net)</v>
      </c>
      <c r="C58" s="8"/>
      <c r="D58" s="8">
        <f t="shared" ref="D58:O58" si="16">SUM(D50:D57)</f>
        <v>90</v>
      </c>
      <c r="E58" s="8">
        <f t="shared" si="16"/>
        <v>90</v>
      </c>
      <c r="F58" s="8">
        <f t="shared" si="16"/>
        <v>89</v>
      </c>
      <c r="G58" s="8">
        <f t="shared" si="16"/>
        <v>89</v>
      </c>
      <c r="H58" s="8">
        <f t="shared" si="16"/>
        <v>90</v>
      </c>
      <c r="I58" s="8">
        <f t="shared" si="16"/>
        <v>90</v>
      </c>
      <c r="J58" s="8">
        <f t="shared" si="16"/>
        <v>90</v>
      </c>
      <c r="K58" s="8">
        <f t="shared" si="16"/>
        <v>90</v>
      </c>
      <c r="L58" s="8">
        <f t="shared" si="16"/>
        <v>90</v>
      </c>
      <c r="M58" s="8">
        <f t="shared" si="16"/>
        <v>89</v>
      </c>
      <c r="N58" s="8">
        <f t="shared" si="16"/>
        <v>60</v>
      </c>
      <c r="O58" s="8">
        <f t="shared" si="16"/>
        <v>60</v>
      </c>
      <c r="P58" s="8">
        <f t="shared" si="13"/>
        <v>1017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">
      <c r="B59" s="110" t="str">
        <f>+'NNG-Original 2002 Plan'!B59</f>
        <v xml:space="preserve">         Composite F.I.T. &amp; S.I.T. Tax Impact</v>
      </c>
      <c r="C59" s="8"/>
      <c r="D59" s="10">
        <f t="shared" ref="D59:O59" si="17">ROUND(+D58*-0.3888,0)</f>
        <v>-35</v>
      </c>
      <c r="E59" s="10">
        <f t="shared" si="17"/>
        <v>-35</v>
      </c>
      <c r="F59" s="10">
        <f t="shared" si="17"/>
        <v>-35</v>
      </c>
      <c r="G59" s="10">
        <f t="shared" si="17"/>
        <v>-35</v>
      </c>
      <c r="H59" s="10">
        <f t="shared" si="17"/>
        <v>-35</v>
      </c>
      <c r="I59" s="10">
        <f t="shared" si="17"/>
        <v>-35</v>
      </c>
      <c r="J59" s="10">
        <f t="shared" si="17"/>
        <v>-35</v>
      </c>
      <c r="K59" s="10">
        <f t="shared" si="17"/>
        <v>-35</v>
      </c>
      <c r="L59" s="10">
        <f t="shared" si="17"/>
        <v>-35</v>
      </c>
      <c r="M59" s="10">
        <f t="shared" si="17"/>
        <v>-35</v>
      </c>
      <c r="N59" s="10">
        <f t="shared" si="17"/>
        <v>-23</v>
      </c>
      <c r="O59" s="10">
        <f t="shared" si="17"/>
        <v>-23</v>
      </c>
      <c r="P59" s="11">
        <f t="shared" si="13"/>
        <v>-396</v>
      </c>
      <c r="Q59" s="11"/>
      <c r="R59" s="8"/>
      <c r="S59" s="32" t="s">
        <v>144</v>
      </c>
      <c r="T59" s="12"/>
      <c r="U59" s="12">
        <f>SUM(U50:U58)</f>
        <v>1006</v>
      </c>
      <c r="V59" s="1"/>
      <c r="W59" s="1"/>
      <c r="X59" s="1"/>
    </row>
    <row r="60" spans="1:24" ht="3.95" customHeight="1" x14ac:dyDescent="0.2">
      <c r="B60" s="5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">
      <c r="B61" s="132" t="str">
        <f>+'NNG-Original 2002 Plan'!B61</f>
        <v xml:space="preserve">            Updated Net Financing Costs</v>
      </c>
      <c r="C61" s="25"/>
      <c r="D61" s="26">
        <f t="shared" ref="D61:O61" si="18">D58+D59</f>
        <v>55</v>
      </c>
      <c r="E61" s="26">
        <f t="shared" si="18"/>
        <v>55</v>
      </c>
      <c r="F61" s="26">
        <f t="shared" si="18"/>
        <v>54</v>
      </c>
      <c r="G61" s="26">
        <f t="shared" si="18"/>
        <v>54</v>
      </c>
      <c r="H61" s="26">
        <f t="shared" si="18"/>
        <v>55</v>
      </c>
      <c r="I61" s="26">
        <f t="shared" si="18"/>
        <v>55</v>
      </c>
      <c r="J61" s="26">
        <f t="shared" si="18"/>
        <v>55</v>
      </c>
      <c r="K61" s="26">
        <f t="shared" si="18"/>
        <v>55</v>
      </c>
      <c r="L61" s="26">
        <f t="shared" si="18"/>
        <v>55</v>
      </c>
      <c r="M61" s="26">
        <f t="shared" si="18"/>
        <v>54</v>
      </c>
      <c r="N61" s="26">
        <f t="shared" si="18"/>
        <v>37</v>
      </c>
      <c r="O61" s="26">
        <f t="shared" si="18"/>
        <v>37</v>
      </c>
      <c r="P61" s="26">
        <f>SUM(D61:O61)</f>
        <v>621</v>
      </c>
      <c r="Q61" s="26"/>
      <c r="R61" s="4"/>
      <c r="V61" s="1"/>
      <c r="W61" s="1"/>
      <c r="X61" s="1"/>
    </row>
    <row r="62" spans="1:24" ht="12.6" customHeight="1" x14ac:dyDescent="0.2">
      <c r="A62" s="60" t="e">
        <f>+'[1]NNG-Forecast '!A64</f>
        <v>#REF!</v>
      </c>
      <c r="B62" s="45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/>
      <c r="W62" s="1"/>
      <c r="X62" s="1"/>
    </row>
    <row r="63" spans="1:24" ht="12.6" customHeight="1" x14ac:dyDescent="0.2">
      <c r="A63" s="60" t="str">
        <f>+'NNG-Original 2002 Plan'!A63:B63</f>
        <v xml:space="preserve">Revised Plan - Financing Costs (Above The Line)  </v>
      </c>
      <c r="B63" s="110"/>
      <c r="C63" s="133"/>
      <c r="D63" s="13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4"/>
      <c r="Q63" s="4"/>
      <c r="R63" s="4"/>
      <c r="S63" s="22" t="s">
        <v>108</v>
      </c>
      <c r="T63" s="4"/>
      <c r="U63" s="4"/>
      <c r="V63" s="1"/>
      <c r="W63" s="1"/>
      <c r="X63" s="1"/>
    </row>
    <row r="64" spans="1:24" ht="12.6" customHeight="1" x14ac:dyDescent="0.2">
      <c r="A64" s="1"/>
      <c r="B64" s="45" t="str">
        <f>+'NNG-Original 2002 Plan'!B64</f>
        <v xml:space="preserve">Short Term Interest Expense / (Income)  </v>
      </c>
      <c r="C64" s="134"/>
      <c r="D64" s="135"/>
      <c r="R64" s="4"/>
      <c r="S64" s="32" t="s">
        <v>164</v>
      </c>
      <c r="T64" s="1"/>
      <c r="U64" s="20">
        <v>0</v>
      </c>
      <c r="V64" s="1"/>
      <c r="W64" s="1"/>
      <c r="X64" s="1"/>
    </row>
    <row r="65" spans="1:24" ht="12.6" customHeight="1" x14ac:dyDescent="0.2">
      <c r="A65" s="1"/>
      <c r="B65" s="110" t="str">
        <f>+'NNG-Original 2002 Plan'!B65</f>
        <v xml:space="preserve">   Beg. Balance - Corp. (Rec.) + Check Book Activity</v>
      </c>
      <c r="C65" s="133"/>
      <c r="D65" s="130">
        <f>+C8</f>
        <v>-484071</v>
      </c>
      <c r="E65" s="8">
        <f t="shared" ref="E65:O65" si="19">+D65+D68</f>
        <v>-487871</v>
      </c>
      <c r="F65" s="8">
        <f t="shared" si="19"/>
        <v>-495471</v>
      </c>
      <c r="G65" s="8">
        <f t="shared" si="19"/>
        <v>-501771</v>
      </c>
      <c r="H65" s="8">
        <f t="shared" si="19"/>
        <v>-503971</v>
      </c>
      <c r="I65" s="8">
        <f t="shared" si="19"/>
        <v>-509671</v>
      </c>
      <c r="J65" s="8">
        <f t="shared" si="19"/>
        <v>-517071</v>
      </c>
      <c r="K65" s="8">
        <f t="shared" si="19"/>
        <v>-527371</v>
      </c>
      <c r="L65" s="8">
        <f t="shared" si="19"/>
        <v>-539371</v>
      </c>
      <c r="M65" s="8">
        <f t="shared" si="19"/>
        <v>-550971</v>
      </c>
      <c r="N65" s="8">
        <f t="shared" si="19"/>
        <v>-556571</v>
      </c>
      <c r="O65" s="8">
        <f t="shared" si="19"/>
        <v>-566071</v>
      </c>
      <c r="P65" s="8"/>
      <c r="Q65" s="4"/>
      <c r="R65" s="4"/>
      <c r="S65" s="32" t="s">
        <v>165</v>
      </c>
      <c r="T65" s="13"/>
      <c r="U65" s="20">
        <v>0</v>
      </c>
      <c r="V65" s="1"/>
      <c r="W65" s="1"/>
      <c r="X65" s="1"/>
    </row>
    <row r="66" spans="1:24" ht="12.6" customHeight="1" x14ac:dyDescent="0.2">
      <c r="A66" s="1"/>
      <c r="B66" s="110" t="str">
        <f>+'NNG-Original 2002 Plan'!B66</f>
        <v xml:space="preserve">      - Corp. Pay.+ Co.011 / Netting Co.827 (1 Mo. Lag)</v>
      </c>
      <c r="C66" s="134"/>
      <c r="D66" s="140">
        <f>+C10</f>
        <v>222890</v>
      </c>
      <c r="E66" s="11">
        <f t="shared" ref="E66:O66" si="20">+D66+D10-D47</f>
        <v>227890</v>
      </c>
      <c r="F66" s="11">
        <f t="shared" si="20"/>
        <v>233390</v>
      </c>
      <c r="G66" s="11">
        <f t="shared" si="20"/>
        <v>238190</v>
      </c>
      <c r="H66" s="11">
        <f t="shared" si="20"/>
        <v>242890</v>
      </c>
      <c r="I66" s="11">
        <f t="shared" si="20"/>
        <v>247790</v>
      </c>
      <c r="J66" s="11">
        <f t="shared" si="20"/>
        <v>252890</v>
      </c>
      <c r="K66" s="11">
        <f t="shared" si="20"/>
        <v>258190</v>
      </c>
      <c r="L66" s="11">
        <f t="shared" si="20"/>
        <v>263490</v>
      </c>
      <c r="M66" s="11">
        <f t="shared" si="20"/>
        <v>267990</v>
      </c>
      <c r="N66" s="11">
        <f t="shared" si="20"/>
        <v>273290</v>
      </c>
      <c r="O66" s="11">
        <f t="shared" si="20"/>
        <v>279090</v>
      </c>
      <c r="P66" s="8"/>
      <c r="Q66" s="59">
        <f>+O66-(D66+P10-O10)+(P55-O55)</f>
        <v>0</v>
      </c>
      <c r="R66" s="4"/>
      <c r="S66" s="32" t="s">
        <v>165</v>
      </c>
      <c r="T66" s="1"/>
      <c r="U66" s="20">
        <v>0</v>
      </c>
      <c r="V66" s="1"/>
      <c r="W66" s="1"/>
      <c r="X66" s="1"/>
    </row>
    <row r="67" spans="1:24" ht="12.6" customHeight="1" x14ac:dyDescent="0.2">
      <c r="A67" s="1"/>
      <c r="B67" s="110" t="str">
        <f>+'NNG-Original 2002 Plan'!B67</f>
        <v xml:space="preserve">   Adjusted Beginning Balance</v>
      </c>
      <c r="D67" s="8">
        <f t="shared" ref="D67:O67" si="21">SUM(D65:D66)</f>
        <v>-261181</v>
      </c>
      <c r="E67" s="8">
        <f t="shared" si="21"/>
        <v>-259981</v>
      </c>
      <c r="F67" s="8">
        <f t="shared" si="21"/>
        <v>-262081</v>
      </c>
      <c r="G67" s="8">
        <f t="shared" si="21"/>
        <v>-263581</v>
      </c>
      <c r="H67" s="8">
        <f t="shared" si="21"/>
        <v>-261081</v>
      </c>
      <c r="I67" s="8">
        <f t="shared" si="21"/>
        <v>-261881</v>
      </c>
      <c r="J67" s="8">
        <f t="shared" si="21"/>
        <v>-264181</v>
      </c>
      <c r="K67" s="8">
        <f t="shared" si="21"/>
        <v>-269181</v>
      </c>
      <c r="L67" s="8">
        <f t="shared" si="21"/>
        <v>-275881</v>
      </c>
      <c r="M67" s="8">
        <f t="shared" si="21"/>
        <v>-282981</v>
      </c>
      <c r="N67" s="8">
        <f t="shared" si="21"/>
        <v>-283281</v>
      </c>
      <c r="O67" s="8">
        <f t="shared" si="21"/>
        <v>-286981</v>
      </c>
      <c r="Q67" s="4"/>
      <c r="R67" s="4"/>
      <c r="S67" s="32" t="s">
        <v>148</v>
      </c>
      <c r="T67" s="1"/>
      <c r="U67" s="20">
        <v>533</v>
      </c>
      <c r="W67" s="1"/>
      <c r="X67" s="1"/>
    </row>
    <row r="68" spans="1:24" ht="12.6" customHeight="1" x14ac:dyDescent="0.2">
      <c r="A68" s="1"/>
      <c r="B68" s="110" t="str">
        <f>+'NNG-Original 2002 Plan'!B68</f>
        <v xml:space="preserve">      (Inc.) / Dec. in Check Book Cash (Current Month) </v>
      </c>
      <c r="C68" s="4"/>
      <c r="D68" s="49">
        <f t="shared" ref="D68:O68" si="22">+D9</f>
        <v>-3800</v>
      </c>
      <c r="E68" s="49">
        <f t="shared" si="22"/>
        <v>-7600</v>
      </c>
      <c r="F68" s="49">
        <f t="shared" si="22"/>
        <v>-6300</v>
      </c>
      <c r="G68" s="49">
        <f t="shared" si="22"/>
        <v>-2200</v>
      </c>
      <c r="H68" s="49">
        <f t="shared" si="22"/>
        <v>-5700</v>
      </c>
      <c r="I68" s="49">
        <f t="shared" si="22"/>
        <v>-7400</v>
      </c>
      <c r="J68" s="49">
        <f t="shared" si="22"/>
        <v>-10300</v>
      </c>
      <c r="K68" s="49">
        <f t="shared" si="22"/>
        <v>-12000</v>
      </c>
      <c r="L68" s="49">
        <f t="shared" si="22"/>
        <v>-11600</v>
      </c>
      <c r="M68" s="49">
        <f t="shared" si="22"/>
        <v>-5600</v>
      </c>
      <c r="N68" s="49">
        <f t="shared" si="22"/>
        <v>-9500</v>
      </c>
      <c r="O68" s="49">
        <f t="shared" si="22"/>
        <v>-12800</v>
      </c>
      <c r="P68" s="8">
        <f>SUM(D68:O68)</f>
        <v>-94800</v>
      </c>
      <c r="Q68" s="59">
        <f>+P68+D65-O65-O68</f>
        <v>0</v>
      </c>
      <c r="R68" s="4"/>
      <c r="S68" s="32" t="s">
        <v>115</v>
      </c>
      <c r="T68" s="13"/>
      <c r="U68" s="20">
        <v>533</v>
      </c>
      <c r="W68" s="1"/>
      <c r="X68" s="1"/>
    </row>
    <row r="69" spans="1:24" ht="12.6" customHeight="1" x14ac:dyDescent="0.2">
      <c r="A69" s="1"/>
      <c r="B69" s="110" t="str">
        <f>+'NNG-Original 2002 Plan'!B69</f>
        <v xml:space="preserve">      Interco. Cash Adjustment (Inc.) / Dec.</v>
      </c>
      <c r="C69" s="48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166</v>
      </c>
      <c r="T69" s="1"/>
      <c r="U69" s="20">
        <v>0</v>
      </c>
      <c r="W69" s="1"/>
      <c r="X69" s="1"/>
    </row>
    <row r="70" spans="1:24" ht="12.6" customHeight="1" x14ac:dyDescent="0.2">
      <c r="A70" s="1"/>
      <c r="B70" s="110" t="str">
        <f>+'NNG-Original 2002 Plan'!B70</f>
        <v xml:space="preserve">   Ending Balance</v>
      </c>
      <c r="C70" s="9"/>
      <c r="D70" s="11">
        <f t="shared" ref="D70:O70" si="23">SUM(D67:D69)</f>
        <v>-264981</v>
      </c>
      <c r="E70" s="11">
        <f t="shared" si="23"/>
        <v>-267581</v>
      </c>
      <c r="F70" s="11">
        <f t="shared" si="23"/>
        <v>-268381</v>
      </c>
      <c r="G70" s="11">
        <f t="shared" si="23"/>
        <v>-265781</v>
      </c>
      <c r="H70" s="11">
        <f t="shared" si="23"/>
        <v>-266781</v>
      </c>
      <c r="I70" s="11">
        <f t="shared" si="23"/>
        <v>-269281</v>
      </c>
      <c r="J70" s="11">
        <f t="shared" si="23"/>
        <v>-274481</v>
      </c>
      <c r="K70" s="11">
        <f t="shared" si="23"/>
        <v>-281181</v>
      </c>
      <c r="L70" s="11">
        <f t="shared" si="23"/>
        <v>-287481</v>
      </c>
      <c r="M70" s="11">
        <f t="shared" si="23"/>
        <v>-288581</v>
      </c>
      <c r="N70" s="11">
        <f t="shared" si="23"/>
        <v>-292781</v>
      </c>
      <c r="O70" s="11">
        <f t="shared" si="23"/>
        <v>-299781</v>
      </c>
      <c r="P70" s="8"/>
      <c r="Q70" s="4"/>
      <c r="R70" s="4"/>
      <c r="S70" s="32" t="s">
        <v>165</v>
      </c>
      <c r="T70" s="13"/>
      <c r="U70" s="21">
        <v>0</v>
      </c>
      <c r="V70" s="8">
        <f>U59-SUM(U64:U70)</f>
        <v>-60</v>
      </c>
      <c r="W70" s="1"/>
      <c r="X70" s="1"/>
    </row>
    <row r="71" spans="1:24" ht="3.95" customHeight="1" x14ac:dyDescent="0.2">
      <c r="A71" s="1"/>
      <c r="B71" s="110"/>
      <c r="C71" s="9"/>
      <c r="P71" s="4"/>
      <c r="Q71" s="4"/>
      <c r="R71" s="4"/>
      <c r="V71" s="1"/>
      <c r="W71" s="1"/>
      <c r="X71" s="1"/>
    </row>
    <row r="72" spans="1:24" ht="12.6" customHeight="1" x14ac:dyDescent="0.2">
      <c r="A72" s="1"/>
      <c r="B72" s="110" t="str">
        <f>+'NNG-Original 2002 Plan'!B72</f>
        <v xml:space="preserve">         Average Monthly Balance</v>
      </c>
      <c r="D72" s="142">
        <f t="shared" ref="D72:O72" si="24">ROUND((D67+D70)/2.01,0)</f>
        <v>-261772</v>
      </c>
      <c r="E72" s="142">
        <f t="shared" si="24"/>
        <v>-262469</v>
      </c>
      <c r="F72" s="142">
        <f t="shared" si="24"/>
        <v>-263911</v>
      </c>
      <c r="G72" s="142">
        <f t="shared" si="24"/>
        <v>-263364</v>
      </c>
      <c r="H72" s="142">
        <f t="shared" si="24"/>
        <v>-262618</v>
      </c>
      <c r="I72" s="142">
        <f t="shared" si="24"/>
        <v>-264260</v>
      </c>
      <c r="J72" s="142">
        <f t="shared" si="24"/>
        <v>-267991</v>
      </c>
      <c r="K72" s="142">
        <f t="shared" si="24"/>
        <v>-273812</v>
      </c>
      <c r="L72" s="142">
        <f t="shared" si="24"/>
        <v>-280280</v>
      </c>
      <c r="M72" s="142">
        <f t="shared" si="24"/>
        <v>-284359</v>
      </c>
      <c r="N72" s="142">
        <f t="shared" si="24"/>
        <v>-286598</v>
      </c>
      <c r="O72" s="142">
        <f t="shared" si="24"/>
        <v>-291921</v>
      </c>
      <c r="P72" s="4"/>
      <c r="Q72" s="4"/>
      <c r="R72" s="4"/>
      <c r="S72" s="32" t="s">
        <v>122</v>
      </c>
      <c r="T72" s="4"/>
      <c r="U72" s="111">
        <f>SUM(U64:U70)</f>
        <v>1066</v>
      </c>
      <c r="V72" s="1"/>
      <c r="W72" s="1"/>
      <c r="X72" s="1"/>
    </row>
    <row r="73" spans="1:24" ht="12.75" customHeight="1" x14ac:dyDescent="0.2">
      <c r="A73" s="1"/>
      <c r="B73" s="110" t="str">
        <f>+'NNG-Original 2002 Plan'!B73</f>
        <v xml:space="preserve">   Average Short Term Interest Rate (Corp.-%)</v>
      </c>
      <c r="C73" s="141">
        <f>+'NNG-Original 2002 Plan'!C73</f>
        <v>3.5999999999999997E-2</v>
      </c>
      <c r="D73" s="141">
        <f>+'NNG-Original 2002 Plan'!D73</f>
        <v>3.2500000000000001E-2</v>
      </c>
      <c r="E73" s="141">
        <f>+'NNG-Original 2002 Plan'!E73</f>
        <v>3.2500000000000001E-2</v>
      </c>
      <c r="F73" s="141">
        <f>+'NNG-Original 2002 Plan'!F73</f>
        <v>3.2500000000000001E-2</v>
      </c>
      <c r="G73" s="141">
        <f>+'NNG-Original 2002 Plan'!G73</f>
        <v>3.2500000000000001E-2</v>
      </c>
      <c r="H73" s="141">
        <f>+'NNG-Original 2002 Plan'!H73</f>
        <v>3.2500000000000001E-2</v>
      </c>
      <c r="I73" s="141">
        <f>+'NNG-Original 2002 Plan'!I73</f>
        <v>3.2500000000000001E-2</v>
      </c>
      <c r="J73" s="141">
        <f>+'NNG-Original 2002 Plan'!J73</f>
        <v>3.2500000000000001E-2</v>
      </c>
      <c r="K73" s="141">
        <f>+'NNG-Original 2002 Plan'!K73</f>
        <v>3.2500000000000001E-2</v>
      </c>
      <c r="L73" s="141">
        <f>+'NNG-Original 2002 Plan'!L73</f>
        <v>3.2500000000000001E-2</v>
      </c>
      <c r="M73" s="141">
        <f>+'NNG-Original 2002 Plan'!M73</f>
        <v>3.2500000000000001E-2</v>
      </c>
      <c r="N73" s="141">
        <f>+'NNG-Original 2002 Plan'!N73</f>
        <v>3.2500000000000001E-2</v>
      </c>
      <c r="O73" s="141">
        <f>+'NNG-Original 2002 Plan'!O73</f>
        <v>3.2500000000000001E-2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5" customHeight="1" x14ac:dyDescent="0.2">
      <c r="A74" s="1"/>
      <c r="B74" s="1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4"/>
      <c r="T74" s="4"/>
      <c r="U74" s="4"/>
      <c r="V74" s="1"/>
      <c r="W74" s="1"/>
      <c r="X74" s="1"/>
    </row>
    <row r="75" spans="1:24" ht="12.6" customHeight="1" x14ac:dyDescent="0.2">
      <c r="A75" s="1"/>
      <c r="B75" s="110" t="str">
        <f>+'NNG-Original 2002 Plan'!B75</f>
        <v xml:space="preserve">      Short Term Interest (Inc.) / Exp. Calculation </v>
      </c>
      <c r="C75" s="8">
        <f>ROUND((C69)*(C73*(31/365)),0)</f>
        <v>0</v>
      </c>
      <c r="D75" s="8">
        <f>ROUND((D72)*(D73*(31/365)),0)</f>
        <v>-723</v>
      </c>
      <c r="E75" s="8">
        <f>ROUND((E72)*(E73*(28/365)),0)</f>
        <v>-654</v>
      </c>
      <c r="F75" s="8">
        <f>ROUND((F72)*(F73*(31/365)),0)</f>
        <v>-728</v>
      </c>
      <c r="G75" s="8">
        <f>ROUND((G72)*(G73*(30/365)),0)</f>
        <v>-704</v>
      </c>
      <c r="H75" s="8">
        <f>ROUND((H72)*(H73*(31/365)),0)</f>
        <v>-725</v>
      </c>
      <c r="I75" s="8">
        <f>ROUND((I72)*(I73*(30/365)),0)</f>
        <v>-706</v>
      </c>
      <c r="J75" s="8">
        <f>ROUND((J72)*(J73*(31/365)),0)</f>
        <v>-740</v>
      </c>
      <c r="K75" s="8">
        <f>ROUND((K72)*(K73*(31/365)),0)</f>
        <v>-756</v>
      </c>
      <c r="L75" s="8">
        <f>ROUND((L72)*(L73*(30/365)),0)</f>
        <v>-749</v>
      </c>
      <c r="M75" s="8">
        <f>ROUND((M72)*(M73*(31/365)),0)</f>
        <v>-785</v>
      </c>
      <c r="N75" s="8">
        <f>ROUND((N72)*(N73*(30/365)),0)</f>
        <v>-766</v>
      </c>
      <c r="O75" s="8">
        <f>ROUND((O72)*(O73*(31/365)),0)</f>
        <v>-806</v>
      </c>
      <c r="P75" s="8">
        <f>SUM(D75:O75)</f>
        <v>-8842</v>
      </c>
      <c r="Q75" s="4"/>
      <c r="R75" s="4"/>
      <c r="S75" s="1"/>
      <c r="T75" s="1"/>
      <c r="U75" s="1"/>
      <c r="V75" s="1"/>
      <c r="W75" s="1"/>
      <c r="X75" s="1"/>
    </row>
    <row r="76" spans="1:24" ht="12.6" customHeight="1" x14ac:dyDescent="0.2">
      <c r="A76" s="1"/>
      <c r="B76" s="110" t="str">
        <f>+'NNG-Original 2002 Plan'!B76</f>
        <v xml:space="preserve">         Corporate Tie-In Amount (Act. / Est. Adjust.) </v>
      </c>
      <c r="C76" s="12"/>
      <c r="D76" s="21">
        <v>23</v>
      </c>
      <c r="E76" s="21">
        <v>-46</v>
      </c>
      <c r="F76" s="21">
        <v>28</v>
      </c>
      <c r="G76" s="21">
        <v>4</v>
      </c>
      <c r="H76" s="21">
        <v>25</v>
      </c>
      <c r="I76" s="21">
        <v>6</v>
      </c>
      <c r="J76" s="21">
        <v>40</v>
      </c>
      <c r="K76" s="21">
        <v>-44</v>
      </c>
      <c r="L76" s="21">
        <v>49</v>
      </c>
      <c r="M76" s="21">
        <v>-15</v>
      </c>
      <c r="N76" s="21">
        <v>-34</v>
      </c>
      <c r="O76" s="21">
        <v>6</v>
      </c>
      <c r="P76" s="11">
        <f>SUM(D76:O76)</f>
        <v>42</v>
      </c>
      <c r="Q76" s="4"/>
      <c r="R76" s="4"/>
      <c r="S76" s="1"/>
      <c r="T76" s="1"/>
      <c r="U76" s="1"/>
      <c r="V76" s="1"/>
      <c r="W76" s="1"/>
      <c r="X76" s="1"/>
    </row>
    <row r="77" spans="1:24" ht="12.6" customHeight="1" x14ac:dyDescent="0.2">
      <c r="A77" s="1"/>
      <c r="B77" s="110" t="str">
        <f>+'NNG-Original 2002 Plan'!B77</f>
        <v xml:space="preserve">            Total Short Term Interest (Inc.) / Exp. </v>
      </c>
      <c r="C77" s="1"/>
      <c r="D77" s="8">
        <f t="shared" ref="D77:P77" si="25">SUM(D75:D76)</f>
        <v>-700</v>
      </c>
      <c r="E77" s="8">
        <f t="shared" si="25"/>
        <v>-700</v>
      </c>
      <c r="F77" s="8">
        <f t="shared" si="25"/>
        <v>-700</v>
      </c>
      <c r="G77" s="8">
        <f t="shared" si="25"/>
        <v>-700</v>
      </c>
      <c r="H77" s="8">
        <f t="shared" si="25"/>
        <v>-700</v>
      </c>
      <c r="I77" s="8">
        <f t="shared" si="25"/>
        <v>-700</v>
      </c>
      <c r="J77" s="8">
        <f t="shared" si="25"/>
        <v>-700</v>
      </c>
      <c r="K77" s="8">
        <f t="shared" si="25"/>
        <v>-800</v>
      </c>
      <c r="L77" s="8">
        <f t="shared" si="25"/>
        <v>-700</v>
      </c>
      <c r="M77" s="8">
        <f t="shared" si="25"/>
        <v>-800</v>
      </c>
      <c r="N77" s="8">
        <f t="shared" si="25"/>
        <v>-800</v>
      </c>
      <c r="O77" s="8">
        <f t="shared" si="25"/>
        <v>-800</v>
      </c>
      <c r="P77" s="8">
        <f t="shared" si="25"/>
        <v>-8800</v>
      </c>
      <c r="Q77" s="4"/>
      <c r="R77" s="4"/>
      <c r="S77" s="1"/>
      <c r="T77" s="1"/>
      <c r="U77" s="1"/>
      <c r="V77" s="1"/>
      <c r="W77" s="1"/>
      <c r="X77" s="1"/>
    </row>
    <row r="78" spans="1:24" ht="12.6" customHeight="1" x14ac:dyDescent="0.2">
      <c r="A78" s="1"/>
      <c r="B78" s="37" t="s">
        <v>151</v>
      </c>
      <c r="C78" s="4"/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8">
        <f>SUM(D78:O78)</f>
        <v>0</v>
      </c>
      <c r="Q78" s="4"/>
      <c r="R78" s="4"/>
      <c r="S78" s="1"/>
      <c r="T78" s="1"/>
      <c r="U78" s="1"/>
      <c r="V78" s="1"/>
      <c r="W78" s="1"/>
      <c r="X78" s="1"/>
    </row>
    <row r="79" spans="1:24" ht="12.6" customHeight="1" x14ac:dyDescent="0.2">
      <c r="A79" s="1"/>
      <c r="B79" s="110" t="str">
        <f>+'NNG-Original 2002 Plan'!B79</f>
        <v xml:space="preserve">         Unamortized Debt Expense</v>
      </c>
      <c r="C79" s="4"/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8">
        <f>SUM(D79:O79)</f>
        <v>0</v>
      </c>
      <c r="Q79" s="4"/>
      <c r="R79" s="4"/>
      <c r="S79" s="1"/>
      <c r="T79" s="1"/>
      <c r="U79" s="1"/>
      <c r="V79" s="1"/>
      <c r="W79" s="1"/>
      <c r="X79" s="1"/>
    </row>
    <row r="80" spans="1:24" ht="12.75" customHeight="1" x14ac:dyDescent="0.2">
      <c r="A80" s="1"/>
      <c r="B80" s="37" t="s">
        <v>152</v>
      </c>
      <c r="C80" s="4"/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11">
        <f>SUM(D80:O80)</f>
        <v>0</v>
      </c>
      <c r="Q80" s="4"/>
      <c r="R80" s="4"/>
      <c r="S80" s="1"/>
      <c r="T80" s="1"/>
      <c r="U80" s="1"/>
      <c r="V80" s="1"/>
      <c r="W80" s="1"/>
      <c r="X80" s="1"/>
    </row>
    <row r="81" spans="1:24" ht="3.95" customHeight="1" x14ac:dyDescent="0.2">
      <c r="A81" s="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4"/>
      <c r="Q81" s="4"/>
      <c r="R81" s="4"/>
      <c r="S81" s="1"/>
      <c r="T81" s="1"/>
      <c r="U81" s="1"/>
      <c r="V81" s="1"/>
      <c r="W81" s="1"/>
      <c r="X81" s="1"/>
    </row>
    <row r="82" spans="1:24" ht="12.6" customHeight="1" x14ac:dyDescent="0.2">
      <c r="A82" s="1"/>
      <c r="B82" s="43"/>
      <c r="C82" s="12"/>
      <c r="D82" s="108">
        <f t="shared" ref="D82:P82" si="26">SUM(D77:D80)</f>
        <v>-700</v>
      </c>
      <c r="E82" s="108">
        <f t="shared" si="26"/>
        <v>-700</v>
      </c>
      <c r="F82" s="108">
        <f t="shared" si="26"/>
        <v>-700</v>
      </c>
      <c r="G82" s="108">
        <f t="shared" si="26"/>
        <v>-700</v>
      </c>
      <c r="H82" s="108">
        <f t="shared" si="26"/>
        <v>-700</v>
      </c>
      <c r="I82" s="108">
        <f t="shared" si="26"/>
        <v>-700</v>
      </c>
      <c r="J82" s="108">
        <f t="shared" si="26"/>
        <v>-700</v>
      </c>
      <c r="K82" s="108">
        <f t="shared" si="26"/>
        <v>-800</v>
      </c>
      <c r="L82" s="108">
        <f t="shared" si="26"/>
        <v>-700</v>
      </c>
      <c r="M82" s="108">
        <f t="shared" si="26"/>
        <v>-800</v>
      </c>
      <c r="N82" s="108">
        <f t="shared" si="26"/>
        <v>-800</v>
      </c>
      <c r="O82" s="108">
        <f t="shared" si="26"/>
        <v>-800</v>
      </c>
      <c r="P82" s="108">
        <f t="shared" si="26"/>
        <v>-8800</v>
      </c>
      <c r="Q82" s="59">
        <f>+P82-SUM(D82:O82)</f>
        <v>0</v>
      </c>
      <c r="R82" s="59"/>
      <c r="S82" s="1"/>
      <c r="T82" s="1"/>
      <c r="U82" s="34">
        <f ca="1">NOW()</f>
        <v>37189.602767708333</v>
      </c>
      <c r="V82" s="1"/>
      <c r="W82" s="1"/>
      <c r="X82" s="1"/>
    </row>
    <row r="83" spans="1:24" ht="12.6" customHeight="1" x14ac:dyDescent="0.2">
      <c r="A83" s="1"/>
      <c r="B83" s="43"/>
      <c r="C83" s="12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59"/>
      <c r="R83" s="59"/>
      <c r="S83" s="1"/>
      <c r="T83" s="1"/>
      <c r="U83" s="34"/>
      <c r="V83" s="1"/>
      <c r="W83" s="1"/>
      <c r="X83" s="1"/>
    </row>
    <row r="84" spans="1:24" ht="12.6" customHeight="1" x14ac:dyDescent="0.2">
      <c r="A84" s="33" t="str">
        <f ca="1">CELL("FILENAME")</f>
        <v>H:\2002\[DBTEQTY02.xls]NNG-Original 2002 Plan</v>
      </c>
      <c r="B84" s="43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59"/>
      <c r="S84" s="1"/>
      <c r="T84" s="1"/>
      <c r="U84" s="35">
        <f ca="1">NOW()</f>
        <v>37189.602767708333</v>
      </c>
      <c r="V84" s="1"/>
      <c r="W84" s="1"/>
      <c r="X84" s="1"/>
    </row>
    <row r="85" spans="1:24" ht="11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1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1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1998 Div. Adj.</vt:lpstr>
      <vt:lpstr>NNG-3rd CE 2001</vt:lpstr>
      <vt:lpstr>TW-3rd CE 2001</vt:lpstr>
      <vt:lpstr>NNG-Original 2002 Plan</vt:lpstr>
      <vt:lpstr>TW-Original 2002 Plan</vt:lpstr>
      <vt:lpstr>Blank</vt:lpstr>
      <vt:lpstr>'1998 Div. Adj.'!NNG</vt:lpstr>
      <vt:lpstr>'NNG-3rd CE 2001'!NNG</vt:lpstr>
      <vt:lpstr>'NNG-Original 2002 Plan'!NNG</vt:lpstr>
      <vt:lpstr>'TW-3rd CE 2001'!NNG</vt:lpstr>
      <vt:lpstr>'TW-Original 2002 Plan'!NNG</vt:lpstr>
      <vt:lpstr>'1998 Div. Adj.'!Print_Area</vt:lpstr>
      <vt:lpstr>'NNG-3rd CE 2001'!Print_Area</vt:lpstr>
      <vt:lpstr>'NNG-Original 2002 Plan'!Print_Area</vt:lpstr>
      <vt:lpstr>'TW-3rd CE 2001'!Print_Area</vt:lpstr>
      <vt:lpstr>'TW-Original 2002 Plan'!Print_Area</vt:lpstr>
      <vt:lpstr>'1998 Div. Adj.'!Print_Area_MI</vt:lpstr>
      <vt:lpstr>'NNG-3rd CE 2001'!Print_Area_MI</vt:lpstr>
      <vt:lpstr>'NNG-Original 2002 Plan'!Print_Area_MI</vt:lpstr>
      <vt:lpstr>'TW-3rd CE 2001'!Print_Area_MI</vt:lpstr>
      <vt:lpstr>'TW-Original 2002 Plan'!Print_Area_MI</vt:lpstr>
      <vt:lpstr>'TW-3rd CE 2001'!TW</vt:lpstr>
      <vt:lpstr>'TW-Original 2002 Plan'!TW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Jan Havlíček</cp:lastModifiedBy>
  <cp:lastPrinted>2001-10-25T19:25:13Z</cp:lastPrinted>
  <dcterms:created xsi:type="dcterms:W3CDTF">1997-03-20T22:59:06Z</dcterms:created>
  <dcterms:modified xsi:type="dcterms:W3CDTF">2023-09-15T19:44:42Z</dcterms:modified>
</cp:coreProperties>
</file>