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125536-1577-4ACA-847B-6488A7C4C12C}" xr6:coauthVersionLast="47" xr6:coauthVersionMax="47" xr10:uidLastSave="{00000000-0000-0000-0000-000000000000}"/>
  <bookViews>
    <workbookView xWindow="-120" yWindow="-120" windowWidth="38640" windowHeight="15720" tabRatio="747" firstSheet="5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state="hidden" r:id="rId4"/>
    <sheet name="EGM IS" sheetId="52" state="hidden" r:id="rId5"/>
    <sheet name="EGS IS" sheetId="53" r:id="rId6"/>
    <sheet name="EIM IS" sheetId="54" state="hidden" r:id="rId7"/>
    <sheet name="Europe IS" sheetId="55" state="hidden" r:id="rId8"/>
    <sheet name="EBS IS" sheetId="56" state="hidden" r:id="rId9"/>
    <sheet name="ENW IS" sheetId="57" state="hidden" r:id="rId10"/>
    <sheet name="EES IS" sheetId="58" state="hidden" r:id="rId11"/>
    <sheet name="EPI IS" sheetId="59" state="hidden" r:id="rId12"/>
    <sheet name="Europe Burn" sheetId="73" state="hidden" r:id="rId13"/>
    <sheet name="ENA Burn" sheetId="86" state="hidden" r:id="rId14"/>
    <sheet name="EGM Burn" sheetId="87" state="hidden" r:id="rId15"/>
    <sheet name="EGS Burn" sheetId="88" r:id="rId16"/>
    <sheet name="EIM Burn" sheetId="89" state="hidden" r:id="rId17"/>
    <sheet name="EBS Burn" sheetId="90" state="hidden" r:id="rId18"/>
    <sheet name="ENW Burn" sheetId="91" state="hidden" r:id="rId19"/>
    <sheet name="EES Burn" sheetId="92" state="hidden" r:id="rId20"/>
    <sheet name="EPI Burn" sheetId="93" state="hidden" r:id="rId21"/>
    <sheet name="ENA EXP" sheetId="7" state="hidden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state="hidden" r:id="rId29"/>
    <sheet name="EGS EXP" sheetId="79" r:id="rId30"/>
    <sheet name="EIM EXP" sheetId="81" state="hidden" r:id="rId31"/>
    <sheet name="Europe EXP" sheetId="82" state="hidden" r:id="rId32"/>
    <sheet name="EBS EXP" sheetId="84" state="hidden" r:id="rId33"/>
    <sheet name="ENW EXP" sheetId="83" state="hidden" r:id="rId34"/>
    <sheet name="EES EXP" sheetId="85" state="hidden" r:id="rId35"/>
    <sheet name="EPI EXP" sheetId="78" state="hidden" r:id="rId36"/>
    <sheet name="ENA BS" sheetId="32" state="hidden" r:id="rId37"/>
    <sheet name="ENA OFF BS" sheetId="30" state="hidden" r:id="rId38"/>
    <sheet name="EGM OFF BS " sheetId="62" state="hidden" r:id="rId39"/>
    <sheet name="EGS OFF BS" sheetId="63" r:id="rId40"/>
    <sheet name="cash from operating projects" sheetId="95" r:id="rId41"/>
    <sheet name="details of asset sale proceeds" sheetId="94" r:id="rId42"/>
    <sheet name="EIM OFF BS" sheetId="64" state="hidden" r:id="rId43"/>
    <sheet name="EuropeOFF BS" sheetId="65" state="hidden" r:id="rId44"/>
    <sheet name="EBS OFF BS" sheetId="67" state="hidden" r:id="rId45"/>
    <sheet name="ENW OFF BS" sheetId="66" state="hidden" r:id="rId46"/>
    <sheet name="EES OFF BS" sheetId="60" state="hidden" r:id="rId47"/>
    <sheet name="EPI OFF BS" sheetId="68" state="hidden" r:id="rId48"/>
  </sheets>
  <externalReferences>
    <externalReference r:id="rId49"/>
  </externalReference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4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6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Burn'!$A$1:$Z$27</definedName>
    <definedName name="_xlnm.Print_Area" localSheetId="29">'EGS EXP'!$A$1:$W$28</definedName>
    <definedName name="_xlnm.Print_Area" localSheetId="5">'EGS IS'!$A$3:$L$26</definedName>
    <definedName name="_xlnm.Print_Area" localSheetId="39">'EGS OFF BS'!$A$1:$E$18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2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5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7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3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P10" i="95"/>
  <c r="P11" i="95"/>
  <c r="P12" i="95"/>
  <c r="P13" i="95"/>
  <c r="P14" i="95"/>
  <c r="P15" i="95"/>
  <c r="P16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P20" i="95"/>
  <c r="P21" i="95"/>
  <c r="P22" i="95"/>
  <c r="P23" i="95"/>
  <c r="P24" i="95"/>
  <c r="P25" i="95"/>
  <c r="D27" i="95"/>
  <c r="E27" i="95"/>
  <c r="F27" i="95"/>
  <c r="G27" i="95"/>
  <c r="H27" i="95"/>
  <c r="I27" i="95"/>
  <c r="J27" i="95"/>
  <c r="K27" i="95"/>
  <c r="L27" i="95"/>
  <c r="M27" i="95"/>
  <c r="N27" i="95"/>
  <c r="O27" i="95"/>
  <c r="P27" i="95"/>
  <c r="P29" i="95"/>
  <c r="D31" i="95"/>
  <c r="P33" i="95"/>
  <c r="D35" i="95"/>
  <c r="E35" i="95"/>
  <c r="F35" i="95"/>
  <c r="G35" i="95"/>
  <c r="H35" i="95"/>
  <c r="I35" i="95"/>
  <c r="J35" i="95"/>
  <c r="K35" i="95"/>
  <c r="L35" i="95"/>
  <c r="M35" i="95"/>
  <c r="N35" i="95"/>
  <c r="O35" i="95"/>
  <c r="P35" i="95"/>
  <c r="D21" i="94"/>
  <c r="E21" i="94"/>
  <c r="F21" i="94"/>
  <c r="G21" i="94"/>
  <c r="I21" i="94"/>
  <c r="A23" i="94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4" i="88"/>
  <c r="G4" i="88"/>
  <c r="I4" i="88"/>
  <c r="K4" i="88"/>
  <c r="M4" i="88"/>
  <c r="O4" i="88"/>
  <c r="P4" i="88"/>
  <c r="Q4" i="88"/>
  <c r="R4" i="88"/>
  <c r="S4" i="88"/>
  <c r="T4" i="88"/>
  <c r="U4" i="88"/>
  <c r="V4" i="88"/>
  <c r="W4" i="88"/>
  <c r="X4" i="88"/>
  <c r="Y4" i="88"/>
  <c r="Z4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3" i="88"/>
  <c r="E14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E2" i="79"/>
  <c r="G2" i="79"/>
  <c r="K2" i="79"/>
  <c r="W2" i="79"/>
  <c r="K3" i="79"/>
  <c r="W3" i="79"/>
  <c r="W4" i="79"/>
  <c r="W5" i="79"/>
  <c r="W6" i="79"/>
  <c r="W7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W16" i="79"/>
  <c r="W18" i="79"/>
  <c r="E19" i="79"/>
  <c r="G19" i="79"/>
  <c r="I19" i="79"/>
  <c r="K19" i="79"/>
  <c r="O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27" i="79"/>
  <c r="E27" i="79"/>
  <c r="G27" i="79"/>
  <c r="I27" i="79"/>
  <c r="K27" i="79"/>
  <c r="M27" i="79"/>
  <c r="N27" i="79"/>
  <c r="C17" i="53"/>
  <c r="C25" i="53"/>
  <c r="B18" i="63"/>
  <c r="D18" i="63"/>
  <c r="G18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comments1.xml><?xml version="1.0" encoding="utf-8"?>
<comments xmlns="http://schemas.openxmlformats.org/spreadsheetml/2006/main">
  <authors>
    <author>atran</author>
  </authors>
  <commentList>
    <comment ref="E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using October ytd, exclude one month of October to get to September ytd.  Exclude Corp charges and OPIC.  Exclude bonus accrual of 7.1</t>
        </r>
      </text>
    </comment>
    <comment ref="G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assumed Corp charges of $2 and OPIC of 2.9</t>
        </r>
      </text>
    </comment>
    <comment ref="I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the 1.2 relates to Wade request</t>
        </r>
      </text>
    </comment>
    <comment ref="K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$6M of third party legal expense expected in Dec. The .8 relates to DPC</t>
        </r>
      </text>
    </comment>
    <comment ref="M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O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P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Q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</commentList>
</comments>
</file>

<file path=xl/comments2.xml><?xml version="1.0" encoding="utf-8"?>
<comments xmlns="http://schemas.openxmlformats.org/spreadsheetml/2006/main">
  <authors>
    <author>atran</author>
  </authors>
  <commentList>
    <comment ref="E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G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K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M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9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relates to DPC shared costs</t>
        </r>
      </text>
    </comment>
  </commentList>
</comments>
</file>

<file path=xl/sharedStrings.xml><?xml version="1.0" encoding="utf-8"?>
<sst xmlns="http://schemas.openxmlformats.org/spreadsheetml/2006/main" count="944" uniqueCount="271">
  <si>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</si>
  <si>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</si>
  <si>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</si>
  <si>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</si>
  <si>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</si>
  <si>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</si>
  <si>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</si>
  <si>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</si>
  <si>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</si>
  <si>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</si>
  <si>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</si>
  <si>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</si>
  <si>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</si>
  <si>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</si>
  <si>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</si>
  <si>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</si>
  <si>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</si>
  <si>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</si>
  <si>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</si>
  <si>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</si>
  <si>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</si>
  <si>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</si>
  <si>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</si>
  <si>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</si>
  <si>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</si>
  <si>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</si>
  <si>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</si>
  <si>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</si>
  <si>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</si>
  <si>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</si>
  <si>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</si>
  <si>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</si>
  <si>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</si>
  <si>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</si>
  <si>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</si>
  <si>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</si>
  <si>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</si>
  <si>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</si>
  <si>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</si>
  <si>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</si>
  <si>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</si>
  <si>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</si>
  <si>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</si>
  <si>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</si>
  <si>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</si>
  <si>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</si>
  <si>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</si>
  <si>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</si>
  <si>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</si>
  <si>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</si>
  <si>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</si>
  <si>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</si>
  <si>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</si>
  <si>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</si>
  <si>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</si>
  <si>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</si>
  <si>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</si>
  <si>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</si>
  <si>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</si>
  <si>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</si>
  <si>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</si>
  <si>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</si>
  <si>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</si>
  <si>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</si>
  <si>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</si>
  <si>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</si>
  <si>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</si>
  <si>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</si>
  <si>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</si>
  <si>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</si>
  <si>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</si>
  <si>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</si>
  <si>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</si>
  <si>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</si>
  <si>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</si>
  <si>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</si>
  <si>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</si>
  <si>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</si>
  <si>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</si>
  <si>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</si>
  <si>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</si>
  <si>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</si>
  <si>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</si>
  <si>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</si>
  <si>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</si>
  <si>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</si>
  <si>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</si>
  <si>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</si>
  <si>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</si>
  <si>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</si>
  <si>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</si>
  <si>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</si>
  <si>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</si>
  <si>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</si>
  <si>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</si>
  <si>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</si>
  <si>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</si>
  <si>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</si>
  <si>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</si>
  <si>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</si>
  <si>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</si>
  <si>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</si>
  <si>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</si>
  <si>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</si>
  <si>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</si>
  <si>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</si>
  <si>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</si>
  <si>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</si>
  <si>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</si>
  <si>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</si>
  <si>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</si>
  <si>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</si>
  <si>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</si>
  <si>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</si>
  <si>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</si>
  <si>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</si>
  <si>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</si>
  <si>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</si>
  <si>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</si>
  <si>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</si>
  <si>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</si>
  <si>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</si>
  <si>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</si>
  <si>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</si>
  <si>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</si>
  <si>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</si>
  <si>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</si>
  <si>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</si>
  <si>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</si>
  <si>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</si>
  <si>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</si>
  <si>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</si>
  <si>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</si>
  <si>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</si>
  <si>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</si>
  <si>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</si>
  <si>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</si>
  <si>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</si>
  <si>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</si>
  <si>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</si>
  <si>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</si>
  <si>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</si>
  <si>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</si>
  <si>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</si>
  <si>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</si>
  <si>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</si>
  <si>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</si>
  <si>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</si>
  <si>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</si>
  <si>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</si>
  <si>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</si>
  <si>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</si>
  <si>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</si>
  <si>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</si>
  <si>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</si>
  <si>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</si>
  <si>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</si>
  <si>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</si>
  <si>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</si>
  <si>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</si>
  <si>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</si>
  <si>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</si>
  <si>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</si>
  <si>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</si>
  <si>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</si>
  <si>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</si>
  <si>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</si>
  <si>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</si>
  <si>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</si>
  <si>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</si>
  <si>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</si>
  <si>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</si>
  <si>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</si>
  <si>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</si>
  <si>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</si>
  <si>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</si>
  <si>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</si>
  <si>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</si>
  <si>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</si>
  <si>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</si>
  <si>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</si>
  <si>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</si>
  <si>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</si>
  <si>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</si>
  <si>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</si>
  <si>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</si>
  <si>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</si>
  <si>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EcoElectrica - if sale is not completed before 12/31/01, ENE will owe GE guarantees fees</t>
  </si>
  <si>
    <t xml:space="preserve">If Enron credit rating falls below BBB- for S&amp;P, we will need to replace Enron guarantees with </t>
  </si>
  <si>
    <t xml:space="preserve">cash, LC, or a replacement guarantor </t>
  </si>
  <si>
    <t xml:space="preserve">Sarlux - contingent equity </t>
  </si>
  <si>
    <t>SK Securities</t>
  </si>
  <si>
    <t>India regional office</t>
  </si>
  <si>
    <t xml:space="preserve">   Severance</t>
  </si>
  <si>
    <t>Accroven - equity injection</t>
  </si>
  <si>
    <t>Amount unknown</t>
  </si>
  <si>
    <t xml:space="preserve">   Recall of debt by Hong Kong bank</t>
  </si>
  <si>
    <t>*</t>
  </si>
  <si>
    <t>* Exclude Europe Employees</t>
  </si>
  <si>
    <t>This represent total EGA consolidated which included consolidated operating projects</t>
  </si>
  <si>
    <t>**</t>
  </si>
  <si>
    <t>$Millions</t>
  </si>
  <si>
    <t>Forecast Cash Expenditures ($Millions)</t>
  </si>
  <si>
    <t>Include equity earnings of $128M</t>
  </si>
  <si>
    <t>April</t>
  </si>
  <si>
    <t>May</t>
  </si>
  <si>
    <t>June</t>
  </si>
  <si>
    <t>July</t>
  </si>
  <si>
    <t>August</t>
  </si>
  <si>
    <t>Sept</t>
  </si>
  <si>
    <t>Nov</t>
  </si>
  <si>
    <t>Dec</t>
  </si>
  <si>
    <t>** Represent Houston and regional office expense.  Include DPC shared cossts.  Exclude OPIC insurance, Corp charges allocations, and consolidated operating projects.</t>
  </si>
  <si>
    <t>ENRON GLOBAL ASSETS &amp; SERVICES</t>
  </si>
  <si>
    <t>1Q</t>
  </si>
  <si>
    <t>2Q</t>
  </si>
  <si>
    <t>3Q</t>
  </si>
  <si>
    <t>4Q</t>
  </si>
  <si>
    <t>Asset</t>
  </si>
  <si>
    <t>SK Enron</t>
  </si>
  <si>
    <t>Gaspart</t>
  </si>
  <si>
    <t>TBG/GTB</t>
  </si>
  <si>
    <t>Transredes</t>
  </si>
  <si>
    <t>Accroven</t>
  </si>
  <si>
    <t>Bond Portfolio</t>
  </si>
  <si>
    <t>Calife</t>
  </si>
  <si>
    <t>Gail</t>
  </si>
  <si>
    <t>Nowa Sarzyna</t>
  </si>
  <si>
    <t>Procaribe</t>
  </si>
  <si>
    <t>Cash Proceed</t>
  </si>
  <si>
    <t>4Q 2002 Estimated</t>
  </si>
  <si>
    <t>2002 Operating Projects</t>
  </si>
  <si>
    <t>$(Millions)</t>
  </si>
  <si>
    <t>Cash To</t>
  </si>
  <si>
    <t>(From) ENE</t>
  </si>
  <si>
    <t>Transportation and Distribution Businesses</t>
  </si>
  <si>
    <t>TGS</t>
  </si>
  <si>
    <t xml:space="preserve">Elektro </t>
  </si>
  <si>
    <t>Centragas</t>
  </si>
  <si>
    <t>IGL</t>
  </si>
  <si>
    <t>Vengas</t>
  </si>
  <si>
    <t>Power Generation Businesses</t>
  </si>
  <si>
    <t>PQPLLC</t>
  </si>
  <si>
    <t>Chengdu(Eclipse)</t>
  </si>
  <si>
    <t>BPC(Batangas)</t>
  </si>
  <si>
    <t>SPC(Subic)</t>
  </si>
  <si>
    <t>Trakya</t>
  </si>
  <si>
    <t>Hainan</t>
  </si>
  <si>
    <t xml:space="preserve">India </t>
  </si>
  <si>
    <t>DPC</t>
  </si>
  <si>
    <t>Management Overview</t>
  </si>
  <si>
    <t>Proceeds From Sale of Assets</t>
  </si>
  <si>
    <t>2002 Assets Sale</t>
  </si>
  <si>
    <t>Cash Proceeds Estimate</t>
  </si>
  <si>
    <t>CASH TO/(FROM) ENRON</t>
  </si>
  <si>
    <t>Total Year</t>
  </si>
  <si>
    <t>Dividends</t>
  </si>
  <si>
    <t>Shares redemptions</t>
  </si>
  <si>
    <t>4Q 2001</t>
  </si>
  <si>
    <t>1Q 2002</t>
  </si>
  <si>
    <t xml:space="preserve">TBG - cash call </t>
  </si>
  <si>
    <t>EcoElectrica cash proceeds from asset sale</t>
  </si>
  <si>
    <t>PQPLLC cash proceeds on sale down</t>
  </si>
  <si>
    <t>Contingencies outside of forecasted cashflow and plan to Corp</t>
  </si>
  <si>
    <t>trapped cash loans</t>
  </si>
  <si>
    <t>dividends/trapped cash loans</t>
  </si>
  <si>
    <t>operating cash need</t>
  </si>
  <si>
    <t>dividends</t>
  </si>
  <si>
    <t>Cashflow Summary To/(From) Enron</t>
  </si>
  <si>
    <t>bringing cash home</t>
  </si>
  <si>
    <t>equity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</si>
</sst>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3" formatCode="_(* #,##0.0_);_(* \(#,##0.0\);_(* &quot;-&quot;??_);_(@_)"/>
    <numFmt numFmtId="175" formatCode="0.0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  <numFmt numFmtId="202" formatCode="_(* #,##0.0_);_(* \(#,##0.0\);_(* &quot;-&quot;_);_(@_)"/>
  </numFmts>
  <fonts count="4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Arial"/>
      <family val="2"/>
    </font>
    <font>
      <b/>
      <sz val="18"/>
      <color indexed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4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4" applyNumberFormat="1" applyFont="1"/>
    <xf numFmtId="0" fontId="6" fillId="0" borderId="0" xfId="4" applyFont="1" applyFill="1"/>
    <xf numFmtId="179" fontId="4" fillId="0" borderId="0" xfId="4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4" applyNumberFormat="1" applyFont="1" applyFill="1" applyAlignment="1">
      <alignment vertical="top"/>
    </xf>
    <xf numFmtId="164" fontId="4" fillId="0" borderId="0" xfId="4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4" applyNumberFormat="1" applyFont="1" applyFill="1" applyBorder="1" applyAlignment="1">
      <alignment vertical="top"/>
    </xf>
    <xf numFmtId="49" fontId="6" fillId="0" borderId="0" xfId="4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4" applyNumberFormat="1" applyFont="1" applyAlignment="1">
      <alignment vertical="top"/>
    </xf>
    <xf numFmtId="49" fontId="6" fillId="0" borderId="0" xfId="4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4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4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4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4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4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4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4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4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4" applyNumberFormat="1" applyFont="1" applyFill="1" applyBorder="1" applyAlignment="1">
      <alignment vertical="top"/>
    </xf>
    <xf numFmtId="164" fontId="12" fillId="0" borderId="3" xfId="4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4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4" applyNumberFormat="1" applyFont="1" applyFill="1" applyBorder="1" applyAlignment="1">
      <alignment vertical="top"/>
    </xf>
    <xf numFmtId="164" fontId="12" fillId="0" borderId="0" xfId="4" applyNumberFormat="1" applyFont="1" applyFill="1" applyBorder="1" applyAlignment="1">
      <alignment vertical="top"/>
    </xf>
    <xf numFmtId="176" fontId="6" fillId="0" borderId="1" xfId="1" applyNumberFormat="1" applyFont="1" applyBorder="1" applyAlignment="1">
      <alignment horizontal="center"/>
    </xf>
    <xf numFmtId="202" fontId="0" fillId="0" borderId="0" xfId="2" applyNumberFormat="1" applyFont="1"/>
    <xf numFmtId="202" fontId="0" fillId="0" borderId="0" xfId="0" applyNumberFormat="1"/>
    <xf numFmtId="175" fontId="0" fillId="0" borderId="0" xfId="0" applyNumberFormat="1"/>
    <xf numFmtId="185" fontId="6" fillId="0" borderId="0" xfId="2" applyNumberFormat="1" applyFont="1" applyBorder="1"/>
    <xf numFmtId="185" fontId="4" fillId="0" borderId="0" xfId="0" applyNumberFormat="1" applyFont="1"/>
    <xf numFmtId="185" fontId="0" fillId="0" borderId="0" xfId="0" applyNumberFormat="1" applyAlignment="1">
      <alignment wrapText="1"/>
    </xf>
    <xf numFmtId="185" fontId="10" fillId="0" borderId="0" xfId="1" applyNumberFormat="1" applyFont="1"/>
    <xf numFmtId="185" fontId="4" fillId="0" borderId="0" xfId="1" applyNumberFormat="1" applyFont="1"/>
    <xf numFmtId="185" fontId="4" fillId="0" borderId="0" xfId="0" applyNumberFormat="1" applyFont="1" applyAlignment="1">
      <alignment wrapText="1"/>
    </xf>
    <xf numFmtId="185" fontId="10" fillId="0" borderId="1" xfId="1" applyNumberFormat="1" applyFont="1" applyBorder="1"/>
    <xf numFmtId="185" fontId="4" fillId="0" borderId="0" xfId="1" applyNumberFormat="1" applyFont="1" applyBorder="1"/>
    <xf numFmtId="185" fontId="4" fillId="0" borderId="1" xfId="1" applyNumberFormat="1" applyFont="1" applyBorder="1"/>
    <xf numFmtId="185" fontId="6" fillId="0" borderId="0" xfId="1" applyNumberFormat="1" applyFont="1" applyBorder="1"/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Border="1"/>
    <xf numFmtId="185" fontId="6" fillId="0" borderId="2" xfId="2" applyNumberFormat="1" applyFont="1" applyBorder="1"/>
    <xf numFmtId="0" fontId="6" fillId="2" borderId="0" xfId="0" applyFont="1" applyFill="1"/>
    <xf numFmtId="0" fontId="4" fillId="2" borderId="0" xfId="0" applyFont="1" applyFill="1"/>
    <xf numFmtId="187" fontId="4" fillId="2" borderId="0" xfId="0" applyNumberFormat="1" applyFont="1" applyFill="1" applyAlignment="1">
      <alignment horizontal="center"/>
    </xf>
    <xf numFmtId="185" fontId="4" fillId="2" borderId="0" xfId="1" applyNumberFormat="1" applyFont="1" applyFill="1"/>
    <xf numFmtId="185" fontId="4" fillId="2" borderId="0" xfId="0" applyNumberFormat="1" applyFont="1" applyFill="1"/>
    <xf numFmtId="185" fontId="6" fillId="0" borderId="4" xfId="0" applyNumberFormat="1" applyFont="1" applyBorder="1" applyAlignment="1"/>
    <xf numFmtId="187" fontId="6" fillId="0" borderId="4" xfId="0" applyNumberFormat="1" applyFont="1" applyBorder="1" applyAlignment="1"/>
    <xf numFmtId="185" fontId="4" fillId="0" borderId="0" xfId="2" applyNumberFormat="1" applyFont="1" applyBorder="1" applyAlignment="1"/>
    <xf numFmtId="185" fontId="4" fillId="0" borderId="0" xfId="0" applyNumberFormat="1" applyFont="1" applyAlignment="1"/>
    <xf numFmtId="167" fontId="4" fillId="0" borderId="0" xfId="0" applyNumberFormat="1" applyFont="1"/>
    <xf numFmtId="43" fontId="29" fillId="0" borderId="0" xfId="3" applyNumberFormat="1" applyFont="1"/>
    <xf numFmtId="0" fontId="30" fillId="0" borderId="0" xfId="0" applyNumberFormat="1" applyFont="1" applyBorder="1" applyAlignment="1">
      <alignment horizontal="center"/>
    </xf>
    <xf numFmtId="0" fontId="31" fillId="0" borderId="0" xfId="0" applyNumberFormat="1" applyFont="1"/>
    <xf numFmtId="43" fontId="32" fillId="0" borderId="0" xfId="3" applyNumberFormat="1" applyFont="1" applyFill="1" applyAlignment="1" applyProtection="1">
      <alignment horizontal="left"/>
    </xf>
    <xf numFmtId="43" fontId="32" fillId="0" borderId="0" xfId="3" applyNumberFormat="1" applyFont="1" applyAlignment="1" applyProtection="1">
      <alignment horizontal="left"/>
    </xf>
    <xf numFmtId="43" fontId="32" fillId="0" borderId="0" xfId="3" applyNumberFormat="1" applyFont="1" applyFill="1" applyAlignment="1">
      <alignment horizontal="left"/>
    </xf>
    <xf numFmtId="43" fontId="32" fillId="0" borderId="0" xfId="3" applyNumberFormat="1" applyFont="1" applyAlignment="1">
      <alignment horizontal="left"/>
    </xf>
    <xf numFmtId="43" fontId="29" fillId="0" borderId="0" xfId="3" applyNumberFormat="1" applyFont="1" applyFill="1"/>
    <xf numFmtId="43" fontId="33" fillId="2" borderId="5" xfId="3" applyNumberFormat="1" applyFont="1" applyFill="1" applyBorder="1" applyAlignment="1">
      <alignment horizontal="center"/>
    </xf>
    <xf numFmtId="43" fontId="34" fillId="0" borderId="0" xfId="3" applyNumberFormat="1" applyFont="1"/>
    <xf numFmtId="43" fontId="29" fillId="0" borderId="0" xfId="3" applyNumberFormat="1" applyFont="1" applyAlignment="1">
      <alignment horizontal="center"/>
    </xf>
    <xf numFmtId="43" fontId="29" fillId="0" borderId="0" xfId="3" applyNumberFormat="1" applyFont="1" applyFill="1" applyAlignment="1">
      <alignment horizontal="center"/>
    </xf>
    <xf numFmtId="168" fontId="32" fillId="0" borderId="6" xfId="3" applyNumberFormat="1" applyFont="1" applyFill="1" applyBorder="1" applyAlignment="1" applyProtection="1">
      <alignment horizontal="center"/>
    </xf>
    <xf numFmtId="41" fontId="32" fillId="0" borderId="7" xfId="3" applyNumberFormat="1" applyFont="1" applyFill="1" applyBorder="1" applyAlignment="1" applyProtection="1">
      <alignment horizontal="center"/>
    </xf>
    <xf numFmtId="43" fontId="33" fillId="2" borderId="8" xfId="3" applyNumberFormat="1" applyFont="1" applyFill="1" applyBorder="1" applyAlignment="1">
      <alignment horizontal="center"/>
    </xf>
    <xf numFmtId="43" fontId="33" fillId="0" borderId="0" xfId="3" applyNumberFormat="1" applyFont="1" applyAlignment="1">
      <alignment horizontal="center"/>
    </xf>
    <xf numFmtId="43" fontId="27" fillId="0" borderId="0" xfId="3" applyNumberFormat="1" applyFont="1"/>
    <xf numFmtId="169" fontId="29" fillId="0" borderId="0" xfId="3" applyNumberFormat="1" applyFont="1" applyBorder="1"/>
    <xf numFmtId="43" fontId="34" fillId="0" borderId="9" xfId="3" applyNumberFormat="1" applyFont="1" applyBorder="1"/>
    <xf numFmtId="0" fontId="34" fillId="0" borderId="0" xfId="0" applyFont="1"/>
    <xf numFmtId="169" fontId="29" fillId="0" borderId="0" xfId="5" applyNumberFormat="1" applyFont="1" applyBorder="1"/>
    <xf numFmtId="169" fontId="29" fillId="0" borderId="0" xfId="3" applyNumberFormat="1" applyFont="1"/>
    <xf numFmtId="169" fontId="34" fillId="0" borderId="0" xfId="3" applyNumberFormat="1" applyFont="1"/>
    <xf numFmtId="169" fontId="34" fillId="0" borderId="9" xfId="3" applyNumberFormat="1" applyFont="1" applyFill="1" applyBorder="1"/>
    <xf numFmtId="169" fontId="34" fillId="0" borderId="0" xfId="3" applyNumberFormat="1" applyFont="1" applyFill="1"/>
    <xf numFmtId="0" fontId="34" fillId="0" borderId="0" xfId="0" applyFont="1" applyFill="1" applyBorder="1"/>
    <xf numFmtId="169" fontId="29" fillId="0" borderId="0" xfId="3" applyNumberFormat="1" applyFont="1" applyFill="1" applyBorder="1"/>
    <xf numFmtId="169" fontId="29" fillId="0" borderId="0" xfId="3" applyNumberFormat="1" applyFont="1" applyFill="1"/>
    <xf numFmtId="169" fontId="29" fillId="0" borderId="0" xfId="5" applyNumberFormat="1" applyFont="1" applyFill="1" applyBorder="1"/>
    <xf numFmtId="0" fontId="34" fillId="0" borderId="0" xfId="0" applyFont="1" applyFill="1"/>
    <xf numFmtId="168" fontId="29" fillId="0" borderId="0" xfId="3" applyNumberFormat="1" applyFont="1" applyFill="1"/>
    <xf numFmtId="0" fontId="34" fillId="0" borderId="0" xfId="0" applyFont="1" applyBorder="1"/>
    <xf numFmtId="43" fontId="32" fillId="0" borderId="0" xfId="3" applyNumberFormat="1" applyFont="1" applyFill="1"/>
    <xf numFmtId="169" fontId="34" fillId="0" borderId="0" xfId="3" applyNumberFormat="1" applyFont="1" applyFill="1" applyProtection="1"/>
    <xf numFmtId="169" fontId="29" fillId="0" borderId="0" xfId="3" applyNumberFormat="1" applyFont="1" applyFill="1" applyBorder="1" applyProtection="1">
      <protection locked="0"/>
    </xf>
    <xf numFmtId="169" fontId="34" fillId="0" borderId="0" xfId="3" applyNumberFormat="1" applyFont="1" applyProtection="1"/>
    <xf numFmtId="169" fontId="32" fillId="0" borderId="1" xfId="3" applyNumberFormat="1" applyFont="1" applyBorder="1" applyProtection="1">
      <protection locked="0"/>
    </xf>
    <xf numFmtId="169" fontId="32" fillId="0" borderId="1" xfId="5" applyNumberFormat="1" applyFont="1" applyBorder="1"/>
    <xf numFmtId="169" fontId="32" fillId="0" borderId="1" xfId="3" applyNumberFormat="1" applyFont="1" applyBorder="1"/>
    <xf numFmtId="169" fontId="33" fillId="0" borderId="10" xfId="3" applyNumberFormat="1" applyFont="1" applyFill="1" applyBorder="1"/>
    <xf numFmtId="43" fontId="33" fillId="0" borderId="0" xfId="3" applyNumberFormat="1" applyFont="1"/>
    <xf numFmtId="169" fontId="32" fillId="0" borderId="4" xfId="3" applyNumberFormat="1" applyFont="1" applyBorder="1"/>
    <xf numFmtId="173" fontId="33" fillId="0" borderId="8" xfId="3" applyNumberFormat="1" applyFont="1" applyFill="1" applyBorder="1"/>
    <xf numFmtId="43" fontId="34" fillId="0" borderId="0" xfId="3" applyNumberFormat="1" applyFont="1" applyFill="1"/>
    <xf numFmtId="168" fontId="29" fillId="0" borderId="0" xfId="3" applyNumberFormat="1" applyFont="1"/>
    <xf numFmtId="41" fontId="29" fillId="0" borderId="0" xfId="3" applyNumberFormat="1" applyFont="1"/>
    <xf numFmtId="43" fontId="35" fillId="0" borderId="0" xfId="3" applyNumberFormat="1" applyFont="1"/>
    <xf numFmtId="43" fontId="32" fillId="0" borderId="0" xfId="3" applyNumberFormat="1" applyFont="1" applyAlignment="1" applyProtection="1">
      <alignment horizontal="center"/>
    </xf>
    <xf numFmtId="43" fontId="29" fillId="0" borderId="0" xfId="3" applyNumberFormat="1" applyFont="1" applyBorder="1" applyAlignment="1">
      <alignment horizontal="center"/>
    </xf>
    <xf numFmtId="43" fontId="35" fillId="0" borderId="0" xfId="3" applyNumberFormat="1" applyFont="1" applyBorder="1" applyAlignment="1">
      <alignment horizontal="center"/>
    </xf>
    <xf numFmtId="41" fontId="38" fillId="0" borderId="0" xfId="3" applyNumberFormat="1" applyFont="1" applyFill="1" applyBorder="1" applyAlignment="1">
      <alignment horizontal="center"/>
    </xf>
    <xf numFmtId="43" fontId="38" fillId="3" borderId="5" xfId="3" applyNumberFormat="1" applyFont="1" applyFill="1" applyBorder="1" applyAlignment="1">
      <alignment horizontal="center"/>
    </xf>
    <xf numFmtId="43" fontId="35" fillId="0" borderId="0" xfId="3" applyNumberFormat="1" applyFont="1" applyAlignment="1">
      <alignment horizontal="center"/>
    </xf>
    <xf numFmtId="43" fontId="39" fillId="0" borderId="0" xfId="3" applyNumberFormat="1" applyFont="1"/>
    <xf numFmtId="168" fontId="29" fillId="0" borderId="0" xfId="3" applyNumberFormat="1" applyFont="1" applyBorder="1"/>
    <xf numFmtId="41" fontId="29" fillId="0" borderId="0" xfId="3" applyNumberFormat="1" applyFont="1" applyBorder="1"/>
    <xf numFmtId="41" fontId="29" fillId="3" borderId="9" xfId="3" applyNumberFormat="1" applyFont="1" applyFill="1" applyBorder="1"/>
    <xf numFmtId="0" fontId="29" fillId="0" borderId="0" xfId="0" applyFont="1"/>
    <xf numFmtId="0" fontId="29" fillId="0" borderId="0" xfId="0" applyFont="1" applyFill="1"/>
    <xf numFmtId="0" fontId="29" fillId="0" borderId="0" xfId="0" applyFont="1" applyBorder="1"/>
    <xf numFmtId="41" fontId="29" fillId="3" borderId="10" xfId="3" applyNumberFormat="1" applyFont="1" applyFill="1" applyBorder="1"/>
    <xf numFmtId="41" fontId="32" fillId="3" borderId="9" xfId="3" applyNumberFormat="1" applyFont="1" applyFill="1" applyBorder="1"/>
    <xf numFmtId="169" fontId="39" fillId="0" borderId="0" xfId="3" applyNumberFormat="1" applyFont="1"/>
    <xf numFmtId="0" fontId="28" fillId="0" borderId="0" xfId="0" applyFont="1" applyFill="1"/>
    <xf numFmtId="169" fontId="29" fillId="0" borderId="0" xfId="3" applyNumberFormat="1" applyFont="1" applyProtection="1"/>
    <xf numFmtId="41" fontId="32" fillId="3" borderId="9" xfId="0" applyNumberFormat="1" applyFont="1" applyFill="1" applyBorder="1"/>
    <xf numFmtId="169" fontId="39" fillId="0" borderId="0" xfId="3" applyNumberFormat="1" applyFont="1" applyProtection="1"/>
    <xf numFmtId="43" fontId="29" fillId="0" borderId="0" xfId="3" applyNumberFormat="1" applyFont="1" applyFill="1" applyAlignment="1">
      <alignment horizontal="left"/>
    </xf>
    <xf numFmtId="41" fontId="29" fillId="3" borderId="8" xfId="3" applyNumberFormat="1" applyFont="1" applyFill="1" applyBorder="1"/>
    <xf numFmtId="43" fontId="32" fillId="0" borderId="0" xfId="3" applyNumberFormat="1" applyFont="1" applyFill="1" applyBorder="1" applyAlignment="1" applyProtection="1">
      <alignment horizontal="left"/>
    </xf>
    <xf numFmtId="43" fontId="32" fillId="0" borderId="0" xfId="3" applyNumberFormat="1" applyFont="1" applyFill="1" applyBorder="1" applyAlignment="1" applyProtection="1">
      <alignment horizontal="center"/>
    </xf>
    <xf numFmtId="168" fontId="38" fillId="0" borderId="0" xfId="3" applyNumberFormat="1" applyFont="1" applyFill="1" applyBorder="1" applyAlignment="1">
      <alignment horizontal="center"/>
    </xf>
    <xf numFmtId="43" fontId="35" fillId="0" borderId="0" xfId="3" applyNumberFormat="1" applyFont="1" applyFill="1" applyBorder="1" applyAlignment="1">
      <alignment horizontal="center"/>
    </xf>
    <xf numFmtId="202" fontId="32" fillId="0" borderId="0" xfId="0" applyNumberFormat="1" applyFont="1" applyFill="1" applyBorder="1"/>
    <xf numFmtId="202" fontId="29" fillId="0" borderId="0" xfId="3" applyNumberFormat="1" applyFont="1" applyBorder="1"/>
    <xf numFmtId="202" fontId="29" fillId="0" borderId="0" xfId="3" applyNumberFormat="1" applyFont="1"/>
    <xf numFmtId="202" fontId="29" fillId="0" borderId="1" xfId="3" applyNumberFormat="1" applyFont="1" applyBorder="1"/>
    <xf numFmtId="202" fontId="32" fillId="0" borderId="0" xfId="3" applyNumberFormat="1" applyFont="1" applyBorder="1"/>
    <xf numFmtId="202" fontId="32" fillId="0" borderId="0" xfId="3" applyNumberFormat="1" applyFont="1"/>
    <xf numFmtId="202" fontId="29" fillId="0" borderId="1" xfId="0" applyNumberFormat="1" applyFont="1" applyBorder="1"/>
    <xf numFmtId="202" fontId="32" fillId="0" borderId="0" xfId="0" applyNumberFormat="1" applyFont="1"/>
    <xf numFmtId="202" fontId="32" fillId="0" borderId="0" xfId="0" applyNumberFormat="1" applyFont="1" applyBorder="1"/>
    <xf numFmtId="202" fontId="32" fillId="3" borderId="6" xfId="0" applyNumberFormat="1" applyFont="1" applyFill="1" applyBorder="1"/>
    <xf numFmtId="202" fontId="32" fillId="3" borderId="7" xfId="0" applyNumberFormat="1" applyFont="1" applyFill="1" applyBorder="1"/>
    <xf numFmtId="202" fontId="29" fillId="0" borderId="0" xfId="3" applyNumberFormat="1" applyFont="1" applyFill="1"/>
    <xf numFmtId="202" fontId="32" fillId="3" borderId="11" xfId="0" applyNumberFormat="1" applyFont="1" applyFill="1" applyBorder="1"/>
    <xf numFmtId="43" fontId="38" fillId="3" borderId="9" xfId="3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vertical="top"/>
    </xf>
    <xf numFmtId="202" fontId="29" fillId="3" borderId="9" xfId="3" applyNumberFormat="1" applyFont="1" applyFill="1" applyBorder="1"/>
    <xf numFmtId="202" fontId="32" fillId="3" borderId="12" xfId="0" applyNumberFormat="1" applyFont="1" applyFill="1" applyBorder="1"/>
    <xf numFmtId="43" fontId="32" fillId="2" borderId="0" xfId="3" applyNumberFormat="1" applyFont="1" applyFill="1" applyAlignment="1" applyProtection="1">
      <alignment horizontal="left"/>
    </xf>
    <xf numFmtId="0" fontId="6" fillId="0" borderId="0" xfId="0" applyFont="1" applyBorder="1" applyAlignment="1">
      <alignment wrapText="1"/>
    </xf>
    <xf numFmtId="17" fontId="6" fillId="0" borderId="1" xfId="0" applyNumberFormat="1" applyFont="1" applyBorder="1" applyAlignment="1">
      <alignment horizontal="right"/>
    </xf>
    <xf numFmtId="202" fontId="6" fillId="0" borderId="4" xfId="0" applyNumberFormat="1" applyFont="1" applyBorder="1"/>
    <xf numFmtId="202" fontId="5" fillId="0" borderId="0" xfId="0" applyNumberFormat="1" applyFont="1"/>
    <xf numFmtId="0" fontId="6" fillId="2" borderId="0" xfId="0" applyFont="1" applyFill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9" fontId="37" fillId="0" borderId="0" xfId="3" applyNumberFormat="1" applyFont="1" applyAlignment="1" applyProtection="1">
      <alignment horizontal="center"/>
    </xf>
    <xf numFmtId="43" fontId="37" fillId="0" borderId="0" xfId="3" applyNumberFormat="1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9" fontId="27" fillId="0" borderId="0" xfId="3" applyNumberFormat="1" applyFont="1" applyAlignment="1" applyProtection="1">
      <alignment horizontal="center"/>
    </xf>
    <xf numFmtId="0" fontId="30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P-20 (App.A) " xfId="3"/>
    <cellStyle name="Normal_gross margin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jvm/REPORTNG/EGAS/2002/2002%20plan/EGAS%20Lay%20presentation%20Nov%208%20-revise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 side changes"/>
      <sheetName val="Cover"/>
      <sheetName val="Table of content"/>
      <sheetName val="challenges_opport"/>
      <sheetName val="G&amp;Ahistory graph"/>
      <sheetName val="headcount graph"/>
      <sheetName val="corpcharge graph"/>
      <sheetName val="historical IBIT graph"/>
      <sheetName val="G&amp;A graph"/>
      <sheetName val="pie chart"/>
      <sheetName val="Total year vs 3CE"/>
      <sheetName val="variance"/>
      <sheetName val="Cheat sheet"/>
      <sheetName val="G&amp;A Allocation Only"/>
      <sheetName val="G&amp;A 2001 vs 2002"/>
      <sheetName val="potential asset sale"/>
      <sheetName val="cashflow"/>
      <sheetName val="Ratios"/>
      <sheetName val="G&amp;A revised"/>
      <sheetName val="G&amp;A by functions2"/>
      <sheetName val="G&amp;A by functions"/>
      <sheetName val="headcount revised"/>
      <sheetName val="Headcount"/>
      <sheetName val="historical earnings"/>
      <sheetName val="Theoretical charge"/>
      <sheetName val="Project Income to ENE"/>
      <sheetName val="upsidedownside_issues"/>
      <sheetName val="4Q2001 2CE vs Latest"/>
      <sheetName val="TOTAL YEARVS 2CE (2)"/>
      <sheetName val="Adjusted NI"/>
      <sheetName val="EGAS by qtr"/>
      <sheetName val="V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" x14ac:dyDescent="0.2">
      <c r="A2" s="285" t="s">
        <v>12</v>
      </c>
      <c r="B2" s="285"/>
      <c r="C2" s="285"/>
      <c r="D2" s="285"/>
      <c r="E2" s="285"/>
      <c r="F2" s="285"/>
      <c r="G2" s="285"/>
      <c r="H2" s="285"/>
      <c r="I2" s="285"/>
      <c r="J2" s="285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AJ38"/>
  <sheetViews>
    <sheetView showGridLines="0" topLeftCell="B1" workbookViewId="0">
      <pane ySplit="2" topLeftCell="A3" activePane="bottomLeft" state="frozenSplit"/>
      <selection activeCell="A3" sqref="A3:L26"/>
      <selection pane="bottomLeft" activeCell="K8" sqref="K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hidden="1" customWidth="1"/>
    <col min="9" max="9" width="10.7109375" style="32" customWidth="1"/>
    <col min="10" max="10" width="1.5703125" style="32" hidden="1" customWidth="1"/>
    <col min="11" max="11" width="10.7109375" style="32" customWidth="1"/>
    <col min="12" max="12" width="1.42578125" style="32" hidden="1" customWidth="1"/>
    <col min="13" max="13" width="10.7109375" style="32" customWidth="1"/>
    <col min="14" max="14" width="2.5703125" style="4" hidden="1" customWidth="1"/>
    <col min="15" max="15" width="10.7109375" style="4" customWidth="1"/>
    <col min="16" max="16" width="1.85546875" style="4" hidden="1" customWidth="1"/>
    <col min="17" max="26" width="10.7109375" style="4" customWidth="1"/>
    <col min="27" max="27" width="2.42578125" style="4" customWidth="1"/>
    <col min="28" max="28" width="16.140625" style="152" customWidth="1"/>
    <col min="29" max="16384" width="9.140625" style="4"/>
  </cols>
  <sheetData>
    <row r="1" spans="1:36" x14ac:dyDescent="0.25">
      <c r="C1" s="16"/>
      <c r="D1" s="16"/>
      <c r="E1" s="31" t="s">
        <v>15</v>
      </c>
      <c r="F1" s="127"/>
      <c r="G1" s="286" t="s">
        <v>202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31"/>
      <c r="S1" s="31"/>
      <c r="T1" s="31"/>
      <c r="U1" s="31"/>
      <c r="V1" s="31"/>
      <c r="W1" s="31"/>
      <c r="X1" s="31"/>
      <c r="Y1" s="31"/>
      <c r="Z1" s="31"/>
    </row>
    <row r="2" spans="1:36" ht="31.5" x14ac:dyDescent="0.25">
      <c r="C2" s="154" t="s">
        <v>166</v>
      </c>
      <c r="D2" s="16"/>
      <c r="E2" s="151" t="s">
        <v>165</v>
      </c>
      <c r="F2" s="127" t="s">
        <v>200</v>
      </c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31" t="s">
        <v>204</v>
      </c>
      <c r="S2" s="31" t="s">
        <v>205</v>
      </c>
      <c r="T2" s="31" t="s">
        <v>206</v>
      </c>
      <c r="U2" s="31" t="s">
        <v>207</v>
      </c>
      <c r="V2" s="31" t="s">
        <v>208</v>
      </c>
      <c r="W2" s="31" t="s">
        <v>209</v>
      </c>
      <c r="X2" s="31" t="s">
        <v>156</v>
      </c>
      <c r="Y2" s="31" t="s">
        <v>210</v>
      </c>
      <c r="Z2" s="31" t="s">
        <v>211</v>
      </c>
      <c r="AB2" s="151" t="s">
        <v>14</v>
      </c>
    </row>
    <row r="3" spans="1:36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6" ht="18.75" customHeight="1" x14ac:dyDescent="0.25">
      <c r="A4" s="3" t="s">
        <v>107</v>
      </c>
      <c r="C4">
        <v>138</v>
      </c>
      <c r="D4" t="s">
        <v>197</v>
      </c>
      <c r="E4" s="163">
        <f>110.4-14.3-19.8-26.2-7.1</f>
        <v>43.000000000000007</v>
      </c>
      <c r="F4"/>
      <c r="G4">
        <f>14.3-2.1-2.9-0.8</f>
        <v>8.5</v>
      </c>
      <c r="H4"/>
      <c r="I4">
        <f>4.2-0.8+1.2</f>
        <v>4.6000000000000005</v>
      </c>
      <c r="J4"/>
      <c r="K4">
        <f>8.8+6-2.1-2.9+0.4-0.8+0.8</f>
        <v>10.200000000000001</v>
      </c>
      <c r="L4"/>
      <c r="M4" s="163">
        <f>2.9*1.15+0.6-0.1+0.8</f>
        <v>4.6349999999999998</v>
      </c>
      <c r="N4" s="163"/>
      <c r="O4" s="163">
        <f>2.9*1.15+0.6-0.1+0.8</f>
        <v>4.6349999999999998</v>
      </c>
      <c r="P4" s="163">
        <f>4.3+1</f>
        <v>5.3</v>
      </c>
      <c r="Q4" s="163">
        <f>4*1.15+0.6-0.1+0.8</f>
        <v>5.8999999999999995</v>
      </c>
      <c r="R4" s="163">
        <f>2.9*1.15+0.6-0.1</f>
        <v>3.8349999999999995</v>
      </c>
      <c r="S4" s="163">
        <f>3.1*1.15+0.6-0.1</f>
        <v>4.0650000000000004</v>
      </c>
      <c r="T4" s="163">
        <f>4*1.15+0.6-0.1</f>
        <v>5.0999999999999996</v>
      </c>
      <c r="U4" s="163">
        <f>2.8*1.15+0.6-0.1</f>
        <v>3.7199999999999998</v>
      </c>
      <c r="V4" s="163">
        <f>2.9*1.15+0.6-0.1</f>
        <v>3.8349999999999995</v>
      </c>
      <c r="W4" s="163">
        <f>3.9*1.15+0.6-0.1</f>
        <v>4.9849999999999994</v>
      </c>
      <c r="X4" s="163">
        <f>2.9*1.15+0.6-0.1</f>
        <v>3.8349999999999995</v>
      </c>
      <c r="Y4" s="163">
        <f>2.8*1.15+0.6-0.1</f>
        <v>3.7199999999999998</v>
      </c>
      <c r="Z4" s="163">
        <f>4*1.15+0.6</f>
        <v>5.1999999999999993</v>
      </c>
      <c r="AA4"/>
    </row>
    <row r="5" spans="1:36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6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6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6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6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6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/>
    </row>
    <row r="11" spans="1:36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6" ht="16.5" thickBot="1" x14ac:dyDescent="0.3">
      <c r="A12" s="15" t="s">
        <v>16</v>
      </c>
      <c r="B12" s="8"/>
      <c r="C12" s="184">
        <f>SUM(C3:C11)</f>
        <v>138</v>
      </c>
      <c r="D12" s="37"/>
      <c r="E12" s="183">
        <f>SUM(E3:E11)</f>
        <v>43.000000000000007</v>
      </c>
      <c r="F12" s="164"/>
      <c r="G12" s="183">
        <f>SUM(G3:G11)</f>
        <v>8.5</v>
      </c>
      <c r="H12" s="185"/>
      <c r="I12" s="183">
        <f>SUM(I3:I11)</f>
        <v>4.6000000000000005</v>
      </c>
      <c r="J12" s="185"/>
      <c r="K12" s="183">
        <f>SUM(K3:K11)</f>
        <v>10.200000000000001</v>
      </c>
      <c r="L12" s="185"/>
      <c r="M12" s="183">
        <f>SUM(M3:M11)</f>
        <v>4.6349999999999998</v>
      </c>
      <c r="N12" s="186"/>
      <c r="O12" s="183">
        <f>SUM(O3:O11)</f>
        <v>4.6349999999999998</v>
      </c>
      <c r="P12" s="186"/>
      <c r="Q12" s="183">
        <f>SUM(Q3:Q11)</f>
        <v>5.8999999999999995</v>
      </c>
      <c r="R12" s="183">
        <f t="shared" ref="R12:Z12" si="0">SUM(R3:R11)</f>
        <v>3.8349999999999995</v>
      </c>
      <c r="S12" s="183">
        <f t="shared" si="0"/>
        <v>4.0650000000000004</v>
      </c>
      <c r="T12" s="183">
        <f t="shared" si="0"/>
        <v>5.0999999999999996</v>
      </c>
      <c r="U12" s="183">
        <f t="shared" si="0"/>
        <v>3.7199999999999998</v>
      </c>
      <c r="V12" s="183">
        <f t="shared" si="0"/>
        <v>3.8349999999999995</v>
      </c>
      <c r="W12" s="183">
        <f t="shared" si="0"/>
        <v>4.9849999999999994</v>
      </c>
      <c r="X12" s="183">
        <f t="shared" si="0"/>
        <v>3.8349999999999995</v>
      </c>
      <c r="Y12" s="183">
        <f t="shared" si="0"/>
        <v>3.7199999999999998</v>
      </c>
      <c r="Z12" s="183">
        <f t="shared" si="0"/>
        <v>5.1999999999999993</v>
      </c>
      <c r="AA12" s="165"/>
      <c r="AB12" s="166"/>
      <c r="AC12" s="165"/>
      <c r="AD12" s="165"/>
      <c r="AE12" s="165"/>
      <c r="AF12" s="165"/>
      <c r="AG12" s="165"/>
      <c r="AH12" s="165"/>
      <c r="AI12" s="165"/>
      <c r="AJ12" s="165"/>
    </row>
    <row r="13" spans="1:36" ht="16.5" thickTop="1" x14ac:dyDescent="0.25">
      <c r="A13" s="4" t="s">
        <v>24</v>
      </c>
      <c r="B13" s="11"/>
      <c r="C13" s="125"/>
      <c r="E13" s="167">
        <f>12.8-1.4</f>
        <v>11.4</v>
      </c>
      <c r="F13" s="168"/>
      <c r="G13" s="168">
        <v>1.4</v>
      </c>
      <c r="H13" s="168"/>
      <c r="I13" s="168">
        <v>1.4</v>
      </c>
      <c r="J13" s="168"/>
      <c r="K13" s="168">
        <v>1.4</v>
      </c>
      <c r="L13" s="168"/>
      <c r="M13" s="168">
        <v>1.4</v>
      </c>
      <c r="N13" s="165"/>
      <c r="O13" s="168">
        <v>1.4</v>
      </c>
      <c r="P13" s="165"/>
      <c r="Q13" s="168">
        <v>1.4</v>
      </c>
      <c r="R13" s="168">
        <v>1.4</v>
      </c>
      <c r="S13" s="168">
        <v>1.4</v>
      </c>
      <c r="T13" s="168">
        <v>1.4</v>
      </c>
      <c r="U13" s="168">
        <v>1.4</v>
      </c>
      <c r="V13" s="168">
        <v>1.4</v>
      </c>
      <c r="W13" s="168">
        <v>1.4</v>
      </c>
      <c r="X13" s="168">
        <v>1.4</v>
      </c>
      <c r="Y13" s="168">
        <v>1.4</v>
      </c>
      <c r="Z13" s="168">
        <v>1.4</v>
      </c>
      <c r="AA13" s="165"/>
      <c r="AB13" s="169"/>
      <c r="AC13" s="165"/>
      <c r="AD13" s="165"/>
      <c r="AE13" s="165"/>
      <c r="AF13" s="165"/>
      <c r="AG13" s="165"/>
      <c r="AH13" s="165"/>
      <c r="AI13" s="165"/>
      <c r="AJ13" s="165"/>
    </row>
    <row r="14" spans="1:36" x14ac:dyDescent="0.25">
      <c r="A14" s="61" t="s">
        <v>178</v>
      </c>
      <c r="C14" s="125"/>
      <c r="E14" s="170">
        <f>2.9-0.3</f>
        <v>2.6</v>
      </c>
      <c r="F14" s="171"/>
      <c r="G14" s="172">
        <v>0.3</v>
      </c>
      <c r="H14" s="171"/>
      <c r="I14" s="172">
        <v>0.3</v>
      </c>
      <c r="J14" s="171"/>
      <c r="K14" s="172">
        <v>0.3</v>
      </c>
      <c r="L14" s="171"/>
      <c r="M14" s="172">
        <v>0.3</v>
      </c>
      <c r="N14" s="165"/>
      <c r="O14" s="172">
        <v>0.3</v>
      </c>
      <c r="P14" s="165"/>
      <c r="Q14" s="172">
        <v>0.3</v>
      </c>
      <c r="R14" s="172">
        <v>0.3</v>
      </c>
      <c r="S14" s="172">
        <v>0.3</v>
      </c>
      <c r="T14" s="172">
        <v>0.3</v>
      </c>
      <c r="U14" s="172">
        <v>0.3</v>
      </c>
      <c r="V14" s="172">
        <v>0.3</v>
      </c>
      <c r="W14" s="172">
        <v>0.3</v>
      </c>
      <c r="X14" s="172">
        <v>0.3</v>
      </c>
      <c r="Y14" s="172">
        <v>0.3</v>
      </c>
      <c r="Z14" s="172">
        <v>0.3</v>
      </c>
      <c r="AA14" s="165"/>
      <c r="AB14" s="169"/>
      <c r="AC14" s="165"/>
      <c r="AD14" s="165"/>
      <c r="AE14" s="165"/>
      <c r="AF14" s="165"/>
      <c r="AG14" s="165"/>
      <c r="AH14" s="165"/>
      <c r="AI14" s="165"/>
      <c r="AJ14" s="165"/>
    </row>
    <row r="15" spans="1:36" x14ac:dyDescent="0.25">
      <c r="A15" s="11" t="s">
        <v>25</v>
      </c>
      <c r="C15" s="125"/>
      <c r="E15" s="164">
        <f>SUM(E12:E14)</f>
        <v>57.000000000000007</v>
      </c>
      <c r="F15" s="164"/>
      <c r="G15" s="164">
        <f>SUM(G12:G14)</f>
        <v>10.200000000000001</v>
      </c>
      <c r="H15" s="164"/>
      <c r="I15" s="164">
        <f>SUM(I12:I14)</f>
        <v>6.3</v>
      </c>
      <c r="J15" s="164"/>
      <c r="K15" s="164">
        <f>SUM(K12:K14)</f>
        <v>11.900000000000002</v>
      </c>
      <c r="L15" s="164"/>
      <c r="M15" s="164">
        <f>SUM(M12:M14)</f>
        <v>6.335</v>
      </c>
      <c r="N15" s="165"/>
      <c r="O15" s="164">
        <f>SUM(O12:O14)</f>
        <v>6.335</v>
      </c>
      <c r="P15" s="165"/>
      <c r="Q15" s="164">
        <f>SUM(Q12:Q14)</f>
        <v>7.5999999999999988</v>
      </c>
      <c r="R15" s="164">
        <f t="shared" ref="R15:Z15" si="1">SUM(R12:R14)</f>
        <v>5.5349999999999993</v>
      </c>
      <c r="S15" s="164">
        <f t="shared" si="1"/>
        <v>5.7649999999999997</v>
      </c>
      <c r="T15" s="164">
        <f t="shared" si="1"/>
        <v>6.8</v>
      </c>
      <c r="U15" s="164">
        <f t="shared" si="1"/>
        <v>5.419999999999999</v>
      </c>
      <c r="V15" s="164">
        <f t="shared" si="1"/>
        <v>5.5349999999999993</v>
      </c>
      <c r="W15" s="164">
        <f t="shared" si="1"/>
        <v>6.6849999999999996</v>
      </c>
      <c r="X15" s="164">
        <f t="shared" si="1"/>
        <v>5.5349999999999993</v>
      </c>
      <c r="Y15" s="164">
        <f t="shared" si="1"/>
        <v>5.419999999999999</v>
      </c>
      <c r="Z15" s="164">
        <f t="shared" si="1"/>
        <v>6.8999999999999995</v>
      </c>
      <c r="AA15" s="165"/>
      <c r="AB15" s="169"/>
      <c r="AC15" s="165"/>
      <c r="AD15" s="165"/>
      <c r="AE15" s="165"/>
      <c r="AF15" s="165"/>
      <c r="AG15" s="165"/>
      <c r="AH15" s="165"/>
      <c r="AI15" s="165"/>
      <c r="AJ15" s="165"/>
    </row>
    <row r="16" spans="1:36" ht="6" customHeight="1" x14ac:dyDescent="0.25">
      <c r="A16" s="11"/>
      <c r="C16" s="125"/>
      <c r="E16" s="164"/>
      <c r="F16" s="164"/>
      <c r="G16" s="173"/>
      <c r="H16" s="164"/>
      <c r="I16" s="164"/>
      <c r="J16" s="164"/>
      <c r="K16" s="164"/>
      <c r="L16" s="164"/>
      <c r="M16" s="164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9"/>
      <c r="AC16" s="165"/>
      <c r="AD16" s="165"/>
      <c r="AE16" s="165"/>
      <c r="AF16" s="165"/>
      <c r="AG16" s="165"/>
      <c r="AH16" s="165"/>
      <c r="AI16" s="165"/>
      <c r="AJ16" s="165"/>
    </row>
    <row r="17" spans="1:36" x14ac:dyDescent="0.25">
      <c r="A17" s="11" t="s">
        <v>162</v>
      </c>
      <c r="C17" s="125"/>
      <c r="E17" s="174">
        <v>0</v>
      </c>
      <c r="F17" s="174"/>
      <c r="G17" s="174">
        <v>0</v>
      </c>
      <c r="H17" s="174"/>
      <c r="I17" s="174">
        <v>0</v>
      </c>
      <c r="J17" s="174"/>
      <c r="K17" s="174">
        <v>0</v>
      </c>
      <c r="L17" s="174"/>
      <c r="M17" s="174">
        <v>0</v>
      </c>
      <c r="N17" s="174"/>
      <c r="O17" s="174">
        <v>0</v>
      </c>
      <c r="P17" s="174"/>
      <c r="Q17" s="174">
        <v>0</v>
      </c>
      <c r="R17" s="174">
        <v>0</v>
      </c>
      <c r="S17" s="174">
        <v>0</v>
      </c>
      <c r="T17" s="174">
        <v>0</v>
      </c>
      <c r="U17" s="174">
        <v>0</v>
      </c>
      <c r="V17" s="174">
        <v>0</v>
      </c>
      <c r="W17" s="174">
        <v>0</v>
      </c>
      <c r="X17" s="174">
        <v>0</v>
      </c>
      <c r="Y17" s="174">
        <v>0</v>
      </c>
      <c r="Z17" s="174">
        <v>0</v>
      </c>
      <c r="AA17" s="174"/>
      <c r="AB17" s="169"/>
      <c r="AC17" s="165"/>
      <c r="AD17" s="165"/>
      <c r="AE17" s="165"/>
      <c r="AF17" s="165"/>
      <c r="AG17" s="165"/>
      <c r="AH17" s="165"/>
      <c r="AI17" s="165"/>
      <c r="AJ17" s="165"/>
    </row>
    <row r="18" spans="1:36" x14ac:dyDescent="0.25">
      <c r="A18" s="11" t="s">
        <v>176</v>
      </c>
      <c r="C18" s="125"/>
      <c r="E18" s="174">
        <v>0</v>
      </c>
      <c r="F18" s="174"/>
      <c r="G18" s="174">
        <v>0</v>
      </c>
      <c r="H18" s="174"/>
      <c r="I18" s="174">
        <v>0</v>
      </c>
      <c r="J18" s="174"/>
      <c r="K18" s="174">
        <v>0</v>
      </c>
      <c r="L18" s="174"/>
      <c r="M18" s="174">
        <v>0</v>
      </c>
      <c r="N18" s="174"/>
      <c r="O18" s="174">
        <v>0</v>
      </c>
      <c r="P18" s="174"/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/>
      <c r="AB18" s="169"/>
      <c r="AC18" s="165"/>
      <c r="AD18" s="165"/>
      <c r="AE18" s="165"/>
      <c r="AF18" s="165"/>
      <c r="AG18" s="165"/>
      <c r="AH18" s="165"/>
      <c r="AI18" s="165"/>
      <c r="AJ18" s="165"/>
    </row>
    <row r="19" spans="1:36" x14ac:dyDescent="0.25">
      <c r="A19" s="11" t="s">
        <v>179</v>
      </c>
      <c r="C19" s="125"/>
      <c r="E19" s="175">
        <f>-E13</f>
        <v>-11.4</v>
      </c>
      <c r="F19" s="174"/>
      <c r="G19" s="175">
        <f>-G13</f>
        <v>-1.4</v>
      </c>
      <c r="H19" s="174"/>
      <c r="I19" s="175">
        <f>-I13</f>
        <v>-1.4</v>
      </c>
      <c r="J19" s="174"/>
      <c r="K19" s="175">
        <f>-K13</f>
        <v>-1.4</v>
      </c>
      <c r="L19" s="174"/>
      <c r="M19" s="175">
        <f>-M13</f>
        <v>-1.4</v>
      </c>
      <c r="N19" s="174"/>
      <c r="O19" s="175">
        <f>-O13</f>
        <v>-1.4</v>
      </c>
      <c r="P19" s="174"/>
      <c r="Q19" s="175">
        <f>-Q13</f>
        <v>-1.4</v>
      </c>
      <c r="R19" s="175">
        <f t="shared" ref="R19:Z19" si="2">-R13</f>
        <v>-1.4</v>
      </c>
      <c r="S19" s="175">
        <f t="shared" si="2"/>
        <v>-1.4</v>
      </c>
      <c r="T19" s="175">
        <f t="shared" si="2"/>
        <v>-1.4</v>
      </c>
      <c r="U19" s="175">
        <f t="shared" si="2"/>
        <v>-1.4</v>
      </c>
      <c r="V19" s="175">
        <f t="shared" si="2"/>
        <v>-1.4</v>
      </c>
      <c r="W19" s="175">
        <f t="shared" si="2"/>
        <v>-1.4</v>
      </c>
      <c r="X19" s="175">
        <f t="shared" si="2"/>
        <v>-1.4</v>
      </c>
      <c r="Y19" s="175">
        <f t="shared" si="2"/>
        <v>-1.4</v>
      </c>
      <c r="Z19" s="175">
        <f t="shared" si="2"/>
        <v>-1.4</v>
      </c>
      <c r="AA19" s="174"/>
      <c r="AB19" s="169"/>
      <c r="AC19" s="165"/>
      <c r="AD19" s="165"/>
      <c r="AE19" s="165"/>
      <c r="AF19" s="165"/>
      <c r="AG19" s="165"/>
      <c r="AH19" s="165"/>
      <c r="AI19" s="165"/>
      <c r="AJ19" s="165"/>
    </row>
    <row r="20" spans="1:36" hidden="1" x14ac:dyDescent="0.25">
      <c r="C20" s="125"/>
      <c r="E20" s="175"/>
      <c r="F20" s="174"/>
      <c r="G20" s="175">
        <v>0</v>
      </c>
      <c r="H20" s="174"/>
      <c r="I20" s="175"/>
      <c r="J20" s="174"/>
      <c r="K20" s="175"/>
      <c r="L20" s="174"/>
      <c r="M20" s="175"/>
      <c r="N20" s="174"/>
      <c r="O20" s="175"/>
      <c r="P20" s="176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4"/>
      <c r="AB20" s="169"/>
      <c r="AC20" s="165"/>
      <c r="AD20" s="165"/>
      <c r="AE20" s="165"/>
      <c r="AF20" s="165"/>
      <c r="AG20" s="165"/>
      <c r="AH20" s="165"/>
      <c r="AI20" s="165"/>
      <c r="AJ20" s="165"/>
    </row>
    <row r="21" spans="1:36" ht="5.25" customHeight="1" x14ac:dyDescent="0.25">
      <c r="A21" s="11"/>
      <c r="C21" s="125"/>
      <c r="E21" s="164"/>
      <c r="F21" s="164"/>
      <c r="G21" s="173"/>
      <c r="H21" s="164"/>
      <c r="I21" s="173"/>
      <c r="J21" s="164"/>
      <c r="K21" s="173"/>
      <c r="L21" s="164"/>
      <c r="M21" s="173"/>
      <c r="N21" s="165"/>
      <c r="O21" s="173"/>
      <c r="P21" s="165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65"/>
      <c r="AB21" s="169"/>
      <c r="AC21" s="165"/>
      <c r="AD21" s="165"/>
      <c r="AE21" s="165"/>
      <c r="AF21" s="165"/>
      <c r="AG21" s="165"/>
      <c r="AH21" s="165"/>
      <c r="AI21" s="165"/>
      <c r="AJ21" s="165"/>
    </row>
    <row r="22" spans="1:36" ht="16.5" thickBot="1" x14ac:dyDescent="0.3">
      <c r="A22" s="11" t="s">
        <v>163</v>
      </c>
      <c r="C22" s="125"/>
      <c r="E22" s="177">
        <f>+E15+E17+E20+E19</f>
        <v>45.600000000000009</v>
      </c>
      <c r="F22" s="164"/>
      <c r="G22" s="177">
        <f>+G15+G17+G20+G19</f>
        <v>8.8000000000000007</v>
      </c>
      <c r="H22" s="164"/>
      <c r="I22" s="177">
        <f>+I15+I17+I20+I19</f>
        <v>4.9000000000000004</v>
      </c>
      <c r="J22" s="164"/>
      <c r="K22" s="177">
        <f>+K15+K17+K20+K19</f>
        <v>10.500000000000002</v>
      </c>
      <c r="L22" s="164"/>
      <c r="M22" s="177">
        <f>+M15+M17+M20+M19</f>
        <v>4.9350000000000005</v>
      </c>
      <c r="N22" s="165"/>
      <c r="O22" s="177">
        <f>+O15+O17+O20+O19</f>
        <v>4.9350000000000005</v>
      </c>
      <c r="P22" s="165"/>
      <c r="Q22" s="177">
        <f>+Q15+Q17+Q20+Q19</f>
        <v>6.1999999999999993</v>
      </c>
      <c r="R22" s="177">
        <f t="shared" ref="R22:Z22" si="3">+R15+R17+R20+R19</f>
        <v>4.1349999999999998</v>
      </c>
      <c r="S22" s="177">
        <f t="shared" si="3"/>
        <v>4.3650000000000002</v>
      </c>
      <c r="T22" s="177">
        <f t="shared" si="3"/>
        <v>5.4</v>
      </c>
      <c r="U22" s="177">
        <f t="shared" si="3"/>
        <v>4.0199999999999996</v>
      </c>
      <c r="V22" s="177">
        <f t="shared" si="3"/>
        <v>4.1349999999999998</v>
      </c>
      <c r="W22" s="177">
        <f t="shared" si="3"/>
        <v>5.2850000000000001</v>
      </c>
      <c r="X22" s="177">
        <f t="shared" si="3"/>
        <v>4.1349999999999998</v>
      </c>
      <c r="Y22" s="177">
        <f t="shared" si="3"/>
        <v>4.0199999999999996</v>
      </c>
      <c r="Z22" s="177">
        <f t="shared" si="3"/>
        <v>5.5</v>
      </c>
      <c r="AA22" s="165"/>
      <c r="AB22" s="169"/>
      <c r="AC22" s="165"/>
      <c r="AD22" s="165"/>
      <c r="AE22" s="165"/>
      <c r="AF22" s="165"/>
      <c r="AG22" s="165"/>
      <c r="AH22" s="165"/>
      <c r="AI22" s="165"/>
      <c r="AJ22" s="165"/>
    </row>
    <row r="23" spans="1:36" ht="5.25" customHeight="1" thickTop="1" x14ac:dyDescent="0.25">
      <c r="A23" s="11"/>
      <c r="C23" s="125"/>
      <c r="E23" s="164"/>
      <c r="F23" s="164"/>
      <c r="G23" s="173"/>
      <c r="H23" s="164"/>
      <c r="I23" s="164"/>
      <c r="J23" s="164"/>
      <c r="K23" s="164"/>
      <c r="L23" s="164"/>
      <c r="M23" s="164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9"/>
      <c r="AC23" s="165"/>
      <c r="AD23" s="165"/>
      <c r="AE23" s="165"/>
      <c r="AF23" s="165"/>
      <c r="AG23" s="165"/>
      <c r="AH23" s="165"/>
      <c r="AI23" s="165"/>
      <c r="AJ23" s="165"/>
    </row>
    <row r="24" spans="1:36" x14ac:dyDescent="0.25">
      <c r="A24" s="11"/>
      <c r="C24" s="125"/>
      <c r="E24" s="168"/>
      <c r="F24" s="168"/>
      <c r="G24" s="168"/>
      <c r="H24" s="168"/>
      <c r="I24" s="168"/>
      <c r="J24" s="168"/>
      <c r="K24" s="168"/>
      <c r="L24" s="168"/>
      <c r="M24" s="168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9"/>
      <c r="AC24" s="165"/>
      <c r="AD24" s="165"/>
      <c r="AE24" s="165"/>
      <c r="AF24" s="165"/>
      <c r="AG24" s="165"/>
      <c r="AH24" s="165"/>
      <c r="AI24" s="165"/>
      <c r="AJ24" s="165"/>
    </row>
    <row r="25" spans="1:36" x14ac:dyDescent="0.25">
      <c r="A25" s="11" t="s">
        <v>198</v>
      </c>
      <c r="C25" s="125"/>
      <c r="E25" s="168"/>
      <c r="F25" s="168"/>
      <c r="G25" s="168"/>
      <c r="H25" s="168"/>
      <c r="I25" s="168"/>
      <c r="J25" s="168"/>
      <c r="K25" s="168"/>
      <c r="L25" s="168"/>
      <c r="M25" s="168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65"/>
      <c r="AD25" s="165"/>
      <c r="AE25" s="165"/>
      <c r="AF25" s="165"/>
      <c r="AG25" s="165"/>
      <c r="AH25" s="165"/>
      <c r="AI25" s="165"/>
      <c r="AJ25" s="165"/>
    </row>
    <row r="26" spans="1:36" x14ac:dyDescent="0.25">
      <c r="A26" s="178" t="s">
        <v>212</v>
      </c>
      <c r="B26" s="179"/>
      <c r="C26" s="180"/>
      <c r="D26" s="179"/>
      <c r="E26" s="181"/>
      <c r="F26" s="181"/>
      <c r="G26" s="181"/>
      <c r="H26" s="181"/>
      <c r="I26" s="181"/>
      <c r="J26" s="181"/>
      <c r="K26" s="181"/>
      <c r="L26" s="181"/>
      <c r="M26" s="181"/>
      <c r="N26" s="182"/>
      <c r="O26" s="182"/>
      <c r="P26" s="182"/>
      <c r="Q26" s="182"/>
      <c r="R26" s="182"/>
      <c r="S26" s="182"/>
      <c r="T26" s="165"/>
      <c r="U26" s="165"/>
      <c r="V26" s="165"/>
      <c r="W26" s="165"/>
      <c r="X26" s="165"/>
      <c r="Y26" s="165"/>
      <c r="Z26" s="165"/>
      <c r="AA26" s="165"/>
      <c r="AB26" s="169"/>
      <c r="AC26" s="165"/>
      <c r="AD26" s="165"/>
      <c r="AE26" s="165"/>
      <c r="AF26" s="165"/>
      <c r="AG26" s="165"/>
      <c r="AH26" s="165"/>
      <c r="AI26" s="165"/>
      <c r="AJ26" s="165"/>
    </row>
    <row r="27" spans="1:36" x14ac:dyDescent="0.25">
      <c r="A27" s="11"/>
      <c r="C27" s="125"/>
    </row>
    <row r="28" spans="1:36" x14ac:dyDescent="0.25">
      <c r="A28" s="11"/>
    </row>
    <row r="29" spans="1:36" x14ac:dyDescent="0.25">
      <c r="A29" s="11"/>
    </row>
    <row r="30" spans="1:36" x14ac:dyDescent="0.25">
      <c r="A30" s="11"/>
    </row>
    <row r="31" spans="1:36" x14ac:dyDescent="0.25">
      <c r="A31" s="11"/>
    </row>
    <row r="32" spans="1:36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7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pageSetUpPr fitToPage="1"/>
  </sheetPr>
  <dimension ref="A1:AC43"/>
  <sheetViews>
    <sheetView showGridLines="0" tabSelected="1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1.140625" style="5" customWidth="1"/>
    <col min="14" max="22" width="11" style="5" customWidth="1"/>
    <col min="23" max="23" width="16" style="5" customWidth="1"/>
    <col min="24" max="24" width="18.85546875" style="5" customWidth="1"/>
    <col min="25" max="25" width="9.140625" style="5"/>
    <col min="26" max="26" width="11.28515625" style="5" bestFit="1" customWidth="1"/>
    <col min="27" max="27" width="9.140625" style="5"/>
    <col min="28" max="28" width="18.5703125" style="5" customWidth="1"/>
    <col min="29" max="16384" width="9.140625" style="5"/>
  </cols>
  <sheetData>
    <row r="1" spans="1:29" s="4" customFormat="1" ht="15.75" x14ac:dyDescent="0.25">
      <c r="A1" s="20" t="str">
        <f>"Employee Sensitive "&amp;ROUND((W12/W25)*100,0)&amp;"%"</f>
        <v>Employee Sensitive 45%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160" t="s">
        <v>204</v>
      </c>
      <c r="O1" s="160" t="s">
        <v>205</v>
      </c>
      <c r="P1" s="160" t="s">
        <v>206</v>
      </c>
      <c r="Q1" s="160" t="s">
        <v>207</v>
      </c>
      <c r="R1" s="160" t="s">
        <v>208</v>
      </c>
      <c r="S1" s="160" t="s">
        <v>209</v>
      </c>
      <c r="T1" s="160" t="s">
        <v>156</v>
      </c>
      <c r="U1" s="160" t="s">
        <v>210</v>
      </c>
      <c r="V1" s="160" t="s">
        <v>211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25">
      <c r="A2" s="9" t="s">
        <v>21</v>
      </c>
      <c r="B2" s="7"/>
      <c r="C2" s="116">
        <v>1.6</v>
      </c>
      <c r="D2" s="116"/>
      <c r="E2" s="116">
        <f>1.6-0.3</f>
        <v>1.3</v>
      </c>
      <c r="F2" s="116"/>
      <c r="G2" s="116">
        <f>1.6-0.3</f>
        <v>1.3</v>
      </c>
      <c r="H2" s="116"/>
      <c r="I2" s="116">
        <v>1.5</v>
      </c>
      <c r="J2" s="116"/>
      <c r="K2" s="7">
        <f>1.5-0.1</f>
        <v>1.4</v>
      </c>
      <c r="L2" s="7"/>
      <c r="M2" s="7">
        <v>2.1</v>
      </c>
      <c r="N2" s="7">
        <v>1.5</v>
      </c>
      <c r="O2" s="7">
        <v>1.5</v>
      </c>
      <c r="P2" s="7">
        <v>2.1</v>
      </c>
      <c r="Q2" s="7">
        <v>1.5</v>
      </c>
      <c r="R2" s="7">
        <v>1.5</v>
      </c>
      <c r="S2" s="7">
        <v>2.1</v>
      </c>
      <c r="T2" s="7">
        <v>1.5</v>
      </c>
      <c r="U2" s="7">
        <v>1.5</v>
      </c>
      <c r="V2" s="7">
        <v>2.1</v>
      </c>
      <c r="W2" s="155">
        <f>SUM(C2:V2)</f>
        <v>24.5</v>
      </c>
      <c r="X2" s="7"/>
    </row>
    <row r="3" spans="1:29" s="4" customFormat="1" ht="22.5" customHeight="1" x14ac:dyDescent="0.25">
      <c r="A3" s="9" t="s">
        <v>180</v>
      </c>
      <c r="B3" s="7"/>
      <c r="C3" s="116">
        <v>0.3</v>
      </c>
      <c r="D3" s="116"/>
      <c r="E3" s="116">
        <v>0.3</v>
      </c>
      <c r="F3" s="116"/>
      <c r="G3" s="116">
        <v>0.3</v>
      </c>
      <c r="H3" s="116"/>
      <c r="I3" s="116">
        <v>0.6</v>
      </c>
      <c r="J3" s="116"/>
      <c r="K3" s="7">
        <f>0.6-0.1</f>
        <v>0.5</v>
      </c>
      <c r="L3" s="7"/>
      <c r="M3" s="7">
        <v>0.6</v>
      </c>
      <c r="N3" s="7">
        <v>0.6</v>
      </c>
      <c r="O3" s="7">
        <v>0.6</v>
      </c>
      <c r="P3" s="7">
        <v>0.6</v>
      </c>
      <c r="Q3" s="7">
        <v>0.6</v>
      </c>
      <c r="R3" s="7">
        <v>0.6</v>
      </c>
      <c r="S3" s="7">
        <v>0.6</v>
      </c>
      <c r="T3" s="7">
        <v>0.6</v>
      </c>
      <c r="U3" s="7">
        <v>0.6</v>
      </c>
      <c r="V3" s="7">
        <v>0.6</v>
      </c>
      <c r="W3" s="155">
        <f t="shared" ref="W3:W11" si="0">SUM(C3:V3)</f>
        <v>7.9999999999999982</v>
      </c>
      <c r="X3" s="7"/>
    </row>
    <row r="4" spans="1:29" s="4" customFormat="1" ht="22.5" customHeight="1" x14ac:dyDescent="0.25">
      <c r="A4" s="9" t="s">
        <v>186</v>
      </c>
      <c r="B4" s="7"/>
      <c r="C4" s="116">
        <v>0.1</v>
      </c>
      <c r="D4" s="116"/>
      <c r="E4" s="116">
        <v>0.1</v>
      </c>
      <c r="F4" s="116"/>
      <c r="G4" s="116">
        <v>0.1</v>
      </c>
      <c r="H4" s="116"/>
      <c r="I4" s="116">
        <v>0.1</v>
      </c>
      <c r="J4" s="116">
        <v>0.1</v>
      </c>
      <c r="K4" s="116">
        <v>0.1</v>
      </c>
      <c r="L4" s="116">
        <v>0.1</v>
      </c>
      <c r="M4" s="116">
        <v>0.3</v>
      </c>
      <c r="N4" s="116">
        <v>0.1</v>
      </c>
      <c r="O4" s="116">
        <v>0.1</v>
      </c>
      <c r="P4" s="116">
        <v>0.1</v>
      </c>
      <c r="Q4" s="116">
        <v>0.1</v>
      </c>
      <c r="R4" s="116">
        <v>0.1</v>
      </c>
      <c r="S4" s="116">
        <v>0.1</v>
      </c>
      <c r="T4" s="116">
        <v>0.1</v>
      </c>
      <c r="U4" s="116">
        <v>0</v>
      </c>
      <c r="V4" s="116">
        <v>0</v>
      </c>
      <c r="W4" s="155">
        <f t="shared" si="0"/>
        <v>1.7000000000000006</v>
      </c>
      <c r="X4" s="7"/>
    </row>
    <row r="5" spans="1:29" s="4" customFormat="1" ht="29.25" customHeight="1" x14ac:dyDescent="0.25">
      <c r="A5" s="69" t="s">
        <v>26</v>
      </c>
      <c r="B5" s="7"/>
      <c r="C5" s="129">
        <v>0</v>
      </c>
      <c r="D5" s="129"/>
      <c r="E5" s="129">
        <v>0</v>
      </c>
      <c r="F5" s="129"/>
      <c r="G5" s="129">
        <v>0</v>
      </c>
      <c r="H5" s="129"/>
      <c r="I5" s="129">
        <v>0</v>
      </c>
      <c r="J5" s="129"/>
      <c r="K5" s="129">
        <v>0</v>
      </c>
      <c r="L5" s="7"/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55">
        <f t="shared" si="0"/>
        <v>0</v>
      </c>
      <c r="X5" s="6"/>
      <c r="Z5" s="132"/>
    </row>
    <row r="6" spans="1:29" s="4" customFormat="1" ht="25.5" customHeight="1" x14ac:dyDescent="0.25">
      <c r="A6" s="69" t="s">
        <v>17</v>
      </c>
      <c r="B6" s="7"/>
      <c r="C6" s="130">
        <v>0.1</v>
      </c>
      <c r="D6" s="130"/>
      <c r="E6" s="130">
        <v>0.1</v>
      </c>
      <c r="F6" s="130"/>
      <c r="G6" s="130">
        <v>0.1</v>
      </c>
      <c r="H6" s="130"/>
      <c r="I6" s="130">
        <v>0.4</v>
      </c>
      <c r="J6" s="130"/>
      <c r="K6" s="7">
        <v>0.4</v>
      </c>
      <c r="L6" s="7"/>
      <c r="M6" s="7">
        <v>0.4</v>
      </c>
      <c r="N6" s="7">
        <v>0.4</v>
      </c>
      <c r="O6" s="7">
        <v>0.4</v>
      </c>
      <c r="P6" s="7">
        <v>0.4</v>
      </c>
      <c r="Q6" s="7">
        <v>0.4</v>
      </c>
      <c r="R6" s="7">
        <v>0.4</v>
      </c>
      <c r="S6" s="7">
        <v>0.4</v>
      </c>
      <c r="T6" s="7">
        <v>0.4</v>
      </c>
      <c r="U6" s="7">
        <v>0.4</v>
      </c>
      <c r="V6" s="7">
        <v>0.4</v>
      </c>
      <c r="W6" s="155">
        <f t="shared" si="0"/>
        <v>5.1000000000000005</v>
      </c>
      <c r="X6" s="6"/>
    </row>
    <row r="7" spans="1:29" s="4" customFormat="1" ht="27" customHeight="1" x14ac:dyDescent="0.25">
      <c r="A7" s="69" t="s">
        <v>181</v>
      </c>
      <c r="B7" s="7"/>
      <c r="C7" s="117">
        <v>0</v>
      </c>
      <c r="D7" s="117"/>
      <c r="E7" s="117">
        <v>0</v>
      </c>
      <c r="F7" s="117"/>
      <c r="G7" s="117">
        <v>0</v>
      </c>
      <c r="H7" s="117"/>
      <c r="I7" s="117">
        <v>0</v>
      </c>
      <c r="J7" s="117"/>
      <c r="K7" s="117">
        <v>0</v>
      </c>
      <c r="L7" s="7"/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0"/>
        <v>0</v>
      </c>
      <c r="X7" s="6"/>
    </row>
    <row r="8" spans="1:29" s="4" customFormat="1" ht="22.5" customHeight="1" x14ac:dyDescent="0.25">
      <c r="A8" s="9" t="s">
        <v>182</v>
      </c>
      <c r="B8" s="7"/>
      <c r="C8" s="117">
        <v>0.1</v>
      </c>
      <c r="D8" s="117"/>
      <c r="E8" s="117">
        <v>0</v>
      </c>
      <c r="F8" s="117"/>
      <c r="G8" s="117">
        <v>0</v>
      </c>
      <c r="H8" s="117"/>
      <c r="I8" s="117">
        <v>0.2</v>
      </c>
      <c r="J8" s="117"/>
      <c r="K8" s="7">
        <v>0.2</v>
      </c>
      <c r="L8" s="7"/>
      <c r="M8" s="7">
        <v>0.2</v>
      </c>
      <c r="N8" s="7">
        <v>0.2</v>
      </c>
      <c r="O8" s="7">
        <v>0.2</v>
      </c>
      <c r="P8" s="7">
        <v>0.2</v>
      </c>
      <c r="Q8" s="7">
        <v>0.2</v>
      </c>
      <c r="R8" s="7">
        <v>0.2</v>
      </c>
      <c r="S8" s="7">
        <v>0.2</v>
      </c>
      <c r="T8" s="7">
        <v>0.2</v>
      </c>
      <c r="U8" s="7">
        <v>0.2</v>
      </c>
      <c r="V8" s="7">
        <v>0.2</v>
      </c>
      <c r="W8" s="155">
        <f t="shared" si="0"/>
        <v>2.5</v>
      </c>
      <c r="X8" s="6"/>
    </row>
    <row r="9" spans="1:29" s="4" customFormat="1" ht="22.5" customHeight="1" x14ac:dyDescent="0.25">
      <c r="A9" s="9" t="s">
        <v>70</v>
      </c>
      <c r="B9" s="7"/>
      <c r="C9" s="117">
        <v>0.1</v>
      </c>
      <c r="D9" s="117"/>
      <c r="E9" s="117">
        <v>0</v>
      </c>
      <c r="F9" s="117"/>
      <c r="G9" s="117">
        <v>0</v>
      </c>
      <c r="H9" s="117"/>
      <c r="I9" s="117">
        <v>0.1</v>
      </c>
      <c r="J9" s="117"/>
      <c r="K9" s="117">
        <v>0</v>
      </c>
      <c r="L9" s="7"/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0</v>
      </c>
      <c r="V9" s="117">
        <v>0</v>
      </c>
      <c r="W9" s="155">
        <f t="shared" si="0"/>
        <v>0.2</v>
      </c>
      <c r="X9" s="6"/>
    </row>
    <row r="10" spans="1:29" s="4" customFormat="1" ht="22.5" customHeight="1" x14ac:dyDescent="0.25">
      <c r="A10" s="9" t="s">
        <v>19</v>
      </c>
      <c r="B10" s="7"/>
      <c r="C10" s="117">
        <v>0.1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/>
      <c r="K10" s="117">
        <v>0</v>
      </c>
      <c r="L10" s="7"/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0"/>
        <v>0.1</v>
      </c>
      <c r="X10" s="6"/>
    </row>
    <row r="11" spans="1:29" s="4" customFormat="1" ht="15.75" x14ac:dyDescent="0.25">
      <c r="A11" s="9" t="s">
        <v>2</v>
      </c>
      <c r="B11" s="7"/>
      <c r="C11" s="118">
        <v>0</v>
      </c>
      <c r="D11" s="118"/>
      <c r="E11" s="118">
        <v>1.2</v>
      </c>
      <c r="F11" s="118"/>
      <c r="G11" s="118">
        <v>0.8</v>
      </c>
      <c r="H11" s="118"/>
      <c r="I11" s="118">
        <v>0.6</v>
      </c>
      <c r="J11" s="118"/>
      <c r="K11" s="118">
        <v>0.8</v>
      </c>
      <c r="L11" s="118"/>
      <c r="M11" s="118">
        <v>0.8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275">
        <f t="shared" si="0"/>
        <v>4.2</v>
      </c>
      <c r="X11" s="118"/>
    </row>
    <row r="12" spans="1:29" s="4" customFormat="1" ht="15.75" x14ac:dyDescent="0.25">
      <c r="A12" s="22" t="s">
        <v>20</v>
      </c>
      <c r="B12" s="7"/>
      <c r="C12" s="23">
        <f>SUM(C2:C11)</f>
        <v>2.4000000000000004</v>
      </c>
      <c r="D12" s="23">
        <f>SUM(D2:D11)</f>
        <v>0</v>
      </c>
      <c r="E12" s="23">
        <f>SUM(E2:E11)</f>
        <v>3</v>
      </c>
      <c r="F12" s="23"/>
      <c r="G12" s="23">
        <f>SUM(G2:G11)</f>
        <v>2.6000000000000005</v>
      </c>
      <c r="H12" s="23"/>
      <c r="I12" s="23">
        <f>SUM(I2:I11)</f>
        <v>3.5000000000000004</v>
      </c>
      <c r="J12" s="23"/>
      <c r="K12" s="23">
        <f>SUM(K2:K11)</f>
        <v>3.4000000000000004</v>
      </c>
      <c r="L12" s="23"/>
      <c r="M12" s="23">
        <f>SUM(M2:M11)</f>
        <v>4.4000000000000004</v>
      </c>
      <c r="N12" s="23">
        <f t="shared" ref="N12:V12" si="1">SUM(N2:N11)</f>
        <v>2.8000000000000003</v>
      </c>
      <c r="O12" s="23">
        <f t="shared" si="1"/>
        <v>2.8000000000000003</v>
      </c>
      <c r="P12" s="23">
        <f t="shared" si="1"/>
        <v>3.4000000000000004</v>
      </c>
      <c r="Q12" s="23">
        <f t="shared" si="1"/>
        <v>2.8000000000000003</v>
      </c>
      <c r="R12" s="23">
        <f t="shared" si="1"/>
        <v>2.8000000000000003</v>
      </c>
      <c r="S12" s="23">
        <f t="shared" si="1"/>
        <v>3.4000000000000004</v>
      </c>
      <c r="T12" s="23">
        <f t="shared" si="1"/>
        <v>2.8000000000000003</v>
      </c>
      <c r="U12" s="23">
        <f t="shared" si="1"/>
        <v>2.7</v>
      </c>
      <c r="V12" s="23">
        <f t="shared" si="1"/>
        <v>3.3000000000000003</v>
      </c>
      <c r="W12" s="23">
        <f>SUM(C12:V12)</f>
        <v>46.1</v>
      </c>
      <c r="X12" s="23"/>
    </row>
    <row r="13" spans="1:29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75" x14ac:dyDescent="0.25">
      <c r="A15" s="24" t="str">
        <f>"Non-Employee Sensitive "&amp;ROUND((W23/W25)*100,0)&amp;"%"</f>
        <v>Non-Employee Sensitive 55%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25">
      <c r="A16" s="9" t="s">
        <v>183</v>
      </c>
      <c r="B16" s="7"/>
      <c r="C16" s="116">
        <v>1.4</v>
      </c>
      <c r="D16" s="116"/>
      <c r="E16" s="116">
        <v>1.4</v>
      </c>
      <c r="F16" s="116"/>
      <c r="G16" s="116">
        <v>1.4</v>
      </c>
      <c r="H16" s="116"/>
      <c r="I16" s="116">
        <v>1.4</v>
      </c>
      <c r="J16" s="116"/>
      <c r="K16" s="116">
        <v>1.4</v>
      </c>
      <c r="L16" s="116"/>
      <c r="M16" s="116">
        <v>1.4</v>
      </c>
      <c r="N16" s="116">
        <v>1.4</v>
      </c>
      <c r="O16" s="116">
        <v>1.4</v>
      </c>
      <c r="P16" s="116">
        <v>1.4</v>
      </c>
      <c r="Q16" s="116">
        <v>1.4</v>
      </c>
      <c r="R16" s="116">
        <v>1.4</v>
      </c>
      <c r="S16" s="116">
        <v>1.4</v>
      </c>
      <c r="T16" s="116">
        <v>1.4</v>
      </c>
      <c r="U16" s="116">
        <v>1.4</v>
      </c>
      <c r="V16" s="116">
        <v>1.4</v>
      </c>
      <c r="W16" s="155">
        <f t="shared" ref="W16:W23" si="2">SUM(C16:V16)</f>
        <v>20.999999999999996</v>
      </c>
      <c r="X16" s="6"/>
    </row>
    <row r="17" spans="1:24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55"/>
      <c r="X17" s="6"/>
    </row>
    <row r="18" spans="1:24" s="4" customFormat="1" ht="24.75" customHeight="1" x14ac:dyDescent="0.25">
      <c r="A18" s="9" t="s">
        <v>178</v>
      </c>
      <c r="B18" s="7"/>
      <c r="C18" s="117">
        <v>0.2</v>
      </c>
      <c r="D18" s="117"/>
      <c r="E18" s="117">
        <v>0.2</v>
      </c>
      <c r="F18" s="117"/>
      <c r="G18" s="117">
        <v>0.2</v>
      </c>
      <c r="H18" s="117"/>
      <c r="I18" s="117">
        <v>0.2</v>
      </c>
      <c r="J18" s="117">
        <v>0.2</v>
      </c>
      <c r="K18" s="117">
        <v>0.2</v>
      </c>
      <c r="L18" s="117">
        <v>0.2</v>
      </c>
      <c r="M18" s="117">
        <v>0.2</v>
      </c>
      <c r="N18" s="117">
        <v>0.2</v>
      </c>
      <c r="O18" s="117">
        <v>0.2</v>
      </c>
      <c r="P18" s="117">
        <v>0.2</v>
      </c>
      <c r="Q18" s="117">
        <v>0.2</v>
      </c>
      <c r="R18" s="117">
        <v>0.2</v>
      </c>
      <c r="S18" s="117">
        <v>0.2</v>
      </c>
      <c r="T18" s="117">
        <v>0.2</v>
      </c>
      <c r="U18" s="117">
        <v>0.2</v>
      </c>
      <c r="V18" s="117">
        <v>0.2</v>
      </c>
      <c r="W18" s="155">
        <f t="shared" si="2"/>
        <v>3.4000000000000008</v>
      </c>
      <c r="X18" s="25"/>
    </row>
    <row r="19" spans="1:24" s="4" customFormat="1" ht="21" customHeight="1" x14ac:dyDescent="0.25">
      <c r="A19" s="70" t="s">
        <v>18</v>
      </c>
      <c r="B19" s="7"/>
      <c r="C19" s="117">
        <v>5.0999999999999996</v>
      </c>
      <c r="D19" s="117"/>
      <c r="E19" s="117">
        <f>2.2-0.5</f>
        <v>1.7000000000000002</v>
      </c>
      <c r="F19" s="117"/>
      <c r="G19" s="117">
        <f>8.2-0.5</f>
        <v>7.6999999999999993</v>
      </c>
      <c r="H19" s="117"/>
      <c r="I19" s="117">
        <f>0.5+0.6</f>
        <v>1.1000000000000001</v>
      </c>
      <c r="J19" s="117"/>
      <c r="K19" s="117">
        <f>0.7+0.6</f>
        <v>1.2999999999999998</v>
      </c>
      <c r="L19" s="117"/>
      <c r="M19" s="117">
        <v>1.5</v>
      </c>
      <c r="N19" s="117">
        <v>1.1000000000000001</v>
      </c>
      <c r="O19" s="117">
        <f>0.8+0.6</f>
        <v>1.4</v>
      </c>
      <c r="P19" s="117">
        <v>1.7</v>
      </c>
      <c r="Q19" s="117">
        <v>1</v>
      </c>
      <c r="R19" s="117">
        <v>1.1000000000000001</v>
      </c>
      <c r="S19" s="117">
        <f>1+0.6</f>
        <v>1.6</v>
      </c>
      <c r="T19" s="117">
        <v>1.1000000000000001</v>
      </c>
      <c r="U19" s="117">
        <v>1.1000000000000001</v>
      </c>
      <c r="V19" s="117">
        <v>1.9</v>
      </c>
      <c r="W19" s="155">
        <f t="shared" si="2"/>
        <v>30.400000000000002</v>
      </c>
      <c r="X19" s="6"/>
    </row>
    <row r="20" spans="1:24" s="4" customFormat="1" ht="21.75" customHeight="1" x14ac:dyDescent="0.25">
      <c r="A20" s="9" t="s">
        <v>19</v>
      </c>
      <c r="B20" s="7"/>
      <c r="C20" s="117">
        <v>0</v>
      </c>
      <c r="D20" s="117"/>
      <c r="E20" s="117">
        <v>0</v>
      </c>
      <c r="F20" s="117"/>
      <c r="G20" s="117">
        <v>0</v>
      </c>
      <c r="H20" s="117"/>
      <c r="I20" s="117">
        <v>0</v>
      </c>
      <c r="J20" s="117"/>
      <c r="K20" s="117">
        <v>0</v>
      </c>
      <c r="L20" s="117"/>
      <c r="M20" s="117">
        <v>0.1</v>
      </c>
      <c r="N20" s="117">
        <v>0</v>
      </c>
      <c r="O20" s="117">
        <v>0</v>
      </c>
      <c r="P20" s="117">
        <v>0.1</v>
      </c>
      <c r="Q20" s="117">
        <v>0</v>
      </c>
      <c r="R20" s="117">
        <v>0</v>
      </c>
      <c r="S20" s="117">
        <v>0.1</v>
      </c>
      <c r="T20" s="117">
        <v>0</v>
      </c>
      <c r="U20" s="117">
        <v>0</v>
      </c>
      <c r="V20" s="117">
        <v>0.1</v>
      </c>
      <c r="W20" s="155">
        <f t="shared" si="2"/>
        <v>0.4</v>
      </c>
      <c r="X20" s="6"/>
    </row>
    <row r="21" spans="1:24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55">
        <f t="shared" si="2"/>
        <v>0</v>
      </c>
      <c r="X21" s="6"/>
    </row>
    <row r="22" spans="1:24" s="4" customFormat="1" ht="19.5" customHeight="1" x14ac:dyDescent="0.25">
      <c r="A22" s="4" t="s">
        <v>174</v>
      </c>
      <c r="B22" s="7"/>
      <c r="C22" s="118">
        <v>1.1000000000000001</v>
      </c>
      <c r="D22" s="118">
        <v>1.0000000000000001E-9</v>
      </c>
      <c r="E22" s="118">
        <v>0</v>
      </c>
      <c r="F22" s="118"/>
      <c r="G22" s="118"/>
      <c r="H22" s="118"/>
      <c r="I22" s="118">
        <v>0.1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275">
        <f t="shared" si="2"/>
        <v>1.2000000010000003</v>
      </c>
      <c r="X22" s="118"/>
    </row>
    <row r="23" spans="1:24" s="4" customFormat="1" ht="15.75" x14ac:dyDescent="0.25">
      <c r="A23" s="22" t="s">
        <v>20</v>
      </c>
      <c r="B23" s="7"/>
      <c r="C23" s="26">
        <f>SUM(C16:C22)</f>
        <v>7.7999999999999989</v>
      </c>
      <c r="D23" s="26">
        <f>SUM(D16:D22)</f>
        <v>1.0000000000000001E-9</v>
      </c>
      <c r="E23" s="26">
        <f>SUM(E16:E22)</f>
        <v>3.3</v>
      </c>
      <c r="F23" s="26"/>
      <c r="G23" s="26">
        <f>SUM(G16:G22)</f>
        <v>9.2999999999999989</v>
      </c>
      <c r="H23" s="26"/>
      <c r="I23" s="26">
        <f>SUM(I16:I22)</f>
        <v>2.8000000000000003</v>
      </c>
      <c r="J23" s="26"/>
      <c r="K23" s="26">
        <f>SUM(K16:K22)</f>
        <v>2.8999999999999995</v>
      </c>
      <c r="L23" s="26"/>
      <c r="M23" s="26">
        <f>SUM(M16:M22)</f>
        <v>3.1999999999999997</v>
      </c>
      <c r="N23" s="26">
        <f t="shared" ref="N23:V23" si="3">SUM(N16:N22)</f>
        <v>2.7</v>
      </c>
      <c r="O23" s="26">
        <f t="shared" si="3"/>
        <v>3</v>
      </c>
      <c r="P23" s="26">
        <f t="shared" si="3"/>
        <v>3.4</v>
      </c>
      <c r="Q23" s="26">
        <f t="shared" si="3"/>
        <v>2.5999999999999996</v>
      </c>
      <c r="R23" s="26">
        <f t="shared" si="3"/>
        <v>2.7</v>
      </c>
      <c r="S23" s="26">
        <f t="shared" si="3"/>
        <v>3.3000000000000003</v>
      </c>
      <c r="T23" s="26">
        <f t="shared" si="3"/>
        <v>2.7</v>
      </c>
      <c r="U23" s="26">
        <f t="shared" si="3"/>
        <v>2.7</v>
      </c>
      <c r="V23" s="26">
        <f t="shared" si="3"/>
        <v>3.6</v>
      </c>
      <c r="W23" s="26">
        <f t="shared" si="2"/>
        <v>56.000000001000004</v>
      </c>
      <c r="X23" s="6"/>
    </row>
    <row r="24" spans="1:24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5" thickBot="1" x14ac:dyDescent="0.3">
      <c r="A25" s="27" t="s">
        <v>22</v>
      </c>
      <c r="B25" s="27"/>
      <c r="C25" s="28">
        <f>C12+C23</f>
        <v>10.199999999999999</v>
      </c>
      <c r="D25" s="28">
        <f>D12+D23</f>
        <v>1.0000000000000001E-9</v>
      </c>
      <c r="E25" s="28">
        <f>E12+E23</f>
        <v>6.3</v>
      </c>
      <c r="F25" s="28"/>
      <c r="G25" s="28">
        <f>G12+G23</f>
        <v>11.899999999999999</v>
      </c>
      <c r="H25" s="28"/>
      <c r="I25" s="28">
        <f>I12+I23</f>
        <v>6.3000000000000007</v>
      </c>
      <c r="J25" s="28"/>
      <c r="K25" s="28">
        <f>K12+K23</f>
        <v>6.3</v>
      </c>
      <c r="L25" s="28"/>
      <c r="M25" s="28">
        <f>M12+M23</f>
        <v>7.6</v>
      </c>
      <c r="N25" s="28">
        <f t="shared" ref="N25:V25" si="4">N12+N23</f>
        <v>5.5</v>
      </c>
      <c r="O25" s="28">
        <f t="shared" si="4"/>
        <v>5.8000000000000007</v>
      </c>
      <c r="P25" s="28">
        <f t="shared" si="4"/>
        <v>6.8000000000000007</v>
      </c>
      <c r="Q25" s="28">
        <f t="shared" si="4"/>
        <v>5.4</v>
      </c>
      <c r="R25" s="28">
        <f t="shared" si="4"/>
        <v>5.5</v>
      </c>
      <c r="S25" s="28">
        <f t="shared" si="4"/>
        <v>6.7000000000000011</v>
      </c>
      <c r="T25" s="28">
        <f t="shared" si="4"/>
        <v>5.5</v>
      </c>
      <c r="U25" s="28">
        <f t="shared" si="4"/>
        <v>5.4</v>
      </c>
      <c r="V25" s="28">
        <f t="shared" si="4"/>
        <v>6.9</v>
      </c>
      <c r="W25" s="28">
        <f>SUM(C25:V25)</f>
        <v>102.10000000100001</v>
      </c>
      <c r="X25" s="6"/>
    </row>
    <row r="26" spans="1:24" s="4" customFormat="1" ht="16.5" thickTop="1" x14ac:dyDescent="0.25"/>
    <row r="27" spans="1:24" s="4" customFormat="1" ht="15.75" x14ac:dyDescent="0.25">
      <c r="C27" s="187">
        <f>+C25-'EGS Burn'!G15</f>
        <v>0</v>
      </c>
      <c r="E27" s="187">
        <f>+E25-'EGS Burn'!I15</f>
        <v>0</v>
      </c>
      <c r="G27" s="187">
        <f>+G25-'EGS Burn'!K15</f>
        <v>0</v>
      </c>
      <c r="I27" s="187">
        <f>+I25-'EGS Burn'!M15</f>
        <v>-3.4999999999999254E-2</v>
      </c>
      <c r="K27" s="187">
        <f>+K25-'EGS Burn'!O15</f>
        <v>-3.5000000000000142E-2</v>
      </c>
      <c r="M27" s="187">
        <f>+M25-'EGS Burn'!Q15</f>
        <v>0</v>
      </c>
      <c r="N27" s="187">
        <f>+N25-'EGS Burn'!R15</f>
        <v>-3.4999999999999254E-2</v>
      </c>
      <c r="O27" s="187"/>
      <c r="P27" s="187"/>
      <c r="Q27" s="187"/>
      <c r="R27" s="187"/>
      <c r="S27" s="187"/>
      <c r="T27" s="187"/>
      <c r="U27" s="187"/>
      <c r="V27" s="187"/>
    </row>
    <row r="28" spans="1:24" s="4" customFormat="1" ht="15.75" x14ac:dyDescent="0.25"/>
    <row r="29" spans="1:24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75" x14ac:dyDescent="0.25"/>
    <row r="43" spans="1:28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scale="57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A5" sqref="A5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I19"/>
  <sheetViews>
    <sheetView showGridLines="0" zoomScale="90" zoomScaleNormal="85" workbookViewId="0">
      <selection activeCell="A3" sqref="A3:L26"/>
    </sheetView>
  </sheetViews>
  <sheetFormatPr defaultRowHeight="15" x14ac:dyDescent="0.25"/>
  <cols>
    <col min="1" max="1" width="87.5703125" style="5" customWidth="1"/>
    <col min="2" max="2" width="10.42578125" style="5" bestFit="1" customWidth="1"/>
    <col min="3" max="3" width="1.28515625" style="5" customWidth="1"/>
    <col min="4" max="4" width="10.7109375" style="5" customWidth="1"/>
    <col min="5" max="5" width="25.42578125" style="60" customWidth="1"/>
    <col min="6" max="6" width="13.5703125" style="139" bestFit="1" customWidth="1"/>
    <col min="7" max="7" width="15.42578125" style="139" bestFit="1" customWidth="1"/>
    <col min="8" max="16384" width="9.140625" style="5"/>
  </cols>
  <sheetData>
    <row r="1" spans="1:9" ht="18.75" customHeight="1" x14ac:dyDescent="0.25">
      <c r="A1" s="121" t="s">
        <v>60</v>
      </c>
      <c r="B1" s="120"/>
      <c r="C1" s="4"/>
      <c r="D1" s="4"/>
      <c r="E1" s="108" t="s">
        <v>14</v>
      </c>
    </row>
    <row r="2" spans="1:9" ht="18.75" customHeight="1" x14ac:dyDescent="0.25">
      <c r="A2" s="121"/>
      <c r="B2" s="280" t="s">
        <v>258</v>
      </c>
      <c r="C2" s="4"/>
      <c r="D2" s="21" t="s">
        <v>259</v>
      </c>
      <c r="E2" s="279"/>
    </row>
    <row r="3" spans="1:9" ht="18.75" customHeight="1" x14ac:dyDescent="0.25">
      <c r="A3" s="283" t="s">
        <v>263</v>
      </c>
      <c r="B3" s="120"/>
      <c r="C3" s="4"/>
      <c r="D3" s="16"/>
      <c r="E3" s="279"/>
    </row>
    <row r="4" spans="1:9" s="101" customFormat="1" ht="21.75" customHeight="1" x14ac:dyDescent="0.2">
      <c r="A4" t="s">
        <v>187</v>
      </c>
      <c r="B4" s="162">
        <v>-20</v>
      </c>
      <c r="C4" s="162"/>
      <c r="D4" s="162"/>
      <c r="E4"/>
      <c r="F4"/>
      <c r="G4"/>
      <c r="H4"/>
      <c r="I4" s="161"/>
    </row>
    <row r="5" spans="1:9" s="101" customFormat="1" ht="29.25" customHeight="1" x14ac:dyDescent="0.2">
      <c r="A5" t="s">
        <v>188</v>
      </c>
      <c r="B5" s="162"/>
      <c r="C5" s="162"/>
      <c r="D5" s="162"/>
      <c r="E5" t="s">
        <v>195</v>
      </c>
      <c r="F5"/>
      <c r="G5"/>
      <c r="H5"/>
      <c r="I5" s="161"/>
    </row>
    <row r="6" spans="1:9" s="101" customFormat="1" ht="11.25" customHeight="1" x14ac:dyDescent="0.2">
      <c r="A6" t="s">
        <v>189</v>
      </c>
      <c r="B6" s="162"/>
      <c r="C6" s="162"/>
      <c r="D6" s="162"/>
      <c r="E6"/>
      <c r="F6"/>
      <c r="G6"/>
      <c r="H6"/>
      <c r="I6" s="162"/>
    </row>
    <row r="7" spans="1:9" s="101" customFormat="1" ht="26.25" customHeight="1" x14ac:dyDescent="0.2">
      <c r="A7" t="s">
        <v>190</v>
      </c>
      <c r="B7" s="162">
        <v>-22</v>
      </c>
      <c r="C7" s="162"/>
      <c r="D7" s="162"/>
      <c r="E7"/>
      <c r="F7"/>
      <c r="G7"/>
      <c r="H7"/>
      <c r="I7" s="161"/>
    </row>
    <row r="8" spans="1:9" s="101" customFormat="1" ht="28.5" customHeight="1" x14ac:dyDescent="0.2">
      <c r="A8" t="s">
        <v>191</v>
      </c>
      <c r="B8" s="162">
        <v>-5</v>
      </c>
      <c r="C8" s="162"/>
      <c r="D8" s="162"/>
      <c r="E8"/>
      <c r="F8"/>
      <c r="G8"/>
      <c r="H8"/>
      <c r="I8" s="162"/>
    </row>
    <row r="9" spans="1:9" s="101" customFormat="1" ht="24.75" customHeight="1" x14ac:dyDescent="0.2">
      <c r="A9" t="s">
        <v>192</v>
      </c>
      <c r="B9" s="162"/>
      <c r="C9" s="162"/>
      <c r="D9" s="162"/>
      <c r="E9"/>
      <c r="F9"/>
      <c r="G9"/>
      <c r="H9"/>
    </row>
    <row r="10" spans="1:9" s="101" customFormat="1" ht="12.75" customHeight="1" x14ac:dyDescent="0.2">
      <c r="A10" t="s">
        <v>196</v>
      </c>
      <c r="B10" s="162">
        <v>-30</v>
      </c>
      <c r="C10" s="162"/>
      <c r="D10" s="162"/>
      <c r="E10"/>
      <c r="F10"/>
      <c r="G10"/>
      <c r="H10"/>
      <c r="I10" s="162"/>
    </row>
    <row r="11" spans="1:9" s="101" customFormat="1" ht="11.25" customHeight="1" x14ac:dyDescent="0.2">
      <c r="A11" t="s">
        <v>193</v>
      </c>
      <c r="B11" s="162">
        <v>-4.5</v>
      </c>
      <c r="C11" s="162"/>
      <c r="D11" s="162"/>
      <c r="E11"/>
      <c r="F11"/>
      <c r="G11"/>
      <c r="H11"/>
      <c r="I11" s="162"/>
    </row>
    <row r="12" spans="1:9" s="101" customFormat="1" ht="22.5" customHeight="1" x14ac:dyDescent="0.2">
      <c r="A12" t="s">
        <v>194</v>
      </c>
      <c r="B12" s="162">
        <v>-2</v>
      </c>
      <c r="C12" s="162"/>
      <c r="D12" s="162"/>
      <c r="E12"/>
      <c r="F12"/>
      <c r="G12"/>
      <c r="H12"/>
      <c r="I12" s="162"/>
    </row>
    <row r="13" spans="1:9" s="101" customFormat="1" ht="26.25" customHeight="1" x14ac:dyDescent="0.2">
      <c r="A13" s="284" t="s">
        <v>260</v>
      </c>
      <c r="B13" s="162"/>
      <c r="C13" s="162"/>
      <c r="D13" s="162">
        <v>-5</v>
      </c>
      <c r="E13"/>
      <c r="F13"/>
      <c r="G13"/>
      <c r="H13"/>
      <c r="I13" s="162"/>
    </row>
    <row r="14" spans="1:9" s="101" customFormat="1" ht="21.75" customHeight="1" x14ac:dyDescent="0.2">
      <c r="A14" s="284" t="s">
        <v>261</v>
      </c>
      <c r="B14" s="162">
        <v>260</v>
      </c>
      <c r="C14" s="162"/>
      <c r="D14" s="162"/>
      <c r="E14"/>
      <c r="F14"/>
      <c r="G14"/>
      <c r="H14"/>
      <c r="I14" s="161">
        <v>30</v>
      </c>
    </row>
    <row r="15" spans="1:9" s="101" customFormat="1" ht="22.5" customHeight="1" x14ac:dyDescent="0.2">
      <c r="A15" s="284" t="s">
        <v>262</v>
      </c>
      <c r="B15" s="162"/>
      <c r="C15" s="162"/>
      <c r="D15" s="162">
        <v>3.1</v>
      </c>
      <c r="E15"/>
      <c r="F15"/>
      <c r="G15"/>
      <c r="H15"/>
      <c r="I15" s="162">
        <v>4.5</v>
      </c>
    </row>
    <row r="16" spans="1:9" s="101" customFormat="1" ht="21" customHeight="1" x14ac:dyDescent="0.2">
      <c r="A16"/>
      <c r="B16" s="162"/>
      <c r="C16" s="162"/>
      <c r="D16" s="162"/>
      <c r="E16"/>
      <c r="F16"/>
      <c r="G16"/>
      <c r="H16"/>
      <c r="I16" s="162"/>
    </row>
    <row r="17" spans="1:9" s="101" customFormat="1" ht="18" customHeight="1" x14ac:dyDescent="0.2">
      <c r="B17" s="162"/>
      <c r="C17" s="162"/>
      <c r="D17" s="162"/>
      <c r="E17"/>
      <c r="F17"/>
      <c r="G17"/>
      <c r="H17"/>
      <c r="I17" s="162">
        <v>2</v>
      </c>
    </row>
    <row r="18" spans="1:9" ht="24" customHeight="1" thickBot="1" x14ac:dyDescent="0.3">
      <c r="A18" s="11" t="s">
        <v>63</v>
      </c>
      <c r="B18" s="281">
        <f>SUM(B4:B16)</f>
        <v>176.5</v>
      </c>
      <c r="C18" s="282"/>
      <c r="D18" s="281">
        <f>SUM(D4:D16)</f>
        <v>-1.9</v>
      </c>
      <c r="E18" s="5"/>
      <c r="F18" s="148"/>
      <c r="G18" s="149">
        <f>G17+B10</f>
        <v>-30</v>
      </c>
    </row>
    <row r="19" spans="1:9" ht="15.75" thickTop="1" x14ac:dyDescent="0.25">
      <c r="A19" s="109"/>
      <c r="B19" s="109"/>
      <c r="C19" s="109"/>
      <c r="D19" s="109"/>
      <c r="E19" s="107"/>
    </row>
  </sheetData>
  <phoneticPr fontId="0" type="noConversion"/>
  <printOptions horizontalCentered="1"/>
  <pageMargins left="0.33" right="0.19" top="0.95" bottom="0.5" header="0.28000000000000003" footer="0.24"/>
  <pageSetup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workbookViewId="0">
      <pane xSplit="2" ySplit="7" topLeftCell="J16" activePane="bottomRight" state="frozen"/>
      <selection activeCell="A3" sqref="A3:L26"/>
      <selection pane="topRight" activeCell="A3" sqref="A3:L26"/>
      <selection pane="bottomLeft" activeCell="A3" sqref="A3:L26"/>
      <selection pane="bottomRight" activeCell="A3" sqref="A3:P26"/>
    </sheetView>
  </sheetViews>
  <sheetFormatPr defaultColWidth="7.28515625" defaultRowHeight="12" x14ac:dyDescent="0.2"/>
  <cols>
    <col min="1" max="1" width="1.85546875" style="188" customWidth="1"/>
    <col min="2" max="2" width="37.28515625" style="188" customWidth="1"/>
    <col min="3" max="3" width="3.140625" style="188" customWidth="1"/>
    <col min="4" max="4" width="10.7109375" style="232" customWidth="1"/>
    <col min="5" max="5" width="12.42578125" style="188" customWidth="1"/>
    <col min="6" max="15" width="10.7109375" style="188" customWidth="1"/>
    <col min="16" max="16" width="12.28515625" style="188" customWidth="1"/>
    <col min="17" max="16384" width="7.28515625" style="188"/>
  </cols>
  <sheetData>
    <row r="1" spans="1:19" customFormat="1" ht="15.95" customHeight="1" x14ac:dyDescent="0.3">
      <c r="A1" s="287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9" customFormat="1" ht="15.95" customHeight="1" x14ac:dyDescent="0.25">
      <c r="A2" s="288" t="s">
        <v>231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9" ht="15.75" x14ac:dyDescent="0.25">
      <c r="A3" s="289" t="s">
        <v>268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9" ht="15.75" x14ac:dyDescent="0.25">
      <c r="A4" s="290" t="s">
        <v>232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</row>
    <row r="5" spans="1:19" x14ac:dyDescent="0.2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9" ht="12.75" thickBot="1" x14ac:dyDescent="0.25">
      <c r="A6" s="191"/>
      <c r="B6" s="278" t="s">
        <v>254</v>
      </c>
      <c r="C6" s="192"/>
      <c r="D6" s="257"/>
      <c r="E6" s="257"/>
      <c r="F6" s="257"/>
      <c r="G6" s="257"/>
      <c r="H6" s="257"/>
      <c r="I6" s="257"/>
      <c r="J6" s="257"/>
      <c r="K6" s="257"/>
      <c r="L6" s="258"/>
      <c r="M6" s="257"/>
      <c r="N6" s="258"/>
      <c r="O6" s="258"/>
      <c r="P6" s="235" t="s">
        <v>255</v>
      </c>
    </row>
    <row r="7" spans="1:19" s="236" customFormat="1" x14ac:dyDescent="0.2">
      <c r="D7" s="259"/>
      <c r="E7" s="238"/>
      <c r="F7" s="238"/>
      <c r="G7" s="260"/>
      <c r="H7" s="260"/>
      <c r="I7" s="238"/>
      <c r="J7" s="238"/>
      <c r="K7" s="238"/>
      <c r="L7" s="238"/>
      <c r="M7" s="238"/>
      <c r="N7" s="238"/>
      <c r="O7" s="238"/>
      <c r="P7" s="239" t="s">
        <v>233</v>
      </c>
      <c r="Q7" s="237"/>
      <c r="R7" s="237"/>
      <c r="S7" s="237"/>
    </row>
    <row r="8" spans="1:19" s="198" customFormat="1" ht="16.5" customHeight="1" x14ac:dyDescent="0.25">
      <c r="D8" s="47" t="s">
        <v>159</v>
      </c>
      <c r="E8" s="47" t="s">
        <v>173</v>
      </c>
      <c r="F8" s="21" t="s">
        <v>161</v>
      </c>
      <c r="G8" s="160" t="s">
        <v>204</v>
      </c>
      <c r="H8" s="160" t="s">
        <v>205</v>
      </c>
      <c r="I8" s="160" t="s">
        <v>206</v>
      </c>
      <c r="J8" s="160" t="s">
        <v>207</v>
      </c>
      <c r="K8" s="160" t="s">
        <v>208</v>
      </c>
      <c r="L8" s="160" t="s">
        <v>209</v>
      </c>
      <c r="M8" s="160" t="s">
        <v>156</v>
      </c>
      <c r="N8" s="160" t="s">
        <v>210</v>
      </c>
      <c r="O8" s="160" t="s">
        <v>211</v>
      </c>
      <c r="P8" s="274" t="s">
        <v>234</v>
      </c>
      <c r="Q8" s="240"/>
      <c r="R8" s="240"/>
      <c r="S8" s="240"/>
    </row>
    <row r="9" spans="1:19" ht="14.1" customHeight="1" x14ac:dyDescent="0.2">
      <c r="A9" s="241" t="s">
        <v>235</v>
      </c>
      <c r="D9" s="242"/>
      <c r="E9" s="243"/>
      <c r="F9" s="243"/>
      <c r="G9" s="243"/>
      <c r="H9" s="243"/>
      <c r="I9" s="233"/>
      <c r="J9" s="233"/>
      <c r="K9" s="233"/>
      <c r="L9" s="233"/>
      <c r="M9" s="233"/>
      <c r="N9" s="233"/>
      <c r="O9" s="233"/>
      <c r="P9" s="244"/>
    </row>
    <row r="10" spans="1:19" ht="14.1" customHeight="1" x14ac:dyDescent="0.2">
      <c r="B10" s="245" t="s">
        <v>236</v>
      </c>
      <c r="D10" s="262">
        <v>0.3</v>
      </c>
      <c r="E10" s="262">
        <v>0.3</v>
      </c>
      <c r="F10" s="262">
        <v>4.5999999999999996</v>
      </c>
      <c r="G10" s="262">
        <v>8.1</v>
      </c>
      <c r="H10" s="262">
        <v>0.3</v>
      </c>
      <c r="I10" s="262">
        <v>0.1</v>
      </c>
      <c r="J10" s="262">
        <v>0.3</v>
      </c>
      <c r="K10" s="262">
        <v>16.399999999999999</v>
      </c>
      <c r="L10" s="262">
        <v>0.1</v>
      </c>
      <c r="M10" s="262">
        <v>0.3</v>
      </c>
      <c r="N10" s="262">
        <v>0.3</v>
      </c>
      <c r="O10" s="262">
        <v>0.1</v>
      </c>
      <c r="P10" s="276">
        <f>SUM(D10:O10)</f>
        <v>31.200000000000003</v>
      </c>
      <c r="Q10" s="188" t="s">
        <v>256</v>
      </c>
    </row>
    <row r="11" spans="1:19" ht="14.1" customHeight="1" x14ac:dyDescent="0.2">
      <c r="B11" s="245" t="s">
        <v>220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3.5</v>
      </c>
      <c r="P11" s="276">
        <f t="shared" ref="P11:P16" si="0">SUM(D11:O11)</f>
        <v>3.5</v>
      </c>
      <c r="Q11" s="188" t="s">
        <v>256</v>
      </c>
    </row>
    <row r="12" spans="1:19" ht="14.1" customHeight="1" x14ac:dyDescent="0.2">
      <c r="B12" s="246" t="s">
        <v>237</v>
      </c>
      <c r="D12" s="262">
        <v>-0.1</v>
      </c>
      <c r="E12" s="262">
        <v>-0.1</v>
      </c>
      <c r="F12" s="262">
        <v>19.399999999999999</v>
      </c>
      <c r="G12" s="262">
        <v>-7.3</v>
      </c>
      <c r="H12" s="262">
        <v>-0.1</v>
      </c>
      <c r="I12" s="262">
        <v>18.8</v>
      </c>
      <c r="J12" s="262">
        <v>-0.1</v>
      </c>
      <c r="K12" s="262">
        <v>-0.1</v>
      </c>
      <c r="L12" s="262">
        <v>13</v>
      </c>
      <c r="M12" s="262">
        <v>-0.1</v>
      </c>
      <c r="N12" s="262">
        <v>-0.1</v>
      </c>
      <c r="O12" s="262">
        <v>9.4</v>
      </c>
      <c r="P12" s="276">
        <f t="shared" si="0"/>
        <v>52.599999999999994</v>
      </c>
      <c r="Q12" s="188" t="s">
        <v>257</v>
      </c>
    </row>
    <row r="13" spans="1:19" ht="14.1" customHeight="1" x14ac:dyDescent="0.2">
      <c r="B13" s="245" t="s">
        <v>238</v>
      </c>
      <c r="D13" s="262">
        <v>0.1</v>
      </c>
      <c r="E13" s="262">
        <v>1.8</v>
      </c>
      <c r="F13" s="262">
        <v>0.1</v>
      </c>
      <c r="G13" s="262">
        <v>0.1</v>
      </c>
      <c r="H13" s="262">
        <v>0.1</v>
      </c>
      <c r="I13" s="262">
        <v>0.1</v>
      </c>
      <c r="J13" s="262">
        <v>0.1</v>
      </c>
      <c r="K13" s="262">
        <v>0.1</v>
      </c>
      <c r="L13" s="262">
        <v>1.3</v>
      </c>
      <c r="M13" s="262">
        <v>0.1</v>
      </c>
      <c r="N13" s="262">
        <v>0.1</v>
      </c>
      <c r="O13" s="262">
        <v>0.1</v>
      </c>
      <c r="P13" s="276">
        <f t="shared" si="0"/>
        <v>4.1000000000000005</v>
      </c>
      <c r="Q13" s="188" t="s">
        <v>265</v>
      </c>
    </row>
    <row r="14" spans="1:19" ht="14.1" customHeight="1" x14ac:dyDescent="0.2">
      <c r="B14" s="247" t="s">
        <v>239</v>
      </c>
      <c r="D14" s="262">
        <v>0.1</v>
      </c>
      <c r="E14" s="262">
        <v>0.3</v>
      </c>
      <c r="F14" s="262">
        <v>-0.1</v>
      </c>
      <c r="G14" s="262">
        <v>0.4</v>
      </c>
      <c r="H14" s="262">
        <v>0.2</v>
      </c>
      <c r="I14" s="262">
        <v>-0.1</v>
      </c>
      <c r="J14" s="262">
        <v>0.4</v>
      </c>
      <c r="K14" s="262">
        <v>0.4</v>
      </c>
      <c r="L14" s="262">
        <v>0.2</v>
      </c>
      <c r="M14" s="262">
        <v>0.2</v>
      </c>
      <c r="N14" s="262">
        <v>0.4</v>
      </c>
      <c r="O14" s="262">
        <v>1.4</v>
      </c>
      <c r="P14" s="276">
        <f t="shared" si="0"/>
        <v>3.8</v>
      </c>
      <c r="Q14" s="188" t="s">
        <v>264</v>
      </c>
    </row>
    <row r="15" spans="1:19" ht="14.1" customHeight="1" x14ac:dyDescent="0.2">
      <c r="B15" s="245" t="s">
        <v>240</v>
      </c>
      <c r="D15" s="262">
        <v>-1</v>
      </c>
      <c r="E15" s="262">
        <v>2.2000000000000002</v>
      </c>
      <c r="F15" s="262">
        <v>-1.3</v>
      </c>
      <c r="G15" s="262">
        <v>1.4</v>
      </c>
      <c r="H15" s="262">
        <v>2</v>
      </c>
      <c r="I15" s="262">
        <v>1.8</v>
      </c>
      <c r="J15" s="262">
        <v>-2.1</v>
      </c>
      <c r="K15" s="262">
        <v>2.2000000000000002</v>
      </c>
      <c r="L15" s="262">
        <v>1.8</v>
      </c>
      <c r="M15" s="262">
        <v>2.2000000000000002</v>
      </c>
      <c r="N15" s="262">
        <v>2</v>
      </c>
      <c r="O15" s="262">
        <v>2.5</v>
      </c>
      <c r="P15" s="276">
        <f t="shared" si="0"/>
        <v>13.7</v>
      </c>
      <c r="Q15" s="188" t="s">
        <v>264</v>
      </c>
    </row>
    <row r="16" spans="1:19" ht="14.1" customHeight="1" x14ac:dyDescent="0.2">
      <c r="B16" s="247" t="s">
        <v>228</v>
      </c>
      <c r="D16" s="262">
        <v>0</v>
      </c>
      <c r="E16" s="262">
        <v>0</v>
      </c>
      <c r="F16" s="262">
        <v>-0.2</v>
      </c>
      <c r="G16" s="262">
        <v>0</v>
      </c>
      <c r="H16" s="262">
        <v>-0.1</v>
      </c>
      <c r="I16" s="262">
        <v>0</v>
      </c>
      <c r="J16" s="262">
        <v>-0.1</v>
      </c>
      <c r="K16" s="262">
        <v>0</v>
      </c>
      <c r="L16" s="262">
        <v>-0.2</v>
      </c>
      <c r="M16" s="262">
        <v>-0.3</v>
      </c>
      <c r="N16" s="262">
        <v>-0.3</v>
      </c>
      <c r="O16" s="262">
        <v>-0.1</v>
      </c>
      <c r="P16" s="276">
        <f t="shared" si="0"/>
        <v>-1.3000000000000003</v>
      </c>
      <c r="Q16" s="188" t="s">
        <v>266</v>
      </c>
    </row>
    <row r="17" spans="1:43" ht="14.1" customHeight="1" x14ac:dyDescent="0.2">
      <c r="B17" s="247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48"/>
    </row>
    <row r="18" spans="1:43" ht="14.1" customHeight="1" x14ac:dyDescent="0.2">
      <c r="D18" s="265">
        <f t="shared" ref="D18:P18" si="1">SUM(D10:D17)</f>
        <v>-0.6</v>
      </c>
      <c r="E18" s="265">
        <f t="shared" si="1"/>
        <v>4.5</v>
      </c>
      <c r="F18" s="265">
        <f t="shared" si="1"/>
        <v>22.5</v>
      </c>
      <c r="G18" s="265">
        <f t="shared" si="1"/>
        <v>2.6999999999999997</v>
      </c>
      <c r="H18" s="265">
        <f t="shared" si="1"/>
        <v>2.4</v>
      </c>
      <c r="I18" s="265">
        <f t="shared" si="1"/>
        <v>20.700000000000003</v>
      </c>
      <c r="J18" s="265">
        <f t="shared" si="1"/>
        <v>-1.5000000000000002</v>
      </c>
      <c r="K18" s="265">
        <f t="shared" si="1"/>
        <v>18.999999999999996</v>
      </c>
      <c r="L18" s="265">
        <f t="shared" si="1"/>
        <v>16.2</v>
      </c>
      <c r="M18" s="265">
        <f t="shared" si="1"/>
        <v>2.4000000000000004</v>
      </c>
      <c r="N18" s="265">
        <f t="shared" si="1"/>
        <v>2.4000000000000004</v>
      </c>
      <c r="O18" s="265">
        <f t="shared" si="1"/>
        <v>16.899999999999999</v>
      </c>
      <c r="P18" s="249">
        <f t="shared" si="1"/>
        <v>107.6</v>
      </c>
    </row>
    <row r="19" spans="1:43" ht="14.1" customHeight="1" x14ac:dyDescent="0.2">
      <c r="A19" s="241" t="s">
        <v>241</v>
      </c>
      <c r="D19" s="265"/>
      <c r="E19" s="265"/>
      <c r="F19" s="265"/>
      <c r="G19" s="265"/>
      <c r="H19" s="265"/>
      <c r="I19" s="266"/>
      <c r="J19" s="266"/>
      <c r="K19" s="266"/>
      <c r="L19" s="266"/>
      <c r="M19" s="266"/>
      <c r="N19" s="266"/>
      <c r="O19" s="266"/>
      <c r="P19" s="249"/>
    </row>
    <row r="20" spans="1:43" ht="14.1" customHeight="1" x14ac:dyDescent="0.2">
      <c r="B20" s="247" t="s">
        <v>242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0.6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4.2</v>
      </c>
      <c r="P20" s="276">
        <f t="shared" ref="P20:P25" si="2">SUM(D20:O20)</f>
        <v>4.8</v>
      </c>
      <c r="Q20" s="188" t="s">
        <v>265</v>
      </c>
    </row>
    <row r="21" spans="1:43" ht="14.1" customHeight="1" x14ac:dyDescent="0.2">
      <c r="B21" s="247" t="s">
        <v>243</v>
      </c>
      <c r="D21" s="262">
        <v>0</v>
      </c>
      <c r="E21" s="262">
        <v>0</v>
      </c>
      <c r="F21" s="262">
        <v>0</v>
      </c>
      <c r="G21" s="262">
        <v>38.6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5.7</v>
      </c>
      <c r="N21" s="262">
        <v>0</v>
      </c>
      <c r="O21" s="262">
        <v>0</v>
      </c>
      <c r="P21" s="276">
        <f t="shared" si="2"/>
        <v>44.300000000000004</v>
      </c>
      <c r="Q21" s="188" t="s">
        <v>264</v>
      </c>
    </row>
    <row r="22" spans="1:43" ht="14.1" customHeight="1" x14ac:dyDescent="0.2">
      <c r="B22" s="247" t="s">
        <v>244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10.8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10</v>
      </c>
      <c r="P22" s="276">
        <f t="shared" si="2"/>
        <v>20.8</v>
      </c>
      <c r="Q22" s="188" t="s">
        <v>267</v>
      </c>
    </row>
    <row r="23" spans="1:43" ht="14.1" customHeight="1" x14ac:dyDescent="0.2">
      <c r="B23" s="247" t="s">
        <v>245</v>
      </c>
      <c r="D23" s="262">
        <v>0</v>
      </c>
      <c r="E23" s="262">
        <v>2.5</v>
      </c>
      <c r="F23" s="262">
        <v>0</v>
      </c>
      <c r="G23" s="262">
        <v>0</v>
      </c>
      <c r="H23" s="262">
        <v>0</v>
      </c>
      <c r="I23" s="262">
        <v>0</v>
      </c>
      <c r="J23" s="262">
        <v>0</v>
      </c>
      <c r="K23" s="262">
        <v>2.5</v>
      </c>
      <c r="L23" s="262">
        <v>0</v>
      </c>
      <c r="M23" s="262">
        <v>0</v>
      </c>
      <c r="N23" s="262">
        <v>2.5</v>
      </c>
      <c r="O23" s="262">
        <v>0</v>
      </c>
      <c r="P23" s="276">
        <f t="shared" si="2"/>
        <v>7.5</v>
      </c>
      <c r="Q23" s="188" t="s">
        <v>267</v>
      </c>
    </row>
    <row r="24" spans="1:43" s="209" customFormat="1" ht="14.1" customHeight="1" x14ac:dyDescent="0.2">
      <c r="A24" s="250"/>
      <c r="B24" s="251" t="s">
        <v>246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58.4</v>
      </c>
      <c r="M24" s="262">
        <v>0</v>
      </c>
      <c r="N24" s="262">
        <v>0</v>
      </c>
      <c r="O24" s="262">
        <v>0</v>
      </c>
      <c r="P24" s="276">
        <f t="shared" si="2"/>
        <v>58.4</v>
      </c>
      <c r="Q24" s="209" t="s">
        <v>267</v>
      </c>
    </row>
    <row r="25" spans="1:43" ht="14.1" customHeight="1" x14ac:dyDescent="0.2">
      <c r="B25" s="247" t="s">
        <v>247</v>
      </c>
      <c r="D25" s="262">
        <v>0</v>
      </c>
      <c r="E25" s="262">
        <v>0</v>
      </c>
      <c r="F25" s="262">
        <v>0</v>
      </c>
      <c r="G25" s="262">
        <v>0</v>
      </c>
      <c r="H25" s="262">
        <v>8.8000000000000007</v>
      </c>
      <c r="I25" s="262">
        <v>41.4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76">
        <f t="shared" si="2"/>
        <v>50.2</v>
      </c>
      <c r="Q25" s="188" t="s">
        <v>269</v>
      </c>
    </row>
    <row r="26" spans="1:43" ht="14.1" customHeight="1" x14ac:dyDescent="0.2">
      <c r="B26" s="247"/>
      <c r="D26" s="264"/>
      <c r="E26" s="267"/>
      <c r="F26" s="267"/>
      <c r="G26" s="267"/>
      <c r="H26" s="267"/>
      <c r="I26" s="264"/>
      <c r="J26" s="264"/>
      <c r="K26" s="264"/>
      <c r="L26" s="264"/>
      <c r="M26" s="264"/>
      <c r="N26" s="264"/>
      <c r="O26" s="264"/>
      <c r="P26" s="248"/>
    </row>
    <row r="27" spans="1:43" ht="14.1" customHeight="1" x14ac:dyDescent="0.2">
      <c r="D27" s="268">
        <f t="shared" ref="D27:P27" si="3">SUM(D20:D26)</f>
        <v>0</v>
      </c>
      <c r="E27" s="268">
        <f t="shared" si="3"/>
        <v>2.5</v>
      </c>
      <c r="F27" s="268">
        <f t="shared" si="3"/>
        <v>0</v>
      </c>
      <c r="G27" s="268">
        <f t="shared" si="3"/>
        <v>38.6</v>
      </c>
      <c r="H27" s="268">
        <f t="shared" si="3"/>
        <v>8.8000000000000007</v>
      </c>
      <c r="I27" s="268">
        <f t="shared" si="3"/>
        <v>52.8</v>
      </c>
      <c r="J27" s="268">
        <f t="shared" si="3"/>
        <v>0</v>
      </c>
      <c r="K27" s="268">
        <f t="shared" si="3"/>
        <v>2.5</v>
      </c>
      <c r="L27" s="268">
        <f t="shared" si="3"/>
        <v>58.4</v>
      </c>
      <c r="M27" s="268">
        <f t="shared" si="3"/>
        <v>5.7</v>
      </c>
      <c r="N27" s="268">
        <f t="shared" si="3"/>
        <v>2.5</v>
      </c>
      <c r="O27" s="268">
        <f t="shared" si="3"/>
        <v>14.2</v>
      </c>
      <c r="P27" s="253">
        <f t="shared" si="3"/>
        <v>186</v>
      </c>
    </row>
    <row r="28" spans="1:43" ht="14.1" customHeight="1" x14ac:dyDescent="0.2">
      <c r="A28" s="241" t="s">
        <v>248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44"/>
    </row>
    <row r="29" spans="1:43" ht="14.1" customHeight="1" x14ac:dyDescent="0.2">
      <c r="A29" s="209"/>
      <c r="B29" s="252" t="s">
        <v>249</v>
      </c>
      <c r="D29" s="262">
        <v>-3.9</v>
      </c>
      <c r="E29" s="262">
        <v>-3.9</v>
      </c>
      <c r="F29" s="262">
        <v>-3.9</v>
      </c>
      <c r="G29" s="262">
        <v>-3.9</v>
      </c>
      <c r="H29" s="262">
        <v>-3.9</v>
      </c>
      <c r="I29" s="262">
        <v>-3.9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  <c r="P29" s="276">
        <f>SUM(D29:O29)</f>
        <v>-23.4</v>
      </c>
      <c r="Q29" s="188" t="s">
        <v>270</v>
      </c>
    </row>
    <row r="30" spans="1:43" ht="14.1" hidden="1" customHeight="1" x14ac:dyDescent="0.2">
      <c r="A30" s="209"/>
      <c r="B30" s="20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53"/>
    </row>
    <row r="31" spans="1:43" ht="14.1" hidden="1" customHeight="1" x14ac:dyDescent="0.2">
      <c r="A31" s="250" t="s">
        <v>250</v>
      </c>
      <c r="B31" s="209"/>
      <c r="D31" s="269">
        <f>+'[1]Total year vs 3CE'!H71</f>
        <v>0</v>
      </c>
      <c r="E31" s="269">
        <v>0</v>
      </c>
      <c r="F31" s="269">
        <v>0</v>
      </c>
      <c r="G31" s="269">
        <v>0</v>
      </c>
      <c r="H31" s="269">
        <v>0</v>
      </c>
      <c r="I31" s="269">
        <v>0</v>
      </c>
      <c r="J31" s="269">
        <v>0</v>
      </c>
      <c r="K31" s="269">
        <v>0</v>
      </c>
      <c r="L31" s="269">
        <v>0</v>
      </c>
      <c r="M31" s="269">
        <v>0</v>
      </c>
      <c r="N31" s="269">
        <v>0</v>
      </c>
      <c r="O31" s="269">
        <v>0</v>
      </c>
      <c r="P31" s="253">
        <v>0</v>
      </c>
    </row>
    <row r="32" spans="1:43" x14ac:dyDescent="0.2">
      <c r="A32" s="254"/>
      <c r="B32" s="255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53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</row>
    <row r="33" spans="1:43" x14ac:dyDescent="0.2">
      <c r="A33" s="254" t="s">
        <v>251</v>
      </c>
      <c r="B33" s="255"/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3"/>
      <c r="M33" s="261">
        <v>0</v>
      </c>
      <c r="N33" s="261">
        <v>0</v>
      </c>
      <c r="O33" s="261">
        <v>743.5</v>
      </c>
      <c r="P33" s="276">
        <f>SUM(D33:O33)</f>
        <v>743.5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</row>
    <row r="34" spans="1:43" ht="12.75" thickBot="1" x14ac:dyDescent="0.25">
      <c r="A34" s="254"/>
      <c r="B34" s="255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53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</row>
    <row r="35" spans="1:43" ht="12.75" thickBot="1" x14ac:dyDescent="0.25">
      <c r="A35" s="254" t="s">
        <v>67</v>
      </c>
      <c r="B35" s="255"/>
      <c r="D35" s="270">
        <f t="shared" ref="D35:P35" si="4">+D33+D29+D27+D18</f>
        <v>-4.5</v>
      </c>
      <c r="E35" s="271">
        <f t="shared" si="4"/>
        <v>3.1</v>
      </c>
      <c r="F35" s="271">
        <f t="shared" si="4"/>
        <v>18.600000000000001</v>
      </c>
      <c r="G35" s="271">
        <f t="shared" si="4"/>
        <v>37.400000000000006</v>
      </c>
      <c r="H35" s="271">
        <f t="shared" si="4"/>
        <v>7.3000000000000007</v>
      </c>
      <c r="I35" s="271">
        <f t="shared" si="4"/>
        <v>69.599999999999994</v>
      </c>
      <c r="J35" s="271">
        <f t="shared" si="4"/>
        <v>-1.5000000000000002</v>
      </c>
      <c r="K35" s="271">
        <f t="shared" si="4"/>
        <v>21.499999999999996</v>
      </c>
      <c r="L35" s="271">
        <f t="shared" si="4"/>
        <v>74.599999999999994</v>
      </c>
      <c r="M35" s="271">
        <f t="shared" si="4"/>
        <v>8.1000000000000014</v>
      </c>
      <c r="N35" s="271">
        <f t="shared" si="4"/>
        <v>4.9000000000000004</v>
      </c>
      <c r="O35" s="273">
        <f t="shared" si="4"/>
        <v>774.6</v>
      </c>
      <c r="P35" s="277">
        <f t="shared" si="4"/>
        <v>1013.7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</row>
    <row r="36" spans="1:43" ht="12.75" thickBot="1" x14ac:dyDescent="0.25">
      <c r="A36" s="23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56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</row>
    <row r="37" spans="1:43" x14ac:dyDescent="0.2"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1:43" x14ac:dyDescent="0.2"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</row>
    <row r="39" spans="1:43" x14ac:dyDescent="0.2"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1:43" x14ac:dyDescent="0.2"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1:43" x14ac:dyDescent="0.2"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1:43" x14ac:dyDescent="0.2"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1:43" x14ac:dyDescent="0.2"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</row>
    <row r="44" spans="1:43" x14ac:dyDescent="0.2"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</row>
    <row r="45" spans="1:43" x14ac:dyDescent="0.2"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</row>
    <row r="46" spans="1:43" x14ac:dyDescent="0.2"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</row>
    <row r="47" spans="1:43" x14ac:dyDescent="0.2"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</row>
    <row r="48" spans="1:43" x14ac:dyDescent="0.2"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</row>
    <row r="49" spans="5:16" x14ac:dyDescent="0.2"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</row>
    <row r="50" spans="5:16" x14ac:dyDescent="0.2"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</row>
    <row r="51" spans="5:16" x14ac:dyDescent="0.2"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</row>
    <row r="52" spans="5:16" x14ac:dyDescent="0.2"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</row>
    <row r="53" spans="5:16" x14ac:dyDescent="0.2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</row>
    <row r="54" spans="5:16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</row>
    <row r="55" spans="5:16" x14ac:dyDescent="0.2"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</row>
    <row r="56" spans="5:16" x14ac:dyDescent="0.2"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5:16" x14ac:dyDescent="0.2"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5:16" x14ac:dyDescent="0.2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5:16" x14ac:dyDescent="0.2"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</row>
    <row r="60" spans="5:16" x14ac:dyDescent="0.2"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</row>
    <row r="61" spans="5:16" x14ac:dyDescent="0.2"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</row>
    <row r="62" spans="5:16" x14ac:dyDescent="0.2"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5:16" x14ac:dyDescent="0.2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5:16" x14ac:dyDescent="0.2"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5:16" x14ac:dyDescent="0.2"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</row>
    <row r="66" spans="5:16" x14ac:dyDescent="0.2"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</row>
    <row r="67" spans="5:16" x14ac:dyDescent="0.2"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</row>
    <row r="68" spans="5:16" x14ac:dyDescent="0.2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</row>
    <row r="69" spans="5:16" x14ac:dyDescent="0.2"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</row>
    <row r="70" spans="5:16" x14ac:dyDescent="0.2"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</row>
    <row r="71" spans="5:16" x14ac:dyDescent="0.2"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</row>
    <row r="72" spans="5:16" x14ac:dyDescent="0.2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</row>
    <row r="73" spans="5:16" x14ac:dyDescent="0.2"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</row>
    <row r="74" spans="5:16" x14ac:dyDescent="0.2"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</row>
    <row r="75" spans="5:16" x14ac:dyDescent="0.2"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5:16" x14ac:dyDescent="0.2"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5:16" x14ac:dyDescent="0.2"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5:16" x14ac:dyDescent="0.2"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</row>
    <row r="79" spans="5:16" x14ac:dyDescent="0.2"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</row>
    <row r="80" spans="5:16" x14ac:dyDescent="0.2"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</row>
    <row r="81" spans="5:16" x14ac:dyDescent="0.2"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</row>
    <row r="82" spans="5:16" x14ac:dyDescent="0.2"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</row>
    <row r="83" spans="5:16" x14ac:dyDescent="0.2"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</row>
    <row r="84" spans="5:16" x14ac:dyDescent="0.2"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5:16" x14ac:dyDescent="0.2"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5:16" x14ac:dyDescent="0.2"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5:16" x14ac:dyDescent="0.2"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</row>
    <row r="88" spans="5:16" x14ac:dyDescent="0.2"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</row>
    <row r="89" spans="5:16" x14ac:dyDescent="0.2"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</row>
    <row r="90" spans="5:16" x14ac:dyDescent="0.2"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</row>
    <row r="91" spans="5:16" x14ac:dyDescent="0.2"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</row>
    <row r="92" spans="5:16" x14ac:dyDescent="0.2"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</row>
    <row r="93" spans="5:16" x14ac:dyDescent="0.2"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5:16" x14ac:dyDescent="0.2"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</row>
    <row r="95" spans="5:16" x14ac:dyDescent="0.2"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</row>
    <row r="96" spans="5:16" x14ac:dyDescent="0.2"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</row>
    <row r="97" spans="5:16" x14ac:dyDescent="0.2"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</row>
    <row r="98" spans="5:16" x14ac:dyDescent="0.2"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</row>
    <row r="99" spans="5:16" x14ac:dyDescent="0.2"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</row>
    <row r="100" spans="5:16" x14ac:dyDescent="0.2"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</row>
  </sheetData>
  <mergeCells count="4">
    <mergeCell ref="A1:P1"/>
    <mergeCell ref="A2:P2"/>
    <mergeCell ref="A3:P3"/>
    <mergeCell ref="A4:P4"/>
  </mergeCells>
  <phoneticPr fontId="0" type="noConversion"/>
  <printOptions horizontalCentered="1"/>
  <pageMargins left="0.25" right="0.25" top="1" bottom="1" header="0.5" footer="0.5"/>
  <pageSetup scale="63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workbookViewId="0">
      <selection activeCell="A3" sqref="A3:L26"/>
    </sheetView>
  </sheetViews>
  <sheetFormatPr defaultColWidth="7.28515625" defaultRowHeight="12" x14ac:dyDescent="0.2"/>
  <cols>
    <col min="1" max="1" width="1.85546875" style="188" customWidth="1"/>
    <col min="2" max="2" width="47.28515625" style="188" customWidth="1"/>
    <col min="3" max="3" width="3.140625" style="188" hidden="1" customWidth="1"/>
    <col min="4" max="4" width="12.42578125" style="232" hidden="1" customWidth="1"/>
    <col min="5" max="5" width="13.85546875" style="188" hidden="1" customWidth="1"/>
    <col min="6" max="6" width="13.140625" style="188" hidden="1" customWidth="1"/>
    <col min="7" max="7" width="12.7109375" style="188" hidden="1" customWidth="1"/>
    <col min="8" max="8" width="2.28515625" style="188" customWidth="1"/>
    <col min="9" max="9" width="28" style="188" customWidth="1"/>
    <col min="10" max="16384" width="7.28515625" style="188"/>
  </cols>
  <sheetData>
    <row r="1" spans="1:14" customFormat="1" ht="26.25" x14ac:dyDescent="0.4">
      <c r="A1" s="291" t="s">
        <v>213</v>
      </c>
      <c r="B1" s="291"/>
      <c r="C1" s="291"/>
      <c r="D1" s="291"/>
      <c r="E1" s="291"/>
      <c r="F1" s="291"/>
      <c r="G1" s="291"/>
      <c r="H1" s="291"/>
      <c r="I1" s="291"/>
    </row>
    <row r="2" spans="1:14" customFormat="1" ht="23.25" x14ac:dyDescent="0.35">
      <c r="A2" s="292" t="s">
        <v>252</v>
      </c>
      <c r="B2" s="292"/>
      <c r="C2" s="292"/>
      <c r="D2" s="292"/>
      <c r="E2" s="292"/>
      <c r="F2" s="292"/>
      <c r="G2" s="292"/>
      <c r="H2" s="292"/>
      <c r="I2" s="292"/>
    </row>
    <row r="3" spans="1:14" ht="18" x14ac:dyDescent="0.25">
      <c r="A3" s="293" t="s">
        <v>253</v>
      </c>
      <c r="B3" s="293"/>
      <c r="C3" s="293"/>
      <c r="D3" s="293"/>
      <c r="E3" s="293"/>
      <c r="F3" s="293"/>
      <c r="G3" s="293"/>
      <c r="H3" s="293"/>
      <c r="I3" s="293"/>
    </row>
    <row r="4" spans="1:14" s="190" customFormat="1" ht="18.75" customHeight="1" x14ac:dyDescent="0.25">
      <c r="A4" s="294" t="s">
        <v>232</v>
      </c>
      <c r="B4" s="294"/>
      <c r="C4" s="294"/>
      <c r="D4" s="294"/>
      <c r="E4" s="294"/>
      <c r="F4" s="294"/>
      <c r="G4" s="294"/>
      <c r="H4" s="294"/>
      <c r="I4" s="294"/>
    </row>
    <row r="5" spans="1:14" s="190" customFormat="1" ht="18.75" customHeight="1" x14ac:dyDescent="0.25">
      <c r="A5" s="189"/>
      <c r="B5" s="189"/>
      <c r="C5" s="189"/>
      <c r="D5" s="189"/>
      <c r="E5" s="189"/>
      <c r="F5" s="189"/>
      <c r="G5" s="189"/>
      <c r="H5" s="189"/>
      <c r="I5" s="189"/>
    </row>
    <row r="6" spans="1:14" ht="12.75" thickBot="1" x14ac:dyDescent="0.25">
      <c r="A6" s="191"/>
      <c r="B6" s="192"/>
      <c r="C6" s="192"/>
      <c r="D6" s="192"/>
      <c r="E6" s="192"/>
      <c r="F6" s="192"/>
      <c r="G6" s="192"/>
    </row>
    <row r="7" spans="1:14" ht="18.75" thickBot="1" x14ac:dyDescent="0.3">
      <c r="A7" s="193"/>
      <c r="B7" s="194"/>
      <c r="C7" s="195"/>
      <c r="D7" s="191"/>
      <c r="E7" s="191"/>
      <c r="F7" s="191"/>
      <c r="G7" s="191"/>
      <c r="H7" s="197"/>
      <c r="I7" s="196" t="s">
        <v>230</v>
      </c>
    </row>
    <row r="8" spans="1:14" s="198" customFormat="1" ht="18" customHeight="1" thickBot="1" x14ac:dyDescent="0.3">
      <c r="C8" s="199"/>
      <c r="D8" s="200" t="s">
        <v>214</v>
      </c>
      <c r="E8" s="201" t="s">
        <v>215</v>
      </c>
      <c r="F8" s="201" t="s">
        <v>216</v>
      </c>
      <c r="G8" s="201" t="s">
        <v>217</v>
      </c>
      <c r="H8" s="203"/>
      <c r="I8" s="202" t="s">
        <v>229</v>
      </c>
    </row>
    <row r="9" spans="1:14" ht="14.1" customHeight="1" x14ac:dyDescent="0.25">
      <c r="A9" s="204" t="s">
        <v>218</v>
      </c>
      <c r="B9" s="197"/>
      <c r="D9" s="205"/>
      <c r="E9" s="205"/>
      <c r="F9" s="205"/>
      <c r="G9" s="205"/>
      <c r="H9" s="197"/>
      <c r="I9" s="206"/>
    </row>
    <row r="10" spans="1:14" ht="20.100000000000001" customHeight="1" x14ac:dyDescent="0.25">
      <c r="A10" s="197"/>
      <c r="B10" s="207" t="s">
        <v>219</v>
      </c>
      <c r="D10" s="205"/>
      <c r="E10" s="205">
        <v>-77.5</v>
      </c>
      <c r="F10" s="208"/>
      <c r="G10" s="209"/>
      <c r="H10" s="212"/>
      <c r="I10" s="211">
        <v>220</v>
      </c>
      <c r="J10" s="195"/>
      <c r="K10" s="195"/>
      <c r="L10" s="195"/>
      <c r="M10" s="195"/>
      <c r="N10" s="195"/>
    </row>
    <row r="11" spans="1:14" ht="20.100000000000001" customHeight="1" x14ac:dyDescent="0.25">
      <c r="A11" s="197"/>
      <c r="B11" s="207" t="s">
        <v>220</v>
      </c>
      <c r="D11" s="205"/>
      <c r="E11" s="205"/>
      <c r="F11" s="208">
        <v>12.5</v>
      </c>
      <c r="G11" s="209"/>
      <c r="H11" s="212"/>
      <c r="I11" s="211">
        <v>206.5</v>
      </c>
      <c r="J11" s="195"/>
      <c r="K11" s="195"/>
      <c r="L11" s="195"/>
      <c r="M11" s="195"/>
      <c r="N11" s="195"/>
    </row>
    <row r="12" spans="1:14" ht="20.100000000000001" customHeight="1" x14ac:dyDescent="0.25">
      <c r="A12" s="197"/>
      <c r="B12" s="213" t="s">
        <v>221</v>
      </c>
      <c r="C12" s="195"/>
      <c r="D12" s="214"/>
      <c r="E12" s="215"/>
      <c r="F12" s="214">
        <v>-14.9</v>
      </c>
      <c r="G12" s="215"/>
      <c r="H12" s="212"/>
      <c r="I12" s="211">
        <v>29.4</v>
      </c>
      <c r="J12" s="195"/>
      <c r="K12" s="195"/>
      <c r="L12" s="195"/>
      <c r="M12" s="195"/>
      <c r="N12" s="195"/>
    </row>
    <row r="13" spans="1:14" ht="20.100000000000001" customHeight="1" x14ac:dyDescent="0.25">
      <c r="A13" s="197"/>
      <c r="B13" s="207" t="s">
        <v>222</v>
      </c>
      <c r="D13" s="205"/>
      <c r="E13" s="205"/>
      <c r="F13" s="209">
        <v>-35.1</v>
      </c>
      <c r="G13" s="216"/>
      <c r="H13" s="212"/>
      <c r="I13" s="211">
        <v>115</v>
      </c>
      <c r="J13" s="195"/>
      <c r="K13" s="195"/>
      <c r="L13" s="195"/>
      <c r="M13" s="195"/>
      <c r="N13" s="195"/>
    </row>
    <row r="14" spans="1:14" ht="20.100000000000001" customHeight="1" x14ac:dyDescent="0.25">
      <c r="A14" s="197"/>
      <c r="B14" s="217" t="s">
        <v>223</v>
      </c>
      <c r="C14" s="195"/>
      <c r="D14" s="218"/>
      <c r="E14" s="214"/>
      <c r="F14" s="216"/>
      <c r="G14" s="215">
        <v>1</v>
      </c>
      <c r="H14" s="212"/>
      <c r="I14" s="211">
        <v>52</v>
      </c>
      <c r="J14" s="195"/>
      <c r="K14" s="195"/>
      <c r="L14" s="195"/>
      <c r="M14" s="195"/>
      <c r="N14" s="195"/>
    </row>
    <row r="15" spans="1:14" ht="20.100000000000001" customHeight="1" x14ac:dyDescent="0.25">
      <c r="A15" s="197"/>
      <c r="B15" s="219" t="s">
        <v>224</v>
      </c>
      <c r="D15" s="205"/>
      <c r="E15" s="205"/>
      <c r="F15" s="208"/>
      <c r="G15" s="209">
        <v>0</v>
      </c>
      <c r="H15" s="212"/>
      <c r="I15" s="211">
        <v>23.5</v>
      </c>
      <c r="J15" s="220"/>
      <c r="K15" s="220"/>
      <c r="L15" s="220"/>
      <c r="M15" s="220"/>
      <c r="N15" s="195"/>
    </row>
    <row r="16" spans="1:14" ht="20.100000000000001" customHeight="1" x14ac:dyDescent="0.25">
      <c r="A16" s="197"/>
      <c r="B16" s="217" t="s">
        <v>225</v>
      </c>
      <c r="C16" s="195"/>
      <c r="D16" s="218"/>
      <c r="E16" s="214"/>
      <c r="F16" s="216"/>
      <c r="G16" s="215">
        <v>-28</v>
      </c>
      <c r="H16" s="212"/>
      <c r="I16" s="211">
        <v>7</v>
      </c>
      <c r="J16" s="220"/>
      <c r="K16" s="220"/>
      <c r="L16" s="220"/>
      <c r="M16" s="220"/>
      <c r="N16" s="195"/>
    </row>
    <row r="17" spans="1:14" ht="20.100000000000001" customHeight="1" x14ac:dyDescent="0.25">
      <c r="A17" s="197"/>
      <c r="B17" s="221" t="s">
        <v>226</v>
      </c>
      <c r="C17" s="215"/>
      <c r="D17" s="222"/>
      <c r="E17" s="222"/>
      <c r="F17" s="216"/>
      <c r="G17" s="215">
        <v>-21.9</v>
      </c>
      <c r="H17" s="212"/>
      <c r="I17" s="211">
        <v>48</v>
      </c>
      <c r="J17" s="195"/>
      <c r="K17" s="195"/>
      <c r="L17" s="195"/>
      <c r="M17" s="195"/>
      <c r="N17" s="195"/>
    </row>
    <row r="18" spans="1:14" s="209" customFormat="1" ht="20.100000000000001" customHeight="1" x14ac:dyDescent="0.25">
      <c r="A18" s="210"/>
      <c r="B18" s="217" t="s">
        <v>227</v>
      </c>
      <c r="C18" s="215"/>
      <c r="D18" s="222"/>
      <c r="E18" s="222"/>
      <c r="F18" s="216"/>
      <c r="G18" s="215">
        <v>8.1999999999999993</v>
      </c>
      <c r="H18" s="212"/>
      <c r="I18" s="211">
        <v>42.1</v>
      </c>
      <c r="J18" s="215"/>
      <c r="K18" s="215"/>
      <c r="L18" s="215"/>
      <c r="M18" s="215"/>
      <c r="N18" s="215"/>
    </row>
    <row r="19" spans="1:14" s="209" customFormat="1" ht="20.100000000000001" customHeight="1" x14ac:dyDescent="0.25">
      <c r="A19" s="210"/>
      <c r="B19" s="217" t="s">
        <v>228</v>
      </c>
      <c r="C19" s="195"/>
      <c r="D19" s="214"/>
      <c r="E19" s="214"/>
      <c r="F19" s="216">
        <v>-4.9000000000000004</v>
      </c>
      <c r="G19" s="215"/>
      <c r="H19" s="212"/>
      <c r="I19" s="211">
        <v>0</v>
      </c>
      <c r="J19" s="215"/>
      <c r="K19" s="215"/>
      <c r="L19" s="215"/>
      <c r="M19" s="215"/>
      <c r="N19" s="215"/>
    </row>
    <row r="20" spans="1:14" s="209" customFormat="1" ht="14.1" customHeight="1" x14ac:dyDescent="0.25">
      <c r="A20" s="223"/>
      <c r="B20" s="207"/>
      <c r="D20" s="224"/>
      <c r="E20" s="224"/>
      <c r="F20" s="225"/>
      <c r="G20" s="226"/>
      <c r="H20" s="212"/>
      <c r="I20" s="227"/>
      <c r="J20" s="215"/>
      <c r="K20" s="215"/>
      <c r="L20" s="215"/>
      <c r="M20" s="215"/>
      <c r="N20" s="215"/>
    </row>
    <row r="21" spans="1:14" ht="18.75" thickBot="1" x14ac:dyDescent="0.3">
      <c r="A21" s="197"/>
      <c r="B21" s="228" t="s">
        <v>16</v>
      </c>
      <c r="D21" s="229">
        <f>SUM(D10:D20)</f>
        <v>0</v>
      </c>
      <c r="E21" s="229">
        <f>SUM(E10:E20)</f>
        <v>-77.5</v>
      </c>
      <c r="F21" s="229">
        <f>SUM(F10:F20)</f>
        <v>-42.4</v>
      </c>
      <c r="G21" s="229">
        <f>SUM(G10:G20)</f>
        <v>-40.700000000000003</v>
      </c>
      <c r="H21" s="231"/>
      <c r="I21" s="230">
        <f>SUM(I10:I20)</f>
        <v>743.5</v>
      </c>
      <c r="J21" s="195"/>
      <c r="K21" s="195"/>
      <c r="L21" s="195"/>
      <c r="M21" s="195"/>
      <c r="N21" s="195"/>
    </row>
    <row r="22" spans="1:14" ht="18.75" thickTop="1" x14ac:dyDescent="0.25">
      <c r="E22" s="233"/>
      <c r="F22" s="233"/>
      <c r="G22" s="233"/>
      <c r="H22" s="197"/>
      <c r="I22" s="197"/>
    </row>
    <row r="23" spans="1:14" x14ac:dyDescent="0.2">
      <c r="A23" s="234" t="str">
        <f ca="1">CELL("filename",A1)</f>
        <v>P:\GPGFIN\GPGplan\2004Plan\[enron corp infomation request-egas.xls]details of asset sale proceeds</v>
      </c>
      <c r="E23" s="233"/>
      <c r="F23" s="233"/>
      <c r="G23" s="233"/>
    </row>
    <row r="24" spans="1:14" x14ac:dyDescent="0.2">
      <c r="E24" s="233"/>
      <c r="F24" s="233"/>
      <c r="G24" s="233"/>
    </row>
    <row r="25" spans="1:14" x14ac:dyDescent="0.2">
      <c r="E25" s="233"/>
      <c r="F25" s="233"/>
      <c r="G25" s="233"/>
    </row>
    <row r="26" spans="1:14" x14ac:dyDescent="0.2">
      <c r="E26" s="233"/>
      <c r="F26" s="233"/>
      <c r="G26" s="233"/>
    </row>
    <row r="27" spans="1:14" x14ac:dyDescent="0.2">
      <c r="E27" s="233"/>
      <c r="F27" s="233"/>
      <c r="G27" s="233"/>
    </row>
    <row r="28" spans="1:14" x14ac:dyDescent="0.2">
      <c r="E28" s="233"/>
      <c r="F28" s="233"/>
      <c r="G28" s="233"/>
    </row>
    <row r="29" spans="1:14" x14ac:dyDescent="0.2">
      <c r="E29" s="233"/>
      <c r="F29" s="233"/>
      <c r="G29" s="233"/>
    </row>
    <row r="30" spans="1:14" x14ac:dyDescent="0.2">
      <c r="E30" s="233"/>
      <c r="F30" s="233"/>
      <c r="G30" s="233"/>
    </row>
    <row r="31" spans="1:14" x14ac:dyDescent="0.2">
      <c r="E31" s="233"/>
      <c r="F31" s="233"/>
      <c r="G31" s="233"/>
    </row>
    <row r="32" spans="1:14" x14ac:dyDescent="0.2">
      <c r="E32" s="233"/>
      <c r="F32" s="233"/>
      <c r="G32" s="233"/>
    </row>
    <row r="33" spans="5:7" x14ac:dyDescent="0.2">
      <c r="E33" s="233"/>
      <c r="F33" s="233"/>
      <c r="G33" s="233"/>
    </row>
    <row r="34" spans="5:7" x14ac:dyDescent="0.2">
      <c r="E34" s="233"/>
      <c r="F34" s="233"/>
      <c r="G34" s="233"/>
    </row>
    <row r="35" spans="5:7" x14ac:dyDescent="0.2">
      <c r="E35" s="233"/>
      <c r="F35" s="233"/>
      <c r="G35" s="233"/>
    </row>
    <row r="36" spans="5:7" x14ac:dyDescent="0.2">
      <c r="E36" s="233"/>
      <c r="F36" s="233"/>
      <c r="G36" s="233"/>
    </row>
    <row r="37" spans="5:7" x14ac:dyDescent="0.2">
      <c r="E37" s="233"/>
      <c r="F37" s="233"/>
      <c r="G37" s="233"/>
    </row>
    <row r="38" spans="5:7" x14ac:dyDescent="0.2">
      <c r="E38" s="233"/>
      <c r="F38" s="233"/>
      <c r="G38" s="233"/>
    </row>
    <row r="39" spans="5:7" x14ac:dyDescent="0.2">
      <c r="E39" s="233"/>
      <c r="F39" s="233"/>
      <c r="G39" s="233"/>
    </row>
    <row r="40" spans="5:7" x14ac:dyDescent="0.2">
      <c r="E40" s="233"/>
      <c r="F40" s="233"/>
      <c r="G40" s="233"/>
    </row>
    <row r="41" spans="5:7" x14ac:dyDescent="0.2">
      <c r="E41" s="233"/>
      <c r="F41" s="233"/>
      <c r="G41" s="233"/>
    </row>
    <row r="42" spans="5:7" x14ac:dyDescent="0.2">
      <c r="E42" s="233"/>
      <c r="F42" s="233"/>
      <c r="G42" s="233"/>
    </row>
    <row r="43" spans="5:7" x14ac:dyDescent="0.2">
      <c r="E43" s="233"/>
      <c r="F43" s="233"/>
      <c r="G43" s="233"/>
    </row>
    <row r="44" spans="5:7" x14ac:dyDescent="0.2">
      <c r="E44" s="233"/>
      <c r="F44" s="233"/>
      <c r="G44" s="233"/>
    </row>
    <row r="45" spans="5:7" x14ac:dyDescent="0.2">
      <c r="E45" s="233"/>
      <c r="F45" s="233"/>
      <c r="G45" s="233"/>
    </row>
    <row r="46" spans="5:7" x14ac:dyDescent="0.2">
      <c r="E46" s="233"/>
      <c r="F46" s="233"/>
      <c r="G46" s="233"/>
    </row>
    <row r="47" spans="5:7" x14ac:dyDescent="0.2">
      <c r="E47" s="233"/>
      <c r="F47" s="233"/>
      <c r="G47" s="233"/>
    </row>
    <row r="48" spans="5:7" x14ac:dyDescent="0.2">
      <c r="E48" s="233"/>
      <c r="F48" s="233"/>
      <c r="G48" s="233"/>
    </row>
    <row r="49" spans="5:7" x14ac:dyDescent="0.2">
      <c r="E49" s="233"/>
      <c r="F49" s="233"/>
      <c r="G49" s="233"/>
    </row>
    <row r="50" spans="5:7" x14ac:dyDescent="0.2">
      <c r="E50" s="233"/>
      <c r="F50" s="233"/>
      <c r="G50" s="233"/>
    </row>
    <row r="51" spans="5:7" x14ac:dyDescent="0.2">
      <c r="E51" s="233"/>
      <c r="F51" s="233"/>
      <c r="G51" s="233"/>
    </row>
    <row r="52" spans="5:7" x14ac:dyDescent="0.2">
      <c r="E52" s="233"/>
      <c r="F52" s="233"/>
      <c r="G52" s="233"/>
    </row>
    <row r="53" spans="5:7" x14ac:dyDescent="0.2">
      <c r="E53" s="233"/>
      <c r="F53" s="233"/>
      <c r="G53" s="233"/>
    </row>
    <row r="54" spans="5:7" x14ac:dyDescent="0.2">
      <c r="E54" s="233"/>
      <c r="F54" s="233"/>
      <c r="G54" s="233"/>
    </row>
    <row r="55" spans="5:7" x14ac:dyDescent="0.2">
      <c r="E55" s="233"/>
      <c r="F55" s="233"/>
      <c r="G55" s="233"/>
    </row>
    <row r="56" spans="5:7" x14ac:dyDescent="0.2">
      <c r="E56" s="233"/>
      <c r="F56" s="233"/>
      <c r="G56" s="233"/>
    </row>
    <row r="57" spans="5:7" x14ac:dyDescent="0.2">
      <c r="E57" s="233"/>
      <c r="F57" s="233"/>
      <c r="G57" s="233"/>
    </row>
    <row r="58" spans="5:7" x14ac:dyDescent="0.2">
      <c r="E58" s="233"/>
      <c r="F58" s="233"/>
      <c r="G58" s="233"/>
    </row>
    <row r="59" spans="5:7" x14ac:dyDescent="0.2">
      <c r="E59" s="233"/>
      <c r="F59" s="233"/>
      <c r="G59" s="233"/>
    </row>
    <row r="60" spans="5:7" x14ac:dyDescent="0.2">
      <c r="E60" s="233"/>
      <c r="F60" s="233"/>
      <c r="G60" s="233"/>
    </row>
    <row r="61" spans="5:7" x14ac:dyDescent="0.2">
      <c r="E61" s="233"/>
      <c r="F61" s="233"/>
      <c r="G61" s="233"/>
    </row>
    <row r="62" spans="5:7" x14ac:dyDescent="0.2">
      <c r="E62" s="233"/>
      <c r="F62" s="233"/>
      <c r="G62" s="233"/>
    </row>
    <row r="63" spans="5:7" x14ac:dyDescent="0.2">
      <c r="E63" s="233"/>
      <c r="F63" s="233"/>
      <c r="G63" s="233"/>
    </row>
    <row r="64" spans="5:7" x14ac:dyDescent="0.2">
      <c r="E64" s="233"/>
      <c r="F64" s="233"/>
      <c r="G64" s="233"/>
    </row>
    <row r="65" spans="5:7" x14ac:dyDescent="0.2">
      <c r="E65" s="233"/>
      <c r="F65" s="233"/>
      <c r="G65" s="233"/>
    </row>
    <row r="66" spans="5:7" x14ac:dyDescent="0.2">
      <c r="E66" s="233"/>
      <c r="F66" s="233"/>
      <c r="G66" s="233"/>
    </row>
    <row r="67" spans="5:7" x14ac:dyDescent="0.2">
      <c r="E67" s="233"/>
      <c r="F67" s="233"/>
      <c r="G67" s="233"/>
    </row>
    <row r="68" spans="5:7" x14ac:dyDescent="0.2">
      <c r="E68" s="233"/>
      <c r="F68" s="233"/>
      <c r="G68" s="233"/>
    </row>
    <row r="69" spans="5:7" x14ac:dyDescent="0.2">
      <c r="E69" s="233"/>
      <c r="F69" s="233"/>
      <c r="G69" s="233"/>
    </row>
    <row r="70" spans="5:7" x14ac:dyDescent="0.2">
      <c r="E70" s="233"/>
      <c r="F70" s="233"/>
      <c r="G70" s="233"/>
    </row>
    <row r="71" spans="5:7" x14ac:dyDescent="0.2">
      <c r="E71" s="233"/>
      <c r="F71" s="233"/>
      <c r="G71" s="233"/>
    </row>
    <row r="72" spans="5:7" x14ac:dyDescent="0.2">
      <c r="E72" s="233"/>
      <c r="F72" s="233"/>
      <c r="G72" s="233"/>
    </row>
    <row r="73" spans="5:7" x14ac:dyDescent="0.2">
      <c r="E73" s="233"/>
      <c r="F73" s="233"/>
      <c r="G73" s="233"/>
    </row>
    <row r="74" spans="5:7" x14ac:dyDescent="0.2">
      <c r="E74" s="233"/>
      <c r="F74" s="233"/>
      <c r="G74" s="233"/>
    </row>
    <row r="75" spans="5:7" x14ac:dyDescent="0.2">
      <c r="E75" s="233"/>
      <c r="F75" s="233"/>
      <c r="G75" s="233"/>
    </row>
    <row r="76" spans="5:7" x14ac:dyDescent="0.2">
      <c r="E76" s="233"/>
      <c r="F76" s="233"/>
      <c r="G76" s="233"/>
    </row>
    <row r="77" spans="5:7" x14ac:dyDescent="0.2">
      <c r="E77" s="233"/>
      <c r="F77" s="233"/>
      <c r="G77" s="233"/>
    </row>
    <row r="78" spans="5:7" x14ac:dyDescent="0.2">
      <c r="E78" s="233"/>
      <c r="F78" s="233"/>
      <c r="G78" s="233"/>
    </row>
    <row r="79" spans="5:7" x14ac:dyDescent="0.2">
      <c r="E79" s="233"/>
      <c r="F79" s="233"/>
      <c r="G79" s="233"/>
    </row>
    <row r="80" spans="5:7" x14ac:dyDescent="0.2">
      <c r="E80" s="233"/>
      <c r="F80" s="233"/>
      <c r="G80" s="233"/>
    </row>
    <row r="81" spans="5:7" x14ac:dyDescent="0.2">
      <c r="E81" s="233"/>
      <c r="F81" s="233"/>
      <c r="G81" s="233"/>
    </row>
    <row r="82" spans="5:7" x14ac:dyDescent="0.2">
      <c r="E82" s="233"/>
      <c r="F82" s="233"/>
      <c r="G82" s="233"/>
    </row>
    <row r="83" spans="5:7" x14ac:dyDescent="0.2">
      <c r="E83" s="233"/>
      <c r="F83" s="233"/>
      <c r="G83" s="233"/>
    </row>
    <row r="84" spans="5:7" x14ac:dyDescent="0.2">
      <c r="E84" s="233"/>
      <c r="F84" s="233"/>
      <c r="G84" s="233"/>
    </row>
    <row r="85" spans="5:7" x14ac:dyDescent="0.2">
      <c r="E85" s="233"/>
      <c r="F85" s="233"/>
      <c r="G85" s="233"/>
    </row>
    <row r="86" spans="5:7" x14ac:dyDescent="0.2">
      <c r="E86" s="233"/>
      <c r="F86" s="233"/>
      <c r="G86" s="233"/>
    </row>
    <row r="87" spans="5:7" x14ac:dyDescent="0.2">
      <c r="E87" s="233"/>
      <c r="F87" s="233"/>
      <c r="G87" s="233"/>
    </row>
  </sheetData>
  <mergeCells count="4">
    <mergeCell ref="A1:I1"/>
    <mergeCell ref="A2:I2"/>
    <mergeCell ref="A3:I3"/>
    <mergeCell ref="A4:I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E37"/>
  <sheetViews>
    <sheetView showGridLines="0" zoomScale="85" zoomScaleNormal="85" workbookViewId="0">
      <selection activeCell="A3" sqref="A3:L26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5" ht="18.75" customHeight="1" x14ac:dyDescent="0.25">
      <c r="A3" s="5" t="s">
        <v>201</v>
      </c>
      <c r="C3" s="16" t="s">
        <v>177</v>
      </c>
      <c r="D3" s="46"/>
    </row>
    <row r="4" spans="1:5" ht="15.75" hidden="1" x14ac:dyDescent="0.25">
      <c r="A4" s="50"/>
      <c r="C4" s="51"/>
    </row>
    <row r="5" spans="1:5" ht="18.75" customHeight="1" x14ac:dyDescent="0.25">
      <c r="A5" s="50" t="s">
        <v>0</v>
      </c>
      <c r="C5" s="47" t="s">
        <v>8</v>
      </c>
    </row>
    <row r="6" spans="1:5" ht="15.75" hidden="1" x14ac:dyDescent="0.25">
      <c r="A6" s="50"/>
      <c r="C6" s="51"/>
    </row>
    <row r="7" spans="1:5" ht="9" customHeight="1" x14ac:dyDescent="0.25">
      <c r="A7" s="50"/>
      <c r="C7" s="51"/>
    </row>
    <row r="8" spans="1:5" ht="15.75" x14ac:dyDescent="0.2">
      <c r="A8" s="3" t="s">
        <v>106</v>
      </c>
      <c r="B8" s="12"/>
      <c r="C8" s="84"/>
      <c r="D8" s="85"/>
    </row>
    <row r="9" spans="1:5" ht="15.75" x14ac:dyDescent="0.2">
      <c r="A9" s="3" t="s">
        <v>107</v>
      </c>
      <c r="B9" s="12"/>
      <c r="C9" s="88">
        <v>332.9</v>
      </c>
      <c r="D9" s="89"/>
      <c r="E9" s="5" t="s">
        <v>199</v>
      </c>
    </row>
    <row r="10" spans="1:5" ht="15.75" x14ac:dyDescent="0.2">
      <c r="A10" s="3" t="s">
        <v>108</v>
      </c>
      <c r="B10" s="12"/>
      <c r="C10" s="88"/>
      <c r="D10" s="89"/>
    </row>
    <row r="11" spans="1:5" ht="15.75" x14ac:dyDescent="0.2">
      <c r="A11" s="3" t="s">
        <v>109</v>
      </c>
      <c r="B11" s="12"/>
      <c r="C11" s="88"/>
      <c r="D11" s="89"/>
    </row>
    <row r="12" spans="1:5" ht="15.75" x14ac:dyDescent="0.2">
      <c r="A12" s="3" t="s">
        <v>110</v>
      </c>
      <c r="B12" s="12"/>
      <c r="C12" s="88"/>
      <c r="D12" s="89"/>
    </row>
    <row r="13" spans="1:5" ht="15.75" x14ac:dyDescent="0.2">
      <c r="A13" s="3" t="s">
        <v>111</v>
      </c>
      <c r="B13" s="12"/>
      <c r="C13" s="88"/>
      <c r="D13" s="89"/>
    </row>
    <row r="14" spans="1:5" ht="15.75" x14ac:dyDescent="0.2">
      <c r="A14" s="3" t="s">
        <v>112</v>
      </c>
      <c r="B14" s="12"/>
      <c r="C14" s="91"/>
      <c r="D14" s="89"/>
    </row>
    <row r="15" spans="1:5" ht="15.75" x14ac:dyDescent="0.2">
      <c r="A15" s="3" t="s">
        <v>2</v>
      </c>
      <c r="B15" s="12"/>
      <c r="C15" s="91"/>
      <c r="D15" s="89"/>
    </row>
    <row r="16" spans="1:5" ht="9" customHeight="1" x14ac:dyDescent="0.2">
      <c r="A16" s="3"/>
      <c r="B16" s="12"/>
      <c r="C16" s="91"/>
      <c r="D16" s="89"/>
    </row>
    <row r="17" spans="1:5" ht="15.75" x14ac:dyDescent="0.2">
      <c r="A17" s="59" t="s">
        <v>3</v>
      </c>
      <c r="B17" s="12"/>
      <c r="C17" s="123">
        <f>SUM(C7:C15)</f>
        <v>332.9</v>
      </c>
      <c r="D17" s="124"/>
    </row>
    <row r="18" spans="1:5" ht="9" customHeight="1" x14ac:dyDescent="0.2">
      <c r="A18" s="61"/>
      <c r="B18" s="12"/>
      <c r="C18" s="89"/>
      <c r="D18" s="89"/>
    </row>
    <row r="19" spans="1:5" ht="15.75" x14ac:dyDescent="0.2">
      <c r="A19" s="62" t="s">
        <v>4</v>
      </c>
      <c r="B19" s="12"/>
      <c r="C19" s="91">
        <v>-256.89999999999998</v>
      </c>
      <c r="D19" s="89"/>
    </row>
    <row r="20" spans="1:5" ht="15.75" x14ac:dyDescent="0.2">
      <c r="A20" s="61"/>
      <c r="B20" s="12"/>
      <c r="C20" s="91"/>
      <c r="D20" s="89"/>
    </row>
    <row r="21" spans="1:5" ht="15.75" x14ac:dyDescent="0.2">
      <c r="A21" s="62" t="s">
        <v>5</v>
      </c>
      <c r="B21" s="12"/>
      <c r="C21" s="91">
        <v>-102.9</v>
      </c>
      <c r="D21" s="89"/>
    </row>
    <row r="22" spans="1:5" ht="15.75" x14ac:dyDescent="0.2">
      <c r="A22" s="62" t="s">
        <v>178</v>
      </c>
      <c r="B22" s="12"/>
      <c r="C22" s="91">
        <v>-13.9</v>
      </c>
      <c r="D22" s="92"/>
    </row>
    <row r="23" spans="1:5" ht="15.75" x14ac:dyDescent="0.2">
      <c r="A23" s="62" t="s">
        <v>6</v>
      </c>
      <c r="B23" s="12"/>
      <c r="C23" s="136">
        <v>153.80000000000001</v>
      </c>
      <c r="D23" s="92"/>
      <c r="E23" s="5" t="s">
        <v>203</v>
      </c>
    </row>
    <row r="24" spans="1:5" ht="9" customHeight="1" x14ac:dyDescent="0.2">
      <c r="A24" s="61"/>
      <c r="B24" s="12"/>
      <c r="C24" s="95"/>
      <c r="D24" s="87"/>
    </row>
    <row r="25" spans="1:5" ht="16.5" thickBot="1" x14ac:dyDescent="0.25">
      <c r="A25" s="62" t="s">
        <v>7</v>
      </c>
      <c r="B25" s="12"/>
      <c r="C25" s="122">
        <f>SUM(C17:C23)</f>
        <v>113</v>
      </c>
      <c r="D25" s="96"/>
    </row>
    <row r="26" spans="1:5" ht="16.5" thickTop="1" x14ac:dyDescent="0.25">
      <c r="C26" s="66"/>
    </row>
    <row r="27" spans="1:5" x14ac:dyDescent="0.2">
      <c r="A27" s="13"/>
    </row>
    <row r="28" spans="1:5" x14ac:dyDescent="0.2">
      <c r="A28" s="67"/>
    </row>
    <row r="29" spans="1:5" x14ac:dyDescent="0.2">
      <c r="A29" s="67"/>
    </row>
    <row r="30" spans="1:5" x14ac:dyDescent="0.2">
      <c r="A30" s="67"/>
    </row>
    <row r="32" spans="1:5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39</vt:i4>
      </vt:variant>
    </vt:vector>
  </HeadingPairs>
  <TitlesOfParts>
    <vt:vector size="87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cash from operating projects</vt:lpstr>
      <vt:lpstr>details of asset sale proceeds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2001-11-16T20:19:00Z</cp:lastPrinted>
  <dcterms:created xsi:type="dcterms:W3CDTF">2001-06-23T22:21:53Z</dcterms:created>
  <dcterms:modified xsi:type="dcterms:W3CDTF">2023-09-15T19:45:54Z</dcterms:modified>
</cp:coreProperties>
</file>