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810E0B09-8BF0-4628-B26A-01B49727562B}" xr6:coauthVersionLast="47" xr6:coauthVersionMax="47" xr10:uidLastSave="{00000000-0000-0000-0000-000000000000}"/>
  <bookViews>
    <workbookView xWindow="-120" yWindow="-120" windowWidth="38640" windowHeight="15720" tabRatio="422" activeTab="1"/>
  </bookViews>
  <sheets>
    <sheet name="CCs # Master" sheetId="16" r:id="rId1"/>
    <sheet name="Corp Summary by Group" sheetId="20" r:id="rId2"/>
    <sheet name="Corp Group Sum" sheetId="15" state="hidden" r:id="rId3"/>
    <sheet name="ECM MMF CALC" sheetId="14" state="hidden" r:id="rId4"/>
  </sheets>
  <definedNames>
    <definedName name="allheads" localSheetId="1">'Corp Summary by Group'!$E$150:$J$247</definedName>
    <definedName name="allheads">#REF!</definedName>
    <definedName name="alloc" localSheetId="1">'Corp Summary by Group'!$M$150:$AY$272</definedName>
    <definedName name="alloc">#REF!</definedName>
    <definedName name="allom" localSheetId="1">'Corp Summary by Group'!$K$150:$K$247</definedName>
    <definedName name="allom">#REF!</definedName>
    <definedName name="CAPITAL" localSheetId="1">'Corp Summary by Group'!$L$150:$L$272</definedName>
    <definedName name="CAPITAL">#REF!</definedName>
    <definedName name="causey_heads">#REF!</definedName>
    <definedName name="corpbox" localSheetId="1">'Corp Summary by Group'!$K$150:$K$274</definedName>
    <definedName name="corpbox">#REF!</definedName>
    <definedName name="heads011" localSheetId="1">'Corp Summary by Group'!$A$79:$J$274</definedName>
    <definedName name="heads011">#REF!</definedName>
    <definedName name="mktcap" localSheetId="1">'Corp Summary by Group'!$L$25:$M$276</definedName>
    <definedName name="mktcap">#REF!</definedName>
    <definedName name="mktres" localSheetId="1">'Corp Summary by Group'!$E$25:$K$276</definedName>
    <definedName name="mktres">#REF!</definedName>
    <definedName name="_om011" localSheetId="1">'Corp Summary by Group'!$K$79:$K$274</definedName>
    <definedName name="_om011">#REF!</definedName>
    <definedName name="PlanvsPriorYearEst" localSheetId="1">'Corp Summary by Group'!$K$150:$K$274</definedName>
    <definedName name="PlanvsPriorYearEst">#REF!</definedName>
    <definedName name="PlanvsPriorYrPlan" localSheetId="1">'Corp Summary by Group'!$K$150:$K$274</definedName>
    <definedName name="PlanvsPriorYrPlan">#REF!</definedName>
    <definedName name="_xlnm.Print_Area" localSheetId="0">'CCs # Master'!$A$1:$BA$217</definedName>
    <definedName name="_xlnm.Print_Area" localSheetId="2">'Corp Group Sum'!$A$9:$AD$290</definedName>
    <definedName name="_xlnm.Print_Area" localSheetId="1">'Corp Summary by Group'!$N$8:$BE$254</definedName>
    <definedName name="_xlnm.Print_Area" localSheetId="3">'ECM MMF CALC'!$A$1:$AB$18</definedName>
    <definedName name="_xlnm.Print_Titles" localSheetId="0">'CCs # Master'!$A:$D,'CCs # Master'!$1:$8</definedName>
    <definedName name="_xlnm.Print_Titles" localSheetId="2">'Corp Group Sum'!$1:$8</definedName>
    <definedName name="_xlnm.Print_Titles" localSheetId="1">'Corp Summary by Group'!$A:$D,'Corp Summary by Group'!$1:$7</definedName>
    <definedName name="totalalloc" localSheetId="1">'Corp Summary by Group'!$M$150:$AY$274</definedName>
    <definedName name="totalalloc">#REF!</definedName>
    <definedName name="totalom" localSheetId="1">'Corp Summary by Group'!$A$1:$K$274</definedName>
    <definedName name="totalom">#REF!</definedName>
  </definedNames>
  <calcPr calcId="0" fullCalcOnLoad="1"/>
</workbook>
</file>

<file path=xl/calcChain.xml><?xml version="1.0" encoding="utf-8"?>
<calcChain xmlns="http://schemas.openxmlformats.org/spreadsheetml/2006/main">
  <c r="E10" i="16" l="1"/>
  <c r="I10" i="16"/>
  <c r="K10" i="16"/>
  <c r="AV10" i="16"/>
  <c r="AY10" i="16"/>
  <c r="AZ10" i="16"/>
  <c r="K11" i="16"/>
  <c r="AV11" i="16"/>
  <c r="AY11" i="16"/>
  <c r="AZ11" i="16"/>
  <c r="K12" i="16"/>
  <c r="AV12" i="16"/>
  <c r="AY12" i="16"/>
  <c r="AZ12" i="16"/>
  <c r="K13" i="16"/>
  <c r="X13" i="16"/>
  <c r="AL13" i="16"/>
  <c r="AO13" i="16"/>
  <c r="AV13" i="16"/>
  <c r="AW13" i="16"/>
  <c r="AY13" i="16"/>
  <c r="AZ13" i="16"/>
  <c r="E14" i="16"/>
  <c r="I14" i="16"/>
  <c r="K14" i="16"/>
  <c r="AV14" i="16"/>
  <c r="AY14" i="16"/>
  <c r="AZ14" i="16"/>
  <c r="K15" i="16"/>
  <c r="AV15" i="16"/>
  <c r="AY15" i="16"/>
  <c r="AZ15" i="16"/>
  <c r="E16" i="16"/>
  <c r="H16" i="16"/>
  <c r="I16" i="16"/>
  <c r="K16" i="16"/>
  <c r="AV16" i="16"/>
  <c r="AY16" i="16"/>
  <c r="AZ16" i="16"/>
  <c r="E17" i="16"/>
  <c r="H17" i="16"/>
  <c r="I17" i="16"/>
  <c r="K17" i="16"/>
  <c r="AV17" i="16"/>
  <c r="AY17" i="16"/>
  <c r="AZ17" i="16"/>
  <c r="E18" i="16"/>
  <c r="H18" i="16"/>
  <c r="I18" i="16"/>
  <c r="K18" i="16"/>
  <c r="AV18" i="16"/>
  <c r="AY18" i="16"/>
  <c r="AZ18" i="16"/>
  <c r="E19" i="16"/>
  <c r="F19" i="16"/>
  <c r="H19" i="16"/>
  <c r="I19" i="16"/>
  <c r="K19" i="16"/>
  <c r="AV19" i="16"/>
  <c r="AY19" i="16"/>
  <c r="AZ19" i="16"/>
  <c r="E20" i="16"/>
  <c r="I20" i="16"/>
  <c r="K20" i="16"/>
  <c r="AV20" i="16"/>
  <c r="AY20" i="16"/>
  <c r="AZ20" i="16"/>
  <c r="E21" i="16"/>
  <c r="H21" i="16"/>
  <c r="K21" i="16"/>
  <c r="AV21" i="16"/>
  <c r="AY21" i="16"/>
  <c r="AZ21" i="16"/>
  <c r="E22" i="16"/>
  <c r="H22" i="16"/>
  <c r="I22" i="16"/>
  <c r="J22" i="16"/>
  <c r="K22" i="16"/>
  <c r="AV22" i="16"/>
  <c r="AY22" i="16"/>
  <c r="AZ22" i="16"/>
  <c r="H23" i="16"/>
  <c r="K23" i="16"/>
  <c r="AV23" i="16"/>
  <c r="AY23" i="16"/>
  <c r="AZ23" i="16"/>
  <c r="E24" i="16"/>
  <c r="H24" i="16"/>
  <c r="I24" i="16"/>
  <c r="K24" i="16"/>
  <c r="AV24" i="16"/>
  <c r="AY24" i="16"/>
  <c r="AZ24" i="16"/>
  <c r="E25" i="16"/>
  <c r="H25" i="16"/>
  <c r="I25" i="16"/>
  <c r="K25" i="16"/>
  <c r="AV25" i="16"/>
  <c r="AY25" i="16"/>
  <c r="AZ25" i="16"/>
  <c r="E26" i="16"/>
  <c r="H26" i="16"/>
  <c r="I26" i="16"/>
  <c r="K26" i="16"/>
  <c r="X26" i="16"/>
  <c r="AV26" i="16"/>
  <c r="AY26" i="16"/>
  <c r="AZ26" i="16"/>
  <c r="E27" i="16"/>
  <c r="H27" i="16"/>
  <c r="I27" i="16"/>
  <c r="K27" i="16"/>
  <c r="X27" i="16"/>
  <c r="AL27" i="16"/>
  <c r="AO27" i="16"/>
  <c r="AV27" i="16"/>
  <c r="AY27" i="16"/>
  <c r="AZ27" i="16"/>
  <c r="E28" i="16"/>
  <c r="H28" i="16"/>
  <c r="I28" i="16"/>
  <c r="K28" i="16"/>
  <c r="AV28" i="16"/>
  <c r="AY28" i="16"/>
  <c r="AZ28" i="16"/>
  <c r="E29" i="16"/>
  <c r="H29" i="16"/>
  <c r="I29" i="16"/>
  <c r="K29" i="16"/>
  <c r="X29" i="16"/>
  <c r="AV29" i="16"/>
  <c r="AY29" i="16"/>
  <c r="AZ29" i="16"/>
  <c r="E30" i="16"/>
  <c r="H30" i="16"/>
  <c r="I30" i="16"/>
  <c r="K30" i="16"/>
  <c r="X30" i="16"/>
  <c r="AL30" i="16"/>
  <c r="AV30" i="16"/>
  <c r="AY30" i="16"/>
  <c r="AZ30" i="16"/>
  <c r="E31" i="16"/>
  <c r="H31" i="16"/>
  <c r="I31" i="16"/>
  <c r="K31" i="16"/>
  <c r="AV31" i="16"/>
  <c r="AY31" i="16"/>
  <c r="AZ31" i="16"/>
  <c r="K32" i="16"/>
  <c r="AV32" i="16"/>
  <c r="AY32" i="16"/>
  <c r="AZ32" i="16"/>
  <c r="E33" i="16"/>
  <c r="H33" i="16"/>
  <c r="I33" i="16"/>
  <c r="K33" i="16"/>
  <c r="AV33" i="16"/>
  <c r="AY33" i="16"/>
  <c r="AZ33" i="16"/>
  <c r="E34" i="16"/>
  <c r="H34" i="16"/>
  <c r="I34" i="16"/>
  <c r="K34" i="16"/>
  <c r="AV34" i="16"/>
  <c r="AY34" i="16"/>
  <c r="AZ34" i="16"/>
  <c r="E35" i="16"/>
  <c r="I35" i="16"/>
  <c r="K35" i="16"/>
  <c r="AV35" i="16"/>
  <c r="AY35" i="16"/>
  <c r="AZ35" i="16"/>
  <c r="E36" i="16"/>
  <c r="H36" i="16"/>
  <c r="I36" i="16"/>
  <c r="K36" i="16"/>
  <c r="X36" i="16"/>
  <c r="AL36" i="16"/>
  <c r="AO36" i="16"/>
  <c r="AV36" i="16"/>
  <c r="AY36" i="16"/>
  <c r="AZ36" i="16"/>
  <c r="E37" i="16"/>
  <c r="H37" i="16"/>
  <c r="I37" i="16"/>
  <c r="K37" i="16"/>
  <c r="X37" i="16"/>
  <c r="AV37" i="16"/>
  <c r="AY37" i="16"/>
  <c r="AZ37" i="16"/>
  <c r="E38" i="16"/>
  <c r="H38" i="16"/>
  <c r="I38" i="16"/>
  <c r="K38" i="16"/>
  <c r="X38" i="16"/>
  <c r="AL38" i="16"/>
  <c r="AV38" i="16"/>
  <c r="AY38" i="16"/>
  <c r="AZ38" i="16"/>
  <c r="H39" i="16"/>
  <c r="I39" i="16"/>
  <c r="K39" i="16"/>
  <c r="AV39" i="16"/>
  <c r="AY39" i="16"/>
  <c r="AZ39" i="16"/>
  <c r="E40" i="16"/>
  <c r="H40" i="16"/>
  <c r="I40" i="16"/>
  <c r="J40" i="16"/>
  <c r="K40" i="16"/>
  <c r="AV40" i="16"/>
  <c r="AY40" i="16"/>
  <c r="AZ40" i="16"/>
  <c r="E41" i="16"/>
  <c r="H41" i="16"/>
  <c r="I41" i="16"/>
  <c r="K41" i="16"/>
  <c r="AV41" i="16"/>
  <c r="AY41" i="16"/>
  <c r="AZ41" i="16"/>
  <c r="H42" i="16"/>
  <c r="K42" i="16"/>
  <c r="AV42" i="16"/>
  <c r="AY42" i="16"/>
  <c r="AZ42" i="16"/>
  <c r="E43" i="16"/>
  <c r="H43" i="16"/>
  <c r="I43" i="16"/>
  <c r="K43" i="16"/>
  <c r="X43" i="16"/>
  <c r="AV43" i="16"/>
  <c r="AY43" i="16"/>
  <c r="AZ43" i="16"/>
  <c r="E44" i="16"/>
  <c r="H44" i="16"/>
  <c r="I44" i="16"/>
  <c r="K44" i="16"/>
  <c r="X44" i="16"/>
  <c r="AO44" i="16"/>
  <c r="AV44" i="16"/>
  <c r="AY44" i="16"/>
  <c r="AZ44" i="16"/>
  <c r="E45" i="16"/>
  <c r="H45" i="16"/>
  <c r="I45" i="16"/>
  <c r="K45" i="16"/>
  <c r="X45" i="16"/>
  <c r="AO45" i="16"/>
  <c r="AV45" i="16"/>
  <c r="AY45" i="16"/>
  <c r="AZ45" i="16"/>
  <c r="E46" i="16"/>
  <c r="H46" i="16"/>
  <c r="I46" i="16"/>
  <c r="K46" i="16"/>
  <c r="X46" i="16"/>
  <c r="AO46" i="16"/>
  <c r="AV46" i="16"/>
  <c r="AY46" i="16"/>
  <c r="AZ46" i="16"/>
  <c r="K47" i="16"/>
  <c r="AV47" i="16"/>
  <c r="AY47" i="16"/>
  <c r="AZ47" i="16"/>
  <c r="E48" i="16"/>
  <c r="I48" i="16"/>
  <c r="K48" i="16"/>
  <c r="AV48" i="16"/>
  <c r="AY48" i="16"/>
  <c r="AZ48" i="16"/>
  <c r="K49" i="16"/>
  <c r="AV49" i="16"/>
  <c r="AY49" i="16"/>
  <c r="AZ49" i="16"/>
  <c r="E50" i="16"/>
  <c r="H50" i="16"/>
  <c r="I50" i="16"/>
  <c r="K50" i="16"/>
  <c r="AV50" i="16"/>
  <c r="AY50" i="16"/>
  <c r="AZ50" i="16"/>
  <c r="E51" i="16"/>
  <c r="H51" i="16"/>
  <c r="I51" i="16"/>
  <c r="K51" i="16"/>
  <c r="X51" i="16"/>
  <c r="AD51" i="16"/>
  <c r="AV51" i="16"/>
  <c r="AY51" i="16"/>
  <c r="AZ51" i="16"/>
  <c r="K52" i="16"/>
  <c r="AV52" i="16"/>
  <c r="AY52" i="16"/>
  <c r="AZ52" i="16"/>
  <c r="K53" i="16"/>
  <c r="AV53" i="16"/>
  <c r="AY53" i="16"/>
  <c r="AZ53" i="16"/>
  <c r="K54" i="16"/>
  <c r="X54" i="16"/>
  <c r="AL54" i="16"/>
  <c r="AO54" i="16"/>
  <c r="AV54" i="16"/>
  <c r="AY54" i="16"/>
  <c r="AZ54" i="16"/>
  <c r="E55" i="16"/>
  <c r="H55" i="16"/>
  <c r="I55" i="16"/>
  <c r="K55" i="16"/>
  <c r="X55" i="16"/>
  <c r="AO55" i="16"/>
  <c r="AV55" i="16"/>
  <c r="AY55" i="16"/>
  <c r="AZ55" i="16"/>
  <c r="K56" i="16"/>
  <c r="AV56" i="16"/>
  <c r="AY56" i="16"/>
  <c r="AZ56" i="16"/>
  <c r="K57" i="16"/>
  <c r="AV57" i="16"/>
  <c r="AY57" i="16"/>
  <c r="AZ57" i="16"/>
  <c r="H58" i="16"/>
  <c r="K58" i="16"/>
  <c r="AV58" i="16"/>
  <c r="AY58" i="16"/>
  <c r="AZ58" i="16"/>
  <c r="K59" i="16"/>
  <c r="X59" i="16"/>
  <c r="AL59" i="16"/>
  <c r="AO59" i="16"/>
  <c r="AV59" i="16"/>
  <c r="AY59" i="16"/>
  <c r="AZ59" i="16"/>
  <c r="K60" i="16"/>
  <c r="AV60" i="16"/>
  <c r="AY60" i="16"/>
  <c r="AZ60" i="16"/>
  <c r="K61" i="16"/>
  <c r="AV61" i="16"/>
  <c r="AY61" i="16"/>
  <c r="AZ61" i="16"/>
  <c r="K62" i="16"/>
  <c r="AV62" i="16"/>
  <c r="AY62" i="16"/>
  <c r="AZ62" i="16"/>
  <c r="H63" i="16"/>
  <c r="K63" i="16"/>
  <c r="AV63" i="16"/>
  <c r="AY63" i="16"/>
  <c r="AZ63" i="16"/>
  <c r="E64" i="16"/>
  <c r="H64" i="16"/>
  <c r="K64" i="16"/>
  <c r="AV64" i="16"/>
  <c r="AY64" i="16"/>
  <c r="AZ64" i="16"/>
  <c r="H65" i="16"/>
  <c r="K65" i="16"/>
  <c r="AV65" i="16"/>
  <c r="AY65" i="16"/>
  <c r="AZ65" i="16"/>
  <c r="H66" i="16"/>
  <c r="K66" i="16"/>
  <c r="AV66" i="16"/>
  <c r="AY66" i="16"/>
  <c r="AZ66" i="16"/>
  <c r="E67" i="16"/>
  <c r="I67" i="16"/>
  <c r="K67" i="16"/>
  <c r="AV67" i="16"/>
  <c r="AY67" i="16"/>
  <c r="AZ67" i="16"/>
  <c r="E68" i="16"/>
  <c r="H68" i="16"/>
  <c r="K68" i="16"/>
  <c r="AV68" i="16"/>
  <c r="AY68" i="16"/>
  <c r="AZ68" i="16"/>
  <c r="E69" i="16"/>
  <c r="H69" i="16"/>
  <c r="K69" i="16"/>
  <c r="AV69" i="16"/>
  <c r="AY69" i="16"/>
  <c r="AZ69" i="16"/>
  <c r="K70" i="16"/>
  <c r="AV70" i="16"/>
  <c r="AY70" i="16"/>
  <c r="AZ70" i="16"/>
  <c r="H71" i="16"/>
  <c r="K71" i="16"/>
  <c r="AV71" i="16"/>
  <c r="AY71" i="16"/>
  <c r="AZ71" i="16"/>
  <c r="K72" i="16"/>
  <c r="AV72" i="16"/>
  <c r="AY72" i="16"/>
  <c r="AZ72" i="16"/>
  <c r="E73" i="16"/>
  <c r="H73" i="16"/>
  <c r="I73" i="16"/>
  <c r="K73" i="16"/>
  <c r="AV73" i="16"/>
  <c r="AY73" i="16"/>
  <c r="AZ73" i="16"/>
  <c r="K74" i="16"/>
  <c r="AV74" i="16"/>
  <c r="AY74" i="16"/>
  <c r="AZ74" i="16"/>
  <c r="K75" i="16"/>
  <c r="V75" i="16"/>
  <c r="X75" i="16"/>
  <c r="AH75" i="16"/>
  <c r="AL75" i="16"/>
  <c r="AO75" i="16"/>
  <c r="AV75" i="16"/>
  <c r="AW75" i="16"/>
  <c r="AY75" i="16"/>
  <c r="AZ75" i="16"/>
  <c r="K76" i="16"/>
  <c r="V76" i="16"/>
  <c r="X76" i="16"/>
  <c r="Z76" i="16"/>
  <c r="AH76" i="16"/>
  <c r="AL76" i="16"/>
  <c r="AO76" i="16"/>
  <c r="AV76" i="16"/>
  <c r="AW76" i="16"/>
  <c r="AY76" i="16"/>
  <c r="AZ76" i="16"/>
  <c r="K77" i="16"/>
  <c r="AV77" i="16"/>
  <c r="AY77" i="16"/>
  <c r="AZ77" i="16"/>
  <c r="K78" i="16"/>
  <c r="AV78" i="16"/>
  <c r="AY78" i="16"/>
  <c r="AZ78" i="16"/>
  <c r="K79" i="16"/>
  <c r="AV79" i="16"/>
  <c r="AY79" i="16"/>
  <c r="AZ79" i="16"/>
  <c r="K80" i="16"/>
  <c r="V80" i="16"/>
  <c r="X80" i="16"/>
  <c r="AO80" i="16"/>
  <c r="AV80" i="16"/>
  <c r="AY80" i="16"/>
  <c r="AZ80" i="16"/>
  <c r="K81" i="16"/>
  <c r="AV81" i="16"/>
  <c r="AY81" i="16"/>
  <c r="AZ81" i="16"/>
  <c r="K82" i="16"/>
  <c r="AV82" i="16"/>
  <c r="AY82" i="16"/>
  <c r="AZ82" i="16"/>
  <c r="K83" i="16"/>
  <c r="AV83" i="16"/>
  <c r="AY83" i="16"/>
  <c r="AZ83" i="16"/>
  <c r="K84" i="16"/>
  <c r="X84" i="16"/>
  <c r="AV84" i="16"/>
  <c r="AY84" i="16"/>
  <c r="AZ84" i="16"/>
  <c r="K85" i="16"/>
  <c r="AV85" i="16"/>
  <c r="AY85" i="16"/>
  <c r="AZ85" i="16"/>
  <c r="K86" i="16"/>
  <c r="AV86" i="16"/>
  <c r="AY86" i="16"/>
  <c r="AZ86" i="16"/>
  <c r="K87" i="16"/>
  <c r="AV87" i="16"/>
  <c r="AY87" i="16"/>
  <c r="AZ87" i="16"/>
  <c r="K88" i="16"/>
  <c r="AV88" i="16"/>
  <c r="AY88" i="16"/>
  <c r="AZ88" i="16"/>
  <c r="E89" i="16"/>
  <c r="H89" i="16"/>
  <c r="I89" i="16"/>
  <c r="K89" i="16"/>
  <c r="AO89" i="16"/>
  <c r="AV89" i="16"/>
  <c r="AY89" i="16"/>
  <c r="AZ89" i="16"/>
  <c r="K90" i="16"/>
  <c r="AV90" i="16"/>
  <c r="AY90" i="16"/>
  <c r="AZ90" i="16"/>
  <c r="K91" i="16"/>
  <c r="AV91" i="16"/>
  <c r="AY91" i="16"/>
  <c r="AZ91" i="16"/>
  <c r="K92" i="16"/>
  <c r="AV92" i="16"/>
  <c r="AY92" i="16"/>
  <c r="AZ92" i="16"/>
  <c r="H93" i="16"/>
  <c r="K93" i="16"/>
  <c r="AV93" i="16"/>
  <c r="AY93" i="16"/>
  <c r="AZ93" i="16"/>
  <c r="K94" i="16"/>
  <c r="AV94" i="16"/>
  <c r="AY94" i="16"/>
  <c r="AZ94" i="16"/>
  <c r="E95" i="16"/>
  <c r="H95" i="16"/>
  <c r="I95" i="16"/>
  <c r="K95" i="16"/>
  <c r="AV95" i="16"/>
  <c r="AY95" i="16"/>
  <c r="AZ95" i="16"/>
  <c r="K96" i="16"/>
  <c r="AV96" i="16"/>
  <c r="AY96" i="16"/>
  <c r="AZ96" i="16"/>
  <c r="E97" i="16"/>
  <c r="H97" i="16"/>
  <c r="I97" i="16"/>
  <c r="K97" i="16"/>
  <c r="X97" i="16"/>
  <c r="AL97" i="16"/>
  <c r="AV97" i="16"/>
  <c r="AY97" i="16"/>
  <c r="AZ97" i="16"/>
  <c r="K98" i="16"/>
  <c r="AV98" i="16"/>
  <c r="AY98" i="16"/>
  <c r="AZ98" i="16"/>
  <c r="H99" i="16"/>
  <c r="I99" i="16"/>
  <c r="K99" i="16"/>
  <c r="AV99" i="16"/>
  <c r="AY99" i="16"/>
  <c r="AZ99" i="16"/>
  <c r="K100" i="16"/>
  <c r="AV100" i="16"/>
  <c r="AY100" i="16"/>
  <c r="AZ100" i="16"/>
  <c r="K101" i="16"/>
  <c r="AV101" i="16"/>
  <c r="AY101" i="16"/>
  <c r="AZ101" i="16"/>
  <c r="E102" i="16"/>
  <c r="H102" i="16"/>
  <c r="I102" i="16"/>
  <c r="K102" i="16"/>
  <c r="AV102" i="16"/>
  <c r="AY102" i="16"/>
  <c r="AZ102" i="16"/>
  <c r="K103" i="16"/>
  <c r="AV103" i="16"/>
  <c r="AY103" i="16"/>
  <c r="AZ103" i="16"/>
  <c r="J104" i="16"/>
  <c r="K104" i="16"/>
  <c r="AV104" i="16"/>
  <c r="AY104" i="16"/>
  <c r="AZ104" i="16"/>
  <c r="E105" i="16"/>
  <c r="I105" i="16"/>
  <c r="K105" i="16"/>
  <c r="AV105" i="16"/>
  <c r="AY105" i="16"/>
  <c r="AZ105" i="16"/>
  <c r="E106" i="16"/>
  <c r="H106" i="16"/>
  <c r="I106" i="16"/>
  <c r="K106" i="16"/>
  <c r="AV106" i="16"/>
  <c r="AY106" i="16"/>
  <c r="AZ106" i="16"/>
  <c r="E107" i="16"/>
  <c r="H107" i="16"/>
  <c r="I107" i="16"/>
  <c r="K107" i="16"/>
  <c r="AV107" i="16"/>
  <c r="AY107" i="16"/>
  <c r="AZ107" i="16"/>
  <c r="E108" i="16"/>
  <c r="H108" i="16"/>
  <c r="I108" i="16"/>
  <c r="K108" i="16"/>
  <c r="V108" i="16"/>
  <c r="X108" i="16"/>
  <c r="AL108" i="16"/>
  <c r="AO108" i="16"/>
  <c r="AV108" i="16"/>
  <c r="AY108" i="16"/>
  <c r="AZ108" i="16"/>
  <c r="K109" i="16"/>
  <c r="AV109" i="16"/>
  <c r="AY109" i="16"/>
  <c r="AZ109" i="16"/>
  <c r="E110" i="16"/>
  <c r="H110" i="16"/>
  <c r="I110" i="16"/>
  <c r="K110" i="16"/>
  <c r="AV110" i="16"/>
  <c r="AY110" i="16"/>
  <c r="AZ110" i="16"/>
  <c r="K111" i="16"/>
  <c r="AV111" i="16"/>
  <c r="AY111" i="16"/>
  <c r="AZ111" i="16"/>
  <c r="E112" i="16"/>
  <c r="H112" i="16"/>
  <c r="K112" i="16"/>
  <c r="AV112" i="16"/>
  <c r="AY112" i="16"/>
  <c r="AZ112" i="16"/>
  <c r="E113" i="16"/>
  <c r="K113" i="16"/>
  <c r="AV113" i="16"/>
  <c r="AY113" i="16"/>
  <c r="AZ113" i="16"/>
  <c r="E114" i="16"/>
  <c r="H114" i="16"/>
  <c r="I114" i="16"/>
  <c r="K114" i="16"/>
  <c r="AV114" i="16"/>
  <c r="AY114" i="16"/>
  <c r="AZ114" i="16"/>
  <c r="E115" i="16"/>
  <c r="H115" i="16"/>
  <c r="I115" i="16"/>
  <c r="K115" i="16"/>
  <c r="AV115" i="16"/>
  <c r="AY115" i="16"/>
  <c r="AZ115" i="16"/>
  <c r="E116" i="16"/>
  <c r="H116" i="16"/>
  <c r="I116" i="16"/>
  <c r="K116" i="16"/>
  <c r="X116" i="16"/>
  <c r="AV116" i="16"/>
  <c r="AY116" i="16"/>
  <c r="AZ116" i="16"/>
  <c r="K117" i="16"/>
  <c r="AV117" i="16"/>
  <c r="AY117" i="16"/>
  <c r="AZ117" i="16"/>
  <c r="E118" i="16"/>
  <c r="H118" i="16"/>
  <c r="I118" i="16"/>
  <c r="K118" i="16"/>
  <c r="X118" i="16"/>
  <c r="AL118" i="16"/>
  <c r="AO118" i="16"/>
  <c r="AV118" i="16"/>
  <c r="AW118" i="16"/>
  <c r="AY118" i="16"/>
  <c r="AZ118" i="16"/>
  <c r="E119" i="16"/>
  <c r="K119" i="16"/>
  <c r="AV119" i="16"/>
  <c r="AY119" i="16"/>
  <c r="AZ119" i="16"/>
  <c r="E120" i="16"/>
  <c r="K120" i="16"/>
  <c r="AV120" i="16"/>
  <c r="AY120" i="16"/>
  <c r="AZ120" i="16"/>
  <c r="E121" i="16"/>
  <c r="H121" i="16"/>
  <c r="I121" i="16"/>
  <c r="K121" i="16"/>
  <c r="AV121" i="16"/>
  <c r="AY121" i="16"/>
  <c r="AZ121" i="16"/>
  <c r="E122" i="16"/>
  <c r="I122" i="16"/>
  <c r="K122" i="16"/>
  <c r="AV122" i="16"/>
  <c r="AY122" i="16"/>
  <c r="AZ122" i="16"/>
  <c r="E123" i="16"/>
  <c r="H123" i="16"/>
  <c r="I123" i="16"/>
  <c r="K123" i="16"/>
  <c r="AV123" i="16"/>
  <c r="AY123" i="16"/>
  <c r="AZ123" i="16"/>
  <c r="K124" i="16"/>
  <c r="AY124" i="16"/>
  <c r="K125" i="16"/>
  <c r="AY125" i="16"/>
  <c r="E126" i="16"/>
  <c r="I126" i="16"/>
  <c r="K126" i="16"/>
  <c r="AV126" i="16"/>
  <c r="AY126" i="16"/>
  <c r="AZ126" i="16"/>
  <c r="E127" i="16"/>
  <c r="H127" i="16"/>
  <c r="I127" i="16"/>
  <c r="K127" i="16"/>
  <c r="AV127" i="16"/>
  <c r="AY127" i="16"/>
  <c r="AZ127" i="16"/>
  <c r="K128" i="16"/>
  <c r="AV128" i="16"/>
  <c r="AY128" i="16"/>
  <c r="AZ128" i="16"/>
  <c r="K129" i="16"/>
  <c r="AV129" i="16"/>
  <c r="AY129" i="16"/>
  <c r="AZ129" i="16"/>
  <c r="E130" i="16"/>
  <c r="H130" i="16"/>
  <c r="I130" i="16"/>
  <c r="K130" i="16"/>
  <c r="AV130" i="16"/>
  <c r="AY130" i="16"/>
  <c r="AZ130" i="16"/>
  <c r="K131" i="16"/>
  <c r="V131" i="16"/>
  <c r="W131" i="16"/>
  <c r="X131" i="16"/>
  <c r="AL131" i="16"/>
  <c r="AO131" i="16"/>
  <c r="AV131" i="16"/>
  <c r="AW131" i="16"/>
  <c r="AY131" i="16"/>
  <c r="AZ131" i="16"/>
  <c r="E132" i="16"/>
  <c r="K132" i="16"/>
  <c r="AL132" i="16"/>
  <c r="AV132" i="16"/>
  <c r="AY132" i="16"/>
  <c r="AZ132" i="16"/>
  <c r="E133" i="16"/>
  <c r="H133" i="16"/>
  <c r="I133" i="16"/>
  <c r="K133" i="16"/>
  <c r="AL133" i="16"/>
  <c r="AV133" i="16"/>
  <c r="AY133" i="16"/>
  <c r="AZ133" i="16"/>
  <c r="E134" i="16"/>
  <c r="I134" i="16"/>
  <c r="K134" i="16"/>
  <c r="AV134" i="16"/>
  <c r="AY134" i="16"/>
  <c r="AZ134" i="16"/>
  <c r="K135" i="16"/>
  <c r="AV135" i="16"/>
  <c r="AY135" i="16"/>
  <c r="AZ135" i="16"/>
  <c r="E136" i="16"/>
  <c r="H136" i="16"/>
  <c r="K136" i="16"/>
  <c r="AV136" i="16"/>
  <c r="AY136" i="16"/>
  <c r="AZ136" i="16"/>
  <c r="E137" i="16"/>
  <c r="H137" i="16"/>
  <c r="I137" i="16"/>
  <c r="K137" i="16"/>
  <c r="X137" i="16"/>
  <c r="AV137" i="16"/>
  <c r="AY137" i="16"/>
  <c r="AZ137" i="16"/>
  <c r="K138" i="16"/>
  <c r="AV138" i="16"/>
  <c r="AY138" i="16"/>
  <c r="AZ138" i="16"/>
  <c r="E139" i="16"/>
  <c r="I139" i="16"/>
  <c r="K139" i="16"/>
  <c r="AV139" i="16"/>
  <c r="AY139" i="16"/>
  <c r="AZ139" i="16"/>
  <c r="E140" i="16"/>
  <c r="I140" i="16"/>
  <c r="K140" i="16"/>
  <c r="AV140" i="16"/>
  <c r="AY140" i="16"/>
  <c r="AZ140" i="16"/>
  <c r="E141" i="16"/>
  <c r="H141" i="16"/>
  <c r="I141" i="16"/>
  <c r="K141" i="16"/>
  <c r="AV141" i="16"/>
  <c r="AY141" i="16"/>
  <c r="AZ141" i="16"/>
  <c r="E142" i="16"/>
  <c r="I142" i="16"/>
  <c r="K142" i="16"/>
  <c r="AV142" i="16"/>
  <c r="AY142" i="16"/>
  <c r="AZ142" i="16"/>
  <c r="E143" i="16"/>
  <c r="H143" i="16"/>
  <c r="I143" i="16"/>
  <c r="K143" i="16"/>
  <c r="AV143" i="16"/>
  <c r="AY143" i="16"/>
  <c r="AZ143" i="16"/>
  <c r="E144" i="16"/>
  <c r="H144" i="16"/>
  <c r="I144" i="16"/>
  <c r="K144" i="16"/>
  <c r="AV144" i="16"/>
  <c r="AY144" i="16"/>
  <c r="AZ144" i="16"/>
  <c r="E145" i="16"/>
  <c r="H145" i="16"/>
  <c r="I145" i="16"/>
  <c r="K145" i="16"/>
  <c r="AO145" i="16"/>
  <c r="AV145" i="16"/>
  <c r="AY145" i="16"/>
  <c r="AZ145" i="16"/>
  <c r="E146" i="16"/>
  <c r="F146" i="16"/>
  <c r="H146" i="16"/>
  <c r="I146" i="16"/>
  <c r="K146" i="16"/>
  <c r="AV146" i="16"/>
  <c r="AY146" i="16"/>
  <c r="AZ146" i="16"/>
  <c r="F147" i="16"/>
  <c r="K147" i="16"/>
  <c r="AV147" i="16"/>
  <c r="AY147" i="16"/>
  <c r="AZ147" i="16"/>
  <c r="E148" i="16"/>
  <c r="F148" i="16"/>
  <c r="G148" i="16"/>
  <c r="H148" i="16"/>
  <c r="I148" i="16"/>
  <c r="J148" i="16"/>
  <c r="K148" i="16"/>
  <c r="AV148" i="16"/>
  <c r="AY148" i="16"/>
  <c r="AZ148" i="16"/>
  <c r="K149" i="16"/>
  <c r="AV149" i="16"/>
  <c r="AY149" i="16"/>
  <c r="AZ149" i="16"/>
  <c r="E150" i="16"/>
  <c r="H150" i="16"/>
  <c r="K150" i="16"/>
  <c r="AV150" i="16"/>
  <c r="AY150" i="16"/>
  <c r="AZ150" i="16"/>
  <c r="E151" i="16"/>
  <c r="H151" i="16"/>
  <c r="I151" i="16"/>
  <c r="K151" i="16"/>
  <c r="AV151" i="16"/>
  <c r="AY151" i="16"/>
  <c r="AZ151" i="16"/>
  <c r="E152" i="16"/>
  <c r="I152" i="16"/>
  <c r="K152" i="16"/>
  <c r="AV152" i="16"/>
  <c r="AY152" i="16"/>
  <c r="AZ152" i="16"/>
  <c r="E153" i="16"/>
  <c r="K153" i="16"/>
  <c r="AV153" i="16"/>
  <c r="AY153" i="16"/>
  <c r="AZ153" i="16"/>
  <c r="E154" i="16"/>
  <c r="I154" i="16"/>
  <c r="K154" i="16"/>
  <c r="AV154" i="16"/>
  <c r="AY154" i="16"/>
  <c r="AZ154" i="16"/>
  <c r="E155" i="16"/>
  <c r="I155" i="16"/>
  <c r="K155" i="16"/>
  <c r="AV155" i="16"/>
  <c r="AY155" i="16"/>
  <c r="AZ155" i="16"/>
  <c r="E156" i="16"/>
  <c r="I156" i="16"/>
  <c r="K156" i="16"/>
  <c r="AL156" i="16"/>
  <c r="AV156" i="16"/>
  <c r="AY156" i="16"/>
  <c r="AZ156" i="16"/>
  <c r="E157" i="16"/>
  <c r="I157" i="16"/>
  <c r="K157" i="16"/>
  <c r="AV157" i="16"/>
  <c r="AY157" i="16"/>
  <c r="AZ157" i="16"/>
  <c r="E158" i="16"/>
  <c r="I158" i="16"/>
  <c r="K158" i="16"/>
  <c r="AV158" i="16"/>
  <c r="AY158" i="16"/>
  <c r="AZ158" i="16"/>
  <c r="K159" i="16"/>
  <c r="AV159" i="16"/>
  <c r="AY159" i="16"/>
  <c r="AZ159" i="16"/>
  <c r="K160" i="16"/>
  <c r="AV160" i="16"/>
  <c r="AY160" i="16"/>
  <c r="AZ160" i="16"/>
  <c r="E161" i="16"/>
  <c r="I161" i="16"/>
  <c r="K161" i="16"/>
  <c r="AL161" i="16"/>
  <c r="AV161" i="16"/>
  <c r="AY161" i="16"/>
  <c r="AZ161" i="16"/>
  <c r="E162" i="16"/>
  <c r="I162" i="16"/>
  <c r="K162" i="16"/>
  <c r="AV162" i="16"/>
  <c r="AY162" i="16"/>
  <c r="AZ162" i="16"/>
  <c r="E163" i="16"/>
  <c r="H163" i="16"/>
  <c r="I163" i="16"/>
  <c r="K163" i="16"/>
  <c r="AL163" i="16"/>
  <c r="AV163" i="16"/>
  <c r="AY163" i="16"/>
  <c r="AZ163" i="16"/>
  <c r="K164" i="16"/>
  <c r="AV164" i="16"/>
  <c r="AW164" i="16"/>
  <c r="AY164" i="16"/>
  <c r="AZ164" i="16"/>
  <c r="E165" i="16"/>
  <c r="H165" i="16"/>
  <c r="K165" i="16"/>
  <c r="P165" i="16"/>
  <c r="V165" i="16"/>
  <c r="X165" i="16"/>
  <c r="AA165" i="16"/>
  <c r="AB165" i="16"/>
  <c r="AD165" i="16"/>
  <c r="AE165" i="16"/>
  <c r="AH165" i="16"/>
  <c r="AI165" i="16"/>
  <c r="AJ165" i="16"/>
  <c r="AK165" i="16"/>
  <c r="AL165" i="16"/>
  <c r="AM165" i="16"/>
  <c r="AO165" i="16"/>
  <c r="AP165" i="16"/>
  <c r="AV165" i="16"/>
  <c r="AW165" i="16"/>
  <c r="AY165" i="16"/>
  <c r="AZ165" i="16"/>
  <c r="E166" i="16"/>
  <c r="K166" i="16"/>
  <c r="P166" i="16"/>
  <c r="V166" i="16"/>
  <c r="X166" i="16"/>
  <c r="AA166" i="16"/>
  <c r="AB166" i="16"/>
  <c r="AD166" i="16"/>
  <c r="AE166" i="16"/>
  <c r="AH166" i="16"/>
  <c r="AI166" i="16"/>
  <c r="AJ166" i="16"/>
  <c r="AK166" i="16"/>
  <c r="AL166" i="16"/>
  <c r="AM166" i="16"/>
  <c r="AO166" i="16"/>
  <c r="AP166" i="16"/>
  <c r="AV166" i="16"/>
  <c r="AW166" i="16"/>
  <c r="AY166" i="16"/>
  <c r="AZ166" i="16"/>
  <c r="E167" i="16"/>
  <c r="K167" i="16"/>
  <c r="P167" i="16"/>
  <c r="V167" i="16"/>
  <c r="X167" i="16"/>
  <c r="AA167" i="16"/>
  <c r="AB167" i="16"/>
  <c r="AD167" i="16"/>
  <c r="AE167" i="16"/>
  <c r="AH167" i="16"/>
  <c r="AI167" i="16"/>
  <c r="AJ167" i="16"/>
  <c r="AK167" i="16"/>
  <c r="AL167" i="16"/>
  <c r="AM167" i="16"/>
  <c r="AO167" i="16"/>
  <c r="AP167" i="16"/>
  <c r="AV167" i="16"/>
  <c r="AW167" i="16"/>
  <c r="AY167" i="16"/>
  <c r="AZ167" i="16"/>
  <c r="E168" i="16"/>
  <c r="K168" i="16"/>
  <c r="P168" i="16"/>
  <c r="V168" i="16"/>
  <c r="X168" i="16"/>
  <c r="AA168" i="16"/>
  <c r="AB168" i="16"/>
  <c r="AD168" i="16"/>
  <c r="AE168" i="16"/>
  <c r="AH168" i="16"/>
  <c r="AI168" i="16"/>
  <c r="AJ168" i="16"/>
  <c r="AK168" i="16"/>
  <c r="AL168" i="16"/>
  <c r="AM168" i="16"/>
  <c r="AO168" i="16"/>
  <c r="AP168" i="16"/>
  <c r="AV168" i="16"/>
  <c r="AW168" i="16"/>
  <c r="AY168" i="16"/>
  <c r="AZ168" i="16"/>
  <c r="E169" i="16"/>
  <c r="K169" i="16"/>
  <c r="P169" i="16"/>
  <c r="V169" i="16"/>
  <c r="X169" i="16"/>
  <c r="AA169" i="16"/>
  <c r="AB169" i="16"/>
  <c r="AD169" i="16"/>
  <c r="AE169" i="16"/>
  <c r="AH169" i="16"/>
  <c r="AI169" i="16"/>
  <c r="AJ169" i="16"/>
  <c r="AK169" i="16"/>
  <c r="AL169" i="16"/>
  <c r="AM169" i="16"/>
  <c r="AO169" i="16"/>
  <c r="AP169" i="16"/>
  <c r="AV169" i="16"/>
  <c r="AW169" i="16"/>
  <c r="AY169" i="16"/>
  <c r="AZ169" i="16"/>
  <c r="E170" i="16"/>
  <c r="H170" i="16"/>
  <c r="K170" i="16"/>
  <c r="P170" i="16"/>
  <c r="V170" i="16"/>
  <c r="X170" i="16"/>
  <c r="AA170" i="16"/>
  <c r="AB170" i="16"/>
  <c r="AD170" i="16"/>
  <c r="AE170" i="16"/>
  <c r="AH170" i="16"/>
  <c r="AI170" i="16"/>
  <c r="AJ170" i="16"/>
  <c r="AK170" i="16"/>
  <c r="AL170" i="16"/>
  <c r="AM170" i="16"/>
  <c r="AO170" i="16"/>
  <c r="AP170" i="16"/>
  <c r="AV170" i="16"/>
  <c r="AW170" i="16"/>
  <c r="AY170" i="16"/>
  <c r="AZ170" i="16"/>
  <c r="I171" i="16"/>
  <c r="K171" i="16"/>
  <c r="P171" i="16"/>
  <c r="V171" i="16"/>
  <c r="X171" i="16"/>
  <c r="AA171" i="16"/>
  <c r="AB171" i="16"/>
  <c r="AD171" i="16"/>
  <c r="AE171" i="16"/>
  <c r="AH171" i="16"/>
  <c r="AI171" i="16"/>
  <c r="AJ171" i="16"/>
  <c r="AK171" i="16"/>
  <c r="AL171" i="16"/>
  <c r="AM171" i="16"/>
  <c r="AO171" i="16"/>
  <c r="AP171" i="16"/>
  <c r="AV171" i="16"/>
  <c r="AW171" i="16"/>
  <c r="AY171" i="16"/>
  <c r="AZ171" i="16"/>
  <c r="H172" i="16"/>
  <c r="K172" i="16"/>
  <c r="P172" i="16"/>
  <c r="V172" i="16"/>
  <c r="X172" i="16"/>
  <c r="AA172" i="16"/>
  <c r="AB172" i="16"/>
  <c r="AD172" i="16"/>
  <c r="AE172" i="16"/>
  <c r="AH172" i="16"/>
  <c r="AI172" i="16"/>
  <c r="AJ172" i="16"/>
  <c r="AK172" i="16"/>
  <c r="AL172" i="16"/>
  <c r="AM172" i="16"/>
  <c r="AO172" i="16"/>
  <c r="AP172" i="16"/>
  <c r="AV172" i="16"/>
  <c r="AW172" i="16"/>
  <c r="AY172" i="16"/>
  <c r="AZ172" i="16"/>
  <c r="K173" i="16"/>
  <c r="P173" i="16"/>
  <c r="Q173" i="16"/>
  <c r="V173" i="16"/>
  <c r="X173" i="16"/>
  <c r="AA173" i="16"/>
  <c r="AB173" i="16"/>
  <c r="AD173" i="16"/>
  <c r="AE173" i="16"/>
  <c r="AH173" i="16"/>
  <c r="AI173" i="16"/>
  <c r="AJ173" i="16"/>
  <c r="AK173" i="16"/>
  <c r="AL173" i="16"/>
  <c r="AM173" i="16"/>
  <c r="AO173" i="16"/>
  <c r="AP173" i="16"/>
  <c r="AV173" i="16"/>
  <c r="AW173" i="16"/>
  <c r="AY173" i="16"/>
  <c r="AZ173" i="16"/>
  <c r="K174" i="16"/>
  <c r="P174" i="16"/>
  <c r="V174" i="16"/>
  <c r="X174" i="16"/>
  <c r="AA174" i="16"/>
  <c r="AB174" i="16"/>
  <c r="AD174" i="16"/>
  <c r="AE174" i="16"/>
  <c r="AH174" i="16"/>
  <c r="AI174" i="16"/>
  <c r="AJ174" i="16"/>
  <c r="AK174" i="16"/>
  <c r="AL174" i="16"/>
  <c r="AM174" i="16"/>
  <c r="AO174" i="16"/>
  <c r="AP174" i="16"/>
  <c r="AV174" i="16"/>
  <c r="AW174" i="16"/>
  <c r="AY174" i="16"/>
  <c r="AZ174" i="16"/>
  <c r="E175" i="16"/>
  <c r="K175" i="16"/>
  <c r="AV175" i="16"/>
  <c r="AY175" i="16"/>
  <c r="AZ175" i="16"/>
  <c r="K176" i="16"/>
  <c r="AV176" i="16"/>
  <c r="AY176" i="16"/>
  <c r="AZ176" i="16"/>
  <c r="E177" i="16"/>
  <c r="K177" i="16"/>
  <c r="P177" i="16"/>
  <c r="V177" i="16"/>
  <c r="X177" i="16"/>
  <c r="AA177" i="16"/>
  <c r="AB177" i="16"/>
  <c r="AD177" i="16"/>
  <c r="AE177" i="16"/>
  <c r="AH177" i="16"/>
  <c r="AI177" i="16"/>
  <c r="AJ177" i="16"/>
  <c r="AK177" i="16"/>
  <c r="AL177" i="16"/>
  <c r="AM177" i="16"/>
  <c r="AO177" i="16"/>
  <c r="AP177" i="16"/>
  <c r="AV177" i="16"/>
  <c r="AW177" i="16"/>
  <c r="AY177" i="16"/>
  <c r="AZ177" i="16"/>
  <c r="E178" i="16"/>
  <c r="K178" i="16"/>
  <c r="P178" i="16"/>
  <c r="V178" i="16"/>
  <c r="X178" i="16"/>
  <c r="AA178" i="16"/>
  <c r="AB178" i="16"/>
  <c r="AD178" i="16"/>
  <c r="AE178" i="16"/>
  <c r="AH178" i="16"/>
  <c r="AI178" i="16"/>
  <c r="AJ178" i="16"/>
  <c r="AK178" i="16"/>
  <c r="AL178" i="16"/>
  <c r="AM178" i="16"/>
  <c r="AO178" i="16"/>
  <c r="AP178" i="16"/>
  <c r="AV178" i="16"/>
  <c r="AW178" i="16"/>
  <c r="AY178" i="16"/>
  <c r="AZ178" i="16"/>
  <c r="E179" i="16"/>
  <c r="I179" i="16"/>
  <c r="K179" i="16"/>
  <c r="AV179" i="16"/>
  <c r="AY179" i="16"/>
  <c r="AZ179" i="16"/>
  <c r="E180" i="16"/>
  <c r="I180" i="16"/>
  <c r="K180" i="16"/>
  <c r="AV180" i="16"/>
  <c r="AY180" i="16"/>
  <c r="AZ180" i="16"/>
  <c r="E181" i="16"/>
  <c r="I181" i="16"/>
  <c r="K181" i="16"/>
  <c r="AV181" i="16"/>
  <c r="AY181" i="16"/>
  <c r="AZ181" i="16"/>
  <c r="E182" i="16"/>
  <c r="H182" i="16"/>
  <c r="K182" i="16"/>
  <c r="AV182" i="16"/>
  <c r="AY182" i="16"/>
  <c r="AZ182" i="16"/>
  <c r="K183" i="16"/>
  <c r="AV183" i="16"/>
  <c r="AY183" i="16"/>
  <c r="AZ183" i="16"/>
  <c r="H184" i="16"/>
  <c r="K184" i="16"/>
  <c r="AV184" i="16"/>
  <c r="AY184" i="16"/>
  <c r="AZ184" i="16"/>
  <c r="K185" i="16"/>
  <c r="AV185" i="16"/>
  <c r="AY185" i="16"/>
  <c r="AZ185" i="16"/>
  <c r="K186" i="16"/>
  <c r="AV186" i="16"/>
  <c r="AY186" i="16"/>
  <c r="AZ186" i="16"/>
  <c r="E187" i="16"/>
  <c r="H187" i="16"/>
  <c r="I187" i="16"/>
  <c r="K187" i="16"/>
  <c r="X187" i="16"/>
  <c r="AL187" i="16"/>
  <c r="AO187" i="16"/>
  <c r="AV187" i="16"/>
  <c r="AY187" i="16"/>
  <c r="AZ187" i="16"/>
  <c r="E188" i="16"/>
  <c r="H188" i="16"/>
  <c r="I188" i="16"/>
  <c r="K188" i="16"/>
  <c r="AV188" i="16"/>
  <c r="AY188" i="16"/>
  <c r="AZ188" i="16"/>
  <c r="E189" i="16"/>
  <c r="H189" i="16"/>
  <c r="I189" i="16"/>
  <c r="K189" i="16"/>
  <c r="AV189" i="16"/>
  <c r="AY189" i="16"/>
  <c r="AZ189" i="16"/>
  <c r="E190" i="16"/>
  <c r="H190" i="16"/>
  <c r="K190" i="16"/>
  <c r="AV190" i="16"/>
  <c r="AY190" i="16"/>
  <c r="AZ190" i="16"/>
  <c r="E193" i="16"/>
  <c r="F193" i="16"/>
  <c r="G193" i="16"/>
  <c r="H193" i="16"/>
  <c r="I193" i="16"/>
  <c r="J193" i="16"/>
  <c r="K193" i="16"/>
  <c r="N193" i="16"/>
  <c r="O193" i="16"/>
  <c r="P193" i="16"/>
  <c r="Q193" i="16"/>
  <c r="R193" i="16"/>
  <c r="S193" i="16"/>
  <c r="T193" i="16"/>
  <c r="U193" i="16"/>
  <c r="V193" i="16"/>
  <c r="W193" i="16"/>
  <c r="X193" i="16"/>
  <c r="Y193" i="16"/>
  <c r="Z193" i="16"/>
  <c r="AA193" i="16"/>
  <c r="AB193" i="16"/>
  <c r="AC193" i="16"/>
  <c r="AD193" i="16"/>
  <c r="AE193" i="16"/>
  <c r="AF193" i="16"/>
  <c r="AG193" i="16"/>
  <c r="AH193" i="16"/>
  <c r="AI193" i="16"/>
  <c r="AJ193" i="16"/>
  <c r="AK193" i="16"/>
  <c r="AL193" i="16"/>
  <c r="AM193" i="16"/>
  <c r="AN193" i="16"/>
  <c r="AO193" i="16"/>
  <c r="AP193" i="16"/>
  <c r="AQ193" i="16"/>
  <c r="AR193" i="16"/>
  <c r="AS193" i="16"/>
  <c r="AT193" i="16"/>
  <c r="AU193" i="16"/>
  <c r="AV193" i="16"/>
  <c r="AW193" i="16"/>
  <c r="AX193" i="16"/>
  <c r="AY193" i="16"/>
  <c r="AZ193" i="16"/>
  <c r="AY194" i="16"/>
  <c r="AY195" i="16"/>
  <c r="N198" i="16"/>
  <c r="O198" i="16"/>
  <c r="P198" i="16"/>
  <c r="R198" i="16"/>
  <c r="U198" i="16"/>
  <c r="V198" i="16"/>
  <c r="X198" i="16"/>
  <c r="Y198" i="16"/>
  <c r="Z198" i="16"/>
  <c r="AA198" i="16"/>
  <c r="AC198" i="16"/>
  <c r="AD198" i="16"/>
  <c r="AE198" i="16"/>
  <c r="AF198" i="16"/>
  <c r="AG198" i="16"/>
  <c r="AH198" i="16"/>
  <c r="AI198" i="16"/>
  <c r="AJ198" i="16"/>
  <c r="AK198" i="16"/>
  <c r="AL198" i="16"/>
  <c r="AM198" i="16"/>
  <c r="AW198" i="16"/>
  <c r="AY198" i="16"/>
  <c r="N199" i="16"/>
  <c r="O199" i="16"/>
  <c r="P199" i="16"/>
  <c r="R199" i="16"/>
  <c r="T199" i="16"/>
  <c r="U199" i="16"/>
  <c r="V199" i="16"/>
  <c r="X199" i="16"/>
  <c r="Y199" i="16"/>
  <c r="Z199" i="16"/>
  <c r="AA199" i="16"/>
  <c r="AC199" i="16"/>
  <c r="AD199" i="16"/>
  <c r="AE199" i="16"/>
  <c r="AF199" i="16"/>
  <c r="AG199" i="16"/>
  <c r="AH199" i="16"/>
  <c r="AI199" i="16"/>
  <c r="AJ199" i="16"/>
  <c r="AK199" i="16"/>
  <c r="AL199" i="16"/>
  <c r="AM199" i="16"/>
  <c r="AW199" i="16"/>
  <c r="AY199" i="16"/>
  <c r="N200" i="16"/>
  <c r="O200" i="16"/>
  <c r="P200" i="16"/>
  <c r="R200" i="16"/>
  <c r="T200" i="16"/>
  <c r="U200" i="16"/>
  <c r="V200" i="16"/>
  <c r="X200" i="16"/>
  <c r="Y200" i="16"/>
  <c r="Z200" i="16"/>
  <c r="AA200" i="16"/>
  <c r="AC200" i="16"/>
  <c r="AD200" i="16"/>
  <c r="AE200" i="16"/>
  <c r="AF200" i="16"/>
  <c r="AG200" i="16"/>
  <c r="AH200" i="16"/>
  <c r="AI200" i="16"/>
  <c r="AJ200" i="16"/>
  <c r="AK200" i="16"/>
  <c r="AL200" i="16"/>
  <c r="AM200" i="16"/>
  <c r="AW200" i="16"/>
  <c r="AY200" i="16"/>
  <c r="P201" i="16"/>
  <c r="AY201" i="16"/>
  <c r="N204" i="16"/>
  <c r="O204" i="16"/>
  <c r="P204" i="16"/>
  <c r="Q204" i="16"/>
  <c r="R204" i="16"/>
  <c r="S204" i="16"/>
  <c r="T204" i="16"/>
  <c r="U204" i="16"/>
  <c r="V204" i="16"/>
  <c r="X204" i="16"/>
  <c r="Y204" i="16"/>
  <c r="Z204" i="16"/>
  <c r="AA204" i="16"/>
  <c r="AB204" i="16"/>
  <c r="AC204" i="16"/>
  <c r="AD204" i="16"/>
  <c r="AE204" i="16"/>
  <c r="AF204" i="16"/>
  <c r="AG204" i="16"/>
  <c r="AH204" i="16"/>
  <c r="AI204" i="16"/>
  <c r="AJ204" i="16"/>
  <c r="AK204" i="16"/>
  <c r="AL204" i="16"/>
  <c r="AM204" i="16"/>
  <c r="AN204" i="16"/>
  <c r="AO204" i="16"/>
  <c r="AP204" i="16"/>
  <c r="AW204" i="16"/>
  <c r="AY204" i="16"/>
  <c r="N205" i="16"/>
  <c r="O205" i="16"/>
  <c r="P205" i="16"/>
  <c r="Q205" i="16"/>
  <c r="R205" i="16"/>
  <c r="S205" i="16"/>
  <c r="T205" i="16"/>
  <c r="U205" i="16"/>
  <c r="V205" i="16"/>
  <c r="X205" i="16"/>
  <c r="Y205" i="16"/>
  <c r="Z205" i="16"/>
  <c r="AA205" i="16"/>
  <c r="AB205" i="16"/>
  <c r="AC205" i="16"/>
  <c r="AD205" i="16"/>
  <c r="AE205" i="16"/>
  <c r="AF205" i="16"/>
  <c r="AG205" i="16"/>
  <c r="AH205" i="16"/>
  <c r="AI205" i="16"/>
  <c r="AJ205" i="16"/>
  <c r="AK205" i="16"/>
  <c r="AL205" i="16"/>
  <c r="AM205" i="16"/>
  <c r="AN205" i="16"/>
  <c r="AO205" i="16"/>
  <c r="AP205" i="16"/>
  <c r="AW205" i="16"/>
  <c r="AY205" i="16"/>
  <c r="N206" i="16"/>
  <c r="O206" i="16"/>
  <c r="P206" i="16"/>
  <c r="Q206" i="16"/>
  <c r="R206" i="16"/>
  <c r="S206" i="16"/>
  <c r="T206" i="16"/>
  <c r="U206" i="16"/>
  <c r="V206" i="16"/>
  <c r="X206" i="16"/>
  <c r="Y206" i="16"/>
  <c r="Z206" i="16"/>
  <c r="AA206" i="16"/>
  <c r="AB206" i="16"/>
  <c r="AC206" i="16"/>
  <c r="AD206" i="16"/>
  <c r="AE206" i="16"/>
  <c r="AF206" i="16"/>
  <c r="AG206" i="16"/>
  <c r="AH206" i="16"/>
  <c r="AI206" i="16"/>
  <c r="AJ206" i="16"/>
  <c r="AK206" i="16"/>
  <c r="AL206" i="16"/>
  <c r="AM206" i="16"/>
  <c r="AN206" i="16"/>
  <c r="AO206" i="16"/>
  <c r="AP206" i="16"/>
  <c r="AW206" i="16"/>
  <c r="AY206" i="16"/>
  <c r="N207" i="16"/>
  <c r="O207" i="16"/>
  <c r="P207" i="16"/>
  <c r="Q207" i="16"/>
  <c r="R207" i="16"/>
  <c r="S207" i="16"/>
  <c r="T207" i="16"/>
  <c r="U207" i="16"/>
  <c r="V207" i="16"/>
  <c r="X207" i="16"/>
  <c r="Y207" i="16"/>
  <c r="Z207" i="16"/>
  <c r="AA207" i="16"/>
  <c r="AB207" i="16"/>
  <c r="AC207" i="16"/>
  <c r="AD207" i="16"/>
  <c r="AE207" i="16"/>
  <c r="AF207" i="16"/>
  <c r="AG207" i="16"/>
  <c r="AH207" i="16"/>
  <c r="AI207" i="16"/>
  <c r="AJ207" i="16"/>
  <c r="AK207" i="16"/>
  <c r="AL207" i="16"/>
  <c r="AM207" i="16"/>
  <c r="AN207" i="16"/>
  <c r="AO207" i="16"/>
  <c r="AP207" i="16"/>
  <c r="AW207" i="16"/>
  <c r="AY207" i="16"/>
  <c r="A218" i="16"/>
  <c r="C10" i="15"/>
  <c r="D10" i="15"/>
  <c r="F10" i="15"/>
  <c r="H10" i="15"/>
  <c r="J10" i="15"/>
  <c r="L10" i="15"/>
  <c r="N10" i="15"/>
  <c r="V10" i="15"/>
  <c r="AD10" i="15"/>
  <c r="C11" i="15"/>
  <c r="D11" i="15"/>
  <c r="F11" i="15"/>
  <c r="H11" i="15"/>
  <c r="J11" i="15"/>
  <c r="L11" i="15"/>
  <c r="N11" i="15"/>
  <c r="V11" i="15"/>
  <c r="AD11" i="15"/>
  <c r="C12" i="15"/>
  <c r="D12" i="15"/>
  <c r="F12" i="15"/>
  <c r="H12" i="15"/>
  <c r="J12" i="15"/>
  <c r="L12" i="15"/>
  <c r="N12" i="15"/>
  <c r="V12" i="15"/>
  <c r="AD12" i="15"/>
  <c r="C13" i="15"/>
  <c r="D13" i="15"/>
  <c r="F13" i="15"/>
  <c r="H13" i="15"/>
  <c r="J13" i="15"/>
  <c r="L13" i="15"/>
  <c r="N13" i="15"/>
  <c r="V13" i="15"/>
  <c r="AD13" i="15"/>
  <c r="C14" i="15"/>
  <c r="D14" i="15"/>
  <c r="F14" i="15"/>
  <c r="H14" i="15"/>
  <c r="J14" i="15"/>
  <c r="L14" i="15"/>
  <c r="N14" i="15"/>
  <c r="V14" i="15"/>
  <c r="AD14" i="15"/>
  <c r="C15" i="15"/>
  <c r="D15" i="15"/>
  <c r="F15" i="15"/>
  <c r="H15" i="15"/>
  <c r="J15" i="15"/>
  <c r="L15" i="15"/>
  <c r="N15" i="15"/>
  <c r="V15" i="15"/>
  <c r="AD15" i="15"/>
  <c r="C16" i="15"/>
  <c r="D16" i="15"/>
  <c r="F16" i="15"/>
  <c r="H16" i="15"/>
  <c r="J16" i="15"/>
  <c r="L16" i="15"/>
  <c r="N16" i="15"/>
  <c r="V16" i="15"/>
  <c r="AD16" i="15"/>
  <c r="C17" i="15"/>
  <c r="D17" i="15"/>
  <c r="F17" i="15"/>
  <c r="H17" i="15"/>
  <c r="J17" i="15"/>
  <c r="L17" i="15"/>
  <c r="N17" i="15"/>
  <c r="V17" i="15"/>
  <c r="AD17" i="15"/>
  <c r="C18" i="15"/>
  <c r="D18" i="15"/>
  <c r="F18" i="15"/>
  <c r="H18" i="15"/>
  <c r="J18" i="15"/>
  <c r="L18" i="15"/>
  <c r="N18" i="15"/>
  <c r="V18" i="15"/>
  <c r="AD18" i="15"/>
  <c r="N19" i="15"/>
  <c r="V19" i="15"/>
  <c r="AD19" i="15"/>
  <c r="C20" i="15"/>
  <c r="D20" i="15"/>
  <c r="F20" i="15"/>
  <c r="H20" i="15"/>
  <c r="J20" i="15"/>
  <c r="L20" i="15"/>
  <c r="N20" i="15"/>
  <c r="V20" i="15"/>
  <c r="AD20" i="15"/>
  <c r="C21" i="15"/>
  <c r="D21" i="15"/>
  <c r="F21" i="15"/>
  <c r="H21" i="15"/>
  <c r="J21" i="15"/>
  <c r="L21" i="15"/>
  <c r="N21" i="15"/>
  <c r="V21" i="15"/>
  <c r="AD21" i="15"/>
  <c r="C22" i="15"/>
  <c r="D22" i="15"/>
  <c r="F22" i="15"/>
  <c r="H22" i="15"/>
  <c r="J22" i="15"/>
  <c r="L22" i="15"/>
  <c r="N22" i="15"/>
  <c r="V22" i="15"/>
  <c r="AD22" i="15"/>
  <c r="C23" i="15"/>
  <c r="D23" i="15"/>
  <c r="F23" i="15"/>
  <c r="H23" i="15"/>
  <c r="J23" i="15"/>
  <c r="L23" i="15"/>
  <c r="N23" i="15"/>
  <c r="V23" i="15"/>
  <c r="AD23" i="15"/>
  <c r="C24" i="15"/>
  <c r="D24" i="15"/>
  <c r="F24" i="15"/>
  <c r="H24" i="15"/>
  <c r="J24" i="15"/>
  <c r="L24" i="15"/>
  <c r="N24" i="15"/>
  <c r="V24" i="15"/>
  <c r="AD24" i="15"/>
  <c r="C25" i="15"/>
  <c r="D25" i="15"/>
  <c r="F25" i="15"/>
  <c r="H25" i="15"/>
  <c r="J25" i="15"/>
  <c r="L25" i="15"/>
  <c r="N25" i="15"/>
  <c r="V25" i="15"/>
  <c r="AD25" i="15"/>
  <c r="C26" i="15"/>
  <c r="D26" i="15"/>
  <c r="F26" i="15"/>
  <c r="H26" i="15"/>
  <c r="J26" i="15"/>
  <c r="L26" i="15"/>
  <c r="N26" i="15"/>
  <c r="V26" i="15"/>
  <c r="AD26" i="15"/>
  <c r="C27" i="15"/>
  <c r="D27" i="15"/>
  <c r="F27" i="15"/>
  <c r="H27" i="15"/>
  <c r="J27" i="15"/>
  <c r="L27" i="15"/>
  <c r="N27" i="15"/>
  <c r="V27" i="15"/>
  <c r="AD27" i="15"/>
  <c r="C28" i="15"/>
  <c r="D28" i="15"/>
  <c r="F28" i="15"/>
  <c r="H28" i="15"/>
  <c r="J28" i="15"/>
  <c r="L28" i="15"/>
  <c r="N28" i="15"/>
  <c r="V28" i="15"/>
  <c r="AD28" i="15"/>
  <c r="H30" i="15"/>
  <c r="J30" i="15"/>
  <c r="L30" i="15"/>
  <c r="N30" i="15"/>
  <c r="P30" i="15"/>
  <c r="R30" i="15"/>
  <c r="T30" i="15"/>
  <c r="V30" i="15"/>
  <c r="X30" i="15"/>
  <c r="Z30" i="15"/>
  <c r="AB30" i="15"/>
  <c r="AD30" i="15"/>
  <c r="C33" i="15"/>
  <c r="D33" i="15"/>
  <c r="F33" i="15"/>
  <c r="H33" i="15"/>
  <c r="J33" i="15"/>
  <c r="L33" i="15"/>
  <c r="N33" i="15"/>
  <c r="P33" i="15"/>
  <c r="V33" i="15"/>
  <c r="X33" i="15"/>
  <c r="AD33" i="15"/>
  <c r="C34" i="15"/>
  <c r="D34" i="15"/>
  <c r="F34" i="15"/>
  <c r="H34" i="15"/>
  <c r="J34" i="15"/>
  <c r="L34" i="15"/>
  <c r="N34" i="15"/>
  <c r="V34" i="15"/>
  <c r="AD34" i="15"/>
  <c r="C35" i="15"/>
  <c r="D35" i="15"/>
  <c r="F35" i="15"/>
  <c r="H35" i="15"/>
  <c r="J35" i="15"/>
  <c r="L35" i="15"/>
  <c r="N35" i="15"/>
  <c r="V35" i="15"/>
  <c r="AD35" i="15"/>
  <c r="C36" i="15"/>
  <c r="D36" i="15"/>
  <c r="F36" i="15"/>
  <c r="H36" i="15"/>
  <c r="J36" i="15"/>
  <c r="L36" i="15"/>
  <c r="N36" i="15"/>
  <c r="P36" i="15"/>
  <c r="V36" i="15"/>
  <c r="X36" i="15"/>
  <c r="AD36" i="15"/>
  <c r="C37" i="15"/>
  <c r="D37" i="15"/>
  <c r="F37" i="15"/>
  <c r="H37" i="15"/>
  <c r="J37" i="15"/>
  <c r="L37" i="15"/>
  <c r="N37" i="15"/>
  <c r="V37" i="15"/>
  <c r="AD37" i="15"/>
  <c r="C38" i="15"/>
  <c r="D38" i="15"/>
  <c r="F38" i="15"/>
  <c r="H38" i="15"/>
  <c r="J38" i="15"/>
  <c r="L38" i="15"/>
  <c r="N38" i="15"/>
  <c r="V38" i="15"/>
  <c r="AD38" i="15"/>
  <c r="C39" i="15"/>
  <c r="D39" i="15"/>
  <c r="F39" i="15"/>
  <c r="H39" i="15"/>
  <c r="J39" i="15"/>
  <c r="L39" i="15"/>
  <c r="N39" i="15"/>
  <c r="V39" i="15"/>
  <c r="AD39" i="15"/>
  <c r="C40" i="15"/>
  <c r="D40" i="15"/>
  <c r="F40" i="15"/>
  <c r="H40" i="15"/>
  <c r="J40" i="15"/>
  <c r="L40" i="15"/>
  <c r="N40" i="15"/>
  <c r="V40" i="15"/>
  <c r="AD40" i="15"/>
  <c r="C41" i="15"/>
  <c r="D41" i="15"/>
  <c r="F41" i="15"/>
  <c r="H41" i="15"/>
  <c r="J41" i="15"/>
  <c r="L41" i="15"/>
  <c r="N41" i="15"/>
  <c r="V41" i="15"/>
  <c r="AD41" i="15"/>
  <c r="C42" i="15"/>
  <c r="D42" i="15"/>
  <c r="F42" i="15"/>
  <c r="H42" i="15"/>
  <c r="J42" i="15"/>
  <c r="L42" i="15"/>
  <c r="N42" i="15"/>
  <c r="V42" i="15"/>
  <c r="AD42" i="15"/>
  <c r="C43" i="15"/>
  <c r="D43" i="15"/>
  <c r="F43" i="15"/>
  <c r="H43" i="15"/>
  <c r="J43" i="15"/>
  <c r="L43" i="15"/>
  <c r="N43" i="15"/>
  <c r="V43" i="15"/>
  <c r="AD43" i="15"/>
  <c r="C44" i="15"/>
  <c r="D44" i="15"/>
  <c r="F44" i="15"/>
  <c r="H44" i="15"/>
  <c r="J44" i="15"/>
  <c r="L44" i="15"/>
  <c r="N44" i="15"/>
  <c r="V44" i="15"/>
  <c r="AD44" i="15"/>
  <c r="C45" i="15"/>
  <c r="D45" i="15"/>
  <c r="F45" i="15"/>
  <c r="H45" i="15"/>
  <c r="J45" i="15"/>
  <c r="L45" i="15"/>
  <c r="N45" i="15"/>
  <c r="V45" i="15"/>
  <c r="AD45" i="15"/>
  <c r="C46" i="15"/>
  <c r="D46" i="15"/>
  <c r="F46" i="15"/>
  <c r="H46" i="15"/>
  <c r="J46" i="15"/>
  <c r="L46" i="15"/>
  <c r="N46" i="15"/>
  <c r="V46" i="15"/>
  <c r="AD46" i="15"/>
  <c r="H48" i="15"/>
  <c r="J48" i="15"/>
  <c r="L48" i="15"/>
  <c r="N48" i="15"/>
  <c r="P48" i="15"/>
  <c r="R48" i="15"/>
  <c r="T48" i="15"/>
  <c r="V48" i="15"/>
  <c r="X48" i="15"/>
  <c r="Z48" i="15"/>
  <c r="AB48" i="15"/>
  <c r="AD48" i="15"/>
  <c r="C51" i="15"/>
  <c r="D51" i="15"/>
  <c r="F51" i="15"/>
  <c r="H51" i="15"/>
  <c r="J51" i="15"/>
  <c r="L51" i="15"/>
  <c r="N51" i="15"/>
  <c r="V51" i="15"/>
  <c r="AD51" i="15"/>
  <c r="C52" i="15"/>
  <c r="D52" i="15"/>
  <c r="F52" i="15"/>
  <c r="H52" i="15"/>
  <c r="J52" i="15"/>
  <c r="L52" i="15"/>
  <c r="N52" i="15"/>
  <c r="V52" i="15"/>
  <c r="AD52" i="15"/>
  <c r="H54" i="15"/>
  <c r="J54" i="15"/>
  <c r="L54" i="15"/>
  <c r="N54" i="15"/>
  <c r="P54" i="15"/>
  <c r="R54" i="15"/>
  <c r="T54" i="15"/>
  <c r="V54" i="15"/>
  <c r="X54" i="15"/>
  <c r="Z54" i="15"/>
  <c r="AB54" i="15"/>
  <c r="AD54" i="15"/>
  <c r="H56" i="15"/>
  <c r="J56" i="15"/>
  <c r="L56" i="15"/>
  <c r="N56" i="15"/>
  <c r="P56" i="15"/>
  <c r="R56" i="15"/>
  <c r="T56" i="15"/>
  <c r="V56" i="15"/>
  <c r="X56" i="15"/>
  <c r="Z56" i="15"/>
  <c r="AB56" i="15"/>
  <c r="AD56" i="15"/>
  <c r="C58" i="15"/>
  <c r="D58" i="15"/>
  <c r="F58" i="15"/>
  <c r="H58" i="15"/>
  <c r="J58" i="15"/>
  <c r="L58" i="15"/>
  <c r="N58" i="15"/>
  <c r="V58" i="15"/>
  <c r="AD58" i="15"/>
  <c r="C60" i="15"/>
  <c r="D60" i="15"/>
  <c r="F60" i="15"/>
  <c r="H60" i="15"/>
  <c r="J60" i="15"/>
  <c r="L60" i="15"/>
  <c r="N60" i="15"/>
  <c r="V60" i="15"/>
  <c r="AD60" i="15"/>
  <c r="C63" i="15"/>
  <c r="D63" i="15"/>
  <c r="F63" i="15"/>
  <c r="H63" i="15"/>
  <c r="J63" i="15"/>
  <c r="L63" i="15"/>
  <c r="N63" i="15"/>
  <c r="V63" i="15"/>
  <c r="AD63" i="15"/>
  <c r="C64" i="15"/>
  <c r="D64" i="15"/>
  <c r="F64" i="15"/>
  <c r="H64" i="15"/>
  <c r="J64" i="15"/>
  <c r="L64" i="15"/>
  <c r="N64" i="15"/>
  <c r="V64" i="15"/>
  <c r="AD64" i="15"/>
  <c r="C65" i="15"/>
  <c r="D65" i="15"/>
  <c r="F65" i="15"/>
  <c r="H65" i="15"/>
  <c r="J65" i="15"/>
  <c r="L65" i="15"/>
  <c r="N65" i="15"/>
  <c r="V65" i="15"/>
  <c r="AD65" i="15"/>
  <c r="C66" i="15"/>
  <c r="D66" i="15"/>
  <c r="F66" i="15"/>
  <c r="H66" i="15"/>
  <c r="J66" i="15"/>
  <c r="L66" i="15"/>
  <c r="N66" i="15"/>
  <c r="V66" i="15"/>
  <c r="AD66" i="15"/>
  <c r="C67" i="15"/>
  <c r="D67" i="15"/>
  <c r="F67" i="15"/>
  <c r="H67" i="15"/>
  <c r="J67" i="15"/>
  <c r="L67" i="15"/>
  <c r="N67" i="15"/>
  <c r="V67" i="15"/>
  <c r="AD67" i="15"/>
  <c r="C68" i="15"/>
  <c r="D68" i="15"/>
  <c r="F68" i="15"/>
  <c r="H68" i="15"/>
  <c r="J68" i="15"/>
  <c r="L68" i="15"/>
  <c r="N68" i="15"/>
  <c r="V68" i="15"/>
  <c r="AD68" i="15"/>
  <c r="C69" i="15"/>
  <c r="D69" i="15"/>
  <c r="F69" i="15"/>
  <c r="H69" i="15"/>
  <c r="J69" i="15"/>
  <c r="L69" i="15"/>
  <c r="N69" i="15"/>
  <c r="V69" i="15"/>
  <c r="AD69" i="15"/>
  <c r="H71" i="15"/>
  <c r="J71" i="15"/>
  <c r="L71" i="15"/>
  <c r="N71" i="15"/>
  <c r="P71" i="15"/>
  <c r="R71" i="15"/>
  <c r="T71" i="15"/>
  <c r="V71" i="15"/>
  <c r="X71" i="15"/>
  <c r="Z71" i="15"/>
  <c r="AB71" i="15"/>
  <c r="AD71" i="15"/>
  <c r="C74" i="15"/>
  <c r="D74" i="15"/>
  <c r="F74" i="15"/>
  <c r="H74" i="15"/>
  <c r="J74" i="15"/>
  <c r="L74" i="15"/>
  <c r="N74" i="15"/>
  <c r="V74" i="15"/>
  <c r="AD74" i="15"/>
  <c r="C75" i="15"/>
  <c r="D75" i="15"/>
  <c r="F75" i="15"/>
  <c r="H75" i="15"/>
  <c r="J75" i="15"/>
  <c r="L75" i="15"/>
  <c r="N75" i="15"/>
  <c r="V75" i="15"/>
  <c r="AD75" i="15"/>
  <c r="C76" i="15"/>
  <c r="D76" i="15"/>
  <c r="F76" i="15"/>
  <c r="H76" i="15"/>
  <c r="J76" i="15"/>
  <c r="L76" i="15"/>
  <c r="N76" i="15"/>
  <c r="V76" i="15"/>
  <c r="AD76" i="15"/>
  <c r="C77" i="15"/>
  <c r="D77" i="15"/>
  <c r="F77" i="15"/>
  <c r="H77" i="15"/>
  <c r="J77" i="15"/>
  <c r="L77" i="15"/>
  <c r="N77" i="15"/>
  <c r="V77" i="15"/>
  <c r="AD77" i="15"/>
  <c r="C78" i="15"/>
  <c r="D78" i="15"/>
  <c r="F78" i="15"/>
  <c r="H78" i="15"/>
  <c r="J78" i="15"/>
  <c r="L78" i="15"/>
  <c r="N78" i="15"/>
  <c r="V78" i="15"/>
  <c r="AD78" i="15"/>
  <c r="C79" i="15"/>
  <c r="D79" i="15"/>
  <c r="F79" i="15"/>
  <c r="H79" i="15"/>
  <c r="J79" i="15"/>
  <c r="L79" i="15"/>
  <c r="N79" i="15"/>
  <c r="V79" i="15"/>
  <c r="AD79" i="15"/>
  <c r="C80" i="15"/>
  <c r="D80" i="15"/>
  <c r="F80" i="15"/>
  <c r="H80" i="15"/>
  <c r="J80" i="15"/>
  <c r="L80" i="15"/>
  <c r="N80" i="15"/>
  <c r="V80" i="15"/>
  <c r="AD80" i="15"/>
  <c r="C81" i="15"/>
  <c r="D81" i="15"/>
  <c r="F81" i="15"/>
  <c r="H81" i="15"/>
  <c r="J81" i="15"/>
  <c r="L81" i="15"/>
  <c r="N81" i="15"/>
  <c r="V81" i="15"/>
  <c r="AD81" i="15"/>
  <c r="C82" i="15"/>
  <c r="D82" i="15"/>
  <c r="F82" i="15"/>
  <c r="H82" i="15"/>
  <c r="J82" i="15"/>
  <c r="L82" i="15"/>
  <c r="N82" i="15"/>
  <c r="V82" i="15"/>
  <c r="AD82" i="15"/>
  <c r="C83" i="15"/>
  <c r="D83" i="15"/>
  <c r="F83" i="15"/>
  <c r="H83" i="15"/>
  <c r="J83" i="15"/>
  <c r="L83" i="15"/>
  <c r="N83" i="15"/>
  <c r="V83" i="15"/>
  <c r="AD83" i="15"/>
  <c r="C84" i="15"/>
  <c r="D84" i="15"/>
  <c r="F84" i="15"/>
  <c r="H84" i="15"/>
  <c r="J84" i="15"/>
  <c r="L84" i="15"/>
  <c r="N84" i="15"/>
  <c r="V84" i="15"/>
  <c r="AD84" i="15"/>
  <c r="C85" i="15"/>
  <c r="D85" i="15"/>
  <c r="F85" i="15"/>
  <c r="H85" i="15"/>
  <c r="J85" i="15"/>
  <c r="L85" i="15"/>
  <c r="N85" i="15"/>
  <c r="V85" i="15"/>
  <c r="AD85" i="15"/>
  <c r="C86" i="15"/>
  <c r="D86" i="15"/>
  <c r="F86" i="15"/>
  <c r="H86" i="15"/>
  <c r="J86" i="15"/>
  <c r="L86" i="15"/>
  <c r="N86" i="15"/>
  <c r="R86" i="15"/>
  <c r="V86" i="15"/>
  <c r="AD86" i="15"/>
  <c r="C87" i="15"/>
  <c r="D87" i="15"/>
  <c r="F87" i="15"/>
  <c r="H87" i="15"/>
  <c r="J87" i="15"/>
  <c r="L87" i="15"/>
  <c r="N87" i="15"/>
  <c r="R87" i="15"/>
  <c r="V87" i="15"/>
  <c r="AD87" i="15"/>
  <c r="C88" i="15"/>
  <c r="D88" i="15"/>
  <c r="F88" i="15"/>
  <c r="H88" i="15"/>
  <c r="J88" i="15"/>
  <c r="L88" i="15"/>
  <c r="N88" i="15"/>
  <c r="R88" i="15"/>
  <c r="V88" i="15"/>
  <c r="AD88" i="15"/>
  <c r="H90" i="15"/>
  <c r="J90" i="15"/>
  <c r="L90" i="15"/>
  <c r="N90" i="15"/>
  <c r="P90" i="15"/>
  <c r="R90" i="15"/>
  <c r="T90" i="15"/>
  <c r="V90" i="15"/>
  <c r="X90" i="15"/>
  <c r="Z90" i="15"/>
  <c r="AB90" i="15"/>
  <c r="AD90" i="15"/>
  <c r="C93" i="15"/>
  <c r="D93" i="15"/>
  <c r="F93" i="15"/>
  <c r="H93" i="15"/>
  <c r="J93" i="15"/>
  <c r="L93" i="15"/>
  <c r="N93" i="15"/>
  <c r="V93" i="15"/>
  <c r="AD93" i="15"/>
  <c r="C94" i="15"/>
  <c r="D94" i="15"/>
  <c r="F94" i="15"/>
  <c r="H94" i="15"/>
  <c r="J94" i="15"/>
  <c r="L94" i="15"/>
  <c r="N94" i="15"/>
  <c r="V94" i="15"/>
  <c r="AD94" i="15"/>
  <c r="C95" i="15"/>
  <c r="D95" i="15"/>
  <c r="F95" i="15"/>
  <c r="H95" i="15"/>
  <c r="J95" i="15"/>
  <c r="L95" i="15"/>
  <c r="N95" i="15"/>
  <c r="V95" i="15"/>
  <c r="AD95" i="15"/>
  <c r="C96" i="15"/>
  <c r="D96" i="15"/>
  <c r="F96" i="15"/>
  <c r="H96" i="15"/>
  <c r="J96" i="15"/>
  <c r="L96" i="15"/>
  <c r="N96" i="15"/>
  <c r="V96" i="15"/>
  <c r="AD96" i="15"/>
  <c r="C97" i="15"/>
  <c r="D97" i="15"/>
  <c r="F97" i="15"/>
  <c r="H97" i="15"/>
  <c r="J97" i="15"/>
  <c r="L97" i="15"/>
  <c r="N97" i="15"/>
  <c r="V97" i="15"/>
  <c r="AD97" i="15"/>
  <c r="C98" i="15"/>
  <c r="D98" i="15"/>
  <c r="F98" i="15"/>
  <c r="H98" i="15"/>
  <c r="J98" i="15"/>
  <c r="L98" i="15"/>
  <c r="N98" i="15"/>
  <c r="V98" i="15"/>
  <c r="AD98" i="15"/>
  <c r="C99" i="15"/>
  <c r="D99" i="15"/>
  <c r="F99" i="15"/>
  <c r="H99" i="15"/>
  <c r="J99" i="15"/>
  <c r="L99" i="15"/>
  <c r="N99" i="15"/>
  <c r="V99" i="15"/>
  <c r="AD99" i="15"/>
  <c r="C100" i="15"/>
  <c r="D100" i="15"/>
  <c r="F100" i="15"/>
  <c r="H100" i="15"/>
  <c r="J100" i="15"/>
  <c r="L100" i="15"/>
  <c r="N100" i="15"/>
  <c r="V100" i="15"/>
  <c r="AD100" i="15"/>
  <c r="H102" i="15"/>
  <c r="J102" i="15"/>
  <c r="L102" i="15"/>
  <c r="N102" i="15"/>
  <c r="P102" i="15"/>
  <c r="R102" i="15"/>
  <c r="T102" i="15"/>
  <c r="V102" i="15"/>
  <c r="X102" i="15"/>
  <c r="Z102" i="15"/>
  <c r="AB102" i="15"/>
  <c r="AD102" i="15"/>
  <c r="C105" i="15"/>
  <c r="D105" i="15"/>
  <c r="F105" i="15"/>
  <c r="H105" i="15"/>
  <c r="J105" i="15"/>
  <c r="L105" i="15"/>
  <c r="N105" i="15"/>
  <c r="V105" i="15"/>
  <c r="AD105" i="15"/>
  <c r="C106" i="15"/>
  <c r="D106" i="15"/>
  <c r="F106" i="15"/>
  <c r="H106" i="15"/>
  <c r="J106" i="15"/>
  <c r="L106" i="15"/>
  <c r="N106" i="15"/>
  <c r="V106" i="15"/>
  <c r="X106" i="15"/>
  <c r="AD106" i="15"/>
  <c r="H107" i="15"/>
  <c r="J107" i="15"/>
  <c r="L107" i="15"/>
  <c r="N107" i="15"/>
  <c r="V107" i="15"/>
  <c r="AD107" i="15"/>
  <c r="C108" i="15"/>
  <c r="D108" i="15"/>
  <c r="F108" i="15"/>
  <c r="H108" i="15"/>
  <c r="J108" i="15"/>
  <c r="L108" i="15"/>
  <c r="N108" i="15"/>
  <c r="V108" i="15"/>
  <c r="AD108" i="15"/>
  <c r="C109" i="15"/>
  <c r="D109" i="15"/>
  <c r="F109" i="15"/>
  <c r="H109" i="15"/>
  <c r="J109" i="15"/>
  <c r="L109" i="15"/>
  <c r="N109" i="15"/>
  <c r="V109" i="15"/>
  <c r="AD109" i="15"/>
  <c r="H111" i="15"/>
  <c r="J111" i="15"/>
  <c r="L111" i="15"/>
  <c r="N111" i="15"/>
  <c r="P111" i="15"/>
  <c r="R111" i="15"/>
  <c r="T111" i="15"/>
  <c r="V111" i="15"/>
  <c r="X111" i="15"/>
  <c r="Z111" i="15"/>
  <c r="AB111" i="15"/>
  <c r="AD111" i="15"/>
  <c r="C113" i="15"/>
  <c r="D113" i="15"/>
  <c r="F113" i="15"/>
  <c r="H113" i="15"/>
  <c r="J113" i="15"/>
  <c r="L113" i="15"/>
  <c r="N113" i="15"/>
  <c r="P113" i="15"/>
  <c r="V113" i="15"/>
  <c r="AD113" i="15"/>
  <c r="C114" i="15"/>
  <c r="D114" i="15"/>
  <c r="F114" i="15"/>
  <c r="H114" i="15"/>
  <c r="J114" i="15"/>
  <c r="L114" i="15"/>
  <c r="N114" i="15"/>
  <c r="P114" i="15"/>
  <c r="V114" i="15"/>
  <c r="AD114" i="15"/>
  <c r="C115" i="15"/>
  <c r="D115" i="15"/>
  <c r="F115" i="15"/>
  <c r="H115" i="15"/>
  <c r="J115" i="15"/>
  <c r="L115" i="15"/>
  <c r="N115" i="15"/>
  <c r="V115" i="15"/>
  <c r="AD115" i="15"/>
  <c r="C116" i="15"/>
  <c r="D116" i="15"/>
  <c r="F116" i="15"/>
  <c r="H116" i="15"/>
  <c r="J116" i="15"/>
  <c r="L116" i="15"/>
  <c r="N116" i="15"/>
  <c r="V116" i="15"/>
  <c r="AD116" i="15"/>
  <c r="H118" i="15"/>
  <c r="J118" i="15"/>
  <c r="L118" i="15"/>
  <c r="N118" i="15"/>
  <c r="P118" i="15"/>
  <c r="R118" i="15"/>
  <c r="T118" i="15"/>
  <c r="V118" i="15"/>
  <c r="X118" i="15"/>
  <c r="Z118" i="15"/>
  <c r="AB118" i="15"/>
  <c r="AD118" i="15"/>
  <c r="C120" i="15"/>
  <c r="D120" i="15"/>
  <c r="F120" i="15"/>
  <c r="H120" i="15"/>
  <c r="J120" i="15"/>
  <c r="L120" i="15"/>
  <c r="N120" i="15"/>
  <c r="V120" i="15"/>
  <c r="AD120" i="15"/>
  <c r="C121" i="15"/>
  <c r="D121" i="15"/>
  <c r="F121" i="15"/>
  <c r="H121" i="15"/>
  <c r="J121" i="15"/>
  <c r="L121" i="15"/>
  <c r="N121" i="15"/>
  <c r="V121" i="15"/>
  <c r="AD121" i="15"/>
  <c r="C122" i="15"/>
  <c r="D122" i="15"/>
  <c r="F122" i="15"/>
  <c r="H122" i="15"/>
  <c r="J122" i="15"/>
  <c r="L122" i="15"/>
  <c r="N122" i="15"/>
  <c r="V122" i="15"/>
  <c r="AD122" i="15"/>
  <c r="C123" i="15"/>
  <c r="D123" i="15"/>
  <c r="F123" i="15"/>
  <c r="H123" i="15"/>
  <c r="J123" i="15"/>
  <c r="L123" i="15"/>
  <c r="N123" i="15"/>
  <c r="V123" i="15"/>
  <c r="AD123" i="15"/>
  <c r="H125" i="15"/>
  <c r="J125" i="15"/>
  <c r="L125" i="15"/>
  <c r="N125" i="15"/>
  <c r="P125" i="15"/>
  <c r="R125" i="15"/>
  <c r="T125" i="15"/>
  <c r="V125" i="15"/>
  <c r="X125" i="15"/>
  <c r="Z125" i="15"/>
  <c r="AB125" i="15"/>
  <c r="AD125" i="15"/>
  <c r="C127" i="15"/>
  <c r="D127" i="15"/>
  <c r="F127" i="15"/>
  <c r="H127" i="15"/>
  <c r="J127" i="15"/>
  <c r="L127" i="15"/>
  <c r="N127" i="15"/>
  <c r="V127" i="15"/>
  <c r="X127" i="15"/>
  <c r="AD127" i="15"/>
  <c r="C128" i="15"/>
  <c r="D128" i="15"/>
  <c r="F128" i="15"/>
  <c r="H128" i="15"/>
  <c r="J128" i="15"/>
  <c r="L128" i="15"/>
  <c r="N128" i="15"/>
  <c r="V128" i="15"/>
  <c r="AD128" i="15"/>
  <c r="C129" i="15"/>
  <c r="D129" i="15"/>
  <c r="F129" i="15"/>
  <c r="H129" i="15"/>
  <c r="J129" i="15"/>
  <c r="L129" i="15"/>
  <c r="N129" i="15"/>
  <c r="V129" i="15"/>
  <c r="AD129" i="15"/>
  <c r="C130" i="15"/>
  <c r="D130" i="15"/>
  <c r="F130" i="15"/>
  <c r="H130" i="15"/>
  <c r="J130" i="15"/>
  <c r="L130" i="15"/>
  <c r="N130" i="15"/>
  <c r="V130" i="15"/>
  <c r="X130" i="15"/>
  <c r="AD130" i="15"/>
  <c r="C131" i="15"/>
  <c r="D131" i="15"/>
  <c r="F131" i="15"/>
  <c r="H131" i="15"/>
  <c r="J131" i="15"/>
  <c r="L131" i="15"/>
  <c r="N131" i="15"/>
  <c r="V131" i="15"/>
  <c r="X131" i="15"/>
  <c r="AD131" i="15"/>
  <c r="C132" i="15"/>
  <c r="D132" i="15"/>
  <c r="F132" i="15"/>
  <c r="H132" i="15"/>
  <c r="J132" i="15"/>
  <c r="L132" i="15"/>
  <c r="N132" i="15"/>
  <c r="V132" i="15"/>
  <c r="AD132" i="15"/>
  <c r="C133" i="15"/>
  <c r="D133" i="15"/>
  <c r="F133" i="15"/>
  <c r="H133" i="15"/>
  <c r="J133" i="15"/>
  <c r="L133" i="15"/>
  <c r="N133" i="15"/>
  <c r="V133" i="15"/>
  <c r="X133" i="15"/>
  <c r="AD133" i="15"/>
  <c r="C134" i="15"/>
  <c r="D134" i="15"/>
  <c r="F134" i="15"/>
  <c r="H134" i="15"/>
  <c r="J134" i="15"/>
  <c r="L134" i="15"/>
  <c r="N134" i="15"/>
  <c r="V134" i="15"/>
  <c r="X134" i="15"/>
  <c r="AD134" i="15"/>
  <c r="C135" i="15"/>
  <c r="D135" i="15"/>
  <c r="F135" i="15"/>
  <c r="H135" i="15"/>
  <c r="J135" i="15"/>
  <c r="L135" i="15"/>
  <c r="N135" i="15"/>
  <c r="V135" i="15"/>
  <c r="X135" i="15"/>
  <c r="AD135" i="15"/>
  <c r="C136" i="15"/>
  <c r="D136" i="15"/>
  <c r="F136" i="15"/>
  <c r="H136" i="15"/>
  <c r="J136" i="15"/>
  <c r="L136" i="15"/>
  <c r="N136" i="15"/>
  <c r="V136" i="15"/>
  <c r="AD136" i="15"/>
  <c r="C137" i="15"/>
  <c r="D137" i="15"/>
  <c r="F137" i="15"/>
  <c r="H137" i="15"/>
  <c r="J137" i="15"/>
  <c r="L137" i="15"/>
  <c r="N137" i="15"/>
  <c r="V137" i="15"/>
  <c r="X137" i="15"/>
  <c r="AD137" i="15"/>
  <c r="C138" i="15"/>
  <c r="D138" i="15"/>
  <c r="F138" i="15"/>
  <c r="H138" i="15"/>
  <c r="J138" i="15"/>
  <c r="L138" i="15"/>
  <c r="N138" i="15"/>
  <c r="V138" i="15"/>
  <c r="X138" i="15"/>
  <c r="AD138" i="15"/>
  <c r="C139" i="15"/>
  <c r="D139" i="15"/>
  <c r="F139" i="15"/>
  <c r="H139" i="15"/>
  <c r="J139" i="15"/>
  <c r="L139" i="15"/>
  <c r="N139" i="15"/>
  <c r="V139" i="15"/>
  <c r="X139" i="15"/>
  <c r="AD139" i="15"/>
  <c r="H140" i="15"/>
  <c r="N140" i="15"/>
  <c r="AD140" i="15"/>
  <c r="H142" i="15"/>
  <c r="J142" i="15"/>
  <c r="L142" i="15"/>
  <c r="N142" i="15"/>
  <c r="P142" i="15"/>
  <c r="R142" i="15"/>
  <c r="T142" i="15"/>
  <c r="V142" i="15"/>
  <c r="X142" i="15"/>
  <c r="Z142" i="15"/>
  <c r="AB142" i="15"/>
  <c r="AD142" i="15"/>
  <c r="C144" i="15"/>
  <c r="D144" i="15"/>
  <c r="F144" i="15"/>
  <c r="H144" i="15"/>
  <c r="J144" i="15"/>
  <c r="L144" i="15"/>
  <c r="N144" i="15"/>
  <c r="P144" i="15"/>
  <c r="V144" i="15"/>
  <c r="AD144" i="15"/>
  <c r="C145" i="15"/>
  <c r="D145" i="15"/>
  <c r="F145" i="15"/>
  <c r="H145" i="15"/>
  <c r="J145" i="15"/>
  <c r="L145" i="15"/>
  <c r="N145" i="15"/>
  <c r="P145" i="15"/>
  <c r="V145" i="15"/>
  <c r="AD145" i="15"/>
  <c r="C146" i="15"/>
  <c r="D146" i="15"/>
  <c r="F146" i="15"/>
  <c r="H146" i="15"/>
  <c r="J146" i="15"/>
  <c r="L146" i="15"/>
  <c r="N146" i="15"/>
  <c r="V146" i="15"/>
  <c r="AD146" i="15"/>
  <c r="C147" i="15"/>
  <c r="D147" i="15"/>
  <c r="F147" i="15"/>
  <c r="H147" i="15"/>
  <c r="J147" i="15"/>
  <c r="L147" i="15"/>
  <c r="N147" i="15"/>
  <c r="V147" i="15"/>
  <c r="AD147" i="15"/>
  <c r="C148" i="15"/>
  <c r="D148" i="15"/>
  <c r="F148" i="15"/>
  <c r="H148" i="15"/>
  <c r="J148" i="15"/>
  <c r="L148" i="15"/>
  <c r="N148" i="15"/>
  <c r="V148" i="15"/>
  <c r="AD148" i="15"/>
  <c r="C149" i="15"/>
  <c r="D149" i="15"/>
  <c r="F149" i="15"/>
  <c r="H149" i="15"/>
  <c r="J149" i="15"/>
  <c r="L149" i="15"/>
  <c r="N149" i="15"/>
  <c r="V149" i="15"/>
  <c r="AD149" i="15"/>
  <c r="C150" i="15"/>
  <c r="D150" i="15"/>
  <c r="F150" i="15"/>
  <c r="H150" i="15"/>
  <c r="J150" i="15"/>
  <c r="L150" i="15"/>
  <c r="N150" i="15"/>
  <c r="V150" i="15"/>
  <c r="AD150" i="15"/>
  <c r="C151" i="15"/>
  <c r="D151" i="15"/>
  <c r="F151" i="15"/>
  <c r="H151" i="15"/>
  <c r="J151" i="15"/>
  <c r="L151" i="15"/>
  <c r="N151" i="15"/>
  <c r="V151" i="15"/>
  <c r="AD151" i="15"/>
  <c r="C152" i="15"/>
  <c r="D152" i="15"/>
  <c r="F152" i="15"/>
  <c r="H152" i="15"/>
  <c r="J152" i="15"/>
  <c r="L152" i="15"/>
  <c r="N152" i="15"/>
  <c r="V152" i="15"/>
  <c r="AD152" i="15"/>
  <c r="C153" i="15"/>
  <c r="D153" i="15"/>
  <c r="F153" i="15"/>
  <c r="H153" i="15"/>
  <c r="J153" i="15"/>
  <c r="L153" i="15"/>
  <c r="N153" i="15"/>
  <c r="V153" i="15"/>
  <c r="AD153" i="15"/>
  <c r="C154" i="15"/>
  <c r="D154" i="15"/>
  <c r="F154" i="15"/>
  <c r="H154" i="15"/>
  <c r="J154" i="15"/>
  <c r="L154" i="15"/>
  <c r="N154" i="15"/>
  <c r="V154" i="15"/>
  <c r="AD154" i="15"/>
  <c r="C155" i="15"/>
  <c r="D155" i="15"/>
  <c r="F155" i="15"/>
  <c r="H155" i="15"/>
  <c r="J155" i="15"/>
  <c r="L155" i="15"/>
  <c r="N155" i="15"/>
  <c r="V155" i="15"/>
  <c r="AD155" i="15"/>
  <c r="C156" i="15"/>
  <c r="D156" i="15"/>
  <c r="F156" i="15"/>
  <c r="H156" i="15"/>
  <c r="J156" i="15"/>
  <c r="L156" i="15"/>
  <c r="N156" i="15"/>
  <c r="V156" i="15"/>
  <c r="AD156" i="15"/>
  <c r="C157" i="15"/>
  <c r="D157" i="15"/>
  <c r="F157" i="15"/>
  <c r="H157" i="15"/>
  <c r="J157" i="15"/>
  <c r="L157" i="15"/>
  <c r="N157" i="15"/>
  <c r="V157" i="15"/>
  <c r="AD157" i="15"/>
  <c r="N158" i="15"/>
  <c r="V158" i="15"/>
  <c r="AD158" i="15"/>
  <c r="C159" i="15"/>
  <c r="D159" i="15"/>
  <c r="F159" i="15"/>
  <c r="H159" i="15"/>
  <c r="J159" i="15"/>
  <c r="L159" i="15"/>
  <c r="N159" i="15"/>
  <c r="V159" i="15"/>
  <c r="AD159" i="15"/>
  <c r="C160" i="15"/>
  <c r="D160" i="15"/>
  <c r="F160" i="15"/>
  <c r="H160" i="15"/>
  <c r="J160" i="15"/>
  <c r="L160" i="15"/>
  <c r="N160" i="15"/>
  <c r="V160" i="15"/>
  <c r="AD160" i="15"/>
  <c r="C161" i="15"/>
  <c r="D161" i="15"/>
  <c r="F161" i="15"/>
  <c r="H161" i="15"/>
  <c r="J161" i="15"/>
  <c r="L161" i="15"/>
  <c r="N161" i="15"/>
  <c r="V161" i="15"/>
  <c r="AD161" i="15"/>
  <c r="C162" i="15"/>
  <c r="D162" i="15"/>
  <c r="F162" i="15"/>
  <c r="H162" i="15"/>
  <c r="J162" i="15"/>
  <c r="L162" i="15"/>
  <c r="N162" i="15"/>
  <c r="V162" i="15"/>
  <c r="AD162" i="15"/>
  <c r="C163" i="15"/>
  <c r="D163" i="15"/>
  <c r="F163" i="15"/>
  <c r="H163" i="15"/>
  <c r="J163" i="15"/>
  <c r="L163" i="15"/>
  <c r="N163" i="15"/>
  <c r="V163" i="15"/>
  <c r="AD163" i="15"/>
  <c r="C164" i="15"/>
  <c r="D164" i="15"/>
  <c r="F164" i="15"/>
  <c r="H164" i="15"/>
  <c r="J164" i="15"/>
  <c r="L164" i="15"/>
  <c r="N164" i="15"/>
  <c r="V164" i="15"/>
  <c r="AD164" i="15"/>
  <c r="C165" i="15"/>
  <c r="D165" i="15"/>
  <c r="F165" i="15"/>
  <c r="H165" i="15"/>
  <c r="J165" i="15"/>
  <c r="L165" i="15"/>
  <c r="N165" i="15"/>
  <c r="V165" i="15"/>
  <c r="AD165" i="15"/>
  <c r="C166" i="15"/>
  <c r="D166" i="15"/>
  <c r="F166" i="15"/>
  <c r="H166" i="15"/>
  <c r="J166" i="15"/>
  <c r="L166" i="15"/>
  <c r="N166" i="15"/>
  <c r="V166" i="15"/>
  <c r="AD166" i="15"/>
  <c r="C167" i="15"/>
  <c r="D167" i="15"/>
  <c r="F167" i="15"/>
  <c r="H167" i="15"/>
  <c r="J167" i="15"/>
  <c r="L167" i="15"/>
  <c r="N167" i="15"/>
  <c r="V167" i="15"/>
  <c r="AD167" i="15"/>
  <c r="C168" i="15"/>
  <c r="D168" i="15"/>
  <c r="F168" i="15"/>
  <c r="H168" i="15"/>
  <c r="J168" i="15"/>
  <c r="L168" i="15"/>
  <c r="N168" i="15"/>
  <c r="V168" i="15"/>
  <c r="AD168" i="15"/>
  <c r="H169" i="15"/>
  <c r="N169" i="15"/>
  <c r="AD169" i="15"/>
  <c r="H171" i="15"/>
  <c r="J171" i="15"/>
  <c r="L171" i="15"/>
  <c r="N171" i="15"/>
  <c r="P171" i="15"/>
  <c r="R171" i="15"/>
  <c r="T171" i="15"/>
  <c r="V171" i="15"/>
  <c r="X171" i="15"/>
  <c r="Z171" i="15"/>
  <c r="AB171" i="15"/>
  <c r="AD171" i="15"/>
  <c r="C174" i="15"/>
  <c r="D174" i="15"/>
  <c r="F174" i="15"/>
  <c r="H174" i="15"/>
  <c r="J174" i="15"/>
  <c r="L174" i="15"/>
  <c r="N174" i="15"/>
  <c r="V174" i="15"/>
  <c r="AD174" i="15"/>
  <c r="C175" i="15"/>
  <c r="D175" i="15"/>
  <c r="F175" i="15"/>
  <c r="H175" i="15"/>
  <c r="J175" i="15"/>
  <c r="L175" i="15"/>
  <c r="N175" i="15"/>
  <c r="V175" i="15"/>
  <c r="AD175" i="15"/>
  <c r="C176" i="15"/>
  <c r="D176" i="15"/>
  <c r="F176" i="15"/>
  <c r="H176" i="15"/>
  <c r="J176" i="15"/>
  <c r="L176" i="15"/>
  <c r="N176" i="15"/>
  <c r="V176" i="15"/>
  <c r="AD176" i="15"/>
  <c r="C177" i="15"/>
  <c r="D177" i="15"/>
  <c r="F177" i="15"/>
  <c r="H177" i="15"/>
  <c r="J177" i="15"/>
  <c r="L177" i="15"/>
  <c r="N177" i="15"/>
  <c r="V177" i="15"/>
  <c r="AD177" i="15"/>
  <c r="C178" i="15"/>
  <c r="D178" i="15"/>
  <c r="F178" i="15"/>
  <c r="H178" i="15"/>
  <c r="J178" i="15"/>
  <c r="L178" i="15"/>
  <c r="N178" i="15"/>
  <c r="V178" i="15"/>
  <c r="AD178" i="15"/>
  <c r="C179" i="15"/>
  <c r="D179" i="15"/>
  <c r="F179" i="15"/>
  <c r="H179" i="15"/>
  <c r="J179" i="15"/>
  <c r="L179" i="15"/>
  <c r="N179" i="15"/>
  <c r="V179" i="15"/>
  <c r="AD179" i="15"/>
  <c r="C180" i="15"/>
  <c r="D180" i="15"/>
  <c r="F180" i="15"/>
  <c r="H180" i="15"/>
  <c r="J180" i="15"/>
  <c r="L180" i="15"/>
  <c r="N180" i="15"/>
  <c r="V180" i="15"/>
  <c r="AD180" i="15"/>
  <c r="C181" i="15"/>
  <c r="D181" i="15"/>
  <c r="F181" i="15"/>
  <c r="H181" i="15"/>
  <c r="J181" i="15"/>
  <c r="L181" i="15"/>
  <c r="N181" i="15"/>
  <c r="V181" i="15"/>
  <c r="AD181" i="15"/>
  <c r="C182" i="15"/>
  <c r="D182" i="15"/>
  <c r="F182" i="15"/>
  <c r="H182" i="15"/>
  <c r="J182" i="15"/>
  <c r="L182" i="15"/>
  <c r="N182" i="15"/>
  <c r="V182" i="15"/>
  <c r="AD182" i="15"/>
  <c r="C183" i="15"/>
  <c r="D183" i="15"/>
  <c r="F183" i="15"/>
  <c r="H183" i="15"/>
  <c r="J183" i="15"/>
  <c r="L183" i="15"/>
  <c r="N183" i="15"/>
  <c r="V183" i="15"/>
  <c r="AD183" i="15"/>
  <c r="C184" i="15"/>
  <c r="D184" i="15"/>
  <c r="F184" i="15"/>
  <c r="H184" i="15"/>
  <c r="J184" i="15"/>
  <c r="L184" i="15"/>
  <c r="N184" i="15"/>
  <c r="V184" i="15"/>
  <c r="AD184" i="15"/>
  <c r="H186" i="15"/>
  <c r="J186" i="15"/>
  <c r="L186" i="15"/>
  <c r="N186" i="15"/>
  <c r="P186" i="15"/>
  <c r="R186" i="15"/>
  <c r="T186" i="15"/>
  <c r="V186" i="15"/>
  <c r="X186" i="15"/>
  <c r="Z186" i="15"/>
  <c r="AB186" i="15"/>
  <c r="AD186" i="15"/>
  <c r="V188" i="15"/>
  <c r="AD188" i="15"/>
  <c r="C189" i="15"/>
  <c r="D189" i="15"/>
  <c r="F189" i="15"/>
  <c r="H189" i="15"/>
  <c r="J189" i="15"/>
  <c r="L189" i="15"/>
  <c r="N189" i="15"/>
  <c r="V189" i="15"/>
  <c r="AD189" i="15"/>
  <c r="C190" i="15"/>
  <c r="D190" i="15"/>
  <c r="F190" i="15"/>
  <c r="H190" i="15"/>
  <c r="J190" i="15"/>
  <c r="L190" i="15"/>
  <c r="N190" i="15"/>
  <c r="V190" i="15"/>
  <c r="AD190" i="15"/>
  <c r="C191" i="15"/>
  <c r="D191" i="15"/>
  <c r="F191" i="15"/>
  <c r="H191" i="15"/>
  <c r="J191" i="15"/>
  <c r="L191" i="15"/>
  <c r="N191" i="15"/>
  <c r="V191" i="15"/>
  <c r="AD191" i="15"/>
  <c r="C192" i="15"/>
  <c r="D192" i="15"/>
  <c r="F192" i="15"/>
  <c r="H192" i="15"/>
  <c r="J192" i="15"/>
  <c r="L192" i="15"/>
  <c r="N192" i="15"/>
  <c r="V192" i="15"/>
  <c r="AD192" i="15"/>
  <c r="N193" i="15"/>
  <c r="V193" i="15"/>
  <c r="AD193" i="15"/>
  <c r="C194" i="15"/>
  <c r="D194" i="15"/>
  <c r="F194" i="15"/>
  <c r="H194" i="15"/>
  <c r="J194" i="15"/>
  <c r="L194" i="15"/>
  <c r="N194" i="15"/>
  <c r="V194" i="15"/>
  <c r="AD194" i="15"/>
  <c r="C195" i="15"/>
  <c r="D195" i="15"/>
  <c r="F195" i="15"/>
  <c r="H195" i="15"/>
  <c r="J195" i="15"/>
  <c r="L195" i="15"/>
  <c r="N195" i="15"/>
  <c r="V195" i="15"/>
  <c r="AD195" i="15"/>
  <c r="N196" i="15"/>
  <c r="V196" i="15"/>
  <c r="AD196" i="15"/>
  <c r="C197" i="15"/>
  <c r="D197" i="15"/>
  <c r="F197" i="15"/>
  <c r="H197" i="15"/>
  <c r="J197" i="15"/>
  <c r="L197" i="15"/>
  <c r="N197" i="15"/>
  <c r="V197" i="15"/>
  <c r="AD197" i="15"/>
  <c r="N198" i="15"/>
  <c r="V198" i="15"/>
  <c r="AD198" i="15"/>
  <c r="C199" i="15"/>
  <c r="D199" i="15"/>
  <c r="F199" i="15"/>
  <c r="H199" i="15"/>
  <c r="J199" i="15"/>
  <c r="L199" i="15"/>
  <c r="N199" i="15"/>
  <c r="V199" i="15"/>
  <c r="AD199" i="15"/>
  <c r="C200" i="15"/>
  <c r="D200" i="15"/>
  <c r="F200" i="15"/>
  <c r="H200" i="15"/>
  <c r="J200" i="15"/>
  <c r="L200" i="15"/>
  <c r="N200" i="15"/>
  <c r="V200" i="15"/>
  <c r="AD200" i="15"/>
  <c r="C201" i="15"/>
  <c r="D201" i="15"/>
  <c r="F201" i="15"/>
  <c r="H201" i="15"/>
  <c r="J201" i="15"/>
  <c r="L201" i="15"/>
  <c r="N201" i="15"/>
  <c r="V201" i="15"/>
  <c r="AD201" i="15"/>
  <c r="C202" i="15"/>
  <c r="D202" i="15"/>
  <c r="F202" i="15"/>
  <c r="H202" i="15"/>
  <c r="J202" i="15"/>
  <c r="L202" i="15"/>
  <c r="N202" i="15"/>
  <c r="V202" i="15"/>
  <c r="AD202" i="15"/>
  <c r="C203" i="15"/>
  <c r="D203" i="15"/>
  <c r="F203" i="15"/>
  <c r="H203" i="15"/>
  <c r="J203" i="15"/>
  <c r="L203" i="15"/>
  <c r="N203" i="15"/>
  <c r="V203" i="15"/>
  <c r="AD203" i="15"/>
  <c r="C204" i="15"/>
  <c r="D204" i="15"/>
  <c r="F204" i="15"/>
  <c r="H204" i="15"/>
  <c r="J204" i="15"/>
  <c r="L204" i="15"/>
  <c r="N204" i="15"/>
  <c r="V204" i="15"/>
  <c r="AD204" i="15"/>
  <c r="C205" i="15"/>
  <c r="D205" i="15"/>
  <c r="F205" i="15"/>
  <c r="H205" i="15"/>
  <c r="J205" i="15"/>
  <c r="L205" i="15"/>
  <c r="N205" i="15"/>
  <c r="V205" i="15"/>
  <c r="AD205" i="15"/>
  <c r="C206" i="15"/>
  <c r="D206" i="15"/>
  <c r="F206" i="15"/>
  <c r="H206" i="15"/>
  <c r="J206" i="15"/>
  <c r="L206" i="15"/>
  <c r="N206" i="15"/>
  <c r="V206" i="15"/>
  <c r="AD206" i="15"/>
  <c r="C207" i="15"/>
  <c r="D207" i="15"/>
  <c r="F207" i="15"/>
  <c r="H207" i="15"/>
  <c r="J207" i="15"/>
  <c r="L207" i="15"/>
  <c r="N207" i="15"/>
  <c r="V207" i="15"/>
  <c r="AD207" i="15"/>
  <c r="N208" i="15"/>
  <c r="V208" i="15"/>
  <c r="AD208" i="15"/>
  <c r="C209" i="15"/>
  <c r="D209" i="15"/>
  <c r="F209" i="15"/>
  <c r="H209" i="15"/>
  <c r="J209" i="15"/>
  <c r="L209" i="15"/>
  <c r="N209" i="15"/>
  <c r="V209" i="15"/>
  <c r="AD209" i="15"/>
  <c r="C210" i="15"/>
  <c r="D210" i="15"/>
  <c r="F210" i="15"/>
  <c r="H210" i="15"/>
  <c r="J210" i="15"/>
  <c r="L210" i="15"/>
  <c r="N210" i="15"/>
  <c r="V210" i="15"/>
  <c r="AD210" i="15"/>
  <c r="C211" i="15"/>
  <c r="D211" i="15"/>
  <c r="F211" i="15"/>
  <c r="H211" i="15"/>
  <c r="J211" i="15"/>
  <c r="L211" i="15"/>
  <c r="N211" i="15"/>
  <c r="V211" i="15"/>
  <c r="AD211" i="15"/>
  <c r="C212" i="15"/>
  <c r="D212" i="15"/>
  <c r="F212" i="15"/>
  <c r="H212" i="15"/>
  <c r="J212" i="15"/>
  <c r="L212" i="15"/>
  <c r="N212" i="15"/>
  <c r="V212" i="15"/>
  <c r="AD212" i="15"/>
  <c r="C213" i="15"/>
  <c r="D213" i="15"/>
  <c r="F213" i="15"/>
  <c r="H213" i="15"/>
  <c r="J213" i="15"/>
  <c r="L213" i="15"/>
  <c r="N213" i="15"/>
  <c r="V213" i="15"/>
  <c r="AD213" i="15"/>
  <c r="C214" i="15"/>
  <c r="D214" i="15"/>
  <c r="F214" i="15"/>
  <c r="H214" i="15"/>
  <c r="J214" i="15"/>
  <c r="L214" i="15"/>
  <c r="N214" i="15"/>
  <c r="V214" i="15"/>
  <c r="AD214" i="15"/>
  <c r="C215" i="15"/>
  <c r="D215" i="15"/>
  <c r="F215" i="15"/>
  <c r="H215" i="15"/>
  <c r="J215" i="15"/>
  <c r="L215" i="15"/>
  <c r="N215" i="15"/>
  <c r="V215" i="15"/>
  <c r="AD215" i="15"/>
  <c r="C216" i="15"/>
  <c r="D216" i="15"/>
  <c r="F216" i="15"/>
  <c r="H216" i="15"/>
  <c r="J216" i="15"/>
  <c r="L216" i="15"/>
  <c r="N216" i="15"/>
  <c r="V216" i="15"/>
  <c r="AD216" i="15"/>
  <c r="C217" i="15"/>
  <c r="D217" i="15"/>
  <c r="F217" i="15"/>
  <c r="H217" i="15"/>
  <c r="J217" i="15"/>
  <c r="L217" i="15"/>
  <c r="N217" i="15"/>
  <c r="V217" i="15"/>
  <c r="AD217" i="15"/>
  <c r="C218" i="15"/>
  <c r="D218" i="15"/>
  <c r="F218" i="15"/>
  <c r="H218" i="15"/>
  <c r="J218" i="15"/>
  <c r="L218" i="15"/>
  <c r="N218" i="15"/>
  <c r="V218" i="15"/>
  <c r="AD218" i="15"/>
  <c r="C219" i="15"/>
  <c r="D219" i="15"/>
  <c r="F219" i="15"/>
  <c r="H219" i="15"/>
  <c r="J219" i="15"/>
  <c r="L219" i="15"/>
  <c r="N219" i="15"/>
  <c r="V219" i="15"/>
  <c r="AD219" i="15"/>
  <c r="C220" i="15"/>
  <c r="D220" i="15"/>
  <c r="F220" i="15"/>
  <c r="H220" i="15"/>
  <c r="J220" i="15"/>
  <c r="L220" i="15"/>
  <c r="N220" i="15"/>
  <c r="V220" i="15"/>
  <c r="AD220" i="15"/>
  <c r="N221" i="15"/>
  <c r="V221" i="15"/>
  <c r="AD221" i="15"/>
  <c r="C222" i="15"/>
  <c r="D222" i="15"/>
  <c r="F222" i="15"/>
  <c r="H222" i="15"/>
  <c r="J222" i="15"/>
  <c r="L222" i="15"/>
  <c r="N222" i="15"/>
  <c r="V222" i="15"/>
  <c r="AD222" i="15"/>
  <c r="C223" i="15"/>
  <c r="D223" i="15"/>
  <c r="F223" i="15"/>
  <c r="H223" i="15"/>
  <c r="J223" i="15"/>
  <c r="L223" i="15"/>
  <c r="N223" i="15"/>
  <c r="V223" i="15"/>
  <c r="AD223" i="15"/>
  <c r="C224" i="15"/>
  <c r="D224" i="15"/>
  <c r="F224" i="15"/>
  <c r="H224" i="15"/>
  <c r="J224" i="15"/>
  <c r="L224" i="15"/>
  <c r="N224" i="15"/>
  <c r="V224" i="15"/>
  <c r="AD224" i="15"/>
  <c r="C225" i="15"/>
  <c r="D225" i="15"/>
  <c r="F225" i="15"/>
  <c r="H225" i="15"/>
  <c r="J225" i="15"/>
  <c r="L225" i="15"/>
  <c r="N225" i="15"/>
  <c r="V225" i="15"/>
  <c r="AD225" i="15"/>
  <c r="C226" i="15"/>
  <c r="D226" i="15"/>
  <c r="F226" i="15"/>
  <c r="H226" i="15"/>
  <c r="J226" i="15"/>
  <c r="L226" i="15"/>
  <c r="N226" i="15"/>
  <c r="V226" i="15"/>
  <c r="AD226" i="15"/>
  <c r="C227" i="15"/>
  <c r="D227" i="15"/>
  <c r="F227" i="15"/>
  <c r="H227" i="15"/>
  <c r="J227" i="15"/>
  <c r="L227" i="15"/>
  <c r="N227" i="15"/>
  <c r="V227" i="15"/>
  <c r="AD227" i="15"/>
  <c r="C228" i="15"/>
  <c r="D228" i="15"/>
  <c r="F228" i="15"/>
  <c r="H228" i="15"/>
  <c r="J228" i="15"/>
  <c r="L228" i="15"/>
  <c r="N228" i="15"/>
  <c r="V228" i="15"/>
  <c r="AD228" i="15"/>
  <c r="C229" i="15"/>
  <c r="D229" i="15"/>
  <c r="F229" i="15"/>
  <c r="H229" i="15"/>
  <c r="J229" i="15"/>
  <c r="L229" i="15"/>
  <c r="N229" i="15"/>
  <c r="V229" i="15"/>
  <c r="AD229" i="15"/>
  <c r="C230" i="15"/>
  <c r="D230" i="15"/>
  <c r="F230" i="15"/>
  <c r="H230" i="15"/>
  <c r="J230" i="15"/>
  <c r="L230" i="15"/>
  <c r="N230" i="15"/>
  <c r="V230" i="15"/>
  <c r="AD230" i="15"/>
  <c r="C231" i="15"/>
  <c r="D231" i="15"/>
  <c r="F231" i="15"/>
  <c r="H231" i="15"/>
  <c r="J231" i="15"/>
  <c r="L231" i="15"/>
  <c r="N231" i="15"/>
  <c r="V231" i="15"/>
  <c r="AD231" i="15"/>
  <c r="C232" i="15"/>
  <c r="D232" i="15"/>
  <c r="F232" i="15"/>
  <c r="H232" i="15"/>
  <c r="J232" i="15"/>
  <c r="L232" i="15"/>
  <c r="N232" i="15"/>
  <c r="V232" i="15"/>
  <c r="AD232" i="15"/>
  <c r="N233" i="15"/>
  <c r="V233" i="15"/>
  <c r="AD233" i="15"/>
  <c r="N234" i="15"/>
  <c r="V234" i="15"/>
  <c r="AD234" i="15"/>
  <c r="C235" i="15"/>
  <c r="D235" i="15"/>
  <c r="F235" i="15"/>
  <c r="H235" i="15"/>
  <c r="J235" i="15"/>
  <c r="L235" i="15"/>
  <c r="N235" i="15"/>
  <c r="V235" i="15"/>
  <c r="AD235" i="15"/>
  <c r="C236" i="15"/>
  <c r="D236" i="15"/>
  <c r="F236" i="15"/>
  <c r="H236" i="15"/>
  <c r="J236" i="15"/>
  <c r="L236" i="15"/>
  <c r="N236" i="15"/>
  <c r="V236" i="15"/>
  <c r="AD236" i="15"/>
  <c r="C237" i="15"/>
  <c r="D237" i="15"/>
  <c r="F237" i="15"/>
  <c r="H237" i="15"/>
  <c r="J237" i="15"/>
  <c r="L237" i="15"/>
  <c r="N237" i="15"/>
  <c r="V237" i="15"/>
  <c r="AD237" i="15"/>
  <c r="N238" i="15"/>
  <c r="V238" i="15"/>
  <c r="AD238" i="15"/>
  <c r="C239" i="15"/>
  <c r="D239" i="15"/>
  <c r="F239" i="15"/>
  <c r="H239" i="15"/>
  <c r="J239" i="15"/>
  <c r="L239" i="15"/>
  <c r="N239" i="15"/>
  <c r="V239" i="15"/>
  <c r="AD239" i="15"/>
  <c r="C240" i="15"/>
  <c r="D240" i="15"/>
  <c r="F240" i="15"/>
  <c r="H240" i="15"/>
  <c r="J240" i="15"/>
  <c r="L240" i="15"/>
  <c r="N240" i="15"/>
  <c r="V240" i="15"/>
  <c r="AD240" i="15"/>
  <c r="H241" i="15"/>
  <c r="L241" i="15"/>
  <c r="N241" i="15"/>
  <c r="V241" i="15"/>
  <c r="AD241" i="15"/>
  <c r="H242" i="15"/>
  <c r="I242" i="15"/>
  <c r="J242" i="15"/>
  <c r="K242" i="15"/>
  <c r="L242" i="15"/>
  <c r="M242" i="15"/>
  <c r="N242" i="15"/>
  <c r="P242" i="15"/>
  <c r="R242" i="15"/>
  <c r="T242" i="15"/>
  <c r="V242" i="15"/>
  <c r="X242" i="15"/>
  <c r="Z242" i="15"/>
  <c r="AB242" i="15"/>
  <c r="AD242" i="15"/>
  <c r="V244" i="15"/>
  <c r="AD244" i="15"/>
  <c r="C245" i="15"/>
  <c r="D245" i="15"/>
  <c r="F245" i="15"/>
  <c r="H245" i="15"/>
  <c r="J245" i="15"/>
  <c r="L245" i="15"/>
  <c r="N245" i="15"/>
  <c r="V245" i="15"/>
  <c r="AD245" i="15"/>
  <c r="C246" i="15"/>
  <c r="D246" i="15"/>
  <c r="F246" i="15"/>
  <c r="H246" i="15"/>
  <c r="J246" i="15"/>
  <c r="L246" i="15"/>
  <c r="N246" i="15"/>
  <c r="V246" i="15"/>
  <c r="AD246" i="15"/>
  <c r="C247" i="15"/>
  <c r="D247" i="15"/>
  <c r="F247" i="15"/>
  <c r="H247" i="15"/>
  <c r="J247" i="15"/>
  <c r="L247" i="15"/>
  <c r="N247" i="15"/>
  <c r="V247" i="15"/>
  <c r="AD247" i="15"/>
  <c r="C248" i="15"/>
  <c r="D248" i="15"/>
  <c r="F248" i="15"/>
  <c r="H248" i="15"/>
  <c r="J248" i="15"/>
  <c r="L248" i="15"/>
  <c r="N248" i="15"/>
  <c r="V248" i="15"/>
  <c r="AD248" i="15"/>
  <c r="C249" i="15"/>
  <c r="D249" i="15"/>
  <c r="F249" i="15"/>
  <c r="H249" i="15"/>
  <c r="J249" i="15"/>
  <c r="L249" i="15"/>
  <c r="N249" i="15"/>
  <c r="V249" i="15"/>
  <c r="AD249" i="15"/>
  <c r="C250" i="15"/>
  <c r="D250" i="15"/>
  <c r="F250" i="15"/>
  <c r="H250" i="15"/>
  <c r="J250" i="15"/>
  <c r="L250" i="15"/>
  <c r="N250" i="15"/>
  <c r="V250" i="15"/>
  <c r="AD250" i="15"/>
  <c r="C251" i="15"/>
  <c r="D251" i="15"/>
  <c r="F251" i="15"/>
  <c r="H251" i="15"/>
  <c r="J251" i="15"/>
  <c r="L251" i="15"/>
  <c r="N251" i="15"/>
  <c r="V251" i="15"/>
  <c r="AD251" i="15"/>
  <c r="C252" i="15"/>
  <c r="D252" i="15"/>
  <c r="F252" i="15"/>
  <c r="H252" i="15"/>
  <c r="J252" i="15"/>
  <c r="L252" i="15"/>
  <c r="N252" i="15"/>
  <c r="V252" i="15"/>
  <c r="AD252" i="15"/>
  <c r="C253" i="15"/>
  <c r="D253" i="15"/>
  <c r="F253" i="15"/>
  <c r="H253" i="15"/>
  <c r="J253" i="15"/>
  <c r="L253" i="15"/>
  <c r="N253" i="15"/>
  <c r="V253" i="15"/>
  <c r="AD253" i="15"/>
  <c r="C254" i="15"/>
  <c r="D254" i="15"/>
  <c r="F254" i="15"/>
  <c r="H254" i="15"/>
  <c r="J254" i="15"/>
  <c r="L254" i="15"/>
  <c r="N254" i="15"/>
  <c r="V254" i="15"/>
  <c r="AD254" i="15"/>
  <c r="C255" i="15"/>
  <c r="D255" i="15"/>
  <c r="F255" i="15"/>
  <c r="H255" i="15"/>
  <c r="J255" i="15"/>
  <c r="L255" i="15"/>
  <c r="N255" i="15"/>
  <c r="V255" i="15"/>
  <c r="AD255" i="15"/>
  <c r="H256" i="15"/>
  <c r="N256" i="15"/>
  <c r="V256" i="15"/>
  <c r="AD256" i="15"/>
  <c r="H257" i="15"/>
  <c r="J257" i="15"/>
  <c r="L257" i="15"/>
  <c r="N257" i="15"/>
  <c r="P257" i="15"/>
  <c r="R257" i="15"/>
  <c r="T257" i="15"/>
  <c r="V257" i="15"/>
  <c r="X257" i="15"/>
  <c r="Z257" i="15"/>
  <c r="AB257" i="15"/>
  <c r="AD257" i="15"/>
  <c r="N259" i="15"/>
  <c r="V259" i="15"/>
  <c r="AD259" i="15"/>
  <c r="H261" i="15"/>
  <c r="J261" i="15"/>
  <c r="L261" i="15"/>
  <c r="N261" i="15"/>
  <c r="P261" i="15"/>
  <c r="R261" i="15"/>
  <c r="T261" i="15"/>
  <c r="V261" i="15"/>
  <c r="X261" i="15"/>
  <c r="Z261" i="15"/>
  <c r="AB261" i="15"/>
  <c r="AD261" i="15"/>
  <c r="N264" i="15"/>
  <c r="V264" i="15"/>
  <c r="AD264" i="15"/>
  <c r="C265" i="15"/>
  <c r="D265" i="15"/>
  <c r="F265" i="15"/>
  <c r="H265" i="15"/>
  <c r="J265" i="15"/>
  <c r="L265" i="15"/>
  <c r="N265" i="15"/>
  <c r="V265" i="15"/>
  <c r="AD265" i="15"/>
  <c r="C266" i="15"/>
  <c r="D266" i="15"/>
  <c r="F266" i="15"/>
  <c r="H266" i="15"/>
  <c r="J266" i="15"/>
  <c r="L266" i="15"/>
  <c r="N266" i="15"/>
  <c r="V266" i="15"/>
  <c r="AD266" i="15"/>
  <c r="C267" i="15"/>
  <c r="D267" i="15"/>
  <c r="F267" i="15"/>
  <c r="H267" i="15"/>
  <c r="J267" i="15"/>
  <c r="L267" i="15"/>
  <c r="N267" i="15"/>
  <c r="V267" i="15"/>
  <c r="AD267" i="15"/>
  <c r="C268" i="15"/>
  <c r="D268" i="15"/>
  <c r="F268" i="15"/>
  <c r="H268" i="15"/>
  <c r="J268" i="15"/>
  <c r="L268" i="15"/>
  <c r="N268" i="15"/>
  <c r="V268" i="15"/>
  <c r="AD268" i="15"/>
  <c r="N269" i="15"/>
  <c r="V269" i="15"/>
  <c r="AD269" i="15"/>
  <c r="C270" i="15"/>
  <c r="D270" i="15"/>
  <c r="F270" i="15"/>
  <c r="H270" i="15"/>
  <c r="J270" i="15"/>
  <c r="L270" i="15"/>
  <c r="N270" i="15"/>
  <c r="V270" i="15"/>
  <c r="AD270" i="15"/>
  <c r="C271" i="15"/>
  <c r="D271" i="15"/>
  <c r="F271" i="15"/>
  <c r="H271" i="15"/>
  <c r="J271" i="15"/>
  <c r="L271" i="15"/>
  <c r="N271" i="15"/>
  <c r="V271" i="15"/>
  <c r="AD271" i="15"/>
  <c r="N272" i="15"/>
  <c r="V272" i="15"/>
  <c r="X272" i="15"/>
  <c r="AD272" i="15"/>
  <c r="C273" i="15"/>
  <c r="D273" i="15"/>
  <c r="F273" i="15"/>
  <c r="H273" i="15"/>
  <c r="J273" i="15"/>
  <c r="L273" i="15"/>
  <c r="N273" i="15"/>
  <c r="V273" i="15"/>
  <c r="AD273" i="15"/>
  <c r="C274" i="15"/>
  <c r="D274" i="15"/>
  <c r="F274" i="15"/>
  <c r="H274" i="15"/>
  <c r="J274" i="15"/>
  <c r="L274" i="15"/>
  <c r="N274" i="15"/>
  <c r="V274" i="15"/>
  <c r="AD274" i="15"/>
  <c r="C275" i="15"/>
  <c r="D275" i="15"/>
  <c r="F275" i="15"/>
  <c r="H275" i="15"/>
  <c r="J275" i="15"/>
  <c r="L275" i="15"/>
  <c r="N275" i="15"/>
  <c r="V275" i="15"/>
  <c r="AD275" i="15"/>
  <c r="C276" i="15"/>
  <c r="D276" i="15"/>
  <c r="F276" i="15"/>
  <c r="H276" i="15"/>
  <c r="J276" i="15"/>
  <c r="L276" i="15"/>
  <c r="N276" i="15"/>
  <c r="V276" i="15"/>
  <c r="AD276" i="15"/>
  <c r="C277" i="15"/>
  <c r="D277" i="15"/>
  <c r="F277" i="15"/>
  <c r="H277" i="15"/>
  <c r="J277" i="15"/>
  <c r="L277" i="15"/>
  <c r="N277" i="15"/>
  <c r="V277" i="15"/>
  <c r="AD277" i="15"/>
  <c r="N278" i="15"/>
  <c r="V278" i="15"/>
  <c r="AD278" i="15"/>
  <c r="L279" i="15"/>
  <c r="N279" i="15"/>
  <c r="V279" i="15"/>
  <c r="AD279" i="15"/>
  <c r="N280" i="15"/>
  <c r="V280" i="15"/>
  <c r="AD280" i="15"/>
  <c r="C281" i="15"/>
  <c r="D281" i="15"/>
  <c r="F281" i="15"/>
  <c r="H281" i="15"/>
  <c r="J281" i="15"/>
  <c r="L281" i="15"/>
  <c r="N281" i="15"/>
  <c r="V281" i="15"/>
  <c r="AD281" i="15"/>
  <c r="C282" i="15"/>
  <c r="D282" i="15"/>
  <c r="F282" i="15"/>
  <c r="H282" i="15"/>
  <c r="J282" i="15"/>
  <c r="L282" i="15"/>
  <c r="N282" i="15"/>
  <c r="V282" i="15"/>
  <c r="AD282" i="15"/>
  <c r="C283" i="15"/>
  <c r="D283" i="15"/>
  <c r="F283" i="15"/>
  <c r="H283" i="15"/>
  <c r="J283" i="15"/>
  <c r="L283" i="15"/>
  <c r="N283" i="15"/>
  <c r="V283" i="15"/>
  <c r="AD283" i="15"/>
  <c r="C284" i="15"/>
  <c r="D284" i="15"/>
  <c r="F284" i="15"/>
  <c r="H284" i="15"/>
  <c r="J284" i="15"/>
  <c r="L284" i="15"/>
  <c r="N284" i="15"/>
  <c r="V284" i="15"/>
  <c r="AD284" i="15"/>
  <c r="C285" i="15"/>
  <c r="D285" i="15"/>
  <c r="F285" i="15"/>
  <c r="H285" i="15"/>
  <c r="J285" i="15"/>
  <c r="L285" i="15"/>
  <c r="N285" i="15"/>
  <c r="V285" i="15"/>
  <c r="AD285" i="15"/>
  <c r="N286" i="15"/>
  <c r="V286" i="15"/>
  <c r="AD286" i="15"/>
  <c r="H288" i="15"/>
  <c r="J288" i="15"/>
  <c r="L288" i="15"/>
  <c r="N288" i="15"/>
  <c r="P288" i="15"/>
  <c r="R288" i="15"/>
  <c r="T288" i="15"/>
  <c r="V288" i="15"/>
  <c r="X288" i="15"/>
  <c r="Z288" i="15"/>
  <c r="AB288" i="15"/>
  <c r="AD288" i="15"/>
  <c r="H290" i="15"/>
  <c r="J290" i="15"/>
  <c r="L290" i="15"/>
  <c r="N290" i="15"/>
  <c r="P290" i="15"/>
  <c r="R290" i="15"/>
  <c r="T290" i="15"/>
  <c r="V290" i="15"/>
  <c r="X290" i="15"/>
  <c r="Z290" i="15"/>
  <c r="AB290" i="15"/>
  <c r="AD290" i="15"/>
  <c r="A292" i="15"/>
  <c r="N293" i="15"/>
  <c r="H300" i="15"/>
  <c r="J300" i="15"/>
  <c r="L300" i="15"/>
  <c r="N300" i="15"/>
  <c r="H301" i="15"/>
  <c r="J301" i="15"/>
  <c r="L301" i="15"/>
  <c r="N301" i="15"/>
  <c r="N304" i="15"/>
  <c r="L305" i="15"/>
  <c r="L306" i="15"/>
  <c r="N307" i="15"/>
  <c r="N308" i="15"/>
  <c r="N310" i="15"/>
  <c r="N5" i="20"/>
  <c r="O5" i="20"/>
  <c r="P5" i="20"/>
  <c r="Q5" i="20"/>
  <c r="R5" i="20"/>
  <c r="T5" i="20"/>
  <c r="U5" i="20"/>
  <c r="V5" i="20"/>
  <c r="W5" i="20"/>
  <c r="X5" i="20"/>
  <c r="Z5" i="20"/>
  <c r="AA5" i="20"/>
  <c r="AB5" i="20"/>
  <c r="AC5" i="20"/>
  <c r="AD5" i="20"/>
  <c r="AE5" i="20"/>
  <c r="AF5" i="20"/>
  <c r="AG5" i="20"/>
  <c r="AH5" i="20"/>
  <c r="AI5" i="20"/>
  <c r="AJ5" i="20"/>
  <c r="AK5" i="20"/>
  <c r="AL5" i="20"/>
  <c r="AM5" i="20"/>
  <c r="AN5" i="20"/>
  <c r="AO5" i="20"/>
  <c r="AP5" i="20"/>
  <c r="AQ5" i="20"/>
  <c r="AR5" i="20"/>
  <c r="AS5" i="20"/>
  <c r="AT5" i="20"/>
  <c r="AU5" i="20"/>
  <c r="AV5" i="20"/>
  <c r="A6" i="20"/>
  <c r="N6" i="20"/>
  <c r="P6" i="20"/>
  <c r="Q6" i="20"/>
  <c r="R6" i="20"/>
  <c r="T6" i="20"/>
  <c r="U6" i="20"/>
  <c r="V6" i="20"/>
  <c r="W6" i="20"/>
  <c r="X6" i="20"/>
  <c r="Z6" i="20"/>
  <c r="AA6" i="20"/>
  <c r="AB6" i="20"/>
  <c r="AC6" i="20"/>
  <c r="AD6" i="20"/>
  <c r="AE6" i="20"/>
  <c r="AF6" i="20"/>
  <c r="AG6" i="20"/>
  <c r="AH6" i="20"/>
  <c r="AI6" i="20"/>
  <c r="AJ6" i="20"/>
  <c r="AK6" i="20"/>
  <c r="AL6" i="20"/>
  <c r="AM6" i="20"/>
  <c r="AN6" i="20"/>
  <c r="AO6" i="20"/>
  <c r="AP6" i="20"/>
  <c r="AQ6" i="20"/>
  <c r="AR6" i="20"/>
  <c r="AS6" i="20"/>
  <c r="AT6" i="20"/>
  <c r="AU6" i="20"/>
  <c r="AV6" i="20"/>
  <c r="N7" i="20"/>
  <c r="O7" i="20"/>
  <c r="P7" i="20"/>
  <c r="Q7" i="20"/>
  <c r="R7" i="20"/>
  <c r="T7" i="20"/>
  <c r="U7" i="20"/>
  <c r="V7" i="20"/>
  <c r="W7" i="20"/>
  <c r="X7" i="20"/>
  <c r="Z7" i="20"/>
  <c r="AA7" i="20"/>
  <c r="AB7" i="20"/>
  <c r="AC7" i="20"/>
  <c r="AD7" i="20"/>
  <c r="AE7" i="20"/>
  <c r="AF7" i="20"/>
  <c r="AG7" i="20"/>
  <c r="AH7" i="20"/>
  <c r="AI7" i="20"/>
  <c r="AJ7" i="20"/>
  <c r="AK7" i="20"/>
  <c r="AL7" i="20"/>
  <c r="AM7" i="20"/>
  <c r="AN7" i="20"/>
  <c r="AO7" i="20"/>
  <c r="AP7" i="20"/>
  <c r="AQ7" i="20"/>
  <c r="AR7" i="20"/>
  <c r="AS7" i="20"/>
  <c r="AT7" i="20"/>
  <c r="AU7" i="20"/>
  <c r="AV7" i="20"/>
  <c r="A10" i="20"/>
  <c r="B10" i="20"/>
  <c r="C10" i="20"/>
  <c r="D10" i="20"/>
  <c r="E10" i="20"/>
  <c r="F10" i="20"/>
  <c r="G10" i="20"/>
  <c r="H10" i="20"/>
  <c r="I10" i="20"/>
  <c r="J10" i="20"/>
  <c r="K10" i="20"/>
  <c r="M10" i="20"/>
  <c r="N10" i="20"/>
  <c r="P10" i="20"/>
  <c r="Q10" i="20"/>
  <c r="R10" i="20"/>
  <c r="S10" i="20"/>
  <c r="T10" i="20"/>
  <c r="U10" i="20"/>
  <c r="V10" i="20"/>
  <c r="W10" i="20"/>
  <c r="X10" i="20"/>
  <c r="Y10" i="20"/>
  <c r="Z10" i="20"/>
  <c r="AA10" i="20"/>
  <c r="AB10" i="20"/>
  <c r="AC10" i="20"/>
  <c r="AD10" i="20"/>
  <c r="AE10" i="20"/>
  <c r="AF10" i="20"/>
  <c r="AG10" i="20"/>
  <c r="AH10" i="20"/>
  <c r="AI10" i="20"/>
  <c r="AJ10" i="20"/>
  <c r="AK10" i="20"/>
  <c r="AL10" i="20"/>
  <c r="AM10" i="20"/>
  <c r="AN10" i="20"/>
  <c r="AO10" i="20"/>
  <c r="AP10" i="20"/>
  <c r="AQ10" i="20"/>
  <c r="AR10" i="20"/>
  <c r="AS10" i="20"/>
  <c r="AT10" i="20"/>
  <c r="AU10" i="20"/>
  <c r="AV10" i="20"/>
  <c r="AX10" i="20"/>
  <c r="AY10" i="20"/>
  <c r="BA10" i="20"/>
  <c r="BB10" i="20"/>
  <c r="BC10" i="20"/>
  <c r="BE10" i="20"/>
  <c r="BG10" i="20"/>
  <c r="BH10" i="20"/>
  <c r="A11" i="20"/>
  <c r="B11" i="20"/>
  <c r="C11" i="20"/>
  <c r="D11" i="20"/>
  <c r="E11" i="20"/>
  <c r="F11" i="20"/>
  <c r="G11" i="20"/>
  <c r="H11" i="20"/>
  <c r="I11" i="20"/>
  <c r="J11" i="20"/>
  <c r="K11" i="20"/>
  <c r="M11" i="20"/>
  <c r="N11" i="20"/>
  <c r="P11" i="20"/>
  <c r="Q11" i="20"/>
  <c r="R11" i="20"/>
  <c r="S11" i="20"/>
  <c r="T11" i="20"/>
  <c r="U11" i="20"/>
  <c r="V11" i="20"/>
  <c r="W11" i="20"/>
  <c r="X11" i="20"/>
  <c r="Y11" i="20"/>
  <c r="Z11" i="20"/>
  <c r="AA11" i="20"/>
  <c r="AB11" i="20"/>
  <c r="AC11" i="20"/>
  <c r="AD11" i="20"/>
  <c r="AE11" i="20"/>
  <c r="AF11" i="20"/>
  <c r="AG11" i="20"/>
  <c r="AH11" i="20"/>
  <c r="AI11" i="20"/>
  <c r="AJ11" i="20"/>
  <c r="AK11" i="20"/>
  <c r="AL11" i="20"/>
  <c r="AM11" i="20"/>
  <c r="AN11" i="20"/>
  <c r="AO11" i="20"/>
  <c r="AP11" i="20"/>
  <c r="AQ11" i="20"/>
  <c r="AR11" i="20"/>
  <c r="AS11" i="20"/>
  <c r="AT11" i="20"/>
  <c r="AU11" i="20"/>
  <c r="AV11" i="20"/>
  <c r="AX11" i="20"/>
  <c r="AY11" i="20"/>
  <c r="BA11" i="20"/>
  <c r="BB11" i="20"/>
  <c r="BC11" i="20"/>
  <c r="BE11" i="20"/>
  <c r="BG11" i="20"/>
  <c r="BH11" i="20"/>
  <c r="A12" i="20"/>
  <c r="B12" i="20"/>
  <c r="C12" i="20"/>
  <c r="D12" i="20"/>
  <c r="E12" i="20"/>
  <c r="F12" i="20"/>
  <c r="G12" i="20"/>
  <c r="H12" i="20"/>
  <c r="I12" i="20"/>
  <c r="J12" i="20"/>
  <c r="K12" i="20"/>
  <c r="M12" i="20"/>
  <c r="N12" i="20"/>
  <c r="P12" i="20"/>
  <c r="Q12" i="20"/>
  <c r="R12" i="20"/>
  <c r="S12" i="20"/>
  <c r="T12" i="20"/>
  <c r="U12" i="20"/>
  <c r="V12" i="20"/>
  <c r="W12" i="20"/>
  <c r="X12" i="20"/>
  <c r="Y12" i="20"/>
  <c r="Z12" i="20"/>
  <c r="AA12" i="20"/>
  <c r="AB12" i="20"/>
  <c r="AC12" i="20"/>
  <c r="AD12" i="20"/>
  <c r="AE12" i="20"/>
  <c r="AF12" i="20"/>
  <c r="AG12" i="20"/>
  <c r="AH12" i="20"/>
  <c r="AI12" i="20"/>
  <c r="AJ12" i="20"/>
  <c r="AK12" i="20"/>
  <c r="AL12" i="20"/>
  <c r="AM12" i="20"/>
  <c r="AN12" i="20"/>
  <c r="AO12" i="20"/>
  <c r="AP12" i="20"/>
  <c r="AQ12" i="20"/>
  <c r="AR12" i="20"/>
  <c r="AS12" i="20"/>
  <c r="AT12" i="20"/>
  <c r="AU12" i="20"/>
  <c r="AV12" i="20"/>
  <c r="AX12" i="20"/>
  <c r="AY12" i="20"/>
  <c r="BA12" i="20"/>
  <c r="BB12" i="20"/>
  <c r="BC12" i="20"/>
  <c r="BE12" i="20"/>
  <c r="BG12" i="20"/>
  <c r="BH12" i="20"/>
  <c r="A13" i="20"/>
  <c r="B13" i="20"/>
  <c r="C13" i="20"/>
  <c r="D13" i="20"/>
  <c r="E13" i="20"/>
  <c r="F13" i="20"/>
  <c r="G13" i="20"/>
  <c r="H13" i="20"/>
  <c r="I13" i="20"/>
  <c r="J13" i="20"/>
  <c r="K13" i="20"/>
  <c r="M13" i="20"/>
  <c r="N13" i="20"/>
  <c r="P13" i="20"/>
  <c r="Q13" i="20"/>
  <c r="R13" i="20"/>
  <c r="S13" i="20"/>
  <c r="T13" i="20"/>
  <c r="U13" i="20"/>
  <c r="V13" i="20"/>
  <c r="W13" i="20"/>
  <c r="X13" i="20"/>
  <c r="Y13" i="20"/>
  <c r="Z13" i="20"/>
  <c r="AA13" i="20"/>
  <c r="AB13" i="20"/>
  <c r="AC13" i="20"/>
  <c r="AD13" i="20"/>
  <c r="AE13" i="20"/>
  <c r="AF13" i="20"/>
  <c r="AG13" i="20"/>
  <c r="AH13" i="20"/>
  <c r="AI13" i="20"/>
  <c r="AJ13" i="20"/>
  <c r="AK13" i="20"/>
  <c r="AL13" i="20"/>
  <c r="AM13" i="20"/>
  <c r="AN13" i="20"/>
  <c r="AO13" i="20"/>
  <c r="AP13" i="20"/>
  <c r="AQ13" i="20"/>
  <c r="AR13" i="20"/>
  <c r="AS13" i="20"/>
  <c r="AT13" i="20"/>
  <c r="AU13" i="20"/>
  <c r="AV13" i="20"/>
  <c r="AX13" i="20"/>
  <c r="AY13" i="20"/>
  <c r="BA13" i="20"/>
  <c r="BB13" i="20"/>
  <c r="BC13" i="20"/>
  <c r="BE13" i="20"/>
  <c r="BG13" i="20"/>
  <c r="BH13" i="20"/>
  <c r="A14" i="20"/>
  <c r="B14" i="20"/>
  <c r="C14" i="20"/>
  <c r="D14" i="20"/>
  <c r="E14" i="20"/>
  <c r="F14" i="20"/>
  <c r="G14" i="20"/>
  <c r="H14" i="20"/>
  <c r="I14" i="20"/>
  <c r="J14" i="20"/>
  <c r="K14" i="20"/>
  <c r="M14" i="20"/>
  <c r="N14" i="20"/>
  <c r="P14" i="20"/>
  <c r="Q14" i="20"/>
  <c r="R14" i="20"/>
  <c r="S14" i="20"/>
  <c r="T14" i="20"/>
  <c r="U14" i="20"/>
  <c r="V14" i="20"/>
  <c r="W14" i="20"/>
  <c r="X14" i="20"/>
  <c r="Y14" i="20"/>
  <c r="Z14" i="20"/>
  <c r="AA14" i="20"/>
  <c r="AB14" i="20"/>
  <c r="AC14" i="20"/>
  <c r="AD14" i="20"/>
  <c r="AE14" i="20"/>
  <c r="AF14" i="20"/>
  <c r="AG14" i="20"/>
  <c r="AH14" i="20"/>
  <c r="AI14" i="20"/>
  <c r="AJ14" i="20"/>
  <c r="AK14" i="20"/>
  <c r="AL14" i="20"/>
  <c r="AM14" i="20"/>
  <c r="AN14" i="20"/>
  <c r="AO14" i="20"/>
  <c r="AP14" i="20"/>
  <c r="AQ14" i="20"/>
  <c r="AR14" i="20"/>
  <c r="AS14" i="20"/>
  <c r="AT14" i="20"/>
  <c r="AU14" i="20"/>
  <c r="AV14" i="20"/>
  <c r="AX14" i="20"/>
  <c r="AY14" i="20"/>
  <c r="BA14" i="20"/>
  <c r="BB14" i="20"/>
  <c r="BC14" i="20"/>
  <c r="BE14" i="20"/>
  <c r="BG14" i="20"/>
  <c r="BH14" i="20"/>
  <c r="A15" i="20"/>
  <c r="B15" i="20"/>
  <c r="C15" i="20"/>
  <c r="D15" i="20"/>
  <c r="E15" i="20"/>
  <c r="F15" i="20"/>
  <c r="G15" i="20"/>
  <c r="H15" i="20"/>
  <c r="I15" i="20"/>
  <c r="J15" i="20"/>
  <c r="K15" i="20"/>
  <c r="M15" i="20"/>
  <c r="N15" i="20"/>
  <c r="P15" i="20"/>
  <c r="Q15" i="20"/>
  <c r="R15" i="20"/>
  <c r="S15" i="20"/>
  <c r="T15" i="20"/>
  <c r="U15" i="20"/>
  <c r="V15" i="20"/>
  <c r="W15" i="20"/>
  <c r="X15" i="20"/>
  <c r="Y15" i="20"/>
  <c r="Z15" i="20"/>
  <c r="AA15" i="20"/>
  <c r="AB15" i="20"/>
  <c r="AC15" i="20"/>
  <c r="AD15" i="20"/>
  <c r="AE15" i="20"/>
  <c r="AF15" i="20"/>
  <c r="AG15" i="20"/>
  <c r="AH15" i="20"/>
  <c r="AI15" i="20"/>
  <c r="AJ15" i="20"/>
  <c r="AK15" i="20"/>
  <c r="AL15" i="20"/>
  <c r="AM15" i="20"/>
  <c r="AN15" i="20"/>
  <c r="AO15" i="20"/>
  <c r="AP15" i="20"/>
  <c r="AQ15" i="20"/>
  <c r="AR15" i="20"/>
  <c r="AS15" i="20"/>
  <c r="AT15" i="20"/>
  <c r="AU15" i="20"/>
  <c r="AV15" i="20"/>
  <c r="AX15" i="20"/>
  <c r="AY15" i="20"/>
  <c r="BA15" i="20"/>
  <c r="BB15" i="20"/>
  <c r="BC15" i="20"/>
  <c r="BE15" i="20"/>
  <c r="BG15" i="20"/>
  <c r="BH15" i="20"/>
  <c r="A16" i="20"/>
  <c r="B16" i="20"/>
  <c r="C16" i="20"/>
  <c r="D16" i="20"/>
  <c r="E16" i="20"/>
  <c r="F16" i="20"/>
  <c r="G16" i="20"/>
  <c r="H16" i="20"/>
  <c r="I16" i="20"/>
  <c r="J16" i="20"/>
  <c r="K16" i="20"/>
  <c r="M16" i="20"/>
  <c r="N16" i="20"/>
  <c r="P16" i="20"/>
  <c r="Q16" i="20"/>
  <c r="R16" i="20"/>
  <c r="S16" i="20"/>
  <c r="T16" i="20"/>
  <c r="U16" i="20"/>
  <c r="V16" i="20"/>
  <c r="W16" i="20"/>
  <c r="X16" i="20"/>
  <c r="Y16" i="20"/>
  <c r="Z16" i="20"/>
  <c r="AA16" i="20"/>
  <c r="AB16" i="20"/>
  <c r="AC16" i="20"/>
  <c r="AD16" i="20"/>
  <c r="AE16" i="20"/>
  <c r="AF16" i="20"/>
  <c r="AG16" i="20"/>
  <c r="AH16" i="20"/>
  <c r="AI16" i="20"/>
  <c r="AJ16" i="20"/>
  <c r="AK16" i="20"/>
  <c r="AL16" i="20"/>
  <c r="AM16" i="20"/>
  <c r="AN16" i="20"/>
  <c r="AO16" i="20"/>
  <c r="AP16" i="20"/>
  <c r="AQ16" i="20"/>
  <c r="AR16" i="20"/>
  <c r="AS16" i="20"/>
  <c r="AT16" i="20"/>
  <c r="AU16" i="20"/>
  <c r="AV16" i="20"/>
  <c r="AX16" i="20"/>
  <c r="AY16" i="20"/>
  <c r="BA16" i="20"/>
  <c r="BB16" i="20"/>
  <c r="BC16" i="20"/>
  <c r="BE16" i="20"/>
  <c r="BG16" i="20"/>
  <c r="BH16" i="20"/>
  <c r="B17" i="20"/>
  <c r="C17" i="20"/>
  <c r="D17" i="20"/>
  <c r="E17" i="20"/>
  <c r="F17" i="20"/>
  <c r="G17" i="20"/>
  <c r="H17" i="20"/>
  <c r="I17" i="20"/>
  <c r="J17" i="20"/>
  <c r="K17" i="20"/>
  <c r="M17" i="20"/>
  <c r="N17" i="20"/>
  <c r="P17" i="20"/>
  <c r="Q17" i="20"/>
  <c r="R17" i="20"/>
  <c r="S17" i="20"/>
  <c r="T17" i="20"/>
  <c r="U17" i="20"/>
  <c r="V17" i="20"/>
  <c r="W17" i="20"/>
  <c r="X17" i="20"/>
  <c r="Y17" i="20"/>
  <c r="Z17" i="20"/>
  <c r="AA17" i="20"/>
  <c r="AB17" i="20"/>
  <c r="AC17" i="20"/>
  <c r="AD17" i="20"/>
  <c r="AE17" i="20"/>
  <c r="AF17" i="20"/>
  <c r="AG17" i="20"/>
  <c r="AH17" i="20"/>
  <c r="AI17" i="20"/>
  <c r="AJ17" i="20"/>
  <c r="AK17" i="20"/>
  <c r="AL17" i="20"/>
  <c r="AM17" i="20"/>
  <c r="AN17" i="20"/>
  <c r="AO17" i="20"/>
  <c r="AP17" i="20"/>
  <c r="AQ17" i="20"/>
  <c r="AR17" i="20"/>
  <c r="AS17" i="20"/>
  <c r="AT17" i="20"/>
  <c r="AU17" i="20"/>
  <c r="AV17" i="20"/>
  <c r="AX17" i="20"/>
  <c r="AY17" i="20"/>
  <c r="BA17" i="20"/>
  <c r="BB17" i="20"/>
  <c r="BC17" i="20"/>
  <c r="BE17" i="20"/>
  <c r="BG17" i="20"/>
  <c r="BH17" i="20"/>
  <c r="A18" i="20"/>
  <c r="B18" i="20"/>
  <c r="C18" i="20"/>
  <c r="D18" i="20"/>
  <c r="E18" i="20"/>
  <c r="F18" i="20"/>
  <c r="G18" i="20"/>
  <c r="H18" i="20"/>
  <c r="I18" i="20"/>
  <c r="J18" i="20"/>
  <c r="K18" i="20"/>
  <c r="M18" i="20"/>
  <c r="N18" i="20"/>
  <c r="P18" i="20"/>
  <c r="Q18" i="20"/>
  <c r="R18" i="20"/>
  <c r="S18" i="20"/>
  <c r="T18" i="20"/>
  <c r="U18" i="20"/>
  <c r="V18" i="20"/>
  <c r="W18" i="20"/>
  <c r="X18" i="20"/>
  <c r="Y18" i="20"/>
  <c r="Z18" i="20"/>
  <c r="AA18" i="20"/>
  <c r="AB18" i="20"/>
  <c r="AC18" i="20"/>
  <c r="AD18" i="20"/>
  <c r="AE18" i="20"/>
  <c r="AF18" i="20"/>
  <c r="AG18" i="20"/>
  <c r="AH18" i="20"/>
  <c r="AI18" i="20"/>
  <c r="AJ18" i="20"/>
  <c r="AK18" i="20"/>
  <c r="AL18" i="20"/>
  <c r="AM18" i="20"/>
  <c r="AN18" i="20"/>
  <c r="AO18" i="20"/>
  <c r="AP18" i="20"/>
  <c r="AQ18" i="20"/>
  <c r="AR18" i="20"/>
  <c r="AS18" i="20"/>
  <c r="AT18" i="20"/>
  <c r="AU18" i="20"/>
  <c r="AV18" i="20"/>
  <c r="AX18" i="20"/>
  <c r="AY18" i="20"/>
  <c r="BA18" i="20"/>
  <c r="BB18" i="20"/>
  <c r="BC18" i="20"/>
  <c r="BE18" i="20"/>
  <c r="BG18" i="20"/>
  <c r="BH18" i="20"/>
  <c r="B19" i="20"/>
  <c r="C19" i="20"/>
  <c r="D19" i="20"/>
  <c r="E19" i="20"/>
  <c r="F19" i="20"/>
  <c r="G19" i="20"/>
  <c r="H19" i="20"/>
  <c r="I19" i="20"/>
  <c r="J19" i="20"/>
  <c r="K19" i="20"/>
  <c r="N19" i="20"/>
  <c r="AX19" i="20"/>
  <c r="AY19" i="20"/>
  <c r="BA19" i="20"/>
  <c r="BB19" i="20"/>
  <c r="BC19" i="20"/>
  <c r="BE19" i="20"/>
  <c r="BG19" i="20"/>
  <c r="BH19" i="20"/>
  <c r="A20" i="20"/>
  <c r="B20" i="20"/>
  <c r="C20" i="20"/>
  <c r="D20" i="20"/>
  <c r="E20" i="20"/>
  <c r="F20" i="20"/>
  <c r="G20" i="20"/>
  <c r="H20" i="20"/>
  <c r="I20" i="20"/>
  <c r="J20" i="20"/>
  <c r="K20" i="20"/>
  <c r="M20" i="20"/>
  <c r="N20" i="20"/>
  <c r="P20" i="20"/>
  <c r="Q20" i="20"/>
  <c r="R20" i="20"/>
  <c r="S20" i="20"/>
  <c r="T20" i="20"/>
  <c r="U20" i="20"/>
  <c r="V20" i="20"/>
  <c r="W20" i="20"/>
  <c r="X20" i="20"/>
  <c r="Y20" i="20"/>
  <c r="Z20" i="20"/>
  <c r="AA20" i="20"/>
  <c r="AB20" i="20"/>
  <c r="AC20" i="20"/>
  <c r="AD20" i="20"/>
  <c r="AE20" i="20"/>
  <c r="AF20" i="20"/>
  <c r="AG20" i="20"/>
  <c r="AH20" i="20"/>
  <c r="AI20" i="20"/>
  <c r="AJ20" i="20"/>
  <c r="AK20" i="20"/>
  <c r="AL20" i="20"/>
  <c r="AM20" i="20"/>
  <c r="AN20" i="20"/>
  <c r="AO20" i="20"/>
  <c r="AP20" i="20"/>
  <c r="AQ20" i="20"/>
  <c r="AR20" i="20"/>
  <c r="AS20" i="20"/>
  <c r="AT20" i="20"/>
  <c r="AU20" i="20"/>
  <c r="AV20" i="20"/>
  <c r="AX20" i="20"/>
  <c r="AY20" i="20"/>
  <c r="BA20" i="20"/>
  <c r="BB20" i="20"/>
  <c r="BC20" i="20"/>
  <c r="BE20" i="20"/>
  <c r="BG20" i="20"/>
  <c r="BH20" i="20"/>
  <c r="E22" i="20"/>
  <c r="F22" i="20"/>
  <c r="G22" i="20"/>
  <c r="H22" i="20"/>
  <c r="I22" i="20"/>
  <c r="J22" i="20"/>
  <c r="K22" i="20"/>
  <c r="N22" i="20"/>
  <c r="O22" i="20"/>
  <c r="P22" i="20"/>
  <c r="Q22" i="20"/>
  <c r="R22" i="20"/>
  <c r="S22" i="20"/>
  <c r="T22" i="20"/>
  <c r="U22" i="20"/>
  <c r="V22" i="20"/>
  <c r="W22" i="20"/>
  <c r="X22" i="20"/>
  <c r="Y22" i="20"/>
  <c r="Z22" i="20"/>
  <c r="AA22" i="20"/>
  <c r="AB22" i="20"/>
  <c r="AC22" i="20"/>
  <c r="AD22" i="20"/>
  <c r="AE22" i="20"/>
  <c r="AF22" i="20"/>
  <c r="AG22" i="20"/>
  <c r="AH22" i="20"/>
  <c r="AI22" i="20"/>
  <c r="AJ22" i="20"/>
  <c r="AK22" i="20"/>
  <c r="AL22" i="20"/>
  <c r="AM22" i="20"/>
  <c r="AN22" i="20"/>
  <c r="AO22" i="20"/>
  <c r="AP22" i="20"/>
  <c r="AQ22" i="20"/>
  <c r="AR22" i="20"/>
  <c r="AS22" i="20"/>
  <c r="AT22" i="20"/>
  <c r="AU22" i="20"/>
  <c r="AV22" i="20"/>
  <c r="AX22" i="20"/>
  <c r="AY22" i="20"/>
  <c r="BA22" i="20"/>
  <c r="BB22" i="20"/>
  <c r="BC22" i="20"/>
  <c r="BE22" i="20"/>
  <c r="BG22" i="20"/>
  <c r="BH22" i="20"/>
  <c r="A25" i="20"/>
  <c r="B25" i="20"/>
  <c r="C25" i="20"/>
  <c r="D25" i="20"/>
  <c r="E25" i="20"/>
  <c r="F25" i="20"/>
  <c r="G25" i="20"/>
  <c r="H25" i="20"/>
  <c r="I25" i="20"/>
  <c r="J25" i="20"/>
  <c r="K25" i="20"/>
  <c r="M25" i="20"/>
  <c r="N25" i="20"/>
  <c r="P25" i="20"/>
  <c r="Q25" i="20"/>
  <c r="R25" i="20"/>
  <c r="S25" i="20"/>
  <c r="T25" i="20"/>
  <c r="U25" i="20"/>
  <c r="V25" i="20"/>
  <c r="W25" i="20"/>
  <c r="X25" i="20"/>
  <c r="Y25" i="20"/>
  <c r="Z25" i="20"/>
  <c r="AA25" i="20"/>
  <c r="AB25" i="20"/>
  <c r="AC25" i="20"/>
  <c r="AD25" i="20"/>
  <c r="AE25" i="20"/>
  <c r="AF25" i="20"/>
  <c r="AG25" i="20"/>
  <c r="AH25" i="20"/>
  <c r="AI25" i="20"/>
  <c r="AJ25" i="20"/>
  <c r="AK25" i="20"/>
  <c r="AL25" i="20"/>
  <c r="AM25" i="20"/>
  <c r="AN25" i="20"/>
  <c r="AO25" i="20"/>
  <c r="AP25" i="20"/>
  <c r="AQ25" i="20"/>
  <c r="AR25" i="20"/>
  <c r="AS25" i="20"/>
  <c r="AT25" i="20"/>
  <c r="AU25" i="20"/>
  <c r="AV25" i="20"/>
  <c r="AX25" i="20"/>
  <c r="AY25" i="20"/>
  <c r="BA25" i="20"/>
  <c r="BB25" i="20"/>
  <c r="BC25" i="20"/>
  <c r="BE25" i="20"/>
  <c r="BG25" i="20"/>
  <c r="BH25" i="20"/>
  <c r="A26" i="20"/>
  <c r="B26" i="20"/>
  <c r="C26" i="20"/>
  <c r="D26" i="20"/>
  <c r="E26" i="20"/>
  <c r="F26" i="20"/>
  <c r="G26" i="20"/>
  <c r="H26" i="20"/>
  <c r="I26" i="20"/>
  <c r="J26" i="20"/>
  <c r="K26" i="20"/>
  <c r="M26" i="20"/>
  <c r="N26" i="20"/>
  <c r="P26" i="20"/>
  <c r="Q26" i="20"/>
  <c r="R26" i="20"/>
  <c r="S26" i="20"/>
  <c r="T26" i="20"/>
  <c r="U26" i="20"/>
  <c r="V26" i="20"/>
  <c r="W26" i="20"/>
  <c r="X26" i="20"/>
  <c r="Y26" i="20"/>
  <c r="Z26" i="20"/>
  <c r="AA26" i="20"/>
  <c r="AB26" i="20"/>
  <c r="AC26" i="20"/>
  <c r="AD26" i="20"/>
  <c r="AE26" i="20"/>
  <c r="AF26" i="20"/>
  <c r="AG26" i="20"/>
  <c r="AH26" i="20"/>
  <c r="AI26" i="20"/>
  <c r="AJ26" i="20"/>
  <c r="AK26" i="20"/>
  <c r="AL26" i="20"/>
  <c r="AM26" i="20"/>
  <c r="AN26" i="20"/>
  <c r="AO26" i="20"/>
  <c r="AP26" i="20"/>
  <c r="AQ26" i="20"/>
  <c r="AR26" i="20"/>
  <c r="AS26" i="20"/>
  <c r="AT26" i="20"/>
  <c r="AU26" i="20"/>
  <c r="AV26" i="20"/>
  <c r="AX26" i="20"/>
  <c r="AY26" i="20"/>
  <c r="BA26" i="20"/>
  <c r="BB26" i="20"/>
  <c r="BC26" i="20"/>
  <c r="BE26" i="20"/>
  <c r="BG26" i="20"/>
  <c r="BH26" i="20"/>
  <c r="A27" i="20"/>
  <c r="B27" i="20"/>
  <c r="C27" i="20"/>
  <c r="D27" i="20"/>
  <c r="E27" i="20"/>
  <c r="F27" i="20"/>
  <c r="G27" i="20"/>
  <c r="H27" i="20"/>
  <c r="I27" i="20"/>
  <c r="J27" i="20"/>
  <c r="K27" i="20"/>
  <c r="M27" i="20"/>
  <c r="N27" i="20"/>
  <c r="P27" i="20"/>
  <c r="Q27" i="20"/>
  <c r="R27" i="20"/>
  <c r="S27" i="20"/>
  <c r="T27" i="20"/>
  <c r="U27" i="20"/>
  <c r="V27" i="20"/>
  <c r="W27" i="20"/>
  <c r="X27" i="20"/>
  <c r="Y27" i="20"/>
  <c r="Z27" i="20"/>
  <c r="AA27" i="20"/>
  <c r="AB27" i="20"/>
  <c r="AC27" i="20"/>
  <c r="AD27" i="20"/>
  <c r="AE27" i="20"/>
  <c r="AF27" i="20"/>
  <c r="AG27" i="20"/>
  <c r="AH27" i="20"/>
  <c r="AI27" i="20"/>
  <c r="AJ27" i="20"/>
  <c r="AK27" i="20"/>
  <c r="AL27" i="20"/>
  <c r="AM27" i="20"/>
  <c r="AN27" i="20"/>
  <c r="AO27" i="20"/>
  <c r="AP27" i="20"/>
  <c r="AQ27" i="20"/>
  <c r="AR27" i="20"/>
  <c r="AS27" i="20"/>
  <c r="AT27" i="20"/>
  <c r="AU27" i="20"/>
  <c r="AV27" i="20"/>
  <c r="AX27" i="20"/>
  <c r="AY27" i="20"/>
  <c r="BA27" i="20"/>
  <c r="BB27" i="20"/>
  <c r="BC27" i="20"/>
  <c r="BE27" i="20"/>
  <c r="BG27" i="20"/>
  <c r="BH27" i="20"/>
  <c r="A28" i="20"/>
  <c r="B28" i="20"/>
  <c r="C28" i="20"/>
  <c r="D28" i="20"/>
  <c r="E28" i="20"/>
  <c r="F28" i="20"/>
  <c r="G28" i="20"/>
  <c r="H28" i="20"/>
  <c r="I28" i="20"/>
  <c r="J28" i="20"/>
  <c r="K28" i="20"/>
  <c r="M28" i="20"/>
  <c r="N28" i="20"/>
  <c r="P28" i="20"/>
  <c r="Q28" i="20"/>
  <c r="R28" i="20"/>
  <c r="S28" i="20"/>
  <c r="T28" i="20"/>
  <c r="U28" i="20"/>
  <c r="V28" i="20"/>
  <c r="W28" i="20"/>
  <c r="X28" i="20"/>
  <c r="Y28" i="20"/>
  <c r="Z28" i="20"/>
  <c r="AA28" i="20"/>
  <c r="AB28" i="20"/>
  <c r="AC28" i="20"/>
  <c r="AD28" i="20"/>
  <c r="AE28" i="20"/>
  <c r="AF28" i="20"/>
  <c r="AG28" i="20"/>
  <c r="AH28" i="20"/>
  <c r="AI28" i="20"/>
  <c r="AJ28" i="20"/>
  <c r="AK28" i="20"/>
  <c r="AL28" i="20"/>
  <c r="AM28" i="20"/>
  <c r="AN28" i="20"/>
  <c r="AO28" i="20"/>
  <c r="AP28" i="20"/>
  <c r="AQ28" i="20"/>
  <c r="AR28" i="20"/>
  <c r="AS28" i="20"/>
  <c r="AT28" i="20"/>
  <c r="AU28" i="20"/>
  <c r="AV28" i="20"/>
  <c r="AX28" i="20"/>
  <c r="AY28" i="20"/>
  <c r="BA28" i="20"/>
  <c r="BB28" i="20"/>
  <c r="BC28" i="20"/>
  <c r="BE28" i="20"/>
  <c r="BG28" i="20"/>
  <c r="BH28" i="20"/>
  <c r="A29" i="20"/>
  <c r="B29" i="20"/>
  <c r="C29" i="20"/>
  <c r="D29" i="20"/>
  <c r="E29" i="20"/>
  <c r="F29" i="20"/>
  <c r="G29" i="20"/>
  <c r="H29" i="20"/>
  <c r="I29" i="20"/>
  <c r="J29" i="20"/>
  <c r="K29" i="20"/>
  <c r="M29" i="20"/>
  <c r="N29" i="20"/>
  <c r="P29" i="20"/>
  <c r="Q29" i="20"/>
  <c r="R29" i="20"/>
  <c r="S29" i="20"/>
  <c r="T29" i="20"/>
  <c r="U29" i="20"/>
  <c r="V29" i="20"/>
  <c r="W29" i="20"/>
  <c r="X29" i="20"/>
  <c r="Y29" i="20"/>
  <c r="Z29" i="20"/>
  <c r="AA29" i="20"/>
  <c r="AB29" i="20"/>
  <c r="AC29" i="20"/>
  <c r="AD29" i="20"/>
  <c r="AE29" i="20"/>
  <c r="AF29" i="20"/>
  <c r="AG29" i="20"/>
  <c r="AH29" i="20"/>
  <c r="AI29" i="20"/>
  <c r="AJ29" i="20"/>
  <c r="AK29" i="20"/>
  <c r="AL29" i="20"/>
  <c r="AM29" i="20"/>
  <c r="AN29" i="20"/>
  <c r="AO29" i="20"/>
  <c r="AP29" i="20"/>
  <c r="AQ29" i="20"/>
  <c r="AR29" i="20"/>
  <c r="AS29" i="20"/>
  <c r="AT29" i="20"/>
  <c r="AU29" i="20"/>
  <c r="AV29" i="20"/>
  <c r="AX29" i="20"/>
  <c r="AY29" i="20"/>
  <c r="BA29" i="20"/>
  <c r="BB29" i="20"/>
  <c r="BC29" i="20"/>
  <c r="BE29" i="20"/>
  <c r="BG29" i="20"/>
  <c r="BH29" i="20"/>
  <c r="A30" i="20"/>
  <c r="B30" i="20"/>
  <c r="C30" i="20"/>
  <c r="D30" i="20"/>
  <c r="E30" i="20"/>
  <c r="F30" i="20"/>
  <c r="G30" i="20"/>
  <c r="H30" i="20"/>
  <c r="I30" i="20"/>
  <c r="J30" i="20"/>
  <c r="K30" i="20"/>
  <c r="M30" i="20"/>
  <c r="N30" i="20"/>
  <c r="P30" i="20"/>
  <c r="Q30" i="20"/>
  <c r="R30" i="20"/>
  <c r="S30" i="20"/>
  <c r="T30" i="20"/>
  <c r="U30" i="20"/>
  <c r="V30" i="20"/>
  <c r="W30" i="20"/>
  <c r="X30" i="20"/>
  <c r="Y30" i="20"/>
  <c r="Z30" i="20"/>
  <c r="AA30" i="20"/>
  <c r="AB30" i="20"/>
  <c r="AC30" i="20"/>
  <c r="AD30" i="20"/>
  <c r="AE30" i="20"/>
  <c r="AF30" i="20"/>
  <c r="AG30" i="20"/>
  <c r="AH30" i="20"/>
  <c r="AI30" i="20"/>
  <c r="AJ30" i="20"/>
  <c r="AK30" i="20"/>
  <c r="AL30" i="20"/>
  <c r="AM30" i="20"/>
  <c r="AN30" i="20"/>
  <c r="AO30" i="20"/>
  <c r="AP30" i="20"/>
  <c r="AQ30" i="20"/>
  <c r="AR30" i="20"/>
  <c r="AS30" i="20"/>
  <c r="AT30" i="20"/>
  <c r="AU30" i="20"/>
  <c r="AV30" i="20"/>
  <c r="AX30" i="20"/>
  <c r="AY30" i="20"/>
  <c r="BA30" i="20"/>
  <c r="BB30" i="20"/>
  <c r="BC30" i="20"/>
  <c r="BE30" i="20"/>
  <c r="BG30" i="20"/>
  <c r="BH30" i="20"/>
  <c r="A31" i="20"/>
  <c r="B31" i="20"/>
  <c r="C31" i="20"/>
  <c r="D31" i="20"/>
  <c r="E31" i="20"/>
  <c r="F31" i="20"/>
  <c r="G31" i="20"/>
  <c r="H31" i="20"/>
  <c r="I31" i="20"/>
  <c r="J31" i="20"/>
  <c r="K31" i="20"/>
  <c r="M31" i="20"/>
  <c r="N31" i="20"/>
  <c r="P31" i="20"/>
  <c r="Q31" i="20"/>
  <c r="R31" i="20"/>
  <c r="S31" i="20"/>
  <c r="T31" i="20"/>
  <c r="U31" i="20"/>
  <c r="V31" i="20"/>
  <c r="W31" i="20"/>
  <c r="X31" i="20"/>
  <c r="Y31" i="20"/>
  <c r="Z31" i="20"/>
  <c r="AA31" i="20"/>
  <c r="AB31" i="20"/>
  <c r="AC31" i="20"/>
  <c r="AD31" i="20"/>
  <c r="AE31" i="20"/>
  <c r="AF31" i="20"/>
  <c r="AG31" i="20"/>
  <c r="AH31" i="20"/>
  <c r="AI31" i="20"/>
  <c r="AJ31" i="20"/>
  <c r="AK31" i="20"/>
  <c r="AL31" i="20"/>
  <c r="AM31" i="20"/>
  <c r="AN31" i="20"/>
  <c r="AO31" i="20"/>
  <c r="AP31" i="20"/>
  <c r="AQ31" i="20"/>
  <c r="AR31" i="20"/>
  <c r="AS31" i="20"/>
  <c r="AT31" i="20"/>
  <c r="AU31" i="20"/>
  <c r="AV31" i="20"/>
  <c r="AX31" i="20"/>
  <c r="AY31" i="20"/>
  <c r="BA31" i="20"/>
  <c r="BB31" i="20"/>
  <c r="BC31" i="20"/>
  <c r="BE31" i="20"/>
  <c r="BG31" i="20"/>
  <c r="BH31" i="20"/>
  <c r="A32" i="20"/>
  <c r="B32" i="20"/>
  <c r="C32" i="20"/>
  <c r="D32" i="20"/>
  <c r="E32" i="20"/>
  <c r="F32" i="20"/>
  <c r="G32" i="20"/>
  <c r="H32" i="20"/>
  <c r="I32" i="20"/>
  <c r="J32" i="20"/>
  <c r="K32" i="20"/>
  <c r="M32" i="20"/>
  <c r="N32" i="20"/>
  <c r="P32" i="20"/>
  <c r="Q32" i="20"/>
  <c r="R32" i="20"/>
  <c r="S32" i="20"/>
  <c r="T32" i="20"/>
  <c r="U32" i="20"/>
  <c r="V32" i="20"/>
  <c r="W32" i="20"/>
  <c r="X32" i="20"/>
  <c r="Y32" i="20"/>
  <c r="Z32" i="20"/>
  <c r="AA32" i="20"/>
  <c r="AB32" i="20"/>
  <c r="AC32" i="20"/>
  <c r="AD32" i="20"/>
  <c r="AE32" i="20"/>
  <c r="AF32" i="20"/>
  <c r="AG32" i="20"/>
  <c r="AH32" i="20"/>
  <c r="AI32" i="20"/>
  <c r="AJ32" i="20"/>
  <c r="AK32" i="20"/>
  <c r="AL32" i="20"/>
  <c r="AM32" i="20"/>
  <c r="AN32" i="20"/>
  <c r="AO32" i="20"/>
  <c r="AP32" i="20"/>
  <c r="AQ32" i="20"/>
  <c r="AR32" i="20"/>
  <c r="AS32" i="20"/>
  <c r="AT32" i="20"/>
  <c r="AU32" i="20"/>
  <c r="AV32" i="20"/>
  <c r="AX32" i="20"/>
  <c r="AY32" i="20"/>
  <c r="BA32" i="20"/>
  <c r="BB32" i="20"/>
  <c r="BC32" i="20"/>
  <c r="BE32" i="20"/>
  <c r="BG32" i="20"/>
  <c r="BH32" i="20"/>
  <c r="E34" i="20"/>
  <c r="F34" i="20"/>
  <c r="G34" i="20"/>
  <c r="H34" i="20"/>
  <c r="I34" i="20"/>
  <c r="J34" i="20"/>
  <c r="K34" i="20"/>
  <c r="N34" i="20"/>
  <c r="O34" i="20"/>
  <c r="P34" i="20"/>
  <c r="Q34" i="20"/>
  <c r="R34" i="20"/>
  <c r="S34" i="20"/>
  <c r="T34" i="20"/>
  <c r="U34" i="20"/>
  <c r="V34" i="20"/>
  <c r="W34" i="20"/>
  <c r="X34" i="20"/>
  <c r="Y34" i="20"/>
  <c r="Z34" i="20"/>
  <c r="AA34" i="20"/>
  <c r="AB34" i="20"/>
  <c r="AC34" i="20"/>
  <c r="AD34" i="20"/>
  <c r="AE34" i="20"/>
  <c r="AF34" i="20"/>
  <c r="AG34" i="20"/>
  <c r="AH34" i="20"/>
  <c r="AI34" i="20"/>
  <c r="AJ34" i="20"/>
  <c r="AK34" i="20"/>
  <c r="AL34" i="20"/>
  <c r="AM34" i="20"/>
  <c r="AN34" i="20"/>
  <c r="AO34" i="20"/>
  <c r="AP34" i="20"/>
  <c r="AQ34" i="20"/>
  <c r="AR34" i="20"/>
  <c r="AS34" i="20"/>
  <c r="AT34" i="20"/>
  <c r="AU34" i="20"/>
  <c r="AV34" i="20"/>
  <c r="AX34" i="20"/>
  <c r="AY34" i="20"/>
  <c r="BA34" i="20"/>
  <c r="BB34" i="20"/>
  <c r="BC34" i="20"/>
  <c r="BE34" i="20"/>
  <c r="BG34" i="20"/>
  <c r="BH34" i="20"/>
  <c r="A37" i="20"/>
  <c r="B37" i="20"/>
  <c r="C37" i="20"/>
  <c r="D37" i="20"/>
  <c r="E37" i="20"/>
  <c r="F37" i="20"/>
  <c r="G37" i="20"/>
  <c r="H37" i="20"/>
  <c r="I37" i="20"/>
  <c r="J37" i="20"/>
  <c r="K37" i="20"/>
  <c r="M37" i="20"/>
  <c r="N37" i="20"/>
  <c r="P37" i="20"/>
  <c r="Q37" i="20"/>
  <c r="R37" i="20"/>
  <c r="S37" i="20"/>
  <c r="T37" i="20"/>
  <c r="U37" i="20"/>
  <c r="V37" i="20"/>
  <c r="W37" i="20"/>
  <c r="X37" i="20"/>
  <c r="Y37" i="20"/>
  <c r="Z37" i="20"/>
  <c r="AA37" i="20"/>
  <c r="AB37" i="20"/>
  <c r="AC37" i="20"/>
  <c r="AD37" i="20"/>
  <c r="AE37" i="20"/>
  <c r="AF37" i="20"/>
  <c r="AG37" i="20"/>
  <c r="AH37" i="20"/>
  <c r="AI37" i="20"/>
  <c r="AJ37" i="20"/>
  <c r="AK37" i="20"/>
  <c r="AL37" i="20"/>
  <c r="AM37" i="20"/>
  <c r="AN37" i="20"/>
  <c r="AO37" i="20"/>
  <c r="AP37" i="20"/>
  <c r="AQ37" i="20"/>
  <c r="AR37" i="20"/>
  <c r="AS37" i="20"/>
  <c r="AT37" i="20"/>
  <c r="AU37" i="20"/>
  <c r="AV37" i="20"/>
  <c r="AX37" i="20"/>
  <c r="AY37" i="20"/>
  <c r="BA37" i="20"/>
  <c r="BB37" i="20"/>
  <c r="BC37" i="20"/>
  <c r="BE37" i="20"/>
  <c r="BG37" i="20"/>
  <c r="BH37" i="20"/>
  <c r="A38" i="20"/>
  <c r="B38" i="20"/>
  <c r="C38" i="20"/>
  <c r="D38" i="20"/>
  <c r="E38" i="20"/>
  <c r="F38" i="20"/>
  <c r="G38" i="20"/>
  <c r="H38" i="20"/>
  <c r="I38" i="20"/>
  <c r="J38" i="20"/>
  <c r="K38" i="20"/>
  <c r="M38" i="20"/>
  <c r="N38" i="20"/>
  <c r="P38" i="20"/>
  <c r="Q38" i="20"/>
  <c r="R38" i="20"/>
  <c r="S38" i="20"/>
  <c r="T38" i="20"/>
  <c r="U38" i="20"/>
  <c r="V38" i="20"/>
  <c r="W38" i="20"/>
  <c r="X38" i="20"/>
  <c r="Y38" i="20"/>
  <c r="Z38" i="20"/>
  <c r="AA38" i="20"/>
  <c r="AB38" i="20"/>
  <c r="AC38" i="20"/>
  <c r="AD38" i="20"/>
  <c r="AE38" i="20"/>
  <c r="AF38" i="20"/>
  <c r="AG38" i="20"/>
  <c r="AH38" i="20"/>
  <c r="AI38" i="20"/>
  <c r="AJ38" i="20"/>
  <c r="AK38" i="20"/>
  <c r="AL38" i="20"/>
  <c r="AM38" i="20"/>
  <c r="AN38" i="20"/>
  <c r="AO38" i="20"/>
  <c r="AP38" i="20"/>
  <c r="AQ38" i="20"/>
  <c r="AR38" i="20"/>
  <c r="AS38" i="20"/>
  <c r="AT38" i="20"/>
  <c r="AU38" i="20"/>
  <c r="AV38" i="20"/>
  <c r="AX38" i="20"/>
  <c r="AY38" i="20"/>
  <c r="BA38" i="20"/>
  <c r="BB38" i="20"/>
  <c r="BC38" i="20"/>
  <c r="BE38" i="20"/>
  <c r="BG38" i="20"/>
  <c r="BH38" i="20"/>
  <c r="A39" i="20"/>
  <c r="B39" i="20"/>
  <c r="C39" i="20"/>
  <c r="D39" i="20"/>
  <c r="E39" i="20"/>
  <c r="F39" i="20"/>
  <c r="G39" i="20"/>
  <c r="H39" i="20"/>
  <c r="I39" i="20"/>
  <c r="J39" i="20"/>
  <c r="K39" i="20"/>
  <c r="M39" i="20"/>
  <c r="N39" i="20"/>
  <c r="P39" i="20"/>
  <c r="Q39" i="20"/>
  <c r="R39" i="20"/>
  <c r="S39" i="20"/>
  <c r="T39" i="20"/>
  <c r="U39" i="20"/>
  <c r="V39" i="20"/>
  <c r="W39" i="20"/>
  <c r="X39" i="20"/>
  <c r="Y39" i="20"/>
  <c r="Z39" i="20"/>
  <c r="AA39" i="20"/>
  <c r="AB39" i="20"/>
  <c r="AC39" i="20"/>
  <c r="AD39" i="20"/>
  <c r="AE39" i="20"/>
  <c r="AF39" i="20"/>
  <c r="AG39" i="20"/>
  <c r="AH39" i="20"/>
  <c r="AI39" i="20"/>
  <c r="AJ39" i="20"/>
  <c r="AK39" i="20"/>
  <c r="AL39" i="20"/>
  <c r="AM39" i="20"/>
  <c r="AN39" i="20"/>
  <c r="AO39" i="20"/>
  <c r="AP39" i="20"/>
  <c r="AQ39" i="20"/>
  <c r="AR39" i="20"/>
  <c r="AS39" i="20"/>
  <c r="AT39" i="20"/>
  <c r="AU39" i="20"/>
  <c r="AV39" i="20"/>
  <c r="AX39" i="20"/>
  <c r="AY39" i="20"/>
  <c r="BA39" i="20"/>
  <c r="BB39" i="20"/>
  <c r="BC39" i="20"/>
  <c r="BE39" i="20"/>
  <c r="BG39" i="20"/>
  <c r="BH39" i="20"/>
  <c r="A40" i="20"/>
  <c r="B40" i="20"/>
  <c r="C40" i="20"/>
  <c r="D40" i="20"/>
  <c r="E40" i="20"/>
  <c r="F40" i="20"/>
  <c r="G40" i="20"/>
  <c r="H40" i="20"/>
  <c r="I40" i="20"/>
  <c r="J40" i="20"/>
  <c r="K40" i="20"/>
  <c r="M40" i="20"/>
  <c r="N40" i="20"/>
  <c r="P40" i="20"/>
  <c r="Q40" i="20"/>
  <c r="R40" i="20"/>
  <c r="S40" i="20"/>
  <c r="T40" i="20"/>
  <c r="U40" i="20"/>
  <c r="V40" i="20"/>
  <c r="W40" i="20"/>
  <c r="X40" i="20"/>
  <c r="Y40" i="20"/>
  <c r="Z40" i="20"/>
  <c r="AA40" i="20"/>
  <c r="AB40" i="20"/>
  <c r="AC40" i="20"/>
  <c r="AD40" i="20"/>
  <c r="AE40" i="20"/>
  <c r="AF40" i="20"/>
  <c r="AG40" i="20"/>
  <c r="AH40" i="20"/>
  <c r="AI40" i="20"/>
  <c r="AJ40" i="20"/>
  <c r="AK40" i="20"/>
  <c r="AL40" i="20"/>
  <c r="AM40" i="20"/>
  <c r="AN40" i="20"/>
  <c r="AO40" i="20"/>
  <c r="AP40" i="20"/>
  <c r="AQ40" i="20"/>
  <c r="AR40" i="20"/>
  <c r="AS40" i="20"/>
  <c r="AT40" i="20"/>
  <c r="AU40" i="20"/>
  <c r="AV40" i="20"/>
  <c r="AX40" i="20"/>
  <c r="AY40" i="20"/>
  <c r="BA40" i="20"/>
  <c r="BB40" i="20"/>
  <c r="BC40" i="20"/>
  <c r="BE40" i="20"/>
  <c r="BG40" i="20"/>
  <c r="BH40" i="20"/>
  <c r="A41" i="20"/>
  <c r="B41" i="20"/>
  <c r="C41" i="20"/>
  <c r="D41" i="20"/>
  <c r="E41" i="20"/>
  <c r="F41" i="20"/>
  <c r="G41" i="20"/>
  <c r="H41" i="20"/>
  <c r="I41" i="20"/>
  <c r="J41" i="20"/>
  <c r="K41" i="20"/>
  <c r="M41" i="20"/>
  <c r="N41" i="20"/>
  <c r="P41" i="20"/>
  <c r="Q41" i="20"/>
  <c r="R41" i="20"/>
  <c r="S41" i="20"/>
  <c r="T41" i="20"/>
  <c r="U41" i="20"/>
  <c r="V41" i="20"/>
  <c r="W41" i="20"/>
  <c r="X41" i="20"/>
  <c r="Y41" i="20"/>
  <c r="Z41" i="20"/>
  <c r="AA41" i="20"/>
  <c r="AB41" i="20"/>
  <c r="AC41" i="20"/>
  <c r="AD41" i="20"/>
  <c r="AE41" i="20"/>
  <c r="AF41" i="20"/>
  <c r="AG41" i="20"/>
  <c r="AH41" i="20"/>
  <c r="AI41" i="20"/>
  <c r="AJ41" i="20"/>
  <c r="AK41" i="20"/>
  <c r="AL41" i="20"/>
  <c r="AM41" i="20"/>
  <c r="AN41" i="20"/>
  <c r="AO41" i="20"/>
  <c r="AP41" i="20"/>
  <c r="AQ41" i="20"/>
  <c r="AR41" i="20"/>
  <c r="AS41" i="20"/>
  <c r="AT41" i="20"/>
  <c r="AU41" i="20"/>
  <c r="AV41" i="20"/>
  <c r="AX41" i="20"/>
  <c r="AY41" i="20"/>
  <c r="BA41" i="20"/>
  <c r="BB41" i="20"/>
  <c r="BC41" i="20"/>
  <c r="BE41" i="20"/>
  <c r="BG41" i="20"/>
  <c r="BH41" i="20"/>
  <c r="A42" i="20"/>
  <c r="B42" i="20"/>
  <c r="C42" i="20"/>
  <c r="D42" i="20"/>
  <c r="E42" i="20"/>
  <c r="F42" i="20"/>
  <c r="G42" i="20"/>
  <c r="H42" i="20"/>
  <c r="I42" i="20"/>
  <c r="J42" i="20"/>
  <c r="K42" i="20"/>
  <c r="M42" i="20"/>
  <c r="N42" i="20"/>
  <c r="P42" i="20"/>
  <c r="Q42" i="20"/>
  <c r="R42" i="20"/>
  <c r="S42" i="20"/>
  <c r="T42" i="20"/>
  <c r="U42" i="20"/>
  <c r="V42" i="20"/>
  <c r="W42" i="20"/>
  <c r="X42" i="20"/>
  <c r="Y42" i="20"/>
  <c r="Z42" i="20"/>
  <c r="AA42" i="20"/>
  <c r="AB42" i="20"/>
  <c r="AC42" i="20"/>
  <c r="AD42" i="20"/>
  <c r="AE42" i="20"/>
  <c r="AF42" i="20"/>
  <c r="AG42" i="20"/>
  <c r="AH42" i="20"/>
  <c r="AI42" i="20"/>
  <c r="AJ42" i="20"/>
  <c r="AK42" i="20"/>
  <c r="AL42" i="20"/>
  <c r="AM42" i="20"/>
  <c r="AN42" i="20"/>
  <c r="AO42" i="20"/>
  <c r="AP42" i="20"/>
  <c r="AQ42" i="20"/>
  <c r="AR42" i="20"/>
  <c r="AS42" i="20"/>
  <c r="AT42" i="20"/>
  <c r="AU42" i="20"/>
  <c r="AV42" i="20"/>
  <c r="AX42" i="20"/>
  <c r="AY42" i="20"/>
  <c r="BA42" i="20"/>
  <c r="BB42" i="20"/>
  <c r="BC42" i="20"/>
  <c r="BE42" i="20"/>
  <c r="BG42" i="20"/>
  <c r="BH42" i="20"/>
  <c r="A43" i="20"/>
  <c r="B43" i="20"/>
  <c r="C43" i="20"/>
  <c r="D43" i="20"/>
  <c r="E43" i="20"/>
  <c r="F43" i="20"/>
  <c r="G43" i="20"/>
  <c r="H43" i="20"/>
  <c r="I43" i="20"/>
  <c r="J43" i="20"/>
  <c r="K43" i="20"/>
  <c r="M43" i="20"/>
  <c r="N43" i="20"/>
  <c r="P43" i="20"/>
  <c r="Q43" i="20"/>
  <c r="R43" i="20"/>
  <c r="S43" i="20"/>
  <c r="T43" i="20"/>
  <c r="U43" i="20"/>
  <c r="V43" i="20"/>
  <c r="W43" i="20"/>
  <c r="X43" i="20"/>
  <c r="Y43" i="20"/>
  <c r="Z43" i="20"/>
  <c r="AA43" i="20"/>
  <c r="AB43" i="20"/>
  <c r="AC43" i="20"/>
  <c r="AD43" i="20"/>
  <c r="AE43" i="20"/>
  <c r="AF43" i="20"/>
  <c r="AG43" i="20"/>
  <c r="AH43" i="20"/>
  <c r="AI43" i="20"/>
  <c r="AJ43" i="20"/>
  <c r="AK43" i="20"/>
  <c r="AL43" i="20"/>
  <c r="AM43" i="20"/>
  <c r="AN43" i="20"/>
  <c r="AO43" i="20"/>
  <c r="AP43" i="20"/>
  <c r="AQ43" i="20"/>
  <c r="AR43" i="20"/>
  <c r="AS43" i="20"/>
  <c r="AT43" i="20"/>
  <c r="AU43" i="20"/>
  <c r="AV43" i="20"/>
  <c r="AX43" i="20"/>
  <c r="AY43" i="20"/>
  <c r="BA43" i="20"/>
  <c r="BB43" i="20"/>
  <c r="BC43" i="20"/>
  <c r="BE43" i="20"/>
  <c r="BG43" i="20"/>
  <c r="BH43" i="20"/>
  <c r="A44" i="20"/>
  <c r="B44" i="20"/>
  <c r="C44" i="20"/>
  <c r="D44" i="20"/>
  <c r="E44" i="20"/>
  <c r="F44" i="20"/>
  <c r="G44" i="20"/>
  <c r="H44" i="20"/>
  <c r="I44" i="20"/>
  <c r="J44" i="20"/>
  <c r="K44" i="20"/>
  <c r="M44" i="20"/>
  <c r="N44" i="20"/>
  <c r="P44" i="20"/>
  <c r="Q44" i="20"/>
  <c r="R44" i="20"/>
  <c r="S44" i="20"/>
  <c r="T44" i="20"/>
  <c r="U44" i="20"/>
  <c r="V44" i="20"/>
  <c r="W44" i="20"/>
  <c r="X44" i="20"/>
  <c r="Y44" i="20"/>
  <c r="Z44" i="20"/>
  <c r="AA44" i="20"/>
  <c r="AB44" i="20"/>
  <c r="AC44" i="20"/>
  <c r="AD44" i="20"/>
  <c r="AE44" i="20"/>
  <c r="AF44" i="20"/>
  <c r="AG44" i="20"/>
  <c r="AH44" i="20"/>
  <c r="AI44" i="20"/>
  <c r="AJ44" i="20"/>
  <c r="AK44" i="20"/>
  <c r="AL44" i="20"/>
  <c r="AM44" i="20"/>
  <c r="AN44" i="20"/>
  <c r="AO44" i="20"/>
  <c r="AP44" i="20"/>
  <c r="AQ44" i="20"/>
  <c r="AR44" i="20"/>
  <c r="AS44" i="20"/>
  <c r="AT44" i="20"/>
  <c r="AU44" i="20"/>
  <c r="AV44" i="20"/>
  <c r="AX44" i="20"/>
  <c r="AY44" i="20"/>
  <c r="BA44" i="20"/>
  <c r="BB44" i="20"/>
  <c r="BC44" i="20"/>
  <c r="BE44" i="20"/>
  <c r="BG44" i="20"/>
  <c r="BH44" i="20"/>
  <c r="A45" i="20"/>
  <c r="B45" i="20"/>
  <c r="C45" i="20"/>
  <c r="D45" i="20"/>
  <c r="E45" i="20"/>
  <c r="F45" i="20"/>
  <c r="G45" i="20"/>
  <c r="H45" i="20"/>
  <c r="I45" i="20"/>
  <c r="J45" i="20"/>
  <c r="K45" i="20"/>
  <c r="M45" i="20"/>
  <c r="N45" i="20"/>
  <c r="P45" i="20"/>
  <c r="Q45" i="20"/>
  <c r="R45" i="20"/>
  <c r="S45" i="20"/>
  <c r="T45" i="20"/>
  <c r="U45" i="20"/>
  <c r="V45" i="20"/>
  <c r="W45" i="20"/>
  <c r="X45" i="20"/>
  <c r="Y45" i="20"/>
  <c r="Z45" i="20"/>
  <c r="AA45" i="20"/>
  <c r="AB45" i="20"/>
  <c r="AC45" i="20"/>
  <c r="AD45" i="20"/>
  <c r="AE45" i="20"/>
  <c r="AF45" i="20"/>
  <c r="AG45" i="20"/>
  <c r="AH45" i="20"/>
  <c r="AI45" i="20"/>
  <c r="AJ45" i="20"/>
  <c r="AK45" i="20"/>
  <c r="AL45" i="20"/>
  <c r="AM45" i="20"/>
  <c r="AN45" i="20"/>
  <c r="AO45" i="20"/>
  <c r="AP45" i="20"/>
  <c r="AQ45" i="20"/>
  <c r="AR45" i="20"/>
  <c r="AS45" i="20"/>
  <c r="AT45" i="20"/>
  <c r="AU45" i="20"/>
  <c r="AV45" i="20"/>
  <c r="AX45" i="20"/>
  <c r="AY45" i="20"/>
  <c r="BA45" i="20"/>
  <c r="BB45" i="20"/>
  <c r="BC45" i="20"/>
  <c r="BE45" i="20"/>
  <c r="BG45" i="20"/>
  <c r="BH45" i="20"/>
  <c r="A46" i="20"/>
  <c r="B46" i="20"/>
  <c r="C46" i="20"/>
  <c r="D46" i="20"/>
  <c r="E46" i="20"/>
  <c r="F46" i="20"/>
  <c r="G46" i="20"/>
  <c r="H46" i="20"/>
  <c r="I46" i="20"/>
  <c r="J46" i="20"/>
  <c r="K46" i="20"/>
  <c r="M46" i="20"/>
  <c r="N46" i="20"/>
  <c r="P46" i="20"/>
  <c r="Q46" i="20"/>
  <c r="R46" i="20"/>
  <c r="S46" i="20"/>
  <c r="T46" i="20"/>
  <c r="U46" i="20"/>
  <c r="V46" i="20"/>
  <c r="W46" i="20"/>
  <c r="X46" i="20"/>
  <c r="Y46" i="20"/>
  <c r="Z46" i="20"/>
  <c r="AA46" i="20"/>
  <c r="AB46" i="20"/>
  <c r="AC46" i="20"/>
  <c r="AD46" i="20"/>
  <c r="AE46" i="20"/>
  <c r="AF46" i="20"/>
  <c r="AG46" i="20"/>
  <c r="AH46" i="20"/>
  <c r="AI46" i="20"/>
  <c r="AJ46" i="20"/>
  <c r="AK46" i="20"/>
  <c r="AL46" i="20"/>
  <c r="AM46" i="20"/>
  <c r="AN46" i="20"/>
  <c r="AO46" i="20"/>
  <c r="AP46" i="20"/>
  <c r="AQ46" i="20"/>
  <c r="AR46" i="20"/>
  <c r="AS46" i="20"/>
  <c r="AT46" i="20"/>
  <c r="AU46" i="20"/>
  <c r="AV46" i="20"/>
  <c r="AX46" i="20"/>
  <c r="AY46" i="20"/>
  <c r="BA46" i="20"/>
  <c r="BB46" i="20"/>
  <c r="BC46" i="20"/>
  <c r="BE46" i="20"/>
  <c r="BG46" i="20"/>
  <c r="BH46" i="20"/>
  <c r="A47" i="20"/>
  <c r="B47" i="20"/>
  <c r="C47" i="20"/>
  <c r="D47" i="20"/>
  <c r="E47" i="20"/>
  <c r="F47" i="20"/>
  <c r="G47" i="20"/>
  <c r="H47" i="20"/>
  <c r="I47" i="20"/>
  <c r="J47" i="20"/>
  <c r="K47" i="20"/>
  <c r="M47" i="20"/>
  <c r="N47" i="20"/>
  <c r="P47" i="20"/>
  <c r="Q47" i="20"/>
  <c r="R47" i="20"/>
  <c r="S47" i="20"/>
  <c r="T47" i="20"/>
  <c r="U47" i="20"/>
  <c r="V47" i="20"/>
  <c r="W47" i="20"/>
  <c r="X47" i="20"/>
  <c r="Y47" i="20"/>
  <c r="Z47" i="20"/>
  <c r="AA47" i="20"/>
  <c r="AB47" i="20"/>
  <c r="AC47" i="20"/>
  <c r="AD47" i="20"/>
  <c r="AE47" i="20"/>
  <c r="AF47" i="20"/>
  <c r="AG47" i="20"/>
  <c r="AH47" i="20"/>
  <c r="AI47" i="20"/>
  <c r="AJ47" i="20"/>
  <c r="AK47" i="20"/>
  <c r="AL47" i="20"/>
  <c r="AM47" i="20"/>
  <c r="AN47" i="20"/>
  <c r="AO47" i="20"/>
  <c r="AP47" i="20"/>
  <c r="AQ47" i="20"/>
  <c r="AR47" i="20"/>
  <c r="AS47" i="20"/>
  <c r="AT47" i="20"/>
  <c r="AU47" i="20"/>
  <c r="AV47" i="20"/>
  <c r="AX47" i="20"/>
  <c r="AY47" i="20"/>
  <c r="BA47" i="20"/>
  <c r="BB47" i="20"/>
  <c r="BC47" i="20"/>
  <c r="BE47" i="20"/>
  <c r="BG47" i="20"/>
  <c r="BH47" i="20"/>
  <c r="A48" i="20"/>
  <c r="B48" i="20"/>
  <c r="C48" i="20"/>
  <c r="D48" i="20"/>
  <c r="E48" i="20"/>
  <c r="F48" i="20"/>
  <c r="G48" i="20"/>
  <c r="H48" i="20"/>
  <c r="I48" i="20"/>
  <c r="J48" i="20"/>
  <c r="K48" i="20"/>
  <c r="M48" i="20"/>
  <c r="N48" i="20"/>
  <c r="P48" i="20"/>
  <c r="Q48" i="20"/>
  <c r="R48" i="20"/>
  <c r="S48" i="20"/>
  <c r="T48" i="20"/>
  <c r="U48" i="20"/>
  <c r="V48" i="20"/>
  <c r="W48" i="20"/>
  <c r="X48" i="20"/>
  <c r="Y48" i="20"/>
  <c r="Z48" i="20"/>
  <c r="AA48" i="20"/>
  <c r="AB48" i="20"/>
  <c r="AC48" i="20"/>
  <c r="AD48" i="20"/>
  <c r="AE48" i="20"/>
  <c r="AF48" i="20"/>
  <c r="AG48" i="20"/>
  <c r="AH48" i="20"/>
  <c r="AI48" i="20"/>
  <c r="AJ48" i="20"/>
  <c r="AK48" i="20"/>
  <c r="AL48" i="20"/>
  <c r="AM48" i="20"/>
  <c r="AN48" i="20"/>
  <c r="AO48" i="20"/>
  <c r="AP48" i="20"/>
  <c r="AQ48" i="20"/>
  <c r="AR48" i="20"/>
  <c r="AS48" i="20"/>
  <c r="AT48" i="20"/>
  <c r="AU48" i="20"/>
  <c r="AV48" i="20"/>
  <c r="AX48" i="20"/>
  <c r="AY48" i="20"/>
  <c r="BA48" i="20"/>
  <c r="BB48" i="20"/>
  <c r="BC48" i="20"/>
  <c r="BE48" i="20"/>
  <c r="BG48" i="20"/>
  <c r="BH48" i="20"/>
  <c r="A49" i="20"/>
  <c r="B49" i="20"/>
  <c r="C49" i="20"/>
  <c r="D49" i="20"/>
  <c r="E49" i="20"/>
  <c r="F49" i="20"/>
  <c r="G49" i="20"/>
  <c r="H49" i="20"/>
  <c r="I49" i="20"/>
  <c r="J49" i="20"/>
  <c r="K49" i="20"/>
  <c r="M49" i="20"/>
  <c r="N49" i="20"/>
  <c r="P49" i="20"/>
  <c r="Q49" i="20"/>
  <c r="R49" i="20"/>
  <c r="S49" i="20"/>
  <c r="T49" i="20"/>
  <c r="U49" i="20"/>
  <c r="V49" i="20"/>
  <c r="W49" i="20"/>
  <c r="X49" i="20"/>
  <c r="Y49" i="20"/>
  <c r="Z49" i="20"/>
  <c r="AA49" i="20"/>
  <c r="AB49" i="20"/>
  <c r="AC49" i="20"/>
  <c r="AD49" i="20"/>
  <c r="AE49" i="20"/>
  <c r="AF49" i="20"/>
  <c r="AG49" i="20"/>
  <c r="AH49" i="20"/>
  <c r="AI49" i="20"/>
  <c r="AJ49" i="20"/>
  <c r="AK49" i="20"/>
  <c r="AL49" i="20"/>
  <c r="AM49" i="20"/>
  <c r="AN49" i="20"/>
  <c r="AO49" i="20"/>
  <c r="AP49" i="20"/>
  <c r="AQ49" i="20"/>
  <c r="AR49" i="20"/>
  <c r="AS49" i="20"/>
  <c r="AT49" i="20"/>
  <c r="AU49" i="20"/>
  <c r="AV49" i="20"/>
  <c r="AX49" i="20"/>
  <c r="AY49" i="20"/>
  <c r="BA49" i="20"/>
  <c r="BB49" i="20"/>
  <c r="BC49" i="20"/>
  <c r="BE49" i="20"/>
  <c r="BG49" i="20"/>
  <c r="BH49" i="20"/>
  <c r="A50" i="20"/>
  <c r="B50" i="20"/>
  <c r="C50" i="20"/>
  <c r="D50" i="20"/>
  <c r="E50" i="20"/>
  <c r="F50" i="20"/>
  <c r="G50" i="20"/>
  <c r="H50" i="20"/>
  <c r="I50" i="20"/>
  <c r="J50" i="20"/>
  <c r="K50" i="20"/>
  <c r="M50" i="20"/>
  <c r="N50" i="20"/>
  <c r="P50" i="20"/>
  <c r="Q50" i="20"/>
  <c r="R50" i="20"/>
  <c r="S50" i="20"/>
  <c r="T50" i="20"/>
  <c r="U50" i="20"/>
  <c r="V50" i="20"/>
  <c r="W50" i="20"/>
  <c r="X50" i="20"/>
  <c r="Y50" i="20"/>
  <c r="Z50" i="20"/>
  <c r="AA50" i="20"/>
  <c r="AB50" i="20"/>
  <c r="AC50" i="20"/>
  <c r="AD50" i="20"/>
  <c r="AE50" i="20"/>
  <c r="AF50" i="20"/>
  <c r="AG50" i="20"/>
  <c r="AH50" i="20"/>
  <c r="AI50" i="20"/>
  <c r="AJ50" i="20"/>
  <c r="AK50" i="20"/>
  <c r="AL50" i="20"/>
  <c r="AM50" i="20"/>
  <c r="AN50" i="20"/>
  <c r="AO50" i="20"/>
  <c r="AP50" i="20"/>
  <c r="AQ50" i="20"/>
  <c r="AR50" i="20"/>
  <c r="AS50" i="20"/>
  <c r="AT50" i="20"/>
  <c r="AU50" i="20"/>
  <c r="AV50" i="20"/>
  <c r="AX50" i="20"/>
  <c r="AY50" i="20"/>
  <c r="BA50" i="20"/>
  <c r="BB50" i="20"/>
  <c r="BC50" i="20"/>
  <c r="BE50" i="20"/>
  <c r="BG50" i="20"/>
  <c r="BH50" i="20"/>
  <c r="A51" i="20"/>
  <c r="B51" i="20"/>
  <c r="C51" i="20"/>
  <c r="D51" i="20"/>
  <c r="E51" i="20"/>
  <c r="F51" i="20"/>
  <c r="G51" i="20"/>
  <c r="H51" i="20"/>
  <c r="I51" i="20"/>
  <c r="J51" i="20"/>
  <c r="K51" i="20"/>
  <c r="M51" i="20"/>
  <c r="N51" i="20"/>
  <c r="P51" i="20"/>
  <c r="Q51" i="20"/>
  <c r="R51" i="20"/>
  <c r="S51" i="20"/>
  <c r="T51" i="20"/>
  <c r="U51" i="20"/>
  <c r="V51" i="20"/>
  <c r="W51" i="20"/>
  <c r="X51" i="20"/>
  <c r="Y51" i="20"/>
  <c r="Z51" i="20"/>
  <c r="AA51" i="20"/>
  <c r="AB51" i="20"/>
  <c r="AC51" i="20"/>
  <c r="AD51" i="20"/>
  <c r="AE51" i="20"/>
  <c r="AF51" i="20"/>
  <c r="AG51" i="20"/>
  <c r="AH51" i="20"/>
  <c r="AI51" i="20"/>
  <c r="AJ51" i="20"/>
  <c r="AK51" i="20"/>
  <c r="AL51" i="20"/>
  <c r="AM51" i="20"/>
  <c r="AN51" i="20"/>
  <c r="AO51" i="20"/>
  <c r="AP51" i="20"/>
  <c r="AQ51" i="20"/>
  <c r="AR51" i="20"/>
  <c r="AS51" i="20"/>
  <c r="AT51" i="20"/>
  <c r="AU51" i="20"/>
  <c r="AV51" i="20"/>
  <c r="AX51" i="20"/>
  <c r="AY51" i="20"/>
  <c r="BA51" i="20"/>
  <c r="BB51" i="20"/>
  <c r="BC51" i="20"/>
  <c r="BE51" i="20"/>
  <c r="BG51" i="20"/>
  <c r="BH51" i="20"/>
  <c r="A52" i="20"/>
  <c r="B52" i="20"/>
  <c r="C52" i="20"/>
  <c r="D52" i="20"/>
  <c r="E52" i="20"/>
  <c r="F52" i="20"/>
  <c r="G52" i="20"/>
  <c r="H52" i="20"/>
  <c r="I52" i="20"/>
  <c r="J52" i="20"/>
  <c r="K52" i="20"/>
  <c r="M52" i="20"/>
  <c r="N52" i="20"/>
  <c r="P52" i="20"/>
  <c r="Q52" i="20"/>
  <c r="R52" i="20"/>
  <c r="S52" i="20"/>
  <c r="T52" i="20"/>
  <c r="U52" i="20"/>
  <c r="V52" i="20"/>
  <c r="W52" i="20"/>
  <c r="X52" i="20"/>
  <c r="Y52" i="20"/>
  <c r="Z52" i="20"/>
  <c r="AA52" i="20"/>
  <c r="AB52" i="20"/>
  <c r="AC52" i="20"/>
  <c r="AD52" i="20"/>
  <c r="AE52" i="20"/>
  <c r="AF52" i="20"/>
  <c r="AG52" i="20"/>
  <c r="AH52" i="20"/>
  <c r="AI52" i="20"/>
  <c r="AJ52" i="20"/>
  <c r="AK52" i="20"/>
  <c r="AL52" i="20"/>
  <c r="AM52" i="20"/>
  <c r="AN52" i="20"/>
  <c r="AO52" i="20"/>
  <c r="AP52" i="20"/>
  <c r="AQ52" i="20"/>
  <c r="AR52" i="20"/>
  <c r="AS52" i="20"/>
  <c r="AT52" i="20"/>
  <c r="AU52" i="20"/>
  <c r="AV52" i="20"/>
  <c r="AX52" i="20"/>
  <c r="AY52" i="20"/>
  <c r="BA52" i="20"/>
  <c r="BB52" i="20"/>
  <c r="BC52" i="20"/>
  <c r="BE52" i="20"/>
  <c r="BG52" i="20"/>
  <c r="BH52" i="20"/>
  <c r="A53" i="20"/>
  <c r="B53" i="20"/>
  <c r="C53" i="20"/>
  <c r="D53" i="20"/>
  <c r="E53" i="20"/>
  <c r="F53" i="20"/>
  <c r="G53" i="20"/>
  <c r="H53" i="20"/>
  <c r="I53" i="20"/>
  <c r="J53" i="20"/>
  <c r="K53" i="20"/>
  <c r="M53" i="20"/>
  <c r="N53" i="20"/>
  <c r="P53" i="20"/>
  <c r="Q53" i="20"/>
  <c r="R53" i="20"/>
  <c r="S53" i="20"/>
  <c r="T53" i="20"/>
  <c r="U53" i="20"/>
  <c r="V53" i="20"/>
  <c r="W53" i="20"/>
  <c r="X53" i="20"/>
  <c r="Y53" i="20"/>
  <c r="Z53" i="20"/>
  <c r="AA53" i="20"/>
  <c r="AB53" i="20"/>
  <c r="AC53" i="20"/>
  <c r="AD53" i="20"/>
  <c r="AE53" i="20"/>
  <c r="AF53" i="20"/>
  <c r="AG53" i="20"/>
  <c r="AH53" i="20"/>
  <c r="AI53" i="20"/>
  <c r="AJ53" i="20"/>
  <c r="AK53" i="20"/>
  <c r="AL53" i="20"/>
  <c r="AM53" i="20"/>
  <c r="AN53" i="20"/>
  <c r="AO53" i="20"/>
  <c r="AP53" i="20"/>
  <c r="AQ53" i="20"/>
  <c r="AR53" i="20"/>
  <c r="AS53" i="20"/>
  <c r="AT53" i="20"/>
  <c r="AU53" i="20"/>
  <c r="AV53" i="20"/>
  <c r="AX53" i="20"/>
  <c r="AY53" i="20"/>
  <c r="BA53" i="20"/>
  <c r="BB53" i="20"/>
  <c r="BC53" i="20"/>
  <c r="BE53" i="20"/>
  <c r="BG53" i="20"/>
  <c r="BH53" i="20"/>
  <c r="A54" i="20"/>
  <c r="B54" i="20"/>
  <c r="C54" i="20"/>
  <c r="D54" i="20"/>
  <c r="E54" i="20"/>
  <c r="F54" i="20"/>
  <c r="G54" i="20"/>
  <c r="H54" i="20"/>
  <c r="I54" i="20"/>
  <c r="J54" i="20"/>
  <c r="K54" i="20"/>
  <c r="M54" i="20"/>
  <c r="N54" i="20"/>
  <c r="P54" i="20"/>
  <c r="Q54" i="20"/>
  <c r="R54" i="20"/>
  <c r="S54" i="20"/>
  <c r="T54" i="20"/>
  <c r="U54" i="20"/>
  <c r="V54" i="20"/>
  <c r="W54" i="20"/>
  <c r="X54" i="20"/>
  <c r="Y54" i="20"/>
  <c r="Z54" i="20"/>
  <c r="AA54" i="20"/>
  <c r="AB54" i="20"/>
  <c r="AC54" i="20"/>
  <c r="AD54" i="20"/>
  <c r="AE54" i="20"/>
  <c r="AF54" i="20"/>
  <c r="AG54" i="20"/>
  <c r="AH54" i="20"/>
  <c r="AI54" i="20"/>
  <c r="AJ54" i="20"/>
  <c r="AK54" i="20"/>
  <c r="AL54" i="20"/>
  <c r="AM54" i="20"/>
  <c r="AN54" i="20"/>
  <c r="AO54" i="20"/>
  <c r="AP54" i="20"/>
  <c r="AQ54" i="20"/>
  <c r="AR54" i="20"/>
  <c r="AS54" i="20"/>
  <c r="AT54" i="20"/>
  <c r="AU54" i="20"/>
  <c r="AV54" i="20"/>
  <c r="AX54" i="20"/>
  <c r="AY54" i="20"/>
  <c r="BA54" i="20"/>
  <c r="BB54" i="20"/>
  <c r="BC54" i="20"/>
  <c r="BE54" i="20"/>
  <c r="BG54" i="20"/>
  <c r="BH54" i="20"/>
  <c r="A55" i="20"/>
  <c r="B55" i="20"/>
  <c r="C55" i="20"/>
  <c r="D55" i="20"/>
  <c r="E55" i="20"/>
  <c r="F55" i="20"/>
  <c r="G55" i="20"/>
  <c r="H55" i="20"/>
  <c r="I55" i="20"/>
  <c r="J55" i="20"/>
  <c r="K55" i="20"/>
  <c r="M55" i="20"/>
  <c r="N55" i="20"/>
  <c r="P55" i="20"/>
  <c r="Q55" i="20"/>
  <c r="R55" i="20"/>
  <c r="S55" i="20"/>
  <c r="T55" i="20"/>
  <c r="U55" i="20"/>
  <c r="V55" i="20"/>
  <c r="W55" i="20"/>
  <c r="X55" i="20"/>
  <c r="Y55" i="20"/>
  <c r="Z55" i="20"/>
  <c r="AA55" i="20"/>
  <c r="AB55" i="20"/>
  <c r="AC55" i="20"/>
  <c r="AD55" i="20"/>
  <c r="AE55" i="20"/>
  <c r="AF55" i="20"/>
  <c r="AG55" i="20"/>
  <c r="AH55" i="20"/>
  <c r="AI55" i="20"/>
  <c r="AJ55" i="20"/>
  <c r="AK55" i="20"/>
  <c r="AL55" i="20"/>
  <c r="AM55" i="20"/>
  <c r="AN55" i="20"/>
  <c r="AO55" i="20"/>
  <c r="AP55" i="20"/>
  <c r="AQ55" i="20"/>
  <c r="AR55" i="20"/>
  <c r="AS55" i="20"/>
  <c r="AT55" i="20"/>
  <c r="AU55" i="20"/>
  <c r="AV55" i="20"/>
  <c r="AX55" i="20"/>
  <c r="AY55" i="20"/>
  <c r="BA55" i="20"/>
  <c r="BB55" i="20"/>
  <c r="BC55" i="20"/>
  <c r="BE55" i="20"/>
  <c r="BG55" i="20"/>
  <c r="BH55" i="20"/>
  <c r="A56" i="20"/>
  <c r="B56" i="20"/>
  <c r="C56" i="20"/>
  <c r="D56" i="20"/>
  <c r="E56" i="20"/>
  <c r="F56" i="20"/>
  <c r="G56" i="20"/>
  <c r="H56" i="20"/>
  <c r="I56" i="20"/>
  <c r="J56" i="20"/>
  <c r="K56" i="20"/>
  <c r="M56" i="20"/>
  <c r="N56" i="20"/>
  <c r="P56" i="20"/>
  <c r="Q56" i="20"/>
  <c r="R56" i="20"/>
  <c r="S56" i="20"/>
  <c r="T56" i="20"/>
  <c r="U56" i="20"/>
  <c r="V56" i="20"/>
  <c r="W56" i="20"/>
  <c r="X56" i="20"/>
  <c r="Y56" i="20"/>
  <c r="Z56" i="20"/>
  <c r="AA56" i="20"/>
  <c r="AB56" i="20"/>
  <c r="AC56" i="20"/>
  <c r="AD56" i="20"/>
  <c r="AE56" i="20"/>
  <c r="AF56" i="20"/>
  <c r="AG56" i="20"/>
  <c r="AH56" i="20"/>
  <c r="AI56" i="20"/>
  <c r="AJ56" i="20"/>
  <c r="AK56" i="20"/>
  <c r="AL56" i="20"/>
  <c r="AM56" i="20"/>
  <c r="AN56" i="20"/>
  <c r="AO56" i="20"/>
  <c r="AP56" i="20"/>
  <c r="AQ56" i="20"/>
  <c r="AR56" i="20"/>
  <c r="AS56" i="20"/>
  <c r="AT56" i="20"/>
  <c r="AU56" i="20"/>
  <c r="AV56" i="20"/>
  <c r="AX56" i="20"/>
  <c r="AY56" i="20"/>
  <c r="BA56" i="20"/>
  <c r="BB56" i="20"/>
  <c r="BC56" i="20"/>
  <c r="BE56" i="20"/>
  <c r="BG56" i="20"/>
  <c r="BH56" i="20"/>
  <c r="A57" i="20"/>
  <c r="B57" i="20"/>
  <c r="C57" i="20"/>
  <c r="D57" i="20"/>
  <c r="E57" i="20"/>
  <c r="F57" i="20"/>
  <c r="G57" i="20"/>
  <c r="H57" i="20"/>
  <c r="I57" i="20"/>
  <c r="J57" i="20"/>
  <c r="K57" i="20"/>
  <c r="M57" i="20"/>
  <c r="N57" i="20"/>
  <c r="P57" i="20"/>
  <c r="Q57" i="20"/>
  <c r="R57" i="20"/>
  <c r="S57" i="20"/>
  <c r="T57" i="20"/>
  <c r="U57" i="20"/>
  <c r="V57" i="20"/>
  <c r="W57" i="20"/>
  <c r="X57" i="20"/>
  <c r="Y57" i="20"/>
  <c r="Z57" i="20"/>
  <c r="AA57" i="20"/>
  <c r="AB57" i="20"/>
  <c r="AC57" i="20"/>
  <c r="AD57" i="20"/>
  <c r="AE57" i="20"/>
  <c r="AF57" i="20"/>
  <c r="AG57" i="20"/>
  <c r="AH57" i="20"/>
  <c r="AI57" i="20"/>
  <c r="AJ57" i="20"/>
  <c r="AK57" i="20"/>
  <c r="AL57" i="20"/>
  <c r="AM57" i="20"/>
  <c r="AN57" i="20"/>
  <c r="AO57" i="20"/>
  <c r="AP57" i="20"/>
  <c r="AQ57" i="20"/>
  <c r="AR57" i="20"/>
  <c r="AS57" i="20"/>
  <c r="AT57" i="20"/>
  <c r="AU57" i="20"/>
  <c r="AV57" i="20"/>
  <c r="AX57" i="20"/>
  <c r="AY57" i="20"/>
  <c r="BA57" i="20"/>
  <c r="BB57" i="20"/>
  <c r="BC57" i="20"/>
  <c r="BE57" i="20"/>
  <c r="BG57" i="20"/>
  <c r="BH57" i="20"/>
  <c r="A58" i="20"/>
  <c r="B58" i="20"/>
  <c r="C58" i="20"/>
  <c r="D58" i="20"/>
  <c r="E58" i="20"/>
  <c r="F58" i="20"/>
  <c r="G58" i="20"/>
  <c r="H58" i="20"/>
  <c r="I58" i="20"/>
  <c r="J58" i="20"/>
  <c r="K58" i="20"/>
  <c r="M58" i="20"/>
  <c r="N58" i="20"/>
  <c r="P58" i="20"/>
  <c r="Q58" i="20"/>
  <c r="R58" i="20"/>
  <c r="S58" i="20"/>
  <c r="T58" i="20"/>
  <c r="U58" i="20"/>
  <c r="V58" i="20"/>
  <c r="W58" i="20"/>
  <c r="X58" i="20"/>
  <c r="Y58" i="20"/>
  <c r="Z58" i="20"/>
  <c r="AA58" i="20"/>
  <c r="AB58" i="20"/>
  <c r="AC58" i="20"/>
  <c r="AD58" i="20"/>
  <c r="AE58" i="20"/>
  <c r="AF58" i="20"/>
  <c r="AG58" i="20"/>
  <c r="AH58" i="20"/>
  <c r="AI58" i="20"/>
  <c r="AJ58" i="20"/>
  <c r="AK58" i="20"/>
  <c r="AL58" i="20"/>
  <c r="AM58" i="20"/>
  <c r="AN58" i="20"/>
  <c r="AO58" i="20"/>
  <c r="AP58" i="20"/>
  <c r="AQ58" i="20"/>
  <c r="AR58" i="20"/>
  <c r="AS58" i="20"/>
  <c r="AT58" i="20"/>
  <c r="AU58" i="20"/>
  <c r="AV58" i="20"/>
  <c r="AX58" i="20"/>
  <c r="AY58" i="20"/>
  <c r="BA58" i="20"/>
  <c r="BB58" i="20"/>
  <c r="BC58" i="20"/>
  <c r="BE58" i="20"/>
  <c r="BG58" i="20"/>
  <c r="BH58" i="20"/>
  <c r="A59" i="20"/>
  <c r="B59" i="20"/>
  <c r="C59" i="20"/>
  <c r="D59" i="20"/>
  <c r="E59" i="20"/>
  <c r="F59" i="20"/>
  <c r="G59" i="20"/>
  <c r="H59" i="20"/>
  <c r="I59" i="20"/>
  <c r="J59" i="20"/>
  <c r="K59" i="20"/>
  <c r="M59" i="20"/>
  <c r="N59" i="20"/>
  <c r="P59" i="20"/>
  <c r="Q59" i="20"/>
  <c r="R59" i="20"/>
  <c r="S59" i="20"/>
  <c r="T59" i="20"/>
  <c r="U59" i="20"/>
  <c r="V59" i="20"/>
  <c r="W59" i="20"/>
  <c r="X59" i="20"/>
  <c r="Y59" i="20"/>
  <c r="Z59" i="20"/>
  <c r="AA59" i="20"/>
  <c r="AB59" i="20"/>
  <c r="AC59" i="20"/>
  <c r="AD59" i="20"/>
  <c r="AE59" i="20"/>
  <c r="AF59" i="20"/>
  <c r="AG59" i="20"/>
  <c r="AH59" i="20"/>
  <c r="AI59" i="20"/>
  <c r="AJ59" i="20"/>
  <c r="AK59" i="20"/>
  <c r="AL59" i="20"/>
  <c r="AM59" i="20"/>
  <c r="AN59" i="20"/>
  <c r="AO59" i="20"/>
  <c r="AP59" i="20"/>
  <c r="AQ59" i="20"/>
  <c r="AR59" i="20"/>
  <c r="AS59" i="20"/>
  <c r="AT59" i="20"/>
  <c r="AU59" i="20"/>
  <c r="AV59" i="20"/>
  <c r="AX59" i="20"/>
  <c r="AY59" i="20"/>
  <c r="BA59" i="20"/>
  <c r="BB59" i="20"/>
  <c r="BC59" i="20"/>
  <c r="BE59" i="20"/>
  <c r="BG59" i="20"/>
  <c r="BH59" i="20"/>
  <c r="A60" i="20"/>
  <c r="B60" i="20"/>
  <c r="C60" i="20"/>
  <c r="D60" i="20"/>
  <c r="E60" i="20"/>
  <c r="F60" i="20"/>
  <c r="G60" i="20"/>
  <c r="H60" i="20"/>
  <c r="I60" i="20"/>
  <c r="J60" i="20"/>
  <c r="K60" i="20"/>
  <c r="M60" i="20"/>
  <c r="N60" i="20"/>
  <c r="P60" i="20"/>
  <c r="Q60" i="20"/>
  <c r="R60" i="20"/>
  <c r="S60" i="20"/>
  <c r="T60" i="20"/>
  <c r="U60" i="20"/>
  <c r="V60" i="20"/>
  <c r="W60" i="20"/>
  <c r="X60" i="20"/>
  <c r="Y60" i="20"/>
  <c r="Z60" i="20"/>
  <c r="AA60" i="20"/>
  <c r="AB60" i="20"/>
  <c r="AC60" i="20"/>
  <c r="AD60" i="20"/>
  <c r="AE60" i="20"/>
  <c r="AF60" i="20"/>
  <c r="AG60" i="20"/>
  <c r="AH60" i="20"/>
  <c r="AI60" i="20"/>
  <c r="AJ60" i="20"/>
  <c r="AK60" i="20"/>
  <c r="AL60" i="20"/>
  <c r="AM60" i="20"/>
  <c r="AN60" i="20"/>
  <c r="AO60" i="20"/>
  <c r="AP60" i="20"/>
  <c r="AQ60" i="20"/>
  <c r="AR60" i="20"/>
  <c r="AS60" i="20"/>
  <c r="AT60" i="20"/>
  <c r="AU60" i="20"/>
  <c r="AV60" i="20"/>
  <c r="AX60" i="20"/>
  <c r="AY60" i="20"/>
  <c r="BA60" i="20"/>
  <c r="BB60" i="20"/>
  <c r="BC60" i="20"/>
  <c r="BE60" i="20"/>
  <c r="BG60" i="20"/>
  <c r="BH60" i="20"/>
  <c r="A61" i="20"/>
  <c r="B61" i="20"/>
  <c r="C61" i="20"/>
  <c r="D61" i="20"/>
  <c r="E61" i="20"/>
  <c r="F61" i="20"/>
  <c r="G61" i="20"/>
  <c r="H61" i="20"/>
  <c r="I61" i="20"/>
  <c r="J61" i="20"/>
  <c r="K61" i="20"/>
  <c r="M61" i="20"/>
  <c r="N61" i="20"/>
  <c r="P61" i="20"/>
  <c r="Q61" i="20"/>
  <c r="R61" i="20"/>
  <c r="S61" i="20"/>
  <c r="T61" i="20"/>
  <c r="U61" i="20"/>
  <c r="V61" i="20"/>
  <c r="W61" i="20"/>
  <c r="X61" i="20"/>
  <c r="Y61" i="20"/>
  <c r="Z61" i="20"/>
  <c r="AA61" i="20"/>
  <c r="AB61" i="20"/>
  <c r="AC61" i="20"/>
  <c r="AD61" i="20"/>
  <c r="AE61" i="20"/>
  <c r="AF61" i="20"/>
  <c r="AG61" i="20"/>
  <c r="AH61" i="20"/>
  <c r="AI61" i="20"/>
  <c r="AJ61" i="20"/>
  <c r="AK61" i="20"/>
  <c r="AL61" i="20"/>
  <c r="AM61" i="20"/>
  <c r="AN61" i="20"/>
  <c r="AO61" i="20"/>
  <c r="AP61" i="20"/>
  <c r="AQ61" i="20"/>
  <c r="AR61" i="20"/>
  <c r="AS61" i="20"/>
  <c r="AT61" i="20"/>
  <c r="AU61" i="20"/>
  <c r="AV61" i="20"/>
  <c r="AX61" i="20"/>
  <c r="AY61" i="20"/>
  <c r="BA61" i="20"/>
  <c r="BB61" i="20"/>
  <c r="BC61" i="20"/>
  <c r="BE61" i="20"/>
  <c r="BG61" i="20"/>
  <c r="BH61" i="20"/>
  <c r="A62" i="20"/>
  <c r="B62" i="20"/>
  <c r="C62" i="20"/>
  <c r="D62" i="20"/>
  <c r="E62" i="20"/>
  <c r="F62" i="20"/>
  <c r="G62" i="20"/>
  <c r="H62" i="20"/>
  <c r="I62" i="20"/>
  <c r="J62" i="20"/>
  <c r="K62" i="20"/>
  <c r="M62" i="20"/>
  <c r="N62" i="20"/>
  <c r="P62" i="20"/>
  <c r="Q62" i="20"/>
  <c r="R62" i="20"/>
  <c r="S62" i="20"/>
  <c r="T62" i="20"/>
  <c r="U62" i="20"/>
  <c r="V62" i="20"/>
  <c r="W62" i="20"/>
  <c r="X62" i="20"/>
  <c r="Y62" i="20"/>
  <c r="Z62" i="20"/>
  <c r="AA62" i="20"/>
  <c r="AB62" i="20"/>
  <c r="AC62" i="20"/>
  <c r="AD62" i="20"/>
  <c r="AE62" i="20"/>
  <c r="AF62" i="20"/>
  <c r="AG62" i="20"/>
  <c r="AH62" i="20"/>
  <c r="AI62" i="20"/>
  <c r="AJ62" i="20"/>
  <c r="AK62" i="20"/>
  <c r="AL62" i="20"/>
  <c r="AM62" i="20"/>
  <c r="AN62" i="20"/>
  <c r="AO62" i="20"/>
  <c r="AP62" i="20"/>
  <c r="AQ62" i="20"/>
  <c r="AR62" i="20"/>
  <c r="AS62" i="20"/>
  <c r="AT62" i="20"/>
  <c r="AU62" i="20"/>
  <c r="AV62" i="20"/>
  <c r="AX62" i="20"/>
  <c r="AY62" i="20"/>
  <c r="BA62" i="20"/>
  <c r="BB62" i="20"/>
  <c r="BC62" i="20"/>
  <c r="BE62" i="20"/>
  <c r="BG62" i="20"/>
  <c r="BH62" i="20"/>
  <c r="A63" i="20"/>
  <c r="B63" i="20"/>
  <c r="C63" i="20"/>
  <c r="D63" i="20"/>
  <c r="E63" i="20"/>
  <c r="F63" i="20"/>
  <c r="G63" i="20"/>
  <c r="H63" i="20"/>
  <c r="I63" i="20"/>
  <c r="J63" i="20"/>
  <c r="K63" i="20"/>
  <c r="M63" i="20"/>
  <c r="N63" i="20"/>
  <c r="P63" i="20"/>
  <c r="Q63" i="20"/>
  <c r="R63" i="20"/>
  <c r="S63" i="20"/>
  <c r="T63" i="20"/>
  <c r="U63" i="20"/>
  <c r="V63" i="20"/>
  <c r="W63" i="20"/>
  <c r="X63" i="20"/>
  <c r="Y63" i="20"/>
  <c r="Z63" i="20"/>
  <c r="AA63" i="20"/>
  <c r="AB63" i="20"/>
  <c r="AC63" i="20"/>
  <c r="AD63" i="20"/>
  <c r="AE63" i="20"/>
  <c r="AF63" i="20"/>
  <c r="AG63" i="20"/>
  <c r="AH63" i="20"/>
  <c r="AI63" i="20"/>
  <c r="AJ63" i="20"/>
  <c r="AK63" i="20"/>
  <c r="AL63" i="20"/>
  <c r="AM63" i="20"/>
  <c r="AN63" i="20"/>
  <c r="AO63" i="20"/>
  <c r="AP63" i="20"/>
  <c r="AQ63" i="20"/>
  <c r="AR63" i="20"/>
  <c r="AS63" i="20"/>
  <c r="AT63" i="20"/>
  <c r="AU63" i="20"/>
  <c r="AV63" i="20"/>
  <c r="AX63" i="20"/>
  <c r="AY63" i="20"/>
  <c r="BA63" i="20"/>
  <c r="BB63" i="20"/>
  <c r="BC63" i="20"/>
  <c r="BE63" i="20"/>
  <c r="BG63" i="20"/>
  <c r="BH63" i="20"/>
  <c r="A64" i="20"/>
  <c r="B64" i="20"/>
  <c r="C64" i="20"/>
  <c r="D64" i="20"/>
  <c r="E64" i="20"/>
  <c r="F64" i="20"/>
  <c r="G64" i="20"/>
  <c r="H64" i="20"/>
  <c r="I64" i="20"/>
  <c r="J64" i="20"/>
  <c r="K64" i="20"/>
  <c r="M64" i="20"/>
  <c r="N64" i="20"/>
  <c r="P64" i="20"/>
  <c r="Q64" i="20"/>
  <c r="R64" i="20"/>
  <c r="S64" i="20"/>
  <c r="T64" i="20"/>
  <c r="U64" i="20"/>
  <c r="V64" i="20"/>
  <c r="W64" i="20"/>
  <c r="X64" i="20"/>
  <c r="Y64" i="20"/>
  <c r="Z64" i="20"/>
  <c r="AA64" i="20"/>
  <c r="AB64" i="20"/>
  <c r="AC64" i="20"/>
  <c r="AD64" i="20"/>
  <c r="AE64" i="20"/>
  <c r="AF64" i="20"/>
  <c r="AG64" i="20"/>
  <c r="AH64" i="20"/>
  <c r="AI64" i="20"/>
  <c r="AJ64" i="20"/>
  <c r="AK64" i="20"/>
  <c r="AL64" i="20"/>
  <c r="AM64" i="20"/>
  <c r="AN64" i="20"/>
  <c r="AO64" i="20"/>
  <c r="AP64" i="20"/>
  <c r="AQ64" i="20"/>
  <c r="AR64" i="20"/>
  <c r="AS64" i="20"/>
  <c r="AT64" i="20"/>
  <c r="AU64" i="20"/>
  <c r="AV64" i="20"/>
  <c r="AX64" i="20"/>
  <c r="AY64" i="20"/>
  <c r="BA64" i="20"/>
  <c r="BB64" i="20"/>
  <c r="BC64" i="20"/>
  <c r="BE64" i="20"/>
  <c r="BG64" i="20"/>
  <c r="BH64" i="20"/>
  <c r="A65" i="20"/>
  <c r="B65" i="20"/>
  <c r="C65" i="20"/>
  <c r="D65" i="20"/>
  <c r="E65" i="20"/>
  <c r="F65" i="20"/>
  <c r="G65" i="20"/>
  <c r="H65" i="20"/>
  <c r="I65" i="20"/>
  <c r="J65" i="20"/>
  <c r="K65" i="20"/>
  <c r="M65" i="20"/>
  <c r="N65" i="20"/>
  <c r="P65" i="20"/>
  <c r="Q65" i="20"/>
  <c r="R65" i="20"/>
  <c r="S65" i="20"/>
  <c r="T65" i="20"/>
  <c r="U65" i="20"/>
  <c r="V65" i="20"/>
  <c r="W65" i="20"/>
  <c r="X65" i="20"/>
  <c r="Y65" i="20"/>
  <c r="Z65" i="20"/>
  <c r="AA65" i="20"/>
  <c r="AB65" i="20"/>
  <c r="AC65" i="20"/>
  <c r="AD65" i="20"/>
  <c r="AE65" i="20"/>
  <c r="AF65" i="20"/>
  <c r="AG65" i="20"/>
  <c r="AH65" i="20"/>
  <c r="AI65" i="20"/>
  <c r="AJ65" i="20"/>
  <c r="AK65" i="20"/>
  <c r="AL65" i="20"/>
  <c r="AM65" i="20"/>
  <c r="AN65" i="20"/>
  <c r="AO65" i="20"/>
  <c r="AP65" i="20"/>
  <c r="AQ65" i="20"/>
  <c r="AR65" i="20"/>
  <c r="AS65" i="20"/>
  <c r="AT65" i="20"/>
  <c r="AU65" i="20"/>
  <c r="AV65" i="20"/>
  <c r="AX65" i="20"/>
  <c r="AY65" i="20"/>
  <c r="BA65" i="20"/>
  <c r="BB65" i="20"/>
  <c r="BC65" i="20"/>
  <c r="BE65" i="20"/>
  <c r="BG65" i="20"/>
  <c r="BH65" i="20"/>
  <c r="A66" i="20"/>
  <c r="B66" i="20"/>
  <c r="C66" i="20"/>
  <c r="D66" i="20"/>
  <c r="E66" i="20"/>
  <c r="F66" i="20"/>
  <c r="G66" i="20"/>
  <c r="H66" i="20"/>
  <c r="I66" i="20"/>
  <c r="J66" i="20"/>
  <c r="K66" i="20"/>
  <c r="M66" i="20"/>
  <c r="N66" i="20"/>
  <c r="P66" i="20"/>
  <c r="Q66" i="20"/>
  <c r="R66" i="20"/>
  <c r="S66" i="20"/>
  <c r="T66" i="20"/>
  <c r="U66" i="20"/>
  <c r="V66" i="20"/>
  <c r="W66" i="20"/>
  <c r="X66" i="20"/>
  <c r="Y66" i="20"/>
  <c r="Z66" i="20"/>
  <c r="AA66" i="20"/>
  <c r="AB66" i="20"/>
  <c r="AC66" i="20"/>
  <c r="AD66" i="20"/>
  <c r="AE66" i="20"/>
  <c r="AF66" i="20"/>
  <c r="AG66" i="20"/>
  <c r="AH66" i="20"/>
  <c r="AI66" i="20"/>
  <c r="AJ66" i="20"/>
  <c r="AK66" i="20"/>
  <c r="AL66" i="20"/>
  <c r="AM66" i="20"/>
  <c r="AN66" i="20"/>
  <c r="AO66" i="20"/>
  <c r="AP66" i="20"/>
  <c r="AQ66" i="20"/>
  <c r="AR66" i="20"/>
  <c r="AS66" i="20"/>
  <c r="AT66" i="20"/>
  <c r="AU66" i="20"/>
  <c r="AV66" i="20"/>
  <c r="AX66" i="20"/>
  <c r="AY66" i="20"/>
  <c r="BA66" i="20"/>
  <c r="BB66" i="20"/>
  <c r="BC66" i="20"/>
  <c r="BE66" i="20"/>
  <c r="BG66" i="20"/>
  <c r="BH66" i="20"/>
  <c r="A67" i="20"/>
  <c r="B67" i="20"/>
  <c r="C67" i="20"/>
  <c r="D67" i="20"/>
  <c r="E67" i="20"/>
  <c r="F67" i="20"/>
  <c r="G67" i="20"/>
  <c r="H67" i="20"/>
  <c r="I67" i="20"/>
  <c r="J67" i="20"/>
  <c r="K67" i="20"/>
  <c r="M67" i="20"/>
  <c r="N67" i="20"/>
  <c r="P67" i="20"/>
  <c r="Q67" i="20"/>
  <c r="R67" i="20"/>
  <c r="S67" i="20"/>
  <c r="T67" i="20"/>
  <c r="U67" i="20"/>
  <c r="V67" i="20"/>
  <c r="W67" i="20"/>
  <c r="X67" i="20"/>
  <c r="Y67" i="20"/>
  <c r="Z67" i="20"/>
  <c r="AA67" i="20"/>
  <c r="AB67" i="20"/>
  <c r="AC67" i="20"/>
  <c r="AD67" i="20"/>
  <c r="AE67" i="20"/>
  <c r="AF67" i="20"/>
  <c r="AG67" i="20"/>
  <c r="AH67" i="20"/>
  <c r="AI67" i="20"/>
  <c r="AJ67" i="20"/>
  <c r="AK67" i="20"/>
  <c r="AL67" i="20"/>
  <c r="AM67" i="20"/>
  <c r="AN67" i="20"/>
  <c r="AO67" i="20"/>
  <c r="AP67" i="20"/>
  <c r="AQ67" i="20"/>
  <c r="AR67" i="20"/>
  <c r="AS67" i="20"/>
  <c r="AT67" i="20"/>
  <c r="AU67" i="20"/>
  <c r="AV67" i="20"/>
  <c r="AX67" i="20"/>
  <c r="AY67" i="20"/>
  <c r="BA67" i="20"/>
  <c r="BB67" i="20"/>
  <c r="BC67" i="20"/>
  <c r="BE67" i="20"/>
  <c r="BG67" i="20"/>
  <c r="BH67" i="20"/>
  <c r="A68" i="20"/>
  <c r="B68" i="20"/>
  <c r="C68" i="20"/>
  <c r="D68" i="20"/>
  <c r="E68" i="20"/>
  <c r="F68" i="20"/>
  <c r="G68" i="20"/>
  <c r="H68" i="20"/>
  <c r="I68" i="20"/>
  <c r="J68" i="20"/>
  <c r="K68" i="20"/>
  <c r="M68" i="20"/>
  <c r="N68" i="20"/>
  <c r="O68" i="20"/>
  <c r="P68" i="20"/>
  <c r="Q68" i="20"/>
  <c r="R68" i="20"/>
  <c r="S68" i="20"/>
  <c r="T68" i="20"/>
  <c r="U68" i="20"/>
  <c r="V68" i="20"/>
  <c r="W68" i="20"/>
  <c r="X68" i="20"/>
  <c r="Y68" i="20"/>
  <c r="Z68" i="20"/>
  <c r="AA68" i="20"/>
  <c r="AB68" i="20"/>
  <c r="AC68" i="20"/>
  <c r="AD68" i="20"/>
  <c r="AE68" i="20"/>
  <c r="AF68" i="20"/>
  <c r="AG68" i="20"/>
  <c r="AH68" i="20"/>
  <c r="AI68" i="20"/>
  <c r="AJ68" i="20"/>
  <c r="AK68" i="20"/>
  <c r="AL68" i="20"/>
  <c r="AM68" i="20"/>
  <c r="AN68" i="20"/>
  <c r="AO68" i="20"/>
  <c r="AP68" i="20"/>
  <c r="AQ68" i="20"/>
  <c r="AR68" i="20"/>
  <c r="AS68" i="20"/>
  <c r="AT68" i="20"/>
  <c r="AU68" i="20"/>
  <c r="AV68" i="20"/>
  <c r="AX68" i="20"/>
  <c r="AY68" i="20"/>
  <c r="BA68" i="20"/>
  <c r="BB68" i="20"/>
  <c r="BC68" i="20"/>
  <c r="BE68" i="20"/>
  <c r="BG68" i="20"/>
  <c r="BH68" i="20"/>
  <c r="A69" i="20"/>
  <c r="B69" i="20"/>
  <c r="C69" i="20"/>
  <c r="D69" i="20"/>
  <c r="E69" i="20"/>
  <c r="F69" i="20"/>
  <c r="G69" i="20"/>
  <c r="H69" i="20"/>
  <c r="I69" i="20"/>
  <c r="J69" i="20"/>
  <c r="K69" i="20"/>
  <c r="M69" i="20"/>
  <c r="N69" i="20"/>
  <c r="O69" i="20"/>
  <c r="P69" i="20"/>
  <c r="Q69" i="20"/>
  <c r="R69" i="20"/>
  <c r="S69" i="20"/>
  <c r="T69" i="20"/>
  <c r="U69" i="20"/>
  <c r="V69" i="20"/>
  <c r="W69" i="20"/>
  <c r="X69" i="20"/>
  <c r="Y69" i="20"/>
  <c r="Z69" i="20"/>
  <c r="AA69" i="20"/>
  <c r="AB69" i="20"/>
  <c r="AC69" i="20"/>
  <c r="AD69" i="20"/>
  <c r="AE69" i="20"/>
  <c r="AF69" i="20"/>
  <c r="AG69" i="20"/>
  <c r="AH69" i="20"/>
  <c r="AI69" i="20"/>
  <c r="AJ69" i="20"/>
  <c r="AK69" i="20"/>
  <c r="AL69" i="20"/>
  <c r="AM69" i="20"/>
  <c r="AN69" i="20"/>
  <c r="AO69" i="20"/>
  <c r="AP69" i="20"/>
  <c r="AQ69" i="20"/>
  <c r="AR69" i="20"/>
  <c r="AS69" i="20"/>
  <c r="AT69" i="20"/>
  <c r="AU69" i="20"/>
  <c r="AV69" i="20"/>
  <c r="AX69" i="20"/>
  <c r="AY69" i="20"/>
  <c r="BA69" i="20"/>
  <c r="BB69" i="20"/>
  <c r="BC69" i="20"/>
  <c r="BE69" i="20"/>
  <c r="A70" i="20"/>
  <c r="B70" i="20"/>
  <c r="C70" i="20"/>
  <c r="D70" i="20"/>
  <c r="E70" i="20"/>
  <c r="F70" i="20"/>
  <c r="G70" i="20"/>
  <c r="H70" i="20"/>
  <c r="I70" i="20"/>
  <c r="J70" i="20"/>
  <c r="K70" i="20"/>
  <c r="M70" i="20"/>
  <c r="N70" i="20"/>
  <c r="P70" i="20"/>
  <c r="Q70" i="20"/>
  <c r="R70" i="20"/>
  <c r="S70" i="20"/>
  <c r="T70" i="20"/>
  <c r="U70" i="20"/>
  <c r="V70" i="20"/>
  <c r="W70" i="20"/>
  <c r="X70" i="20"/>
  <c r="Y70" i="20"/>
  <c r="Z70" i="20"/>
  <c r="AA70" i="20"/>
  <c r="AB70" i="20"/>
  <c r="AC70" i="20"/>
  <c r="AD70" i="20"/>
  <c r="AE70" i="20"/>
  <c r="AF70" i="20"/>
  <c r="AG70" i="20"/>
  <c r="AH70" i="20"/>
  <c r="AI70" i="20"/>
  <c r="AJ70" i="20"/>
  <c r="AK70" i="20"/>
  <c r="AL70" i="20"/>
  <c r="AM70" i="20"/>
  <c r="AN70" i="20"/>
  <c r="AO70" i="20"/>
  <c r="AP70" i="20"/>
  <c r="AQ70" i="20"/>
  <c r="AR70" i="20"/>
  <c r="AS70" i="20"/>
  <c r="AT70" i="20"/>
  <c r="AU70" i="20"/>
  <c r="AV70" i="20"/>
  <c r="AX70" i="20"/>
  <c r="AY70" i="20"/>
  <c r="BA70" i="20"/>
  <c r="BB70" i="20"/>
  <c r="BC70" i="20"/>
  <c r="BE70" i="20"/>
  <c r="BG70" i="20"/>
  <c r="BH70" i="20"/>
  <c r="E72" i="20"/>
  <c r="F72" i="20"/>
  <c r="G72" i="20"/>
  <c r="H72" i="20"/>
  <c r="I72" i="20"/>
  <c r="J72" i="20"/>
  <c r="K72" i="20"/>
  <c r="N72" i="20"/>
  <c r="O72" i="20"/>
  <c r="P72" i="20"/>
  <c r="Q72" i="20"/>
  <c r="R72" i="20"/>
  <c r="S72" i="20"/>
  <c r="T72" i="20"/>
  <c r="U72" i="20"/>
  <c r="V72" i="20"/>
  <c r="W72" i="20"/>
  <c r="X72" i="20"/>
  <c r="Y72" i="20"/>
  <c r="Z72" i="20"/>
  <c r="AA72" i="20"/>
  <c r="AB72" i="20"/>
  <c r="AC72" i="20"/>
  <c r="AD72" i="20"/>
  <c r="AE72" i="20"/>
  <c r="AF72" i="20"/>
  <c r="AG72" i="20"/>
  <c r="AH72" i="20"/>
  <c r="AI72" i="20"/>
  <c r="AJ72" i="20"/>
  <c r="AK72" i="20"/>
  <c r="AL72" i="20"/>
  <c r="AM72" i="20"/>
  <c r="AN72" i="20"/>
  <c r="AO72" i="20"/>
  <c r="AP72" i="20"/>
  <c r="AQ72" i="20"/>
  <c r="AR72" i="20"/>
  <c r="AS72" i="20"/>
  <c r="AT72" i="20"/>
  <c r="AU72" i="20"/>
  <c r="AV72" i="20"/>
  <c r="AX72" i="20"/>
  <c r="AY72" i="20"/>
  <c r="BA72" i="20"/>
  <c r="BB72" i="20"/>
  <c r="BC72" i="20"/>
  <c r="BE72" i="20"/>
  <c r="BG72" i="20"/>
  <c r="BH72" i="20"/>
  <c r="A75" i="20"/>
  <c r="B75" i="20"/>
  <c r="C75" i="20"/>
  <c r="D75" i="20"/>
  <c r="E75" i="20"/>
  <c r="F75" i="20"/>
  <c r="G75" i="20"/>
  <c r="H75" i="20"/>
  <c r="I75" i="20"/>
  <c r="J75" i="20"/>
  <c r="K75" i="20"/>
  <c r="M75" i="20"/>
  <c r="N75" i="20"/>
  <c r="P75" i="20"/>
  <c r="Q75" i="20"/>
  <c r="R75" i="20"/>
  <c r="S75" i="20"/>
  <c r="T75" i="20"/>
  <c r="U75" i="20"/>
  <c r="V75" i="20"/>
  <c r="W75" i="20"/>
  <c r="X75" i="20"/>
  <c r="Y75" i="20"/>
  <c r="Z75" i="20"/>
  <c r="AA75" i="20"/>
  <c r="AB75" i="20"/>
  <c r="AC75" i="20"/>
  <c r="AD75" i="20"/>
  <c r="AE75" i="20"/>
  <c r="AF75" i="20"/>
  <c r="AG75" i="20"/>
  <c r="AH75" i="20"/>
  <c r="AI75" i="20"/>
  <c r="AJ75" i="20"/>
  <c r="AK75" i="20"/>
  <c r="AL75" i="20"/>
  <c r="AM75" i="20"/>
  <c r="AN75" i="20"/>
  <c r="AO75" i="20"/>
  <c r="AP75" i="20"/>
  <c r="AQ75" i="20"/>
  <c r="AR75" i="20"/>
  <c r="AS75" i="20"/>
  <c r="AT75" i="20"/>
  <c r="AU75" i="20"/>
  <c r="AV75" i="20"/>
  <c r="AX75" i="20"/>
  <c r="AY75" i="20"/>
  <c r="BA75" i="20"/>
  <c r="BB75" i="20"/>
  <c r="BC75" i="20"/>
  <c r="BE75" i="20"/>
  <c r="BG75" i="20"/>
  <c r="BH75" i="20"/>
  <c r="A76" i="20"/>
  <c r="B76" i="20"/>
  <c r="C76" i="20"/>
  <c r="D76" i="20"/>
  <c r="E76" i="20"/>
  <c r="F76" i="20"/>
  <c r="G76" i="20"/>
  <c r="H76" i="20"/>
  <c r="I76" i="20"/>
  <c r="J76" i="20"/>
  <c r="K76" i="20"/>
  <c r="M76" i="20"/>
  <c r="N76" i="20"/>
  <c r="P76" i="20"/>
  <c r="Q76" i="20"/>
  <c r="R76" i="20"/>
  <c r="S76" i="20"/>
  <c r="T76" i="20"/>
  <c r="U76" i="20"/>
  <c r="V76" i="20"/>
  <c r="W76" i="20"/>
  <c r="X76" i="20"/>
  <c r="Y76" i="20"/>
  <c r="Z76" i="20"/>
  <c r="AA76" i="20"/>
  <c r="AB76" i="20"/>
  <c r="AC76" i="20"/>
  <c r="AD76" i="20"/>
  <c r="AE76" i="20"/>
  <c r="AF76" i="20"/>
  <c r="AG76" i="20"/>
  <c r="AH76" i="20"/>
  <c r="AI76" i="20"/>
  <c r="AJ76" i="20"/>
  <c r="AK76" i="20"/>
  <c r="AL76" i="20"/>
  <c r="AM76" i="20"/>
  <c r="AN76" i="20"/>
  <c r="AO76" i="20"/>
  <c r="AP76" i="20"/>
  <c r="AQ76" i="20"/>
  <c r="AR76" i="20"/>
  <c r="AS76" i="20"/>
  <c r="AT76" i="20"/>
  <c r="AU76" i="20"/>
  <c r="AV76" i="20"/>
  <c r="AX76" i="20"/>
  <c r="AY76" i="20"/>
  <c r="BA76" i="20"/>
  <c r="BB76" i="20"/>
  <c r="BC76" i="20"/>
  <c r="BE76" i="20"/>
  <c r="BG76" i="20"/>
  <c r="BH76" i="20"/>
  <c r="A77" i="20"/>
  <c r="B77" i="20"/>
  <c r="C77" i="20"/>
  <c r="D77" i="20"/>
  <c r="E77" i="20"/>
  <c r="F77" i="20"/>
  <c r="G77" i="20"/>
  <c r="H77" i="20"/>
  <c r="I77" i="20"/>
  <c r="J77" i="20"/>
  <c r="K77" i="20"/>
  <c r="M77" i="20"/>
  <c r="N77" i="20"/>
  <c r="P77" i="20"/>
  <c r="Q77" i="20"/>
  <c r="R77" i="20"/>
  <c r="S77" i="20"/>
  <c r="T77" i="20"/>
  <c r="U77" i="20"/>
  <c r="V77" i="20"/>
  <c r="W77" i="20"/>
  <c r="X77" i="20"/>
  <c r="Y77" i="20"/>
  <c r="Z77" i="20"/>
  <c r="AA77" i="20"/>
  <c r="AB77" i="20"/>
  <c r="AC77" i="20"/>
  <c r="AD77" i="20"/>
  <c r="AE77" i="20"/>
  <c r="AF77" i="20"/>
  <c r="AG77" i="20"/>
  <c r="AH77" i="20"/>
  <c r="AI77" i="20"/>
  <c r="AJ77" i="20"/>
  <c r="AK77" i="20"/>
  <c r="AL77" i="20"/>
  <c r="AM77" i="20"/>
  <c r="AN77" i="20"/>
  <c r="AO77" i="20"/>
  <c r="AP77" i="20"/>
  <c r="AQ77" i="20"/>
  <c r="AR77" i="20"/>
  <c r="AS77" i="20"/>
  <c r="AT77" i="20"/>
  <c r="AU77" i="20"/>
  <c r="AV77" i="20"/>
  <c r="AX77" i="20"/>
  <c r="AY77" i="20"/>
  <c r="BA77" i="20"/>
  <c r="BB77" i="20"/>
  <c r="BC77" i="20"/>
  <c r="BE77" i="20"/>
  <c r="BG77" i="20"/>
  <c r="BH77" i="20"/>
  <c r="A78" i="20"/>
  <c r="B78" i="20"/>
  <c r="C78" i="20"/>
  <c r="D78" i="20"/>
  <c r="E78" i="20"/>
  <c r="F78" i="20"/>
  <c r="G78" i="20"/>
  <c r="H78" i="20"/>
  <c r="I78" i="20"/>
  <c r="J78" i="20"/>
  <c r="K78" i="20"/>
  <c r="M78" i="20"/>
  <c r="N78" i="20"/>
  <c r="P78" i="20"/>
  <c r="Q78" i="20"/>
  <c r="R78" i="20"/>
  <c r="S78" i="20"/>
  <c r="T78" i="20"/>
  <c r="U78" i="20"/>
  <c r="V78" i="20"/>
  <c r="W78" i="20"/>
  <c r="X78" i="20"/>
  <c r="Y78" i="20"/>
  <c r="Z78" i="20"/>
  <c r="AA78" i="20"/>
  <c r="AB78" i="20"/>
  <c r="AC78" i="20"/>
  <c r="AD78" i="20"/>
  <c r="AE78" i="20"/>
  <c r="AF78" i="20"/>
  <c r="AG78" i="20"/>
  <c r="AH78" i="20"/>
  <c r="AI78" i="20"/>
  <c r="AJ78" i="20"/>
  <c r="AK78" i="20"/>
  <c r="AL78" i="20"/>
  <c r="AM78" i="20"/>
  <c r="AN78" i="20"/>
  <c r="AO78" i="20"/>
  <c r="AP78" i="20"/>
  <c r="AQ78" i="20"/>
  <c r="AR78" i="20"/>
  <c r="AS78" i="20"/>
  <c r="AT78" i="20"/>
  <c r="AU78" i="20"/>
  <c r="AV78" i="20"/>
  <c r="AX78" i="20"/>
  <c r="AY78" i="20"/>
  <c r="BA78" i="20"/>
  <c r="BB78" i="20"/>
  <c r="BC78" i="20"/>
  <c r="BE78" i="20"/>
  <c r="BG78" i="20"/>
  <c r="BH78" i="20"/>
  <c r="A79" i="20"/>
  <c r="B79" i="20"/>
  <c r="C79" i="20"/>
  <c r="D79" i="20"/>
  <c r="E79" i="20"/>
  <c r="F79" i="20"/>
  <c r="G79" i="20"/>
  <c r="H79" i="20"/>
  <c r="I79" i="20"/>
  <c r="J79" i="20"/>
  <c r="K79" i="20"/>
  <c r="M79" i="20"/>
  <c r="N79" i="20"/>
  <c r="P79" i="20"/>
  <c r="Q79" i="20"/>
  <c r="R79" i="20"/>
  <c r="S79" i="20"/>
  <c r="T79" i="20"/>
  <c r="U79" i="20"/>
  <c r="V79" i="20"/>
  <c r="W79" i="20"/>
  <c r="X79" i="20"/>
  <c r="Y79" i="20"/>
  <c r="Z79" i="20"/>
  <c r="AA79" i="20"/>
  <c r="AB79" i="20"/>
  <c r="AC79" i="20"/>
  <c r="AD79" i="20"/>
  <c r="AE79" i="20"/>
  <c r="AF79" i="20"/>
  <c r="AG79" i="20"/>
  <c r="AH79" i="20"/>
  <c r="AI79" i="20"/>
  <c r="AJ79" i="20"/>
  <c r="AK79" i="20"/>
  <c r="AL79" i="20"/>
  <c r="AM79" i="20"/>
  <c r="AN79" i="20"/>
  <c r="AO79" i="20"/>
  <c r="AP79" i="20"/>
  <c r="AQ79" i="20"/>
  <c r="AR79" i="20"/>
  <c r="AS79" i="20"/>
  <c r="AT79" i="20"/>
  <c r="AU79" i="20"/>
  <c r="AV79" i="20"/>
  <c r="AX79" i="20"/>
  <c r="AY79" i="20"/>
  <c r="BA79" i="20"/>
  <c r="BB79" i="20"/>
  <c r="BC79" i="20"/>
  <c r="BE79" i="20"/>
  <c r="BG79" i="20"/>
  <c r="BH79" i="20"/>
  <c r="A80" i="20"/>
  <c r="B80" i="20"/>
  <c r="C80" i="20"/>
  <c r="D80" i="20"/>
  <c r="E80" i="20"/>
  <c r="F80" i="20"/>
  <c r="G80" i="20"/>
  <c r="H80" i="20"/>
  <c r="I80" i="20"/>
  <c r="J80" i="20"/>
  <c r="K80" i="20"/>
  <c r="M80" i="20"/>
  <c r="N80" i="20"/>
  <c r="P80" i="20"/>
  <c r="Q80" i="20"/>
  <c r="R80" i="20"/>
  <c r="S80" i="20"/>
  <c r="T80" i="20"/>
  <c r="U80" i="20"/>
  <c r="V80" i="20"/>
  <c r="W80" i="20"/>
  <c r="X80" i="20"/>
  <c r="Y80" i="20"/>
  <c r="Z80" i="20"/>
  <c r="AA80" i="20"/>
  <c r="AB80" i="20"/>
  <c r="AC80" i="20"/>
  <c r="AD80" i="20"/>
  <c r="AE80" i="20"/>
  <c r="AF80" i="20"/>
  <c r="AG80" i="20"/>
  <c r="AH80" i="20"/>
  <c r="AI80" i="20"/>
  <c r="AJ80" i="20"/>
  <c r="AK80" i="20"/>
  <c r="AL80" i="20"/>
  <c r="AM80" i="20"/>
  <c r="AN80" i="20"/>
  <c r="AO80" i="20"/>
  <c r="AP80" i="20"/>
  <c r="AQ80" i="20"/>
  <c r="AR80" i="20"/>
  <c r="AS80" i="20"/>
  <c r="AT80" i="20"/>
  <c r="AU80" i="20"/>
  <c r="AV80" i="20"/>
  <c r="AX80" i="20"/>
  <c r="AY80" i="20"/>
  <c r="BA80" i="20"/>
  <c r="BB80" i="20"/>
  <c r="BC80" i="20"/>
  <c r="BE80" i="20"/>
  <c r="BG80" i="20"/>
  <c r="BH80" i="20"/>
  <c r="A81" i="20"/>
  <c r="B81" i="20"/>
  <c r="C81" i="20"/>
  <c r="D81" i="20"/>
  <c r="E81" i="20"/>
  <c r="F81" i="20"/>
  <c r="G81" i="20"/>
  <c r="H81" i="20"/>
  <c r="I81" i="20"/>
  <c r="J81" i="20"/>
  <c r="K81" i="20"/>
  <c r="M81" i="20"/>
  <c r="N81" i="20"/>
  <c r="P81" i="20"/>
  <c r="Q81" i="20"/>
  <c r="R81" i="20"/>
  <c r="S81" i="20"/>
  <c r="T81" i="20"/>
  <c r="U81" i="20"/>
  <c r="V81" i="20"/>
  <c r="W81" i="20"/>
  <c r="X81" i="20"/>
  <c r="Y81" i="20"/>
  <c r="Z81" i="20"/>
  <c r="AA81" i="20"/>
  <c r="AB81" i="20"/>
  <c r="AC81" i="20"/>
  <c r="AD81" i="20"/>
  <c r="AE81" i="20"/>
  <c r="AF81" i="20"/>
  <c r="AG81" i="20"/>
  <c r="AH81" i="20"/>
  <c r="AI81" i="20"/>
  <c r="AJ81" i="20"/>
  <c r="AK81" i="20"/>
  <c r="AL81" i="20"/>
  <c r="AM81" i="20"/>
  <c r="AN81" i="20"/>
  <c r="AO81" i="20"/>
  <c r="AP81" i="20"/>
  <c r="AQ81" i="20"/>
  <c r="AR81" i="20"/>
  <c r="AS81" i="20"/>
  <c r="AT81" i="20"/>
  <c r="AU81" i="20"/>
  <c r="AV81" i="20"/>
  <c r="AX81" i="20"/>
  <c r="AY81" i="20"/>
  <c r="BA81" i="20"/>
  <c r="BB81" i="20"/>
  <c r="BC81" i="20"/>
  <c r="BE81" i="20"/>
  <c r="BG81" i="20"/>
  <c r="BH81" i="20"/>
  <c r="E83" i="20"/>
  <c r="F83" i="20"/>
  <c r="G83" i="20"/>
  <c r="H83" i="20"/>
  <c r="I83" i="20"/>
  <c r="J83" i="20"/>
  <c r="K83" i="20"/>
  <c r="N83" i="20"/>
  <c r="O83" i="20"/>
  <c r="P83" i="20"/>
  <c r="Q83" i="20"/>
  <c r="R83" i="20"/>
  <c r="S83" i="20"/>
  <c r="T83" i="20"/>
  <c r="U83" i="20"/>
  <c r="V83" i="20"/>
  <c r="W83" i="20"/>
  <c r="X83" i="20"/>
  <c r="Y83" i="20"/>
  <c r="Z83" i="20"/>
  <c r="AA83" i="20"/>
  <c r="AB83" i="20"/>
  <c r="AC83" i="20"/>
  <c r="AD83" i="20"/>
  <c r="AE83" i="20"/>
  <c r="AF83" i="20"/>
  <c r="AG83" i="20"/>
  <c r="AH83" i="20"/>
  <c r="AI83" i="20"/>
  <c r="AJ83" i="20"/>
  <c r="AK83" i="20"/>
  <c r="AL83" i="20"/>
  <c r="AM83" i="20"/>
  <c r="AN83" i="20"/>
  <c r="AO83" i="20"/>
  <c r="AP83" i="20"/>
  <c r="AQ83" i="20"/>
  <c r="AR83" i="20"/>
  <c r="AS83" i="20"/>
  <c r="AT83" i="20"/>
  <c r="AU83" i="20"/>
  <c r="AV83" i="20"/>
  <c r="AX83" i="20"/>
  <c r="AY83" i="20"/>
  <c r="BA83" i="20"/>
  <c r="BB83" i="20"/>
  <c r="BC83" i="20"/>
  <c r="BE83" i="20"/>
  <c r="BG83" i="20"/>
  <c r="BH83" i="20"/>
  <c r="A86" i="20"/>
  <c r="B86" i="20"/>
  <c r="C86" i="20"/>
  <c r="D86" i="20"/>
  <c r="E86" i="20"/>
  <c r="F86" i="20"/>
  <c r="G86" i="20"/>
  <c r="H86" i="20"/>
  <c r="I86" i="20"/>
  <c r="J86" i="20"/>
  <c r="K86" i="20"/>
  <c r="M86" i="20"/>
  <c r="N86" i="20"/>
  <c r="P86" i="20"/>
  <c r="Q86" i="20"/>
  <c r="R86" i="20"/>
  <c r="S86" i="20"/>
  <c r="T86" i="20"/>
  <c r="U86" i="20"/>
  <c r="V86" i="20"/>
  <c r="W86" i="20"/>
  <c r="X86" i="20"/>
  <c r="Y86" i="20"/>
  <c r="Z86" i="20"/>
  <c r="AA86" i="20"/>
  <c r="AB86" i="20"/>
  <c r="AC86" i="20"/>
  <c r="AD86" i="20"/>
  <c r="AE86" i="20"/>
  <c r="AF86" i="20"/>
  <c r="AG86" i="20"/>
  <c r="AH86" i="20"/>
  <c r="AI86" i="20"/>
  <c r="AJ86" i="20"/>
  <c r="AK86" i="20"/>
  <c r="AL86" i="20"/>
  <c r="AM86" i="20"/>
  <c r="AN86" i="20"/>
  <c r="AO86" i="20"/>
  <c r="AP86" i="20"/>
  <c r="AQ86" i="20"/>
  <c r="AR86" i="20"/>
  <c r="AS86" i="20"/>
  <c r="AT86" i="20"/>
  <c r="AU86" i="20"/>
  <c r="AV86" i="20"/>
  <c r="AX86" i="20"/>
  <c r="AY86" i="20"/>
  <c r="BA86" i="20"/>
  <c r="BB86" i="20"/>
  <c r="BC86" i="20"/>
  <c r="BE86" i="20"/>
  <c r="BG86" i="20"/>
  <c r="BH86" i="20"/>
  <c r="A89" i="20"/>
  <c r="B89" i="20"/>
  <c r="C89" i="20"/>
  <c r="D89" i="20"/>
  <c r="E89" i="20"/>
  <c r="F89" i="20"/>
  <c r="G89" i="20"/>
  <c r="H89" i="20"/>
  <c r="I89" i="20"/>
  <c r="J89" i="20"/>
  <c r="K89" i="20"/>
  <c r="M89" i="20"/>
  <c r="N89" i="20"/>
  <c r="P89" i="20"/>
  <c r="Q89" i="20"/>
  <c r="R89" i="20"/>
  <c r="S89" i="20"/>
  <c r="T89" i="20"/>
  <c r="U89" i="20"/>
  <c r="V89" i="20"/>
  <c r="W89" i="20"/>
  <c r="X89" i="20"/>
  <c r="Y89" i="20"/>
  <c r="Z89" i="20"/>
  <c r="AA89" i="20"/>
  <c r="AB89" i="20"/>
  <c r="AC89" i="20"/>
  <c r="AD89" i="20"/>
  <c r="AE89" i="20"/>
  <c r="AF89" i="20"/>
  <c r="AG89" i="20"/>
  <c r="AH89" i="20"/>
  <c r="AI89" i="20"/>
  <c r="AJ89" i="20"/>
  <c r="AK89" i="20"/>
  <c r="AL89" i="20"/>
  <c r="AM89" i="20"/>
  <c r="AN89" i="20"/>
  <c r="AO89" i="20"/>
  <c r="AP89" i="20"/>
  <c r="AQ89" i="20"/>
  <c r="AR89" i="20"/>
  <c r="AS89" i="20"/>
  <c r="AT89" i="20"/>
  <c r="AU89" i="20"/>
  <c r="AV89" i="20"/>
  <c r="AX89" i="20"/>
  <c r="AY89" i="20"/>
  <c r="BA89" i="20"/>
  <c r="BB89" i="20"/>
  <c r="BC89" i="20"/>
  <c r="BE89" i="20"/>
  <c r="BG89" i="20"/>
  <c r="BH89" i="20"/>
  <c r="A92" i="20"/>
  <c r="B92" i="20"/>
  <c r="C92" i="20"/>
  <c r="D92" i="20"/>
  <c r="E92" i="20"/>
  <c r="F92" i="20"/>
  <c r="G92" i="20"/>
  <c r="H92" i="20"/>
  <c r="I92" i="20"/>
  <c r="J92" i="20"/>
  <c r="K92" i="20"/>
  <c r="M92" i="20"/>
  <c r="N92" i="20"/>
  <c r="P92" i="20"/>
  <c r="Q92" i="20"/>
  <c r="R92" i="20"/>
  <c r="S92" i="20"/>
  <c r="T92" i="20"/>
  <c r="U92" i="20"/>
  <c r="V92" i="20"/>
  <c r="W92" i="20"/>
  <c r="X92" i="20"/>
  <c r="Y92" i="20"/>
  <c r="Z92" i="20"/>
  <c r="AA92" i="20"/>
  <c r="AB92" i="20"/>
  <c r="AC92" i="20"/>
  <c r="AD92" i="20"/>
  <c r="AE92" i="20"/>
  <c r="AF92" i="20"/>
  <c r="AG92" i="20"/>
  <c r="AH92" i="20"/>
  <c r="AI92" i="20"/>
  <c r="AJ92" i="20"/>
  <c r="AK92" i="20"/>
  <c r="AL92" i="20"/>
  <c r="AM92" i="20"/>
  <c r="AN92" i="20"/>
  <c r="AO92" i="20"/>
  <c r="AP92" i="20"/>
  <c r="AQ92" i="20"/>
  <c r="AR92" i="20"/>
  <c r="AS92" i="20"/>
  <c r="AT92" i="20"/>
  <c r="AU92" i="20"/>
  <c r="AV92" i="20"/>
  <c r="AX92" i="20"/>
  <c r="AY92" i="20"/>
  <c r="BA92" i="20"/>
  <c r="BB92" i="20"/>
  <c r="BC92" i="20"/>
  <c r="BE92" i="20"/>
  <c r="BG92" i="20"/>
  <c r="BH92" i="20"/>
  <c r="A93" i="20"/>
  <c r="B93" i="20"/>
  <c r="C93" i="20"/>
  <c r="D93" i="20"/>
  <c r="E93" i="20"/>
  <c r="F93" i="20"/>
  <c r="G93" i="20"/>
  <c r="H93" i="20"/>
  <c r="I93" i="20"/>
  <c r="J93" i="20"/>
  <c r="K93" i="20"/>
  <c r="M93" i="20"/>
  <c r="N93" i="20"/>
  <c r="P93" i="20"/>
  <c r="Q93" i="20"/>
  <c r="R93" i="20"/>
  <c r="S93" i="20"/>
  <c r="T93" i="20"/>
  <c r="U93" i="20"/>
  <c r="V93" i="20"/>
  <c r="W93" i="20"/>
  <c r="X93" i="20"/>
  <c r="Y93" i="20"/>
  <c r="Z93" i="20"/>
  <c r="AA93" i="20"/>
  <c r="AB93" i="20"/>
  <c r="AC93" i="20"/>
  <c r="AD93" i="20"/>
  <c r="AE93" i="20"/>
  <c r="AF93" i="20"/>
  <c r="AG93" i="20"/>
  <c r="AH93" i="20"/>
  <c r="AI93" i="20"/>
  <c r="AJ93" i="20"/>
  <c r="AK93" i="20"/>
  <c r="AL93" i="20"/>
  <c r="AM93" i="20"/>
  <c r="AN93" i="20"/>
  <c r="AO93" i="20"/>
  <c r="AP93" i="20"/>
  <c r="AQ93" i="20"/>
  <c r="AR93" i="20"/>
  <c r="AS93" i="20"/>
  <c r="AT93" i="20"/>
  <c r="AU93" i="20"/>
  <c r="AV93" i="20"/>
  <c r="AX93" i="20"/>
  <c r="AY93" i="20"/>
  <c r="BA93" i="20"/>
  <c r="BB93" i="20"/>
  <c r="BC93" i="20"/>
  <c r="BE93" i="20"/>
  <c r="BG93" i="20"/>
  <c r="BH93" i="20"/>
  <c r="A94" i="20"/>
  <c r="B94" i="20"/>
  <c r="C94" i="20"/>
  <c r="D94" i="20"/>
  <c r="E94" i="20"/>
  <c r="F94" i="20"/>
  <c r="G94" i="20"/>
  <c r="H94" i="20"/>
  <c r="I94" i="20"/>
  <c r="J94" i="20"/>
  <c r="K94" i="20"/>
  <c r="M94" i="20"/>
  <c r="N94" i="20"/>
  <c r="P94" i="20"/>
  <c r="Q94" i="20"/>
  <c r="R94" i="20"/>
  <c r="S94" i="20"/>
  <c r="T94" i="20"/>
  <c r="U94" i="20"/>
  <c r="V94" i="20"/>
  <c r="W94" i="20"/>
  <c r="X94" i="20"/>
  <c r="Y94" i="20"/>
  <c r="Z94" i="20"/>
  <c r="AA94" i="20"/>
  <c r="AB94" i="20"/>
  <c r="AC94" i="20"/>
  <c r="AD94" i="20"/>
  <c r="AE94" i="20"/>
  <c r="AF94" i="20"/>
  <c r="AG94" i="20"/>
  <c r="AH94" i="20"/>
  <c r="AI94" i="20"/>
  <c r="AJ94" i="20"/>
  <c r="AK94" i="20"/>
  <c r="AL94" i="20"/>
  <c r="AM94" i="20"/>
  <c r="AN94" i="20"/>
  <c r="AO94" i="20"/>
  <c r="AP94" i="20"/>
  <c r="AQ94" i="20"/>
  <c r="AR94" i="20"/>
  <c r="AS94" i="20"/>
  <c r="AT94" i="20"/>
  <c r="AU94" i="20"/>
  <c r="AV94" i="20"/>
  <c r="AX94" i="20"/>
  <c r="AY94" i="20"/>
  <c r="BA94" i="20"/>
  <c r="BB94" i="20"/>
  <c r="BC94" i="20"/>
  <c r="BE94" i="20"/>
  <c r="BG94" i="20"/>
  <c r="BH94" i="20"/>
  <c r="A95" i="20"/>
  <c r="B95" i="20"/>
  <c r="C95" i="20"/>
  <c r="D95" i="20"/>
  <c r="E95" i="20"/>
  <c r="F95" i="20"/>
  <c r="G95" i="20"/>
  <c r="H95" i="20"/>
  <c r="I95" i="20"/>
  <c r="J95" i="20"/>
  <c r="K95" i="20"/>
  <c r="M95" i="20"/>
  <c r="N95" i="20"/>
  <c r="P95" i="20"/>
  <c r="Q95" i="20"/>
  <c r="R95" i="20"/>
  <c r="S95" i="20"/>
  <c r="T95" i="20"/>
  <c r="U95" i="20"/>
  <c r="V95" i="20"/>
  <c r="W95" i="20"/>
  <c r="X95" i="20"/>
  <c r="Y95" i="20"/>
  <c r="Z95" i="20"/>
  <c r="AA95" i="20"/>
  <c r="AB95" i="20"/>
  <c r="AC95" i="20"/>
  <c r="AD95" i="20"/>
  <c r="AE95" i="20"/>
  <c r="AF95" i="20"/>
  <c r="AG95" i="20"/>
  <c r="AH95" i="20"/>
  <c r="AI95" i="20"/>
  <c r="AJ95" i="20"/>
  <c r="AK95" i="20"/>
  <c r="AL95" i="20"/>
  <c r="AM95" i="20"/>
  <c r="AN95" i="20"/>
  <c r="AO95" i="20"/>
  <c r="AP95" i="20"/>
  <c r="AQ95" i="20"/>
  <c r="AR95" i="20"/>
  <c r="AS95" i="20"/>
  <c r="AT95" i="20"/>
  <c r="AU95" i="20"/>
  <c r="AV95" i="20"/>
  <c r="AX95" i="20"/>
  <c r="AY95" i="20"/>
  <c r="BA95" i="20"/>
  <c r="BB95" i="20"/>
  <c r="BC95" i="20"/>
  <c r="BE95" i="20"/>
  <c r="BG95" i="20"/>
  <c r="BH95" i="20"/>
  <c r="A96" i="20"/>
  <c r="B96" i="20"/>
  <c r="C96" i="20"/>
  <c r="D96" i="20"/>
  <c r="E96" i="20"/>
  <c r="F96" i="20"/>
  <c r="G96" i="20"/>
  <c r="H96" i="20"/>
  <c r="I96" i="20"/>
  <c r="J96" i="20"/>
  <c r="K96" i="20"/>
  <c r="M96" i="20"/>
  <c r="N96" i="20"/>
  <c r="P96" i="20"/>
  <c r="Q96" i="20"/>
  <c r="R96" i="20"/>
  <c r="S96" i="20"/>
  <c r="T96" i="20"/>
  <c r="U96" i="20"/>
  <c r="V96" i="20"/>
  <c r="W96" i="20"/>
  <c r="X96" i="20"/>
  <c r="Y96" i="20"/>
  <c r="Z96" i="20"/>
  <c r="AA96" i="20"/>
  <c r="AB96" i="20"/>
  <c r="AC96" i="20"/>
  <c r="AD96" i="20"/>
  <c r="AE96" i="20"/>
  <c r="AF96" i="20"/>
  <c r="AG96" i="20"/>
  <c r="AH96" i="20"/>
  <c r="AI96" i="20"/>
  <c r="AJ96" i="20"/>
  <c r="AK96" i="20"/>
  <c r="AL96" i="20"/>
  <c r="AM96" i="20"/>
  <c r="AN96" i="20"/>
  <c r="AO96" i="20"/>
  <c r="AP96" i="20"/>
  <c r="AQ96" i="20"/>
  <c r="AR96" i="20"/>
  <c r="AS96" i="20"/>
  <c r="AT96" i="20"/>
  <c r="AU96" i="20"/>
  <c r="AV96" i="20"/>
  <c r="AX96" i="20"/>
  <c r="AY96" i="20"/>
  <c r="BA96" i="20"/>
  <c r="BB96" i="20"/>
  <c r="BC96" i="20"/>
  <c r="BE96" i="20"/>
  <c r="BG96" i="20"/>
  <c r="BH96" i="20"/>
  <c r="A97" i="20"/>
  <c r="B97" i="20"/>
  <c r="C97" i="20"/>
  <c r="D97" i="20"/>
  <c r="E97" i="20"/>
  <c r="F97" i="20"/>
  <c r="G97" i="20"/>
  <c r="H97" i="20"/>
  <c r="I97" i="20"/>
  <c r="J97" i="20"/>
  <c r="K97" i="20"/>
  <c r="M97" i="20"/>
  <c r="N97" i="20"/>
  <c r="P97" i="20"/>
  <c r="Q97" i="20"/>
  <c r="R97" i="20"/>
  <c r="S97" i="20"/>
  <c r="T97" i="20"/>
  <c r="U97" i="20"/>
  <c r="V97" i="20"/>
  <c r="W97" i="20"/>
  <c r="X97" i="20"/>
  <c r="Y97" i="20"/>
  <c r="Z97" i="20"/>
  <c r="AA97" i="20"/>
  <c r="AB97" i="20"/>
  <c r="AC97" i="20"/>
  <c r="AD97" i="20"/>
  <c r="AE97" i="20"/>
  <c r="AF97" i="20"/>
  <c r="AG97" i="20"/>
  <c r="AH97" i="20"/>
  <c r="AI97" i="20"/>
  <c r="AJ97" i="20"/>
  <c r="AK97" i="20"/>
  <c r="AL97" i="20"/>
  <c r="AM97" i="20"/>
  <c r="AN97" i="20"/>
  <c r="AO97" i="20"/>
  <c r="AP97" i="20"/>
  <c r="AQ97" i="20"/>
  <c r="AR97" i="20"/>
  <c r="AS97" i="20"/>
  <c r="AT97" i="20"/>
  <c r="AU97" i="20"/>
  <c r="AV97" i="20"/>
  <c r="AX97" i="20"/>
  <c r="AY97" i="20"/>
  <c r="BA97" i="20"/>
  <c r="BB97" i="20"/>
  <c r="BC97" i="20"/>
  <c r="BE97" i="20"/>
  <c r="BG97" i="20"/>
  <c r="BH97" i="20"/>
  <c r="A98" i="20"/>
  <c r="B98" i="20"/>
  <c r="C98" i="20"/>
  <c r="D98" i="20"/>
  <c r="E98" i="20"/>
  <c r="F98" i="20"/>
  <c r="G98" i="20"/>
  <c r="H98" i="20"/>
  <c r="I98" i="20"/>
  <c r="J98" i="20"/>
  <c r="K98" i="20"/>
  <c r="M98" i="20"/>
  <c r="N98" i="20"/>
  <c r="P98" i="20"/>
  <c r="Q98" i="20"/>
  <c r="R98" i="20"/>
  <c r="S98" i="20"/>
  <c r="T98" i="20"/>
  <c r="U98" i="20"/>
  <c r="V98" i="20"/>
  <c r="W98" i="20"/>
  <c r="X98" i="20"/>
  <c r="Y98" i="20"/>
  <c r="Z98" i="20"/>
  <c r="AA98" i="20"/>
  <c r="AB98" i="20"/>
  <c r="AC98" i="20"/>
  <c r="AD98" i="20"/>
  <c r="AE98" i="20"/>
  <c r="AF98" i="20"/>
  <c r="AG98" i="20"/>
  <c r="AH98" i="20"/>
  <c r="AI98" i="20"/>
  <c r="AJ98" i="20"/>
  <c r="AK98" i="20"/>
  <c r="AL98" i="20"/>
  <c r="AM98" i="20"/>
  <c r="AN98" i="20"/>
  <c r="AO98" i="20"/>
  <c r="AP98" i="20"/>
  <c r="AQ98" i="20"/>
  <c r="AR98" i="20"/>
  <c r="AS98" i="20"/>
  <c r="AT98" i="20"/>
  <c r="AU98" i="20"/>
  <c r="AV98" i="20"/>
  <c r="AX98" i="20"/>
  <c r="AY98" i="20"/>
  <c r="BA98" i="20"/>
  <c r="BB98" i="20"/>
  <c r="BC98" i="20"/>
  <c r="BE98" i="20"/>
  <c r="BG98" i="20"/>
  <c r="BH98" i="20"/>
  <c r="A99" i="20"/>
  <c r="B99" i="20"/>
  <c r="C99" i="20"/>
  <c r="D99" i="20"/>
  <c r="E99" i="20"/>
  <c r="F99" i="20"/>
  <c r="G99" i="20"/>
  <c r="H99" i="20"/>
  <c r="I99" i="20"/>
  <c r="J99" i="20"/>
  <c r="K99" i="20"/>
  <c r="M99" i="20"/>
  <c r="N99" i="20"/>
  <c r="P99" i="20"/>
  <c r="Q99" i="20"/>
  <c r="R99" i="20"/>
  <c r="S99" i="20"/>
  <c r="T99" i="20"/>
  <c r="U99" i="20"/>
  <c r="V99" i="20"/>
  <c r="W99" i="20"/>
  <c r="X99" i="20"/>
  <c r="Y99" i="20"/>
  <c r="Z99" i="20"/>
  <c r="AA99" i="20"/>
  <c r="AB99" i="20"/>
  <c r="AC99" i="20"/>
  <c r="AD99" i="20"/>
  <c r="AE99" i="20"/>
  <c r="AF99" i="20"/>
  <c r="AG99" i="20"/>
  <c r="AH99" i="20"/>
  <c r="AI99" i="20"/>
  <c r="AJ99" i="20"/>
  <c r="AK99" i="20"/>
  <c r="AL99" i="20"/>
  <c r="AM99" i="20"/>
  <c r="AN99" i="20"/>
  <c r="AO99" i="20"/>
  <c r="AP99" i="20"/>
  <c r="AQ99" i="20"/>
  <c r="AR99" i="20"/>
  <c r="AS99" i="20"/>
  <c r="AT99" i="20"/>
  <c r="AU99" i="20"/>
  <c r="AV99" i="20"/>
  <c r="AX99" i="20"/>
  <c r="AY99" i="20"/>
  <c r="BA99" i="20"/>
  <c r="BB99" i="20"/>
  <c r="BC99" i="20"/>
  <c r="BE99" i="20"/>
  <c r="BG99" i="20"/>
  <c r="BH99" i="20"/>
  <c r="A100" i="20"/>
  <c r="B100" i="20"/>
  <c r="C100" i="20"/>
  <c r="D100" i="20"/>
  <c r="E100" i="20"/>
  <c r="F100" i="20"/>
  <c r="G100" i="20"/>
  <c r="H100" i="20"/>
  <c r="I100" i="20"/>
  <c r="J100" i="20"/>
  <c r="K100" i="20"/>
  <c r="M100" i="20"/>
  <c r="N100" i="20"/>
  <c r="P100" i="20"/>
  <c r="Q100" i="20"/>
  <c r="R100" i="20"/>
  <c r="S100" i="20"/>
  <c r="T100" i="20"/>
  <c r="U100" i="20"/>
  <c r="V100" i="20"/>
  <c r="W100" i="20"/>
  <c r="X100" i="20"/>
  <c r="Y100" i="20"/>
  <c r="Z100" i="20"/>
  <c r="AA100" i="20"/>
  <c r="AB100" i="20"/>
  <c r="AC100" i="20"/>
  <c r="AD100" i="20"/>
  <c r="AE100" i="20"/>
  <c r="AF100" i="20"/>
  <c r="AG100" i="20"/>
  <c r="AH100" i="20"/>
  <c r="AI100" i="20"/>
  <c r="AJ100" i="20"/>
  <c r="AK100" i="20"/>
  <c r="AL100" i="20"/>
  <c r="AM100" i="20"/>
  <c r="AN100" i="20"/>
  <c r="AO100" i="20"/>
  <c r="AP100" i="20"/>
  <c r="AQ100" i="20"/>
  <c r="AR100" i="20"/>
  <c r="AS100" i="20"/>
  <c r="AT100" i="20"/>
  <c r="AU100" i="20"/>
  <c r="AV100" i="20"/>
  <c r="AX100" i="20"/>
  <c r="AY100" i="20"/>
  <c r="BA100" i="20"/>
  <c r="BB100" i="20"/>
  <c r="BC100" i="20"/>
  <c r="BE100" i="20"/>
  <c r="BG100" i="20"/>
  <c r="BH100" i="20"/>
  <c r="A101" i="20"/>
  <c r="B101" i="20"/>
  <c r="C101" i="20"/>
  <c r="D101" i="20"/>
  <c r="E101" i="20"/>
  <c r="F101" i="20"/>
  <c r="G101" i="20"/>
  <c r="H101" i="20"/>
  <c r="I101" i="20"/>
  <c r="J101" i="20"/>
  <c r="K101" i="20"/>
  <c r="M101" i="20"/>
  <c r="N101" i="20"/>
  <c r="P101" i="20"/>
  <c r="Q101" i="20"/>
  <c r="R101" i="20"/>
  <c r="S101" i="20"/>
  <c r="T101" i="20"/>
  <c r="U101" i="20"/>
  <c r="V101" i="20"/>
  <c r="W101" i="20"/>
  <c r="X101" i="20"/>
  <c r="Y101" i="20"/>
  <c r="Z101" i="20"/>
  <c r="AA101" i="20"/>
  <c r="AB101" i="20"/>
  <c r="AC101" i="20"/>
  <c r="AD101" i="20"/>
  <c r="AE101" i="20"/>
  <c r="AF101" i="20"/>
  <c r="AG101" i="20"/>
  <c r="AH101" i="20"/>
  <c r="AI101" i="20"/>
  <c r="AJ101" i="20"/>
  <c r="AK101" i="20"/>
  <c r="AL101" i="20"/>
  <c r="AM101" i="20"/>
  <c r="AN101" i="20"/>
  <c r="AO101" i="20"/>
  <c r="AP101" i="20"/>
  <c r="AQ101" i="20"/>
  <c r="AR101" i="20"/>
  <c r="AS101" i="20"/>
  <c r="AT101" i="20"/>
  <c r="AU101" i="20"/>
  <c r="AV101" i="20"/>
  <c r="AX101" i="20"/>
  <c r="AY101" i="20"/>
  <c r="BA101" i="20"/>
  <c r="BB101" i="20"/>
  <c r="BC101" i="20"/>
  <c r="BE101" i="20"/>
  <c r="BG101" i="20"/>
  <c r="BH101" i="20"/>
  <c r="A102" i="20"/>
  <c r="B102" i="20"/>
  <c r="C102" i="20"/>
  <c r="D102" i="20"/>
  <c r="E102" i="20"/>
  <c r="F102" i="20"/>
  <c r="G102" i="20"/>
  <c r="H102" i="20"/>
  <c r="I102" i="20"/>
  <c r="J102" i="20"/>
  <c r="K102" i="20"/>
  <c r="M102" i="20"/>
  <c r="N102" i="20"/>
  <c r="P102" i="20"/>
  <c r="Q102" i="20"/>
  <c r="R102" i="20"/>
  <c r="S102" i="20"/>
  <c r="T102" i="20"/>
  <c r="U102" i="20"/>
  <c r="V102" i="20"/>
  <c r="W102" i="20"/>
  <c r="X102" i="20"/>
  <c r="Y102" i="20"/>
  <c r="Z102" i="20"/>
  <c r="AA102" i="20"/>
  <c r="AB102" i="20"/>
  <c r="AC102" i="20"/>
  <c r="AD102" i="20"/>
  <c r="AE102" i="20"/>
  <c r="AF102" i="20"/>
  <c r="AG102" i="20"/>
  <c r="AH102" i="20"/>
  <c r="AI102" i="20"/>
  <c r="AJ102" i="20"/>
  <c r="AK102" i="20"/>
  <c r="AL102" i="20"/>
  <c r="AM102" i="20"/>
  <c r="AN102" i="20"/>
  <c r="AO102" i="20"/>
  <c r="AP102" i="20"/>
  <c r="AQ102" i="20"/>
  <c r="AR102" i="20"/>
  <c r="AS102" i="20"/>
  <c r="AT102" i="20"/>
  <c r="AU102" i="20"/>
  <c r="AV102" i="20"/>
  <c r="AX102" i="20"/>
  <c r="AY102" i="20"/>
  <c r="BA102" i="20"/>
  <c r="BB102" i="20"/>
  <c r="BC102" i="20"/>
  <c r="BE102" i="20"/>
  <c r="BG102" i="20"/>
  <c r="BH102" i="20"/>
  <c r="A103" i="20"/>
  <c r="B103" i="20"/>
  <c r="C103" i="20"/>
  <c r="D103" i="20"/>
  <c r="E103" i="20"/>
  <c r="F103" i="20"/>
  <c r="G103" i="20"/>
  <c r="H103" i="20"/>
  <c r="I103" i="20"/>
  <c r="J103" i="20"/>
  <c r="K103" i="20"/>
  <c r="M103" i="20"/>
  <c r="N103" i="20"/>
  <c r="P103" i="20"/>
  <c r="Q103" i="20"/>
  <c r="R103" i="20"/>
  <c r="S103" i="20"/>
  <c r="T103" i="20"/>
  <c r="U103" i="20"/>
  <c r="V103" i="20"/>
  <c r="W103" i="20"/>
  <c r="X103" i="20"/>
  <c r="Y103" i="20"/>
  <c r="Z103" i="20"/>
  <c r="AA103" i="20"/>
  <c r="AB103" i="20"/>
  <c r="AC103" i="20"/>
  <c r="AD103" i="20"/>
  <c r="AE103" i="20"/>
  <c r="AF103" i="20"/>
  <c r="AG103" i="20"/>
  <c r="AH103" i="20"/>
  <c r="AI103" i="20"/>
  <c r="AJ103" i="20"/>
  <c r="AK103" i="20"/>
  <c r="AL103" i="20"/>
  <c r="AM103" i="20"/>
  <c r="AN103" i="20"/>
  <c r="AO103" i="20"/>
  <c r="AP103" i="20"/>
  <c r="AQ103" i="20"/>
  <c r="AR103" i="20"/>
  <c r="AS103" i="20"/>
  <c r="AT103" i="20"/>
  <c r="AU103" i="20"/>
  <c r="AV103" i="20"/>
  <c r="AX103" i="20"/>
  <c r="AY103" i="20"/>
  <c r="BA103" i="20"/>
  <c r="BB103" i="20"/>
  <c r="BC103" i="20"/>
  <c r="BE103" i="20"/>
  <c r="BG103" i="20"/>
  <c r="BH103" i="20"/>
  <c r="A104" i="20"/>
  <c r="B104" i="20"/>
  <c r="C104" i="20"/>
  <c r="D104" i="20"/>
  <c r="E104" i="20"/>
  <c r="F104" i="20"/>
  <c r="G104" i="20"/>
  <c r="H104" i="20"/>
  <c r="I104" i="20"/>
  <c r="J104" i="20"/>
  <c r="K104" i="20"/>
  <c r="M104" i="20"/>
  <c r="N104" i="20"/>
  <c r="P104" i="20"/>
  <c r="Q104" i="20"/>
  <c r="R104" i="20"/>
  <c r="S104" i="20"/>
  <c r="T104" i="20"/>
  <c r="U104" i="20"/>
  <c r="V104" i="20"/>
  <c r="W104" i="20"/>
  <c r="X104" i="20"/>
  <c r="Y104" i="20"/>
  <c r="Z104" i="20"/>
  <c r="AA104" i="20"/>
  <c r="AB104" i="20"/>
  <c r="AC104" i="20"/>
  <c r="AD104" i="20"/>
  <c r="AE104" i="20"/>
  <c r="AF104" i="20"/>
  <c r="AG104" i="20"/>
  <c r="AH104" i="20"/>
  <c r="AI104" i="20"/>
  <c r="AJ104" i="20"/>
  <c r="AK104" i="20"/>
  <c r="AL104" i="20"/>
  <c r="AM104" i="20"/>
  <c r="AN104" i="20"/>
  <c r="AO104" i="20"/>
  <c r="AP104" i="20"/>
  <c r="AQ104" i="20"/>
  <c r="AR104" i="20"/>
  <c r="AS104" i="20"/>
  <c r="AT104" i="20"/>
  <c r="AU104" i="20"/>
  <c r="AV104" i="20"/>
  <c r="AX104" i="20"/>
  <c r="AY104" i="20"/>
  <c r="BA104" i="20"/>
  <c r="BB104" i="20"/>
  <c r="BC104" i="20"/>
  <c r="BE104" i="20"/>
  <c r="BG104" i="20"/>
  <c r="BH104" i="20"/>
  <c r="A105" i="20"/>
  <c r="B105" i="20"/>
  <c r="C105" i="20"/>
  <c r="D105" i="20"/>
  <c r="E105" i="20"/>
  <c r="F105" i="20"/>
  <c r="G105" i="20"/>
  <c r="H105" i="20"/>
  <c r="I105" i="20"/>
  <c r="J105" i="20"/>
  <c r="K105" i="20"/>
  <c r="M105" i="20"/>
  <c r="N105" i="20"/>
  <c r="P105" i="20"/>
  <c r="Q105" i="20"/>
  <c r="R105" i="20"/>
  <c r="S105" i="20"/>
  <c r="T105" i="20"/>
  <c r="U105" i="20"/>
  <c r="V105" i="20"/>
  <c r="W105" i="20"/>
  <c r="X105" i="20"/>
  <c r="Y105" i="20"/>
  <c r="Z105" i="20"/>
  <c r="AA105" i="20"/>
  <c r="AB105" i="20"/>
  <c r="AC105" i="20"/>
  <c r="AD105" i="20"/>
  <c r="AE105" i="20"/>
  <c r="AF105" i="20"/>
  <c r="AG105" i="20"/>
  <c r="AH105" i="20"/>
  <c r="AI105" i="20"/>
  <c r="AJ105" i="20"/>
  <c r="AK105" i="20"/>
  <c r="AL105" i="20"/>
  <c r="AM105" i="20"/>
  <c r="AN105" i="20"/>
  <c r="AO105" i="20"/>
  <c r="AP105" i="20"/>
  <c r="AQ105" i="20"/>
  <c r="AR105" i="20"/>
  <c r="AS105" i="20"/>
  <c r="AT105" i="20"/>
  <c r="AU105" i="20"/>
  <c r="AV105" i="20"/>
  <c r="AX105" i="20"/>
  <c r="AY105" i="20"/>
  <c r="BA105" i="20"/>
  <c r="BB105" i="20"/>
  <c r="BC105" i="20"/>
  <c r="BE105" i="20"/>
  <c r="BG105" i="20"/>
  <c r="BH105" i="20"/>
  <c r="A106" i="20"/>
  <c r="B106" i="20"/>
  <c r="C106" i="20"/>
  <c r="D106" i="20"/>
  <c r="E106" i="20"/>
  <c r="F106" i="20"/>
  <c r="G106" i="20"/>
  <c r="H106" i="20"/>
  <c r="I106" i="20"/>
  <c r="J106" i="20"/>
  <c r="K106" i="20"/>
  <c r="M106" i="20"/>
  <c r="N106" i="20"/>
  <c r="P106" i="20"/>
  <c r="Q106" i="20"/>
  <c r="R106" i="20"/>
  <c r="S106" i="20"/>
  <c r="T106" i="20"/>
  <c r="U106" i="20"/>
  <c r="V106" i="20"/>
  <c r="W106" i="20"/>
  <c r="X106" i="20"/>
  <c r="Y106" i="20"/>
  <c r="Z106" i="20"/>
  <c r="AA106" i="20"/>
  <c r="AB106" i="20"/>
  <c r="AC106" i="20"/>
  <c r="AD106" i="20"/>
  <c r="AE106" i="20"/>
  <c r="AF106" i="20"/>
  <c r="AG106" i="20"/>
  <c r="AH106" i="20"/>
  <c r="AI106" i="20"/>
  <c r="AJ106" i="20"/>
  <c r="AK106" i="20"/>
  <c r="AL106" i="20"/>
  <c r="AM106" i="20"/>
  <c r="AN106" i="20"/>
  <c r="AO106" i="20"/>
  <c r="AP106" i="20"/>
  <c r="AQ106" i="20"/>
  <c r="AR106" i="20"/>
  <c r="AS106" i="20"/>
  <c r="AT106" i="20"/>
  <c r="AU106" i="20"/>
  <c r="AV106" i="20"/>
  <c r="AX106" i="20"/>
  <c r="AY106" i="20"/>
  <c r="BA106" i="20"/>
  <c r="BB106" i="20"/>
  <c r="BC106" i="20"/>
  <c r="BE106" i="20"/>
  <c r="BG106" i="20"/>
  <c r="BH106" i="20"/>
  <c r="A107" i="20"/>
  <c r="B107" i="20"/>
  <c r="C107" i="20"/>
  <c r="D107" i="20"/>
  <c r="E107" i="20"/>
  <c r="F107" i="20"/>
  <c r="G107" i="20"/>
  <c r="H107" i="20"/>
  <c r="I107" i="20"/>
  <c r="J107" i="20"/>
  <c r="K107" i="20"/>
  <c r="M107" i="20"/>
  <c r="N107" i="20"/>
  <c r="P107" i="20"/>
  <c r="Q107" i="20"/>
  <c r="R107" i="20"/>
  <c r="S107" i="20"/>
  <c r="T107" i="20"/>
  <c r="U107" i="20"/>
  <c r="V107" i="20"/>
  <c r="W107" i="20"/>
  <c r="X107" i="20"/>
  <c r="Y107" i="20"/>
  <c r="Z107" i="20"/>
  <c r="AA107" i="20"/>
  <c r="AB107" i="20"/>
  <c r="AC107" i="20"/>
  <c r="AD107" i="20"/>
  <c r="AE107" i="20"/>
  <c r="AF107" i="20"/>
  <c r="AG107" i="20"/>
  <c r="AH107" i="20"/>
  <c r="AI107" i="20"/>
  <c r="AJ107" i="20"/>
  <c r="AK107" i="20"/>
  <c r="AL107" i="20"/>
  <c r="AM107" i="20"/>
  <c r="AN107" i="20"/>
  <c r="AO107" i="20"/>
  <c r="AP107" i="20"/>
  <c r="AQ107" i="20"/>
  <c r="AR107" i="20"/>
  <c r="AS107" i="20"/>
  <c r="AT107" i="20"/>
  <c r="AU107" i="20"/>
  <c r="AV107" i="20"/>
  <c r="AX107" i="20"/>
  <c r="AY107" i="20"/>
  <c r="BA107" i="20"/>
  <c r="BB107" i="20"/>
  <c r="BC107" i="20"/>
  <c r="BE107" i="20"/>
  <c r="BG107" i="20"/>
  <c r="BH107" i="20"/>
  <c r="A108" i="20"/>
  <c r="B108" i="20"/>
  <c r="C108" i="20"/>
  <c r="D108" i="20"/>
  <c r="E108" i="20"/>
  <c r="F108" i="20"/>
  <c r="G108" i="20"/>
  <c r="H108" i="20"/>
  <c r="I108" i="20"/>
  <c r="J108" i="20"/>
  <c r="K108" i="20"/>
  <c r="M108" i="20"/>
  <c r="N108" i="20"/>
  <c r="P108" i="20"/>
  <c r="Q108" i="20"/>
  <c r="R108" i="20"/>
  <c r="S108" i="20"/>
  <c r="T108" i="20"/>
  <c r="U108" i="20"/>
  <c r="V108" i="20"/>
  <c r="W108" i="20"/>
  <c r="X108" i="20"/>
  <c r="Y108" i="20"/>
  <c r="Z108" i="20"/>
  <c r="AA108" i="20"/>
  <c r="AB108" i="20"/>
  <c r="AC108" i="20"/>
  <c r="AD108" i="20"/>
  <c r="AE108" i="20"/>
  <c r="AF108" i="20"/>
  <c r="AG108" i="20"/>
  <c r="AH108" i="20"/>
  <c r="AI108" i="20"/>
  <c r="AJ108" i="20"/>
  <c r="AK108" i="20"/>
  <c r="AL108" i="20"/>
  <c r="AM108" i="20"/>
  <c r="AN108" i="20"/>
  <c r="AO108" i="20"/>
  <c r="AP108" i="20"/>
  <c r="AQ108" i="20"/>
  <c r="AR108" i="20"/>
  <c r="AS108" i="20"/>
  <c r="AT108" i="20"/>
  <c r="AU108" i="20"/>
  <c r="AV108" i="20"/>
  <c r="AX108" i="20"/>
  <c r="AY108" i="20"/>
  <c r="BA108" i="20"/>
  <c r="BB108" i="20"/>
  <c r="BC108" i="20"/>
  <c r="BE108" i="20"/>
  <c r="BG108" i="20"/>
  <c r="BH108" i="20"/>
  <c r="A109" i="20"/>
  <c r="B109" i="20"/>
  <c r="C109" i="20"/>
  <c r="D109" i="20"/>
  <c r="E109" i="20"/>
  <c r="F109" i="20"/>
  <c r="G109" i="20"/>
  <c r="H109" i="20"/>
  <c r="I109" i="20"/>
  <c r="J109" i="20"/>
  <c r="K109" i="20"/>
  <c r="M109" i="20"/>
  <c r="N109" i="20"/>
  <c r="P109" i="20"/>
  <c r="Q109" i="20"/>
  <c r="R109" i="20"/>
  <c r="S109" i="20"/>
  <c r="T109" i="20"/>
  <c r="U109" i="20"/>
  <c r="V109" i="20"/>
  <c r="W109" i="20"/>
  <c r="X109" i="20"/>
  <c r="Y109" i="20"/>
  <c r="Z109" i="20"/>
  <c r="AA109" i="20"/>
  <c r="AB109" i="20"/>
  <c r="AC109" i="20"/>
  <c r="AD109" i="20"/>
  <c r="AE109" i="20"/>
  <c r="AF109" i="20"/>
  <c r="AG109" i="20"/>
  <c r="AH109" i="20"/>
  <c r="AI109" i="20"/>
  <c r="AJ109" i="20"/>
  <c r="AK109" i="20"/>
  <c r="AL109" i="20"/>
  <c r="AM109" i="20"/>
  <c r="AN109" i="20"/>
  <c r="AO109" i="20"/>
  <c r="AP109" i="20"/>
  <c r="AQ109" i="20"/>
  <c r="AR109" i="20"/>
  <c r="AS109" i="20"/>
  <c r="AT109" i="20"/>
  <c r="AU109" i="20"/>
  <c r="AV109" i="20"/>
  <c r="AX109" i="20"/>
  <c r="AY109" i="20"/>
  <c r="BA109" i="20"/>
  <c r="BB109" i="20"/>
  <c r="BC109" i="20"/>
  <c r="BE109" i="20"/>
  <c r="BG109" i="20"/>
  <c r="BH109" i="20"/>
  <c r="A110" i="20"/>
  <c r="B110" i="20"/>
  <c r="C110" i="20"/>
  <c r="D110" i="20"/>
  <c r="E110" i="20"/>
  <c r="F110" i="20"/>
  <c r="G110" i="20"/>
  <c r="H110" i="20"/>
  <c r="I110" i="20"/>
  <c r="J110" i="20"/>
  <c r="K110" i="20"/>
  <c r="M110" i="20"/>
  <c r="N110" i="20"/>
  <c r="P110" i="20"/>
  <c r="Q110" i="20"/>
  <c r="R110" i="20"/>
  <c r="S110" i="20"/>
  <c r="T110" i="20"/>
  <c r="U110" i="20"/>
  <c r="V110" i="20"/>
  <c r="W110" i="20"/>
  <c r="X110" i="20"/>
  <c r="Y110" i="20"/>
  <c r="Z110" i="20"/>
  <c r="AA110" i="20"/>
  <c r="AB110" i="20"/>
  <c r="AC110" i="20"/>
  <c r="AD110" i="20"/>
  <c r="AE110" i="20"/>
  <c r="AF110" i="20"/>
  <c r="AG110" i="20"/>
  <c r="AH110" i="20"/>
  <c r="AI110" i="20"/>
  <c r="AJ110" i="20"/>
  <c r="AK110" i="20"/>
  <c r="AL110" i="20"/>
  <c r="AM110" i="20"/>
  <c r="AN110" i="20"/>
  <c r="AO110" i="20"/>
  <c r="AP110" i="20"/>
  <c r="AQ110" i="20"/>
  <c r="AR110" i="20"/>
  <c r="AS110" i="20"/>
  <c r="AT110" i="20"/>
  <c r="AU110" i="20"/>
  <c r="AV110" i="20"/>
  <c r="AX110" i="20"/>
  <c r="AY110" i="20"/>
  <c r="BA110" i="20"/>
  <c r="BB110" i="20"/>
  <c r="BC110" i="20"/>
  <c r="BE110" i="20"/>
  <c r="BG110" i="20"/>
  <c r="BH110" i="20"/>
  <c r="A111" i="20"/>
  <c r="B111" i="20"/>
  <c r="C111" i="20"/>
  <c r="D111" i="20"/>
  <c r="E111" i="20"/>
  <c r="F111" i="20"/>
  <c r="G111" i="20"/>
  <c r="H111" i="20"/>
  <c r="I111" i="20"/>
  <c r="J111" i="20"/>
  <c r="K111" i="20"/>
  <c r="M111" i="20"/>
  <c r="N111" i="20"/>
  <c r="P111" i="20"/>
  <c r="Q111" i="20"/>
  <c r="R111" i="20"/>
  <c r="S111" i="20"/>
  <c r="T111" i="20"/>
  <c r="U111" i="20"/>
  <c r="V111" i="20"/>
  <c r="W111" i="20"/>
  <c r="X111" i="20"/>
  <c r="Y111" i="20"/>
  <c r="Z111" i="20"/>
  <c r="AA111" i="20"/>
  <c r="AB111" i="20"/>
  <c r="AC111" i="20"/>
  <c r="AD111" i="20"/>
  <c r="AE111" i="20"/>
  <c r="AF111" i="20"/>
  <c r="AG111" i="20"/>
  <c r="AH111" i="20"/>
  <c r="AI111" i="20"/>
  <c r="AJ111" i="20"/>
  <c r="AK111" i="20"/>
  <c r="AL111" i="20"/>
  <c r="AM111" i="20"/>
  <c r="AN111" i="20"/>
  <c r="AO111" i="20"/>
  <c r="AP111" i="20"/>
  <c r="AQ111" i="20"/>
  <c r="AR111" i="20"/>
  <c r="AS111" i="20"/>
  <c r="AT111" i="20"/>
  <c r="AU111" i="20"/>
  <c r="AV111" i="20"/>
  <c r="AX111" i="20"/>
  <c r="AY111" i="20"/>
  <c r="BA111" i="20"/>
  <c r="BB111" i="20"/>
  <c r="BC111" i="20"/>
  <c r="BE111" i="20"/>
  <c r="BG111" i="20"/>
  <c r="BH111" i="20"/>
  <c r="A112" i="20"/>
  <c r="B112" i="20"/>
  <c r="C112" i="20"/>
  <c r="D112" i="20"/>
  <c r="E112" i="20"/>
  <c r="F112" i="20"/>
  <c r="G112" i="20"/>
  <c r="H112" i="20"/>
  <c r="I112" i="20"/>
  <c r="J112" i="20"/>
  <c r="K112" i="20"/>
  <c r="M112" i="20"/>
  <c r="N112" i="20"/>
  <c r="P112" i="20"/>
  <c r="Q112" i="20"/>
  <c r="R112" i="20"/>
  <c r="S112" i="20"/>
  <c r="T112" i="20"/>
  <c r="U112" i="20"/>
  <c r="V112" i="20"/>
  <c r="W112" i="20"/>
  <c r="X112" i="20"/>
  <c r="Y112" i="20"/>
  <c r="Z112" i="20"/>
  <c r="AA112" i="20"/>
  <c r="AB112" i="20"/>
  <c r="AC112" i="20"/>
  <c r="AD112" i="20"/>
  <c r="AE112" i="20"/>
  <c r="AF112" i="20"/>
  <c r="AG112" i="20"/>
  <c r="AH112" i="20"/>
  <c r="AI112" i="20"/>
  <c r="AJ112" i="20"/>
  <c r="AK112" i="20"/>
  <c r="AL112" i="20"/>
  <c r="AM112" i="20"/>
  <c r="AN112" i="20"/>
  <c r="AO112" i="20"/>
  <c r="AP112" i="20"/>
  <c r="AQ112" i="20"/>
  <c r="AR112" i="20"/>
  <c r="AS112" i="20"/>
  <c r="AT112" i="20"/>
  <c r="AU112" i="20"/>
  <c r="AV112" i="20"/>
  <c r="AX112" i="20"/>
  <c r="AY112" i="20"/>
  <c r="BA112" i="20"/>
  <c r="BB112" i="20"/>
  <c r="BC112" i="20"/>
  <c r="BE112" i="20"/>
  <c r="BG112" i="20"/>
  <c r="BH112" i="20"/>
  <c r="A113" i="20"/>
  <c r="B113" i="20"/>
  <c r="C113" i="20"/>
  <c r="D113" i="20"/>
  <c r="E113" i="20"/>
  <c r="F113" i="20"/>
  <c r="G113" i="20"/>
  <c r="H113" i="20"/>
  <c r="I113" i="20"/>
  <c r="J113" i="20"/>
  <c r="K113" i="20"/>
  <c r="M113" i="20"/>
  <c r="N113" i="20"/>
  <c r="P113" i="20"/>
  <c r="Q113" i="20"/>
  <c r="R113" i="20"/>
  <c r="S113" i="20"/>
  <c r="T113" i="20"/>
  <c r="U113" i="20"/>
  <c r="V113" i="20"/>
  <c r="W113" i="20"/>
  <c r="X113" i="20"/>
  <c r="Y113" i="20"/>
  <c r="Z113" i="20"/>
  <c r="AA113" i="20"/>
  <c r="AB113" i="20"/>
  <c r="AC113" i="20"/>
  <c r="AD113" i="20"/>
  <c r="AE113" i="20"/>
  <c r="AF113" i="20"/>
  <c r="AG113" i="20"/>
  <c r="AH113" i="20"/>
  <c r="AI113" i="20"/>
  <c r="AJ113" i="20"/>
  <c r="AK113" i="20"/>
  <c r="AL113" i="20"/>
  <c r="AM113" i="20"/>
  <c r="AN113" i="20"/>
  <c r="AO113" i="20"/>
  <c r="AP113" i="20"/>
  <c r="AQ113" i="20"/>
  <c r="AR113" i="20"/>
  <c r="AS113" i="20"/>
  <c r="AT113" i="20"/>
  <c r="AU113" i="20"/>
  <c r="AV113" i="20"/>
  <c r="AX113" i="20"/>
  <c r="AY113" i="20"/>
  <c r="BA113" i="20"/>
  <c r="BB113" i="20"/>
  <c r="BC113" i="20"/>
  <c r="BE113" i="20"/>
  <c r="BG113" i="20"/>
  <c r="BH113" i="20"/>
  <c r="A114" i="20"/>
  <c r="B114" i="20"/>
  <c r="C114" i="20"/>
  <c r="D114" i="20"/>
  <c r="E114" i="20"/>
  <c r="F114" i="20"/>
  <c r="G114" i="20"/>
  <c r="H114" i="20"/>
  <c r="I114" i="20"/>
  <c r="J114" i="20"/>
  <c r="K114" i="20"/>
  <c r="M114" i="20"/>
  <c r="N114" i="20"/>
  <c r="P114" i="20"/>
  <c r="Q114" i="20"/>
  <c r="R114" i="20"/>
  <c r="S114" i="20"/>
  <c r="T114" i="20"/>
  <c r="U114" i="20"/>
  <c r="V114" i="20"/>
  <c r="W114" i="20"/>
  <c r="X114" i="20"/>
  <c r="Y114" i="20"/>
  <c r="Z114" i="20"/>
  <c r="AA114" i="20"/>
  <c r="AB114" i="20"/>
  <c r="AC114" i="20"/>
  <c r="AD114" i="20"/>
  <c r="AE114" i="20"/>
  <c r="AF114" i="20"/>
  <c r="AG114" i="20"/>
  <c r="AH114" i="20"/>
  <c r="AI114" i="20"/>
  <c r="AJ114" i="20"/>
  <c r="AK114" i="20"/>
  <c r="AL114" i="20"/>
  <c r="AM114" i="20"/>
  <c r="AN114" i="20"/>
  <c r="AO114" i="20"/>
  <c r="AP114" i="20"/>
  <c r="AQ114" i="20"/>
  <c r="AR114" i="20"/>
  <c r="AS114" i="20"/>
  <c r="AT114" i="20"/>
  <c r="AU114" i="20"/>
  <c r="AV114" i="20"/>
  <c r="AX114" i="20"/>
  <c r="AY114" i="20"/>
  <c r="BA114" i="20"/>
  <c r="BB114" i="20"/>
  <c r="BC114" i="20"/>
  <c r="BE114" i="20"/>
  <c r="BG114" i="20"/>
  <c r="BH114" i="20"/>
  <c r="A115" i="20"/>
  <c r="B115" i="20"/>
  <c r="C115" i="20"/>
  <c r="D115" i="20"/>
  <c r="E115" i="20"/>
  <c r="F115" i="20"/>
  <c r="G115" i="20"/>
  <c r="H115" i="20"/>
  <c r="I115" i="20"/>
  <c r="J115" i="20"/>
  <c r="K115" i="20"/>
  <c r="M115" i="20"/>
  <c r="N115" i="20"/>
  <c r="P115" i="20"/>
  <c r="Q115" i="20"/>
  <c r="R115" i="20"/>
  <c r="S115" i="20"/>
  <c r="T115" i="20"/>
  <c r="U115" i="20"/>
  <c r="V115" i="20"/>
  <c r="W115" i="20"/>
  <c r="X115" i="20"/>
  <c r="Y115" i="20"/>
  <c r="Z115" i="20"/>
  <c r="AA115" i="20"/>
  <c r="AB115" i="20"/>
  <c r="AC115" i="20"/>
  <c r="AD115" i="20"/>
  <c r="AE115" i="20"/>
  <c r="AF115" i="20"/>
  <c r="AG115" i="20"/>
  <c r="AH115" i="20"/>
  <c r="AI115" i="20"/>
  <c r="AJ115" i="20"/>
  <c r="AK115" i="20"/>
  <c r="AL115" i="20"/>
  <c r="AM115" i="20"/>
  <c r="AN115" i="20"/>
  <c r="AO115" i="20"/>
  <c r="AP115" i="20"/>
  <c r="AQ115" i="20"/>
  <c r="AR115" i="20"/>
  <c r="AS115" i="20"/>
  <c r="AT115" i="20"/>
  <c r="AU115" i="20"/>
  <c r="AV115" i="20"/>
  <c r="AX115" i="20"/>
  <c r="AY115" i="20"/>
  <c r="BA115" i="20"/>
  <c r="BB115" i="20"/>
  <c r="BC115" i="20"/>
  <c r="BE115" i="20"/>
  <c r="BG115" i="20"/>
  <c r="BH115" i="20"/>
  <c r="A116" i="20"/>
  <c r="B116" i="20"/>
  <c r="C116" i="20"/>
  <c r="D116" i="20"/>
  <c r="E116" i="20"/>
  <c r="F116" i="20"/>
  <c r="G116" i="20"/>
  <c r="H116" i="20"/>
  <c r="I116" i="20"/>
  <c r="J116" i="20"/>
  <c r="K116" i="20"/>
  <c r="M116" i="20"/>
  <c r="N116" i="20"/>
  <c r="P116" i="20"/>
  <c r="Q116" i="20"/>
  <c r="R116" i="20"/>
  <c r="S116" i="20"/>
  <c r="T116" i="20"/>
  <c r="U116" i="20"/>
  <c r="V116" i="20"/>
  <c r="W116" i="20"/>
  <c r="X116" i="20"/>
  <c r="Y116" i="20"/>
  <c r="Z116" i="20"/>
  <c r="AA116" i="20"/>
  <c r="AB116" i="20"/>
  <c r="AC116" i="20"/>
  <c r="AD116" i="20"/>
  <c r="AE116" i="20"/>
  <c r="AF116" i="20"/>
  <c r="AG116" i="20"/>
  <c r="AH116" i="20"/>
  <c r="AI116" i="20"/>
  <c r="AJ116" i="20"/>
  <c r="AK116" i="20"/>
  <c r="AL116" i="20"/>
  <c r="AM116" i="20"/>
  <c r="AN116" i="20"/>
  <c r="AO116" i="20"/>
  <c r="AP116" i="20"/>
  <c r="AQ116" i="20"/>
  <c r="AR116" i="20"/>
  <c r="AS116" i="20"/>
  <c r="AT116" i="20"/>
  <c r="AU116" i="20"/>
  <c r="AV116" i="20"/>
  <c r="AX116" i="20"/>
  <c r="AY116" i="20"/>
  <c r="BA116" i="20"/>
  <c r="BB116" i="20"/>
  <c r="BC116" i="20"/>
  <c r="BE116" i="20"/>
  <c r="BG116" i="20"/>
  <c r="BH116" i="20"/>
  <c r="E118" i="20"/>
  <c r="F118" i="20"/>
  <c r="G118" i="20"/>
  <c r="H118" i="20"/>
  <c r="I118" i="20"/>
  <c r="J118" i="20"/>
  <c r="K118" i="20"/>
  <c r="N118" i="20"/>
  <c r="O118" i="20"/>
  <c r="P118" i="20"/>
  <c r="Q118" i="20"/>
  <c r="R118" i="20"/>
  <c r="S118" i="20"/>
  <c r="T118" i="20"/>
  <c r="U118" i="20"/>
  <c r="V118" i="20"/>
  <c r="W118" i="20"/>
  <c r="X118" i="20"/>
  <c r="Y118" i="20"/>
  <c r="Z118" i="20"/>
  <c r="AA118" i="20"/>
  <c r="AB118" i="20"/>
  <c r="AC118" i="20"/>
  <c r="AD118" i="20"/>
  <c r="AE118" i="20"/>
  <c r="AF118" i="20"/>
  <c r="AG118" i="20"/>
  <c r="AH118" i="20"/>
  <c r="AI118" i="20"/>
  <c r="AJ118" i="20"/>
  <c r="AK118" i="20"/>
  <c r="AL118" i="20"/>
  <c r="AM118" i="20"/>
  <c r="AN118" i="20"/>
  <c r="AO118" i="20"/>
  <c r="AP118" i="20"/>
  <c r="AQ118" i="20"/>
  <c r="AR118" i="20"/>
  <c r="AS118" i="20"/>
  <c r="AT118" i="20"/>
  <c r="AU118" i="20"/>
  <c r="AV118" i="20"/>
  <c r="AX118" i="20"/>
  <c r="AY118" i="20"/>
  <c r="BA118" i="20"/>
  <c r="BB118" i="20"/>
  <c r="BC118" i="20"/>
  <c r="BE118" i="20"/>
  <c r="BG118" i="20"/>
  <c r="BH118" i="20"/>
  <c r="A121" i="20"/>
  <c r="B121" i="20"/>
  <c r="C121" i="20"/>
  <c r="D121" i="20"/>
  <c r="E121" i="20"/>
  <c r="F121" i="20"/>
  <c r="G121" i="20"/>
  <c r="H121" i="20"/>
  <c r="I121" i="20"/>
  <c r="J121" i="20"/>
  <c r="K121" i="20"/>
  <c r="M121" i="20"/>
  <c r="N121" i="20"/>
  <c r="P121" i="20"/>
  <c r="Q121" i="20"/>
  <c r="R121" i="20"/>
  <c r="S121" i="20"/>
  <c r="T121" i="20"/>
  <c r="U121" i="20"/>
  <c r="V121" i="20"/>
  <c r="W121" i="20"/>
  <c r="X121" i="20"/>
  <c r="Y121" i="20"/>
  <c r="Z121" i="20"/>
  <c r="AA121" i="20"/>
  <c r="AB121" i="20"/>
  <c r="AC121" i="20"/>
  <c r="AD121" i="20"/>
  <c r="AE121" i="20"/>
  <c r="AF121" i="20"/>
  <c r="AG121" i="20"/>
  <c r="AH121" i="20"/>
  <c r="AI121" i="20"/>
  <c r="AJ121" i="20"/>
  <c r="AK121" i="20"/>
  <c r="AL121" i="20"/>
  <c r="AM121" i="20"/>
  <c r="AN121" i="20"/>
  <c r="AO121" i="20"/>
  <c r="AP121" i="20"/>
  <c r="AQ121" i="20"/>
  <c r="AR121" i="20"/>
  <c r="AS121" i="20"/>
  <c r="AT121" i="20"/>
  <c r="AU121" i="20"/>
  <c r="AV121" i="20"/>
  <c r="AX121" i="20"/>
  <c r="AY121" i="20"/>
  <c r="BA121" i="20"/>
  <c r="BB121" i="20"/>
  <c r="BC121" i="20"/>
  <c r="BE121" i="20"/>
  <c r="BG121" i="20"/>
  <c r="BH121" i="20"/>
  <c r="A122" i="20"/>
  <c r="B122" i="20"/>
  <c r="C122" i="20"/>
  <c r="D122" i="20"/>
  <c r="E122" i="20"/>
  <c r="F122" i="20"/>
  <c r="G122" i="20"/>
  <c r="H122" i="20"/>
  <c r="I122" i="20"/>
  <c r="J122" i="20"/>
  <c r="K122" i="20"/>
  <c r="M122" i="20"/>
  <c r="N122" i="20"/>
  <c r="P122" i="20"/>
  <c r="Q122" i="20"/>
  <c r="R122" i="20"/>
  <c r="S122" i="20"/>
  <c r="T122" i="20"/>
  <c r="U122" i="20"/>
  <c r="V122" i="20"/>
  <c r="W122" i="20"/>
  <c r="X122" i="20"/>
  <c r="Y122" i="20"/>
  <c r="Z122" i="20"/>
  <c r="AA122" i="20"/>
  <c r="AB122" i="20"/>
  <c r="AC122" i="20"/>
  <c r="AD122" i="20"/>
  <c r="AE122" i="20"/>
  <c r="AF122" i="20"/>
  <c r="AG122" i="20"/>
  <c r="AH122" i="20"/>
  <c r="AI122" i="20"/>
  <c r="AJ122" i="20"/>
  <c r="AK122" i="20"/>
  <c r="AL122" i="20"/>
  <c r="AM122" i="20"/>
  <c r="AN122" i="20"/>
  <c r="AO122" i="20"/>
  <c r="AP122" i="20"/>
  <c r="AQ122" i="20"/>
  <c r="AR122" i="20"/>
  <c r="AS122" i="20"/>
  <c r="AT122" i="20"/>
  <c r="AU122" i="20"/>
  <c r="AV122" i="20"/>
  <c r="AX122" i="20"/>
  <c r="AY122" i="20"/>
  <c r="BA122" i="20"/>
  <c r="BB122" i="20"/>
  <c r="BC122" i="20"/>
  <c r="BE122" i="20"/>
  <c r="BG122" i="20"/>
  <c r="BH122" i="20"/>
  <c r="A123" i="20"/>
  <c r="B123" i="20"/>
  <c r="C123" i="20"/>
  <c r="D123" i="20"/>
  <c r="E123" i="20"/>
  <c r="F123" i="20"/>
  <c r="G123" i="20"/>
  <c r="H123" i="20"/>
  <c r="I123" i="20"/>
  <c r="J123" i="20"/>
  <c r="K123" i="20"/>
  <c r="M123" i="20"/>
  <c r="N123" i="20"/>
  <c r="P123" i="20"/>
  <c r="Q123" i="20"/>
  <c r="R123" i="20"/>
  <c r="S123" i="20"/>
  <c r="T123" i="20"/>
  <c r="U123" i="20"/>
  <c r="V123" i="20"/>
  <c r="W123" i="20"/>
  <c r="X123" i="20"/>
  <c r="Y123" i="20"/>
  <c r="Z123" i="20"/>
  <c r="AA123" i="20"/>
  <c r="AB123" i="20"/>
  <c r="AC123" i="20"/>
  <c r="AD123" i="20"/>
  <c r="AE123" i="20"/>
  <c r="AF123" i="20"/>
  <c r="AG123" i="20"/>
  <c r="AH123" i="20"/>
  <c r="AI123" i="20"/>
  <c r="AJ123" i="20"/>
  <c r="AK123" i="20"/>
  <c r="AL123" i="20"/>
  <c r="AM123" i="20"/>
  <c r="AN123" i="20"/>
  <c r="AO123" i="20"/>
  <c r="AP123" i="20"/>
  <c r="AQ123" i="20"/>
  <c r="AR123" i="20"/>
  <c r="AS123" i="20"/>
  <c r="AT123" i="20"/>
  <c r="AU123" i="20"/>
  <c r="AV123" i="20"/>
  <c r="AX123" i="20"/>
  <c r="AY123" i="20"/>
  <c r="BA123" i="20"/>
  <c r="BB123" i="20"/>
  <c r="BC123" i="20"/>
  <c r="BE123" i="20"/>
  <c r="BG123" i="20"/>
  <c r="BH123" i="20"/>
  <c r="A124" i="20"/>
  <c r="B124" i="20"/>
  <c r="C124" i="20"/>
  <c r="D124" i="20"/>
  <c r="E124" i="20"/>
  <c r="F124" i="20"/>
  <c r="G124" i="20"/>
  <c r="H124" i="20"/>
  <c r="I124" i="20"/>
  <c r="J124" i="20"/>
  <c r="K124" i="20"/>
  <c r="M124" i="20"/>
  <c r="N124" i="20"/>
  <c r="P124" i="20"/>
  <c r="Q124" i="20"/>
  <c r="R124" i="20"/>
  <c r="S124" i="20"/>
  <c r="T124" i="20"/>
  <c r="U124" i="20"/>
  <c r="V124" i="20"/>
  <c r="W124" i="20"/>
  <c r="X124" i="20"/>
  <c r="Y124" i="20"/>
  <c r="Z124" i="20"/>
  <c r="AA124" i="20"/>
  <c r="AB124" i="20"/>
  <c r="AC124" i="20"/>
  <c r="AD124" i="20"/>
  <c r="AE124" i="20"/>
  <c r="AF124" i="20"/>
  <c r="AG124" i="20"/>
  <c r="AH124" i="20"/>
  <c r="AI124" i="20"/>
  <c r="AJ124" i="20"/>
  <c r="AK124" i="20"/>
  <c r="AL124" i="20"/>
  <c r="AM124" i="20"/>
  <c r="AN124" i="20"/>
  <c r="AO124" i="20"/>
  <c r="AP124" i="20"/>
  <c r="AQ124" i="20"/>
  <c r="AR124" i="20"/>
  <c r="AS124" i="20"/>
  <c r="AT124" i="20"/>
  <c r="AU124" i="20"/>
  <c r="AV124" i="20"/>
  <c r="AX124" i="20"/>
  <c r="AY124" i="20"/>
  <c r="BA124" i="20"/>
  <c r="BB124" i="20"/>
  <c r="BC124" i="20"/>
  <c r="BE124" i="20"/>
  <c r="BG124" i="20"/>
  <c r="BH124" i="20"/>
  <c r="A125" i="20"/>
  <c r="B125" i="20"/>
  <c r="C125" i="20"/>
  <c r="D125" i="20"/>
  <c r="E125" i="20"/>
  <c r="F125" i="20"/>
  <c r="G125" i="20"/>
  <c r="H125" i="20"/>
  <c r="I125" i="20"/>
  <c r="J125" i="20"/>
  <c r="K125" i="20"/>
  <c r="M125" i="20"/>
  <c r="N125" i="20"/>
  <c r="P125" i="20"/>
  <c r="Q125" i="20"/>
  <c r="R125" i="20"/>
  <c r="S125" i="20"/>
  <c r="T125" i="20"/>
  <c r="U125" i="20"/>
  <c r="V125" i="20"/>
  <c r="W125" i="20"/>
  <c r="X125" i="20"/>
  <c r="Y125" i="20"/>
  <c r="Z125" i="20"/>
  <c r="AA125" i="20"/>
  <c r="AB125" i="20"/>
  <c r="AC125" i="20"/>
  <c r="AD125" i="20"/>
  <c r="AE125" i="20"/>
  <c r="AF125" i="20"/>
  <c r="AG125" i="20"/>
  <c r="AH125" i="20"/>
  <c r="AI125" i="20"/>
  <c r="AJ125" i="20"/>
  <c r="AK125" i="20"/>
  <c r="AL125" i="20"/>
  <c r="AM125" i="20"/>
  <c r="AN125" i="20"/>
  <c r="AO125" i="20"/>
  <c r="AP125" i="20"/>
  <c r="AQ125" i="20"/>
  <c r="AR125" i="20"/>
  <c r="AS125" i="20"/>
  <c r="AT125" i="20"/>
  <c r="AU125" i="20"/>
  <c r="AV125" i="20"/>
  <c r="AX125" i="20"/>
  <c r="AY125" i="20"/>
  <c r="BA125" i="20"/>
  <c r="BB125" i="20"/>
  <c r="BC125" i="20"/>
  <c r="BE125" i="20"/>
  <c r="BG125" i="20"/>
  <c r="BH125" i="20"/>
  <c r="A126" i="20"/>
  <c r="B126" i="20"/>
  <c r="C126" i="20"/>
  <c r="D126" i="20"/>
  <c r="E126" i="20"/>
  <c r="F126" i="20"/>
  <c r="G126" i="20"/>
  <c r="H126" i="20"/>
  <c r="I126" i="20"/>
  <c r="J126" i="20"/>
  <c r="K126" i="20"/>
  <c r="M126" i="20"/>
  <c r="N126" i="20"/>
  <c r="P126" i="20"/>
  <c r="Q126" i="20"/>
  <c r="R126" i="20"/>
  <c r="S126" i="20"/>
  <c r="T126" i="20"/>
  <c r="U126" i="20"/>
  <c r="V126" i="20"/>
  <c r="W126" i="20"/>
  <c r="X126" i="20"/>
  <c r="Y126" i="20"/>
  <c r="Z126" i="20"/>
  <c r="AA126" i="20"/>
  <c r="AB126" i="20"/>
  <c r="AC126" i="20"/>
  <c r="AD126" i="20"/>
  <c r="AE126" i="20"/>
  <c r="AF126" i="20"/>
  <c r="AG126" i="20"/>
  <c r="AH126" i="20"/>
  <c r="AI126" i="20"/>
  <c r="AJ126" i="20"/>
  <c r="AK126" i="20"/>
  <c r="AL126" i="20"/>
  <c r="AM126" i="20"/>
  <c r="AN126" i="20"/>
  <c r="AO126" i="20"/>
  <c r="AP126" i="20"/>
  <c r="AQ126" i="20"/>
  <c r="AR126" i="20"/>
  <c r="AS126" i="20"/>
  <c r="AT126" i="20"/>
  <c r="AU126" i="20"/>
  <c r="AV126" i="20"/>
  <c r="AX126" i="20"/>
  <c r="AY126" i="20"/>
  <c r="BA126" i="20"/>
  <c r="BB126" i="20"/>
  <c r="BC126" i="20"/>
  <c r="BE126" i="20"/>
  <c r="BG126" i="20"/>
  <c r="BH126" i="20"/>
  <c r="A127" i="20"/>
  <c r="B127" i="20"/>
  <c r="C127" i="20"/>
  <c r="D127" i="20"/>
  <c r="E127" i="20"/>
  <c r="F127" i="20"/>
  <c r="G127" i="20"/>
  <c r="H127" i="20"/>
  <c r="I127" i="20"/>
  <c r="J127" i="20"/>
  <c r="K127" i="20"/>
  <c r="M127" i="20"/>
  <c r="N127" i="20"/>
  <c r="P127" i="20"/>
  <c r="Q127" i="20"/>
  <c r="R127" i="20"/>
  <c r="S127" i="20"/>
  <c r="T127" i="20"/>
  <c r="U127" i="20"/>
  <c r="V127" i="20"/>
  <c r="W127" i="20"/>
  <c r="X127" i="20"/>
  <c r="Y127" i="20"/>
  <c r="Z127" i="20"/>
  <c r="AA127" i="20"/>
  <c r="AB127" i="20"/>
  <c r="AC127" i="20"/>
  <c r="AD127" i="20"/>
  <c r="AE127" i="20"/>
  <c r="AF127" i="20"/>
  <c r="AG127" i="20"/>
  <c r="AH127" i="20"/>
  <c r="AI127" i="20"/>
  <c r="AJ127" i="20"/>
  <c r="AK127" i="20"/>
  <c r="AL127" i="20"/>
  <c r="AM127" i="20"/>
  <c r="AN127" i="20"/>
  <c r="AO127" i="20"/>
  <c r="AP127" i="20"/>
  <c r="AQ127" i="20"/>
  <c r="AR127" i="20"/>
  <c r="AS127" i="20"/>
  <c r="AT127" i="20"/>
  <c r="AU127" i="20"/>
  <c r="AV127" i="20"/>
  <c r="AX127" i="20"/>
  <c r="AY127" i="20"/>
  <c r="BA127" i="20"/>
  <c r="BB127" i="20"/>
  <c r="BC127" i="20"/>
  <c r="BE127" i="20"/>
  <c r="BG127" i="20"/>
  <c r="BH127" i="20"/>
  <c r="A128" i="20"/>
  <c r="B128" i="20"/>
  <c r="C128" i="20"/>
  <c r="D128" i="20"/>
  <c r="E128" i="20"/>
  <c r="F128" i="20"/>
  <c r="G128" i="20"/>
  <c r="H128" i="20"/>
  <c r="I128" i="20"/>
  <c r="J128" i="20"/>
  <c r="K128" i="20"/>
  <c r="M128" i="20"/>
  <c r="N128" i="20"/>
  <c r="P128" i="20"/>
  <c r="Q128" i="20"/>
  <c r="R128" i="20"/>
  <c r="S128" i="20"/>
  <c r="T128" i="20"/>
  <c r="U128" i="20"/>
  <c r="V128" i="20"/>
  <c r="W128" i="20"/>
  <c r="X128" i="20"/>
  <c r="Y128" i="20"/>
  <c r="Z128" i="20"/>
  <c r="AA128" i="20"/>
  <c r="AB128" i="20"/>
  <c r="AC128" i="20"/>
  <c r="AD128" i="20"/>
  <c r="AE128" i="20"/>
  <c r="AF128" i="20"/>
  <c r="AG128" i="20"/>
  <c r="AH128" i="20"/>
  <c r="AI128" i="20"/>
  <c r="AJ128" i="20"/>
  <c r="AK128" i="20"/>
  <c r="AL128" i="20"/>
  <c r="AM128" i="20"/>
  <c r="AN128" i="20"/>
  <c r="AO128" i="20"/>
  <c r="AP128" i="20"/>
  <c r="AQ128" i="20"/>
  <c r="AR128" i="20"/>
  <c r="AS128" i="20"/>
  <c r="AT128" i="20"/>
  <c r="AU128" i="20"/>
  <c r="AV128" i="20"/>
  <c r="AX128" i="20"/>
  <c r="AY128" i="20"/>
  <c r="BA128" i="20"/>
  <c r="BB128" i="20"/>
  <c r="BC128" i="20"/>
  <c r="BE128" i="20"/>
  <c r="BG128" i="20"/>
  <c r="BH128" i="20"/>
  <c r="A129" i="20"/>
  <c r="B129" i="20"/>
  <c r="C129" i="20"/>
  <c r="D129" i="20"/>
  <c r="E129" i="20"/>
  <c r="F129" i="20"/>
  <c r="G129" i="20"/>
  <c r="H129" i="20"/>
  <c r="I129" i="20"/>
  <c r="J129" i="20"/>
  <c r="K129" i="20"/>
  <c r="M129" i="20"/>
  <c r="N129" i="20"/>
  <c r="P129" i="20"/>
  <c r="Q129" i="20"/>
  <c r="R129" i="20"/>
  <c r="S129" i="20"/>
  <c r="T129" i="20"/>
  <c r="U129" i="20"/>
  <c r="V129" i="20"/>
  <c r="W129" i="20"/>
  <c r="X129" i="20"/>
  <c r="Y129" i="20"/>
  <c r="Z129" i="20"/>
  <c r="AA129" i="20"/>
  <c r="AB129" i="20"/>
  <c r="AC129" i="20"/>
  <c r="AD129" i="20"/>
  <c r="AE129" i="20"/>
  <c r="AF129" i="20"/>
  <c r="AG129" i="20"/>
  <c r="AH129" i="20"/>
  <c r="AI129" i="20"/>
  <c r="AJ129" i="20"/>
  <c r="AK129" i="20"/>
  <c r="AL129" i="20"/>
  <c r="AM129" i="20"/>
  <c r="AN129" i="20"/>
  <c r="AO129" i="20"/>
  <c r="AP129" i="20"/>
  <c r="AQ129" i="20"/>
  <c r="AR129" i="20"/>
  <c r="AS129" i="20"/>
  <c r="AT129" i="20"/>
  <c r="AU129" i="20"/>
  <c r="AV129" i="20"/>
  <c r="AX129" i="20"/>
  <c r="AY129" i="20"/>
  <c r="BA129" i="20"/>
  <c r="BB129" i="20"/>
  <c r="BC129" i="20"/>
  <c r="BE129" i="20"/>
  <c r="BG129" i="20"/>
  <c r="BH129" i="20"/>
  <c r="A130" i="20"/>
  <c r="B130" i="20"/>
  <c r="C130" i="20"/>
  <c r="D130" i="20"/>
  <c r="E130" i="20"/>
  <c r="F130" i="20"/>
  <c r="G130" i="20"/>
  <c r="H130" i="20"/>
  <c r="I130" i="20"/>
  <c r="J130" i="20"/>
  <c r="K130" i="20"/>
  <c r="M130" i="20"/>
  <c r="N130" i="20"/>
  <c r="P130" i="20"/>
  <c r="Q130" i="20"/>
  <c r="R130" i="20"/>
  <c r="S130" i="20"/>
  <c r="T130" i="20"/>
  <c r="U130" i="20"/>
  <c r="V130" i="20"/>
  <c r="W130" i="20"/>
  <c r="X130" i="20"/>
  <c r="Y130" i="20"/>
  <c r="Z130" i="20"/>
  <c r="AA130" i="20"/>
  <c r="AB130" i="20"/>
  <c r="AC130" i="20"/>
  <c r="AD130" i="20"/>
  <c r="AE130" i="20"/>
  <c r="AF130" i="20"/>
  <c r="AG130" i="20"/>
  <c r="AH130" i="20"/>
  <c r="AI130" i="20"/>
  <c r="AJ130" i="20"/>
  <c r="AK130" i="20"/>
  <c r="AL130" i="20"/>
  <c r="AM130" i="20"/>
  <c r="AN130" i="20"/>
  <c r="AO130" i="20"/>
  <c r="AP130" i="20"/>
  <c r="AQ130" i="20"/>
  <c r="AR130" i="20"/>
  <c r="AS130" i="20"/>
  <c r="AT130" i="20"/>
  <c r="AU130" i="20"/>
  <c r="AV130" i="20"/>
  <c r="AX130" i="20"/>
  <c r="AY130" i="20"/>
  <c r="BA130" i="20"/>
  <c r="BB130" i="20"/>
  <c r="BC130" i="20"/>
  <c r="BE130" i="20"/>
  <c r="BG130" i="20"/>
  <c r="BH130" i="20"/>
  <c r="A131" i="20"/>
  <c r="B131" i="20"/>
  <c r="C131" i="20"/>
  <c r="D131" i="20"/>
  <c r="E131" i="20"/>
  <c r="F131" i="20"/>
  <c r="G131" i="20"/>
  <c r="H131" i="20"/>
  <c r="I131" i="20"/>
  <c r="J131" i="20"/>
  <c r="K131" i="20"/>
  <c r="M131" i="20"/>
  <c r="N131" i="20"/>
  <c r="P131" i="20"/>
  <c r="Q131" i="20"/>
  <c r="R131" i="20"/>
  <c r="S131" i="20"/>
  <c r="T131" i="20"/>
  <c r="U131" i="20"/>
  <c r="V131" i="20"/>
  <c r="W131" i="20"/>
  <c r="X131" i="20"/>
  <c r="Y131" i="20"/>
  <c r="Z131" i="20"/>
  <c r="AA131" i="20"/>
  <c r="AB131" i="20"/>
  <c r="AC131" i="20"/>
  <c r="AD131" i="20"/>
  <c r="AE131" i="20"/>
  <c r="AF131" i="20"/>
  <c r="AG131" i="20"/>
  <c r="AH131" i="20"/>
  <c r="AI131" i="20"/>
  <c r="AJ131" i="20"/>
  <c r="AK131" i="20"/>
  <c r="AL131" i="20"/>
  <c r="AM131" i="20"/>
  <c r="AN131" i="20"/>
  <c r="AO131" i="20"/>
  <c r="AP131" i="20"/>
  <c r="AQ131" i="20"/>
  <c r="AR131" i="20"/>
  <c r="AS131" i="20"/>
  <c r="AT131" i="20"/>
  <c r="AU131" i="20"/>
  <c r="AV131" i="20"/>
  <c r="AX131" i="20"/>
  <c r="AY131" i="20"/>
  <c r="BA131" i="20"/>
  <c r="BB131" i="20"/>
  <c r="BC131" i="20"/>
  <c r="BE131" i="20"/>
  <c r="BG131" i="20"/>
  <c r="BH131" i="20"/>
  <c r="A132" i="20"/>
  <c r="B132" i="20"/>
  <c r="C132" i="20"/>
  <c r="D132" i="20"/>
  <c r="E132" i="20"/>
  <c r="F132" i="20"/>
  <c r="G132" i="20"/>
  <c r="H132" i="20"/>
  <c r="I132" i="20"/>
  <c r="J132" i="20"/>
  <c r="K132" i="20"/>
  <c r="M132" i="20"/>
  <c r="N132" i="20"/>
  <c r="O132" i="20"/>
  <c r="P132" i="20"/>
  <c r="Q132" i="20"/>
  <c r="R132" i="20"/>
  <c r="S132" i="20"/>
  <c r="T132" i="20"/>
  <c r="U132" i="20"/>
  <c r="V132" i="20"/>
  <c r="W132" i="20"/>
  <c r="X132" i="20"/>
  <c r="Y132" i="20"/>
  <c r="Z132" i="20"/>
  <c r="AA132" i="20"/>
  <c r="AB132" i="20"/>
  <c r="AC132" i="20"/>
  <c r="AD132" i="20"/>
  <c r="AE132" i="20"/>
  <c r="AF132" i="20"/>
  <c r="AG132" i="20"/>
  <c r="AH132" i="20"/>
  <c r="AI132" i="20"/>
  <c r="AJ132" i="20"/>
  <c r="AK132" i="20"/>
  <c r="AL132" i="20"/>
  <c r="AM132" i="20"/>
  <c r="AN132" i="20"/>
  <c r="AO132" i="20"/>
  <c r="AP132" i="20"/>
  <c r="AQ132" i="20"/>
  <c r="AR132" i="20"/>
  <c r="AS132" i="20"/>
  <c r="AT132" i="20"/>
  <c r="AU132" i="20"/>
  <c r="AV132" i="20"/>
  <c r="AX132" i="20"/>
  <c r="AY132" i="20"/>
  <c r="BA132" i="20"/>
  <c r="BB132" i="20"/>
  <c r="BC132" i="20"/>
  <c r="BE132" i="20"/>
  <c r="BG132" i="20"/>
  <c r="BH132" i="20"/>
  <c r="E134" i="20"/>
  <c r="F134" i="20"/>
  <c r="G134" i="20"/>
  <c r="H134" i="20"/>
  <c r="I134" i="20"/>
  <c r="J134" i="20"/>
  <c r="K134" i="20"/>
  <c r="N134" i="20"/>
  <c r="O134" i="20"/>
  <c r="P134" i="20"/>
  <c r="Q134" i="20"/>
  <c r="R134" i="20"/>
  <c r="S134" i="20"/>
  <c r="T134" i="20"/>
  <c r="U134" i="20"/>
  <c r="V134" i="20"/>
  <c r="W134" i="20"/>
  <c r="X134" i="20"/>
  <c r="Y134" i="20"/>
  <c r="Z134" i="20"/>
  <c r="AA134" i="20"/>
  <c r="AB134" i="20"/>
  <c r="AC134" i="20"/>
  <c r="AD134" i="20"/>
  <c r="AE134" i="20"/>
  <c r="AF134" i="20"/>
  <c r="AG134" i="20"/>
  <c r="AH134" i="20"/>
  <c r="AI134" i="20"/>
  <c r="AJ134" i="20"/>
  <c r="AK134" i="20"/>
  <c r="AL134" i="20"/>
  <c r="AM134" i="20"/>
  <c r="AN134" i="20"/>
  <c r="AO134" i="20"/>
  <c r="AP134" i="20"/>
  <c r="AQ134" i="20"/>
  <c r="AR134" i="20"/>
  <c r="AS134" i="20"/>
  <c r="AT134" i="20"/>
  <c r="AU134" i="20"/>
  <c r="AV134" i="20"/>
  <c r="AX134" i="20"/>
  <c r="AY134" i="20"/>
  <c r="BA134" i="20"/>
  <c r="BB134" i="20"/>
  <c r="BC134" i="20"/>
  <c r="BE134" i="20"/>
  <c r="BG134" i="20"/>
  <c r="BH134" i="20"/>
  <c r="A138" i="20"/>
  <c r="B138" i="20"/>
  <c r="C138" i="20"/>
  <c r="D138" i="20"/>
  <c r="E138" i="20"/>
  <c r="F138" i="20"/>
  <c r="G138" i="20"/>
  <c r="H138" i="20"/>
  <c r="I138" i="20"/>
  <c r="J138" i="20"/>
  <c r="K138" i="20"/>
  <c r="M138" i="20"/>
  <c r="N138" i="20"/>
  <c r="P138" i="20"/>
  <c r="Q138" i="20"/>
  <c r="R138" i="20"/>
  <c r="S138" i="20"/>
  <c r="T138" i="20"/>
  <c r="U138" i="20"/>
  <c r="V138" i="20"/>
  <c r="W138" i="20"/>
  <c r="X138" i="20"/>
  <c r="Y138" i="20"/>
  <c r="Z138" i="20"/>
  <c r="AA138" i="20"/>
  <c r="AB138" i="20"/>
  <c r="AC138" i="20"/>
  <c r="AD138" i="20"/>
  <c r="AE138" i="20"/>
  <c r="AF138" i="20"/>
  <c r="AG138" i="20"/>
  <c r="AH138" i="20"/>
  <c r="AI138" i="20"/>
  <c r="AJ138" i="20"/>
  <c r="AK138" i="20"/>
  <c r="AL138" i="20"/>
  <c r="AM138" i="20"/>
  <c r="AN138" i="20"/>
  <c r="AO138" i="20"/>
  <c r="AP138" i="20"/>
  <c r="AQ138" i="20"/>
  <c r="AR138" i="20"/>
  <c r="AS138" i="20"/>
  <c r="AT138" i="20"/>
  <c r="AU138" i="20"/>
  <c r="AV138" i="20"/>
  <c r="AX138" i="20"/>
  <c r="AY138" i="20"/>
  <c r="BA138" i="20"/>
  <c r="BB138" i="20"/>
  <c r="BC138" i="20"/>
  <c r="BE138" i="20"/>
  <c r="BG138" i="20"/>
  <c r="BH138" i="20"/>
  <c r="A139" i="20"/>
  <c r="B139" i="20"/>
  <c r="C139" i="20"/>
  <c r="D139" i="20"/>
  <c r="E139" i="20"/>
  <c r="F139" i="20"/>
  <c r="G139" i="20"/>
  <c r="H139" i="20"/>
  <c r="I139" i="20"/>
  <c r="J139" i="20"/>
  <c r="K139" i="20"/>
  <c r="M139" i="20"/>
  <c r="N139" i="20"/>
  <c r="P139" i="20"/>
  <c r="Q139" i="20"/>
  <c r="R139" i="20"/>
  <c r="S139" i="20"/>
  <c r="T139" i="20"/>
  <c r="U139" i="20"/>
  <c r="V139" i="20"/>
  <c r="W139" i="20"/>
  <c r="X139" i="20"/>
  <c r="Y139" i="20"/>
  <c r="Z139" i="20"/>
  <c r="AA139" i="20"/>
  <c r="AB139" i="20"/>
  <c r="AC139" i="20"/>
  <c r="AD139" i="20"/>
  <c r="AE139" i="20"/>
  <c r="AF139" i="20"/>
  <c r="AG139" i="20"/>
  <c r="AH139" i="20"/>
  <c r="AI139" i="20"/>
  <c r="AJ139" i="20"/>
  <c r="AK139" i="20"/>
  <c r="AL139" i="20"/>
  <c r="AM139" i="20"/>
  <c r="AN139" i="20"/>
  <c r="AO139" i="20"/>
  <c r="AP139" i="20"/>
  <c r="AQ139" i="20"/>
  <c r="AR139" i="20"/>
  <c r="AS139" i="20"/>
  <c r="AT139" i="20"/>
  <c r="AU139" i="20"/>
  <c r="AV139" i="20"/>
  <c r="AX139" i="20"/>
  <c r="AY139" i="20"/>
  <c r="BA139" i="20"/>
  <c r="BB139" i="20"/>
  <c r="BC139" i="20"/>
  <c r="BE139" i="20"/>
  <c r="BG139" i="20"/>
  <c r="BH139" i="20"/>
  <c r="A140" i="20"/>
  <c r="B140" i="20"/>
  <c r="C140" i="20"/>
  <c r="D140" i="20"/>
  <c r="E140" i="20"/>
  <c r="F140" i="20"/>
  <c r="G140" i="20"/>
  <c r="H140" i="20"/>
  <c r="I140" i="20"/>
  <c r="J140" i="20"/>
  <c r="K140" i="20"/>
  <c r="M140" i="20"/>
  <c r="N140" i="20"/>
  <c r="P140" i="20"/>
  <c r="Q140" i="20"/>
  <c r="R140" i="20"/>
  <c r="S140" i="20"/>
  <c r="T140" i="20"/>
  <c r="U140" i="20"/>
  <c r="V140" i="20"/>
  <c r="W140" i="20"/>
  <c r="X140" i="20"/>
  <c r="Y140" i="20"/>
  <c r="Z140" i="20"/>
  <c r="AA140" i="20"/>
  <c r="AB140" i="20"/>
  <c r="AC140" i="20"/>
  <c r="AD140" i="20"/>
  <c r="AE140" i="20"/>
  <c r="AF140" i="20"/>
  <c r="AG140" i="20"/>
  <c r="AH140" i="20"/>
  <c r="AI140" i="20"/>
  <c r="AJ140" i="20"/>
  <c r="AK140" i="20"/>
  <c r="AL140" i="20"/>
  <c r="AM140" i="20"/>
  <c r="AN140" i="20"/>
  <c r="AO140" i="20"/>
  <c r="AP140" i="20"/>
  <c r="AQ140" i="20"/>
  <c r="AR140" i="20"/>
  <c r="AS140" i="20"/>
  <c r="AT140" i="20"/>
  <c r="AU140" i="20"/>
  <c r="AV140" i="20"/>
  <c r="AX140" i="20"/>
  <c r="AY140" i="20"/>
  <c r="BA140" i="20"/>
  <c r="BB140" i="20"/>
  <c r="BC140" i="20"/>
  <c r="BE140" i="20"/>
  <c r="BG140" i="20"/>
  <c r="BH140" i="20"/>
  <c r="A141" i="20"/>
  <c r="B141" i="20"/>
  <c r="C141" i="20"/>
  <c r="D141" i="20"/>
  <c r="E141" i="20"/>
  <c r="F141" i="20"/>
  <c r="G141" i="20"/>
  <c r="H141" i="20"/>
  <c r="I141" i="20"/>
  <c r="J141" i="20"/>
  <c r="K141" i="20"/>
  <c r="M141" i="20"/>
  <c r="N141" i="20"/>
  <c r="P141" i="20"/>
  <c r="Q141" i="20"/>
  <c r="R141" i="20"/>
  <c r="S141" i="20"/>
  <c r="T141" i="20"/>
  <c r="U141" i="20"/>
  <c r="V141" i="20"/>
  <c r="W141" i="20"/>
  <c r="X141" i="20"/>
  <c r="Y141" i="20"/>
  <c r="Z141" i="20"/>
  <c r="AA141" i="20"/>
  <c r="AB141" i="20"/>
  <c r="AC141" i="20"/>
  <c r="AD141" i="20"/>
  <c r="AE141" i="20"/>
  <c r="AF141" i="20"/>
  <c r="AG141" i="20"/>
  <c r="AH141" i="20"/>
  <c r="AI141" i="20"/>
  <c r="AJ141" i="20"/>
  <c r="AK141" i="20"/>
  <c r="AL141" i="20"/>
  <c r="AM141" i="20"/>
  <c r="AN141" i="20"/>
  <c r="AO141" i="20"/>
  <c r="AP141" i="20"/>
  <c r="AQ141" i="20"/>
  <c r="AR141" i="20"/>
  <c r="AS141" i="20"/>
  <c r="AT141" i="20"/>
  <c r="AU141" i="20"/>
  <c r="AV141" i="20"/>
  <c r="AX141" i="20"/>
  <c r="AY141" i="20"/>
  <c r="BA141" i="20"/>
  <c r="BB141" i="20"/>
  <c r="BC141" i="20"/>
  <c r="BE141" i="20"/>
  <c r="BG141" i="20"/>
  <c r="BH141" i="20"/>
  <c r="A142" i="20"/>
  <c r="B142" i="20"/>
  <c r="C142" i="20"/>
  <c r="D142" i="20"/>
  <c r="E142" i="20"/>
  <c r="F142" i="20"/>
  <c r="G142" i="20"/>
  <c r="H142" i="20"/>
  <c r="I142" i="20"/>
  <c r="J142" i="20"/>
  <c r="K142" i="20"/>
  <c r="M142" i="20"/>
  <c r="N142" i="20"/>
  <c r="P142" i="20"/>
  <c r="Q142" i="20"/>
  <c r="R142" i="20"/>
  <c r="S142" i="20"/>
  <c r="T142" i="20"/>
  <c r="U142" i="20"/>
  <c r="V142" i="20"/>
  <c r="W142" i="20"/>
  <c r="X142" i="20"/>
  <c r="Y142" i="20"/>
  <c r="Z142" i="20"/>
  <c r="AA142" i="20"/>
  <c r="AB142" i="20"/>
  <c r="AC142" i="20"/>
  <c r="AD142" i="20"/>
  <c r="AE142" i="20"/>
  <c r="AF142" i="20"/>
  <c r="AG142" i="20"/>
  <c r="AH142" i="20"/>
  <c r="AI142" i="20"/>
  <c r="AJ142" i="20"/>
  <c r="AK142" i="20"/>
  <c r="AL142" i="20"/>
  <c r="AM142" i="20"/>
  <c r="AN142" i="20"/>
  <c r="AO142" i="20"/>
  <c r="AP142" i="20"/>
  <c r="AQ142" i="20"/>
  <c r="AR142" i="20"/>
  <c r="AS142" i="20"/>
  <c r="AT142" i="20"/>
  <c r="AU142" i="20"/>
  <c r="AV142" i="20"/>
  <c r="AX142" i="20"/>
  <c r="AY142" i="20"/>
  <c r="BA142" i="20"/>
  <c r="BB142" i="20"/>
  <c r="BC142" i="20"/>
  <c r="BE142" i="20"/>
  <c r="BG142" i="20"/>
  <c r="BH142" i="20"/>
  <c r="A143" i="20"/>
  <c r="B143" i="20"/>
  <c r="C143" i="20"/>
  <c r="D143" i="20"/>
  <c r="E143" i="20"/>
  <c r="F143" i="20"/>
  <c r="G143" i="20"/>
  <c r="H143" i="20"/>
  <c r="I143" i="20"/>
  <c r="J143" i="20"/>
  <c r="K143" i="20"/>
  <c r="M143" i="20"/>
  <c r="N143" i="20"/>
  <c r="P143" i="20"/>
  <c r="Q143" i="20"/>
  <c r="R143" i="20"/>
  <c r="S143" i="20"/>
  <c r="T143" i="20"/>
  <c r="U143" i="20"/>
  <c r="V143" i="20"/>
  <c r="W143" i="20"/>
  <c r="X143" i="20"/>
  <c r="Y143" i="20"/>
  <c r="Z143" i="20"/>
  <c r="AA143" i="20"/>
  <c r="AB143" i="20"/>
  <c r="AC143" i="20"/>
  <c r="AD143" i="20"/>
  <c r="AE143" i="20"/>
  <c r="AF143" i="20"/>
  <c r="AG143" i="20"/>
  <c r="AH143" i="20"/>
  <c r="AI143" i="20"/>
  <c r="AJ143" i="20"/>
  <c r="AK143" i="20"/>
  <c r="AL143" i="20"/>
  <c r="AM143" i="20"/>
  <c r="AN143" i="20"/>
  <c r="AO143" i="20"/>
  <c r="AP143" i="20"/>
  <c r="AQ143" i="20"/>
  <c r="AR143" i="20"/>
  <c r="AS143" i="20"/>
  <c r="AT143" i="20"/>
  <c r="AU143" i="20"/>
  <c r="AV143" i="20"/>
  <c r="AX143" i="20"/>
  <c r="AY143" i="20"/>
  <c r="BA143" i="20"/>
  <c r="BB143" i="20"/>
  <c r="BC143" i="20"/>
  <c r="BE143" i="20"/>
  <c r="BG143" i="20"/>
  <c r="BH143" i="20"/>
  <c r="A144" i="20"/>
  <c r="B144" i="20"/>
  <c r="C144" i="20"/>
  <c r="D144" i="20"/>
  <c r="E144" i="20"/>
  <c r="F144" i="20"/>
  <c r="G144" i="20"/>
  <c r="H144" i="20"/>
  <c r="I144" i="20"/>
  <c r="J144" i="20"/>
  <c r="K144" i="20"/>
  <c r="M144" i="20"/>
  <c r="N144" i="20"/>
  <c r="P144" i="20"/>
  <c r="Q144" i="20"/>
  <c r="R144" i="20"/>
  <c r="S144" i="20"/>
  <c r="T144" i="20"/>
  <c r="U144" i="20"/>
  <c r="V144" i="20"/>
  <c r="W144" i="20"/>
  <c r="X144" i="20"/>
  <c r="Y144" i="20"/>
  <c r="Z144" i="20"/>
  <c r="AA144" i="20"/>
  <c r="AB144" i="20"/>
  <c r="AC144" i="20"/>
  <c r="AD144" i="20"/>
  <c r="AE144" i="20"/>
  <c r="AF144" i="20"/>
  <c r="AG144" i="20"/>
  <c r="AH144" i="20"/>
  <c r="AI144" i="20"/>
  <c r="AJ144" i="20"/>
  <c r="AK144" i="20"/>
  <c r="AL144" i="20"/>
  <c r="AM144" i="20"/>
  <c r="AN144" i="20"/>
  <c r="AO144" i="20"/>
  <c r="AP144" i="20"/>
  <c r="AQ144" i="20"/>
  <c r="AR144" i="20"/>
  <c r="AS144" i="20"/>
  <c r="AT144" i="20"/>
  <c r="AU144" i="20"/>
  <c r="AV144" i="20"/>
  <c r="AX144" i="20"/>
  <c r="AY144" i="20"/>
  <c r="BA144" i="20"/>
  <c r="BB144" i="20"/>
  <c r="BC144" i="20"/>
  <c r="BE144" i="20"/>
  <c r="BG144" i="20"/>
  <c r="BH144" i="20"/>
  <c r="A145" i="20"/>
  <c r="B145" i="20"/>
  <c r="C145" i="20"/>
  <c r="D145" i="20"/>
  <c r="E145" i="20"/>
  <c r="F145" i="20"/>
  <c r="G145" i="20"/>
  <c r="H145" i="20"/>
  <c r="I145" i="20"/>
  <c r="J145" i="20"/>
  <c r="K145" i="20"/>
  <c r="M145" i="20"/>
  <c r="N145" i="20"/>
  <c r="P145" i="20"/>
  <c r="Q145" i="20"/>
  <c r="R145" i="20"/>
  <c r="S145" i="20"/>
  <c r="T145" i="20"/>
  <c r="U145" i="20"/>
  <c r="V145" i="20"/>
  <c r="W145" i="20"/>
  <c r="X145" i="20"/>
  <c r="Y145" i="20"/>
  <c r="Z145" i="20"/>
  <c r="AA145" i="20"/>
  <c r="AB145" i="20"/>
  <c r="AC145" i="20"/>
  <c r="AD145" i="20"/>
  <c r="AE145" i="20"/>
  <c r="AF145" i="20"/>
  <c r="AG145" i="20"/>
  <c r="AH145" i="20"/>
  <c r="AI145" i="20"/>
  <c r="AJ145" i="20"/>
  <c r="AK145" i="20"/>
  <c r="AL145" i="20"/>
  <c r="AM145" i="20"/>
  <c r="AN145" i="20"/>
  <c r="AO145" i="20"/>
  <c r="AP145" i="20"/>
  <c r="AQ145" i="20"/>
  <c r="AR145" i="20"/>
  <c r="AS145" i="20"/>
  <c r="AT145" i="20"/>
  <c r="AU145" i="20"/>
  <c r="AV145" i="20"/>
  <c r="AX145" i="20"/>
  <c r="AY145" i="20"/>
  <c r="BA145" i="20"/>
  <c r="BB145" i="20"/>
  <c r="BC145" i="20"/>
  <c r="BE145" i="20"/>
  <c r="BG145" i="20"/>
  <c r="BH145" i="20"/>
  <c r="E146" i="20"/>
  <c r="F146" i="20"/>
  <c r="G146" i="20"/>
  <c r="H146" i="20"/>
  <c r="I146" i="20"/>
  <c r="J146" i="20"/>
  <c r="K146" i="20"/>
  <c r="N146" i="20"/>
  <c r="O146" i="20"/>
  <c r="P146" i="20"/>
  <c r="Q146" i="20"/>
  <c r="R146" i="20"/>
  <c r="S146" i="20"/>
  <c r="T146" i="20"/>
  <c r="U146" i="20"/>
  <c r="V146" i="20"/>
  <c r="W146" i="20"/>
  <c r="X146" i="20"/>
  <c r="Y146" i="20"/>
  <c r="Z146" i="20"/>
  <c r="AA146" i="20"/>
  <c r="AB146" i="20"/>
  <c r="AC146" i="20"/>
  <c r="AD146" i="20"/>
  <c r="AE146" i="20"/>
  <c r="AF146" i="20"/>
  <c r="AG146" i="20"/>
  <c r="AH146" i="20"/>
  <c r="AI146" i="20"/>
  <c r="AJ146" i="20"/>
  <c r="AK146" i="20"/>
  <c r="AL146" i="20"/>
  <c r="AM146" i="20"/>
  <c r="AN146" i="20"/>
  <c r="AO146" i="20"/>
  <c r="AP146" i="20"/>
  <c r="AQ146" i="20"/>
  <c r="AR146" i="20"/>
  <c r="AS146" i="20"/>
  <c r="AT146" i="20"/>
  <c r="AU146" i="20"/>
  <c r="AV146" i="20"/>
  <c r="AX146" i="20"/>
  <c r="AY146" i="20"/>
  <c r="BA146" i="20"/>
  <c r="BB146" i="20"/>
  <c r="BC146" i="20"/>
  <c r="BE146" i="20"/>
  <c r="A149" i="20"/>
  <c r="B149" i="20"/>
  <c r="C149" i="20"/>
  <c r="D149" i="20"/>
  <c r="E149" i="20"/>
  <c r="F149" i="20"/>
  <c r="G149" i="20"/>
  <c r="H149" i="20"/>
  <c r="I149" i="20"/>
  <c r="J149" i="20"/>
  <c r="K149" i="20"/>
  <c r="M149" i="20"/>
  <c r="N149" i="20"/>
  <c r="P149" i="20"/>
  <c r="Q149" i="20"/>
  <c r="R149" i="20"/>
  <c r="S149" i="20"/>
  <c r="T149" i="20"/>
  <c r="U149" i="20"/>
  <c r="V149" i="20"/>
  <c r="W149" i="20"/>
  <c r="X149" i="20"/>
  <c r="Y149" i="20"/>
  <c r="Z149" i="20"/>
  <c r="AA149" i="20"/>
  <c r="AB149" i="20"/>
  <c r="AC149" i="20"/>
  <c r="AD149" i="20"/>
  <c r="AE149" i="20"/>
  <c r="AF149" i="20"/>
  <c r="AG149" i="20"/>
  <c r="AH149" i="20"/>
  <c r="AI149" i="20"/>
  <c r="AJ149" i="20"/>
  <c r="AK149" i="20"/>
  <c r="AL149" i="20"/>
  <c r="AM149" i="20"/>
  <c r="AN149" i="20"/>
  <c r="AO149" i="20"/>
  <c r="AP149" i="20"/>
  <c r="AQ149" i="20"/>
  <c r="AR149" i="20"/>
  <c r="AS149" i="20"/>
  <c r="AT149" i="20"/>
  <c r="AU149" i="20"/>
  <c r="AV149" i="20"/>
  <c r="AX149" i="20"/>
  <c r="AY149" i="20"/>
  <c r="BA149" i="20"/>
  <c r="BB149" i="20"/>
  <c r="BC149" i="20"/>
  <c r="BE149" i="20"/>
  <c r="BG149" i="20"/>
  <c r="BH149" i="20"/>
  <c r="A150" i="20"/>
  <c r="B150" i="20"/>
  <c r="C150" i="20"/>
  <c r="D150" i="20"/>
  <c r="E150" i="20"/>
  <c r="F150" i="20"/>
  <c r="G150" i="20"/>
  <c r="H150" i="20"/>
  <c r="I150" i="20"/>
  <c r="J150" i="20"/>
  <c r="K150" i="20"/>
  <c r="M150" i="20"/>
  <c r="N150" i="20"/>
  <c r="P150" i="20"/>
  <c r="Q150" i="20"/>
  <c r="R150" i="20"/>
  <c r="S150" i="20"/>
  <c r="T150" i="20"/>
  <c r="U150" i="20"/>
  <c r="V150" i="20"/>
  <c r="W150" i="20"/>
  <c r="X150" i="20"/>
  <c r="Y150" i="20"/>
  <c r="Z150" i="20"/>
  <c r="AA150" i="20"/>
  <c r="AB150" i="20"/>
  <c r="AC150" i="20"/>
  <c r="AD150" i="20"/>
  <c r="AE150" i="20"/>
  <c r="AF150" i="20"/>
  <c r="AG150" i="20"/>
  <c r="AH150" i="20"/>
  <c r="AI150" i="20"/>
  <c r="AJ150" i="20"/>
  <c r="AK150" i="20"/>
  <c r="AL150" i="20"/>
  <c r="AM150" i="20"/>
  <c r="AN150" i="20"/>
  <c r="AO150" i="20"/>
  <c r="AP150" i="20"/>
  <c r="AQ150" i="20"/>
  <c r="AR150" i="20"/>
  <c r="AS150" i="20"/>
  <c r="AT150" i="20"/>
  <c r="AU150" i="20"/>
  <c r="AV150" i="20"/>
  <c r="AX150" i="20"/>
  <c r="AY150" i="20"/>
  <c r="BA150" i="20"/>
  <c r="BB150" i="20"/>
  <c r="BC150" i="20"/>
  <c r="BE150" i="20"/>
  <c r="BG150" i="20"/>
  <c r="BH150" i="20"/>
  <c r="A151" i="20"/>
  <c r="B151" i="20"/>
  <c r="C151" i="20"/>
  <c r="D151" i="20"/>
  <c r="E151" i="20"/>
  <c r="F151" i="20"/>
  <c r="G151" i="20"/>
  <c r="H151" i="20"/>
  <c r="I151" i="20"/>
  <c r="J151" i="20"/>
  <c r="K151" i="20"/>
  <c r="M151" i="20"/>
  <c r="N151" i="20"/>
  <c r="P151" i="20"/>
  <c r="Q151" i="20"/>
  <c r="R151" i="20"/>
  <c r="S151" i="20"/>
  <c r="T151" i="20"/>
  <c r="U151" i="20"/>
  <c r="V151" i="20"/>
  <c r="W151" i="20"/>
  <c r="X151" i="20"/>
  <c r="Y151" i="20"/>
  <c r="Z151" i="20"/>
  <c r="AA151" i="20"/>
  <c r="AB151" i="20"/>
  <c r="AC151" i="20"/>
  <c r="AD151" i="20"/>
  <c r="AE151" i="20"/>
  <c r="AF151" i="20"/>
  <c r="AG151" i="20"/>
  <c r="AH151" i="20"/>
  <c r="AI151" i="20"/>
  <c r="AJ151" i="20"/>
  <c r="AK151" i="20"/>
  <c r="AL151" i="20"/>
  <c r="AM151" i="20"/>
  <c r="AN151" i="20"/>
  <c r="AO151" i="20"/>
  <c r="AP151" i="20"/>
  <c r="AQ151" i="20"/>
  <c r="AR151" i="20"/>
  <c r="AS151" i="20"/>
  <c r="AT151" i="20"/>
  <c r="AU151" i="20"/>
  <c r="AV151" i="20"/>
  <c r="AX151" i="20"/>
  <c r="AY151" i="20"/>
  <c r="BA151" i="20"/>
  <c r="BB151" i="20"/>
  <c r="BC151" i="20"/>
  <c r="BE151" i="20"/>
  <c r="BG151" i="20"/>
  <c r="BH151" i="20"/>
  <c r="A152" i="20"/>
  <c r="B152" i="20"/>
  <c r="C152" i="20"/>
  <c r="D152" i="20"/>
  <c r="E152" i="20"/>
  <c r="F152" i="20"/>
  <c r="G152" i="20"/>
  <c r="H152" i="20"/>
  <c r="I152" i="20"/>
  <c r="J152" i="20"/>
  <c r="K152" i="20"/>
  <c r="M152" i="20"/>
  <c r="N152" i="20"/>
  <c r="P152" i="20"/>
  <c r="Q152" i="20"/>
  <c r="R152" i="20"/>
  <c r="S152" i="20"/>
  <c r="T152" i="20"/>
  <c r="U152" i="20"/>
  <c r="V152" i="20"/>
  <c r="W152" i="20"/>
  <c r="X152" i="20"/>
  <c r="Y152" i="20"/>
  <c r="Z152" i="20"/>
  <c r="AA152" i="20"/>
  <c r="AB152" i="20"/>
  <c r="AC152" i="20"/>
  <c r="AD152" i="20"/>
  <c r="AE152" i="20"/>
  <c r="AF152" i="20"/>
  <c r="AG152" i="20"/>
  <c r="AH152" i="20"/>
  <c r="AI152" i="20"/>
  <c r="AJ152" i="20"/>
  <c r="AK152" i="20"/>
  <c r="AL152" i="20"/>
  <c r="AM152" i="20"/>
  <c r="AN152" i="20"/>
  <c r="AO152" i="20"/>
  <c r="AP152" i="20"/>
  <c r="AQ152" i="20"/>
  <c r="AR152" i="20"/>
  <c r="AS152" i="20"/>
  <c r="AT152" i="20"/>
  <c r="AU152" i="20"/>
  <c r="AV152" i="20"/>
  <c r="AX152" i="20"/>
  <c r="AY152" i="20"/>
  <c r="BA152" i="20"/>
  <c r="BB152" i="20"/>
  <c r="BC152" i="20"/>
  <c r="BE152" i="20"/>
  <c r="BG152" i="20"/>
  <c r="BH152" i="20"/>
  <c r="A153" i="20"/>
  <c r="B153" i="20"/>
  <c r="C153" i="20"/>
  <c r="D153" i="20"/>
  <c r="E153" i="20"/>
  <c r="F153" i="20"/>
  <c r="G153" i="20"/>
  <c r="H153" i="20"/>
  <c r="I153" i="20"/>
  <c r="J153" i="20"/>
  <c r="K153" i="20"/>
  <c r="M153" i="20"/>
  <c r="N153" i="20"/>
  <c r="P153" i="20"/>
  <c r="Q153" i="20"/>
  <c r="R153" i="20"/>
  <c r="S153" i="20"/>
  <c r="T153" i="20"/>
  <c r="U153" i="20"/>
  <c r="V153" i="20"/>
  <c r="W153" i="20"/>
  <c r="X153" i="20"/>
  <c r="Y153" i="20"/>
  <c r="Z153" i="20"/>
  <c r="AA153" i="20"/>
  <c r="AB153" i="20"/>
  <c r="AC153" i="20"/>
  <c r="AD153" i="20"/>
  <c r="AE153" i="20"/>
  <c r="AF153" i="20"/>
  <c r="AG153" i="20"/>
  <c r="AH153" i="20"/>
  <c r="AI153" i="20"/>
  <c r="AJ153" i="20"/>
  <c r="AK153" i="20"/>
  <c r="AL153" i="20"/>
  <c r="AM153" i="20"/>
  <c r="AN153" i="20"/>
  <c r="AO153" i="20"/>
  <c r="AP153" i="20"/>
  <c r="AQ153" i="20"/>
  <c r="AR153" i="20"/>
  <c r="AS153" i="20"/>
  <c r="AT153" i="20"/>
  <c r="AU153" i="20"/>
  <c r="AV153" i="20"/>
  <c r="AX153" i="20"/>
  <c r="AY153" i="20"/>
  <c r="BA153" i="20"/>
  <c r="BB153" i="20"/>
  <c r="BC153" i="20"/>
  <c r="BE153" i="20"/>
  <c r="BG153" i="20"/>
  <c r="BH153" i="20"/>
  <c r="A154" i="20"/>
  <c r="B154" i="20"/>
  <c r="C154" i="20"/>
  <c r="D154" i="20"/>
  <c r="E154" i="20"/>
  <c r="F154" i="20"/>
  <c r="G154" i="20"/>
  <c r="H154" i="20"/>
  <c r="I154" i="20"/>
  <c r="J154" i="20"/>
  <c r="K154" i="20"/>
  <c r="M154" i="20"/>
  <c r="N154" i="20"/>
  <c r="P154" i="20"/>
  <c r="Q154" i="20"/>
  <c r="R154" i="20"/>
  <c r="S154" i="20"/>
  <c r="T154" i="20"/>
  <c r="U154" i="20"/>
  <c r="V154" i="20"/>
  <c r="W154" i="20"/>
  <c r="X154" i="20"/>
  <c r="Y154" i="20"/>
  <c r="Z154" i="20"/>
  <c r="AA154" i="20"/>
  <c r="AB154" i="20"/>
  <c r="AC154" i="20"/>
  <c r="AD154" i="20"/>
  <c r="AE154" i="20"/>
  <c r="AF154" i="20"/>
  <c r="AG154" i="20"/>
  <c r="AH154" i="20"/>
  <c r="AI154" i="20"/>
  <c r="AJ154" i="20"/>
  <c r="AK154" i="20"/>
  <c r="AL154" i="20"/>
  <c r="AM154" i="20"/>
  <c r="AN154" i="20"/>
  <c r="AO154" i="20"/>
  <c r="AP154" i="20"/>
  <c r="AQ154" i="20"/>
  <c r="AR154" i="20"/>
  <c r="AS154" i="20"/>
  <c r="AT154" i="20"/>
  <c r="AU154" i="20"/>
  <c r="AV154" i="20"/>
  <c r="AX154" i="20"/>
  <c r="AY154" i="20"/>
  <c r="BA154" i="20"/>
  <c r="BB154" i="20"/>
  <c r="BC154" i="20"/>
  <c r="BE154" i="20"/>
  <c r="BG154" i="20"/>
  <c r="BH154" i="20"/>
  <c r="A155" i="20"/>
  <c r="B155" i="20"/>
  <c r="C155" i="20"/>
  <c r="D155" i="20"/>
  <c r="E155" i="20"/>
  <c r="F155" i="20"/>
  <c r="G155" i="20"/>
  <c r="H155" i="20"/>
  <c r="I155" i="20"/>
  <c r="J155" i="20"/>
  <c r="K155" i="20"/>
  <c r="M155" i="20"/>
  <c r="N155" i="20"/>
  <c r="P155" i="20"/>
  <c r="Q155" i="20"/>
  <c r="R155" i="20"/>
  <c r="S155" i="20"/>
  <c r="T155" i="20"/>
  <c r="U155" i="20"/>
  <c r="V155" i="20"/>
  <c r="W155" i="20"/>
  <c r="X155" i="20"/>
  <c r="Y155" i="20"/>
  <c r="Z155" i="20"/>
  <c r="AA155" i="20"/>
  <c r="AB155" i="20"/>
  <c r="AC155" i="20"/>
  <c r="AD155" i="20"/>
  <c r="AE155" i="20"/>
  <c r="AF155" i="20"/>
  <c r="AG155" i="20"/>
  <c r="AH155" i="20"/>
  <c r="AI155" i="20"/>
  <c r="AJ155" i="20"/>
  <c r="AK155" i="20"/>
  <c r="AL155" i="20"/>
  <c r="AM155" i="20"/>
  <c r="AN155" i="20"/>
  <c r="AO155" i="20"/>
  <c r="AP155" i="20"/>
  <c r="AQ155" i="20"/>
  <c r="AR155" i="20"/>
  <c r="AS155" i="20"/>
  <c r="AT155" i="20"/>
  <c r="AU155" i="20"/>
  <c r="AV155" i="20"/>
  <c r="AX155" i="20"/>
  <c r="AY155" i="20"/>
  <c r="BA155" i="20"/>
  <c r="BB155" i="20"/>
  <c r="BC155" i="20"/>
  <c r="BE155" i="20"/>
  <c r="BG155" i="20"/>
  <c r="BH155" i="20"/>
  <c r="A156" i="20"/>
  <c r="B156" i="20"/>
  <c r="C156" i="20"/>
  <c r="D156" i="20"/>
  <c r="E156" i="20"/>
  <c r="F156" i="20"/>
  <c r="G156" i="20"/>
  <c r="H156" i="20"/>
  <c r="I156" i="20"/>
  <c r="J156" i="20"/>
  <c r="K156" i="20"/>
  <c r="M156" i="20"/>
  <c r="N156" i="20"/>
  <c r="P156" i="20"/>
  <c r="Q156" i="20"/>
  <c r="R156" i="20"/>
  <c r="S156" i="20"/>
  <c r="T156" i="20"/>
  <c r="U156" i="20"/>
  <c r="V156" i="20"/>
  <c r="W156" i="20"/>
  <c r="X156" i="20"/>
  <c r="Y156" i="20"/>
  <c r="Z156" i="20"/>
  <c r="AA156" i="20"/>
  <c r="AB156" i="20"/>
  <c r="AC156" i="20"/>
  <c r="AD156" i="20"/>
  <c r="AE156" i="20"/>
  <c r="AF156" i="20"/>
  <c r="AG156" i="20"/>
  <c r="AH156" i="20"/>
  <c r="AI156" i="20"/>
  <c r="AJ156" i="20"/>
  <c r="AK156" i="20"/>
  <c r="AL156" i="20"/>
  <c r="AM156" i="20"/>
  <c r="AN156" i="20"/>
  <c r="AO156" i="20"/>
  <c r="AP156" i="20"/>
  <c r="AQ156" i="20"/>
  <c r="AR156" i="20"/>
  <c r="AS156" i="20"/>
  <c r="AT156" i="20"/>
  <c r="AU156" i="20"/>
  <c r="AV156" i="20"/>
  <c r="AX156" i="20"/>
  <c r="AY156" i="20"/>
  <c r="BA156" i="20"/>
  <c r="BB156" i="20"/>
  <c r="BC156" i="20"/>
  <c r="BE156" i="20"/>
  <c r="BG156" i="20"/>
  <c r="BH156" i="20"/>
  <c r="A157" i="20"/>
  <c r="B157" i="20"/>
  <c r="C157" i="20"/>
  <c r="D157" i="20"/>
  <c r="E157" i="20"/>
  <c r="F157" i="20"/>
  <c r="G157" i="20"/>
  <c r="H157" i="20"/>
  <c r="I157" i="20"/>
  <c r="J157" i="20"/>
  <c r="K157" i="20"/>
  <c r="M157" i="20"/>
  <c r="N157" i="20"/>
  <c r="P157" i="20"/>
  <c r="Q157" i="20"/>
  <c r="R157" i="20"/>
  <c r="S157" i="20"/>
  <c r="T157" i="20"/>
  <c r="U157" i="20"/>
  <c r="V157" i="20"/>
  <c r="W157" i="20"/>
  <c r="X157" i="20"/>
  <c r="Y157" i="20"/>
  <c r="Z157" i="20"/>
  <c r="AA157" i="20"/>
  <c r="AB157" i="20"/>
  <c r="AC157" i="20"/>
  <c r="AD157" i="20"/>
  <c r="AE157" i="20"/>
  <c r="AF157" i="20"/>
  <c r="AG157" i="20"/>
  <c r="AH157" i="20"/>
  <c r="AI157" i="20"/>
  <c r="AJ157" i="20"/>
  <c r="AK157" i="20"/>
  <c r="AL157" i="20"/>
  <c r="AM157" i="20"/>
  <c r="AN157" i="20"/>
  <c r="AO157" i="20"/>
  <c r="AP157" i="20"/>
  <c r="AQ157" i="20"/>
  <c r="AR157" i="20"/>
  <c r="AS157" i="20"/>
  <c r="AT157" i="20"/>
  <c r="AU157" i="20"/>
  <c r="AV157" i="20"/>
  <c r="AX157" i="20"/>
  <c r="AY157" i="20"/>
  <c r="BA157" i="20"/>
  <c r="BB157" i="20"/>
  <c r="BC157" i="20"/>
  <c r="BE157" i="20"/>
  <c r="BG157" i="20"/>
  <c r="BH157" i="20"/>
  <c r="A158" i="20"/>
  <c r="B158" i="20"/>
  <c r="C158" i="20"/>
  <c r="D158" i="20"/>
  <c r="E158" i="20"/>
  <c r="F158" i="20"/>
  <c r="G158" i="20"/>
  <c r="H158" i="20"/>
  <c r="I158" i="20"/>
  <c r="J158" i="20"/>
  <c r="K158" i="20"/>
  <c r="M158" i="20"/>
  <c r="N158" i="20"/>
  <c r="P158" i="20"/>
  <c r="Q158" i="20"/>
  <c r="R158" i="20"/>
  <c r="S158" i="20"/>
  <c r="T158" i="20"/>
  <c r="U158" i="20"/>
  <c r="V158" i="20"/>
  <c r="W158" i="20"/>
  <c r="X158" i="20"/>
  <c r="Y158" i="20"/>
  <c r="Z158" i="20"/>
  <c r="AA158" i="20"/>
  <c r="AB158" i="20"/>
  <c r="AC158" i="20"/>
  <c r="AD158" i="20"/>
  <c r="AE158" i="20"/>
  <c r="AF158" i="20"/>
  <c r="AG158" i="20"/>
  <c r="AH158" i="20"/>
  <c r="AI158" i="20"/>
  <c r="AJ158" i="20"/>
  <c r="AK158" i="20"/>
  <c r="AL158" i="20"/>
  <c r="AM158" i="20"/>
  <c r="AN158" i="20"/>
  <c r="AO158" i="20"/>
  <c r="AP158" i="20"/>
  <c r="AQ158" i="20"/>
  <c r="AR158" i="20"/>
  <c r="AS158" i="20"/>
  <c r="AT158" i="20"/>
  <c r="AU158" i="20"/>
  <c r="AV158" i="20"/>
  <c r="AX158" i="20"/>
  <c r="AY158" i="20"/>
  <c r="BA158" i="20"/>
  <c r="BB158" i="20"/>
  <c r="BC158" i="20"/>
  <c r="BE158" i="20"/>
  <c r="BG158" i="20"/>
  <c r="BH158" i="20"/>
  <c r="A159" i="20"/>
  <c r="B159" i="20"/>
  <c r="C159" i="20"/>
  <c r="D159" i="20"/>
  <c r="E159" i="20"/>
  <c r="F159" i="20"/>
  <c r="G159" i="20"/>
  <c r="H159" i="20"/>
  <c r="I159" i="20"/>
  <c r="J159" i="20"/>
  <c r="K159" i="20"/>
  <c r="M159" i="20"/>
  <c r="N159" i="20"/>
  <c r="P159" i="20"/>
  <c r="Q159" i="20"/>
  <c r="R159" i="20"/>
  <c r="S159" i="20"/>
  <c r="T159" i="20"/>
  <c r="U159" i="20"/>
  <c r="V159" i="20"/>
  <c r="W159" i="20"/>
  <c r="X159" i="20"/>
  <c r="Y159" i="20"/>
  <c r="Z159" i="20"/>
  <c r="AA159" i="20"/>
  <c r="AB159" i="20"/>
  <c r="AC159" i="20"/>
  <c r="AD159" i="20"/>
  <c r="AE159" i="20"/>
  <c r="AF159" i="20"/>
  <c r="AG159" i="20"/>
  <c r="AH159" i="20"/>
  <c r="AI159" i="20"/>
  <c r="AJ159" i="20"/>
  <c r="AK159" i="20"/>
  <c r="AL159" i="20"/>
  <c r="AM159" i="20"/>
  <c r="AN159" i="20"/>
  <c r="AO159" i="20"/>
  <c r="AP159" i="20"/>
  <c r="AQ159" i="20"/>
  <c r="AR159" i="20"/>
  <c r="AS159" i="20"/>
  <c r="AT159" i="20"/>
  <c r="AU159" i="20"/>
  <c r="AV159" i="20"/>
  <c r="AX159" i="20"/>
  <c r="AY159" i="20"/>
  <c r="BA159" i="20"/>
  <c r="BB159" i="20"/>
  <c r="BC159" i="20"/>
  <c r="BE159" i="20"/>
  <c r="BG159" i="20"/>
  <c r="BH159" i="20"/>
  <c r="A160" i="20"/>
  <c r="B160" i="20"/>
  <c r="C160" i="20"/>
  <c r="D160" i="20"/>
  <c r="E160" i="20"/>
  <c r="F160" i="20"/>
  <c r="G160" i="20"/>
  <c r="H160" i="20"/>
  <c r="I160" i="20"/>
  <c r="J160" i="20"/>
  <c r="K160" i="20"/>
  <c r="M160" i="20"/>
  <c r="N160" i="20"/>
  <c r="P160" i="20"/>
  <c r="Q160" i="20"/>
  <c r="R160" i="20"/>
  <c r="S160" i="20"/>
  <c r="T160" i="20"/>
  <c r="U160" i="20"/>
  <c r="V160" i="20"/>
  <c r="W160" i="20"/>
  <c r="X160" i="20"/>
  <c r="Y160" i="20"/>
  <c r="Z160" i="20"/>
  <c r="AA160" i="20"/>
  <c r="AB160" i="20"/>
  <c r="AC160" i="20"/>
  <c r="AD160" i="20"/>
  <c r="AE160" i="20"/>
  <c r="AF160" i="20"/>
  <c r="AG160" i="20"/>
  <c r="AH160" i="20"/>
  <c r="AI160" i="20"/>
  <c r="AJ160" i="20"/>
  <c r="AK160" i="20"/>
  <c r="AL160" i="20"/>
  <c r="AM160" i="20"/>
  <c r="AN160" i="20"/>
  <c r="AO160" i="20"/>
  <c r="AP160" i="20"/>
  <c r="AQ160" i="20"/>
  <c r="AR160" i="20"/>
  <c r="AS160" i="20"/>
  <c r="AT160" i="20"/>
  <c r="AU160" i="20"/>
  <c r="AV160" i="20"/>
  <c r="AX160" i="20"/>
  <c r="AY160" i="20"/>
  <c r="BA160" i="20"/>
  <c r="BB160" i="20"/>
  <c r="BC160" i="20"/>
  <c r="BE160" i="20"/>
  <c r="BG160" i="20"/>
  <c r="BH160" i="20"/>
  <c r="A161" i="20"/>
  <c r="B161" i="20"/>
  <c r="C161" i="20"/>
  <c r="D161" i="20"/>
  <c r="E161" i="20"/>
  <c r="F161" i="20"/>
  <c r="G161" i="20"/>
  <c r="H161" i="20"/>
  <c r="I161" i="20"/>
  <c r="J161" i="20"/>
  <c r="K161" i="20"/>
  <c r="M161" i="20"/>
  <c r="N161" i="20"/>
  <c r="P161" i="20"/>
  <c r="Q161" i="20"/>
  <c r="R161" i="20"/>
  <c r="S161" i="20"/>
  <c r="T161" i="20"/>
  <c r="U161" i="20"/>
  <c r="V161" i="20"/>
  <c r="W161" i="20"/>
  <c r="X161" i="20"/>
  <c r="Y161" i="20"/>
  <c r="Z161" i="20"/>
  <c r="AA161" i="20"/>
  <c r="AB161" i="20"/>
  <c r="AC161" i="20"/>
  <c r="AD161" i="20"/>
  <c r="AE161" i="20"/>
  <c r="AF161" i="20"/>
  <c r="AG161" i="20"/>
  <c r="AH161" i="20"/>
  <c r="AI161" i="20"/>
  <c r="AJ161" i="20"/>
  <c r="AK161" i="20"/>
  <c r="AL161" i="20"/>
  <c r="AM161" i="20"/>
  <c r="AN161" i="20"/>
  <c r="AO161" i="20"/>
  <c r="AP161" i="20"/>
  <c r="AQ161" i="20"/>
  <c r="AR161" i="20"/>
  <c r="AS161" i="20"/>
  <c r="AT161" i="20"/>
  <c r="AU161" i="20"/>
  <c r="AV161" i="20"/>
  <c r="AX161" i="20"/>
  <c r="AY161" i="20"/>
  <c r="BA161" i="20"/>
  <c r="BB161" i="20"/>
  <c r="BC161" i="20"/>
  <c r="BE161" i="20"/>
  <c r="BG161" i="20"/>
  <c r="BH161" i="20"/>
  <c r="A162" i="20"/>
  <c r="B162" i="20"/>
  <c r="C162" i="20"/>
  <c r="D162" i="20"/>
  <c r="E162" i="20"/>
  <c r="F162" i="20"/>
  <c r="G162" i="20"/>
  <c r="H162" i="20"/>
  <c r="I162" i="20"/>
  <c r="J162" i="20"/>
  <c r="K162" i="20"/>
  <c r="M162" i="20"/>
  <c r="N162" i="20"/>
  <c r="P162" i="20"/>
  <c r="Q162" i="20"/>
  <c r="R162" i="20"/>
  <c r="S162" i="20"/>
  <c r="T162" i="20"/>
  <c r="U162" i="20"/>
  <c r="V162" i="20"/>
  <c r="W162" i="20"/>
  <c r="X162" i="20"/>
  <c r="Y162" i="20"/>
  <c r="Z162" i="20"/>
  <c r="AA162" i="20"/>
  <c r="AB162" i="20"/>
  <c r="AC162" i="20"/>
  <c r="AD162" i="20"/>
  <c r="AE162" i="20"/>
  <c r="AF162" i="20"/>
  <c r="AG162" i="20"/>
  <c r="AH162" i="20"/>
  <c r="AI162" i="20"/>
  <c r="AJ162" i="20"/>
  <c r="AK162" i="20"/>
  <c r="AL162" i="20"/>
  <c r="AM162" i="20"/>
  <c r="AN162" i="20"/>
  <c r="AO162" i="20"/>
  <c r="AP162" i="20"/>
  <c r="AQ162" i="20"/>
  <c r="AR162" i="20"/>
  <c r="AS162" i="20"/>
  <c r="AT162" i="20"/>
  <c r="AU162" i="20"/>
  <c r="AV162" i="20"/>
  <c r="AX162" i="20"/>
  <c r="AY162" i="20"/>
  <c r="BA162" i="20"/>
  <c r="BB162" i="20"/>
  <c r="BC162" i="20"/>
  <c r="BE162" i="20"/>
  <c r="BG162" i="20"/>
  <c r="BH162" i="20"/>
  <c r="A163" i="20"/>
  <c r="B163" i="20"/>
  <c r="C163" i="20"/>
  <c r="D163" i="20"/>
  <c r="E163" i="20"/>
  <c r="F163" i="20"/>
  <c r="G163" i="20"/>
  <c r="H163" i="20"/>
  <c r="I163" i="20"/>
  <c r="J163" i="20"/>
  <c r="K163" i="20"/>
  <c r="M163" i="20"/>
  <c r="N163" i="20"/>
  <c r="P163" i="20"/>
  <c r="Q163" i="20"/>
  <c r="R163" i="20"/>
  <c r="S163" i="20"/>
  <c r="T163" i="20"/>
  <c r="U163" i="20"/>
  <c r="V163" i="20"/>
  <c r="W163" i="20"/>
  <c r="X163" i="20"/>
  <c r="Y163" i="20"/>
  <c r="Z163" i="20"/>
  <c r="AA163" i="20"/>
  <c r="AB163" i="20"/>
  <c r="AC163" i="20"/>
  <c r="AD163" i="20"/>
  <c r="AE163" i="20"/>
  <c r="AF163" i="20"/>
  <c r="AG163" i="20"/>
  <c r="AH163" i="20"/>
  <c r="AI163" i="20"/>
  <c r="AJ163" i="20"/>
  <c r="AK163" i="20"/>
  <c r="AL163" i="20"/>
  <c r="AM163" i="20"/>
  <c r="AN163" i="20"/>
  <c r="AO163" i="20"/>
  <c r="AP163" i="20"/>
  <c r="AQ163" i="20"/>
  <c r="AR163" i="20"/>
  <c r="AS163" i="20"/>
  <c r="AT163" i="20"/>
  <c r="AU163" i="20"/>
  <c r="AV163" i="20"/>
  <c r="AX163" i="20"/>
  <c r="AY163" i="20"/>
  <c r="BA163" i="20"/>
  <c r="BB163" i="20"/>
  <c r="BC163" i="20"/>
  <c r="BE163" i="20"/>
  <c r="BG163" i="20"/>
  <c r="BH163" i="20"/>
  <c r="A164" i="20"/>
  <c r="B164" i="20"/>
  <c r="C164" i="20"/>
  <c r="D164" i="20"/>
  <c r="E164" i="20"/>
  <c r="F164" i="20"/>
  <c r="G164" i="20"/>
  <c r="H164" i="20"/>
  <c r="I164" i="20"/>
  <c r="J164" i="20"/>
  <c r="K164" i="20"/>
  <c r="M164" i="20"/>
  <c r="N164" i="20"/>
  <c r="P164" i="20"/>
  <c r="Q164" i="20"/>
  <c r="R164" i="20"/>
  <c r="S164" i="20"/>
  <c r="T164" i="20"/>
  <c r="U164" i="20"/>
  <c r="V164" i="20"/>
  <c r="W164" i="20"/>
  <c r="X164" i="20"/>
  <c r="Y164" i="20"/>
  <c r="Z164" i="20"/>
  <c r="AA164" i="20"/>
  <c r="AB164" i="20"/>
  <c r="AC164" i="20"/>
  <c r="AD164" i="20"/>
  <c r="AE164" i="20"/>
  <c r="AF164" i="20"/>
  <c r="AG164" i="20"/>
  <c r="AH164" i="20"/>
  <c r="AI164" i="20"/>
  <c r="AJ164" i="20"/>
  <c r="AK164" i="20"/>
  <c r="AL164" i="20"/>
  <c r="AM164" i="20"/>
  <c r="AN164" i="20"/>
  <c r="AO164" i="20"/>
  <c r="AP164" i="20"/>
  <c r="AQ164" i="20"/>
  <c r="AR164" i="20"/>
  <c r="AS164" i="20"/>
  <c r="AT164" i="20"/>
  <c r="AU164" i="20"/>
  <c r="AV164" i="20"/>
  <c r="AX164" i="20"/>
  <c r="AY164" i="20"/>
  <c r="BA164" i="20"/>
  <c r="BB164" i="20"/>
  <c r="BC164" i="20"/>
  <c r="BE164" i="20"/>
  <c r="BG164" i="20"/>
  <c r="BH164" i="20"/>
  <c r="A165" i="20"/>
  <c r="B165" i="20"/>
  <c r="C165" i="20"/>
  <c r="D165" i="20"/>
  <c r="E165" i="20"/>
  <c r="F165" i="20"/>
  <c r="G165" i="20"/>
  <c r="H165" i="20"/>
  <c r="I165" i="20"/>
  <c r="J165" i="20"/>
  <c r="K165" i="20"/>
  <c r="M165" i="20"/>
  <c r="N165" i="20"/>
  <c r="P165" i="20"/>
  <c r="Q165" i="20"/>
  <c r="R165" i="20"/>
  <c r="S165" i="20"/>
  <c r="T165" i="20"/>
  <c r="U165" i="20"/>
  <c r="V165" i="20"/>
  <c r="W165" i="20"/>
  <c r="X165" i="20"/>
  <c r="Y165" i="20"/>
  <c r="Z165" i="20"/>
  <c r="AA165" i="20"/>
  <c r="AB165" i="20"/>
  <c r="AC165" i="20"/>
  <c r="AD165" i="20"/>
  <c r="AE165" i="20"/>
  <c r="AF165" i="20"/>
  <c r="AG165" i="20"/>
  <c r="AH165" i="20"/>
  <c r="AI165" i="20"/>
  <c r="AJ165" i="20"/>
  <c r="AK165" i="20"/>
  <c r="AL165" i="20"/>
  <c r="AM165" i="20"/>
  <c r="AN165" i="20"/>
  <c r="AO165" i="20"/>
  <c r="AP165" i="20"/>
  <c r="AQ165" i="20"/>
  <c r="AR165" i="20"/>
  <c r="AS165" i="20"/>
  <c r="AT165" i="20"/>
  <c r="AU165" i="20"/>
  <c r="AV165" i="20"/>
  <c r="AX165" i="20"/>
  <c r="AY165" i="20"/>
  <c r="BA165" i="20"/>
  <c r="BB165" i="20"/>
  <c r="BC165" i="20"/>
  <c r="BE165" i="20"/>
  <c r="BG165" i="20"/>
  <c r="BH165" i="20"/>
  <c r="A166" i="20"/>
  <c r="B166" i="20"/>
  <c r="C166" i="20"/>
  <c r="D166" i="20"/>
  <c r="E166" i="20"/>
  <c r="F166" i="20"/>
  <c r="G166" i="20"/>
  <c r="H166" i="20"/>
  <c r="I166" i="20"/>
  <c r="J166" i="20"/>
  <c r="K166" i="20"/>
  <c r="M166" i="20"/>
  <c r="N166" i="20"/>
  <c r="P166" i="20"/>
  <c r="Q166" i="20"/>
  <c r="R166" i="20"/>
  <c r="S166" i="20"/>
  <c r="T166" i="20"/>
  <c r="U166" i="20"/>
  <c r="V166" i="20"/>
  <c r="W166" i="20"/>
  <c r="X166" i="20"/>
  <c r="Y166" i="20"/>
  <c r="Z166" i="20"/>
  <c r="AA166" i="20"/>
  <c r="AB166" i="20"/>
  <c r="AC166" i="20"/>
  <c r="AD166" i="20"/>
  <c r="AE166" i="20"/>
  <c r="AF166" i="20"/>
  <c r="AG166" i="20"/>
  <c r="AH166" i="20"/>
  <c r="AI166" i="20"/>
  <c r="AJ166" i="20"/>
  <c r="AK166" i="20"/>
  <c r="AL166" i="20"/>
  <c r="AM166" i="20"/>
  <c r="AN166" i="20"/>
  <c r="AO166" i="20"/>
  <c r="AP166" i="20"/>
  <c r="AQ166" i="20"/>
  <c r="AR166" i="20"/>
  <c r="AS166" i="20"/>
  <c r="AT166" i="20"/>
  <c r="AU166" i="20"/>
  <c r="AV166" i="20"/>
  <c r="AX166" i="20"/>
  <c r="AY166" i="20"/>
  <c r="BA166" i="20"/>
  <c r="BB166" i="20"/>
  <c r="BC166" i="20"/>
  <c r="BE166" i="20"/>
  <c r="BG166" i="20"/>
  <c r="BH166" i="20"/>
  <c r="A167" i="20"/>
  <c r="B167" i="20"/>
  <c r="C167" i="20"/>
  <c r="D167" i="20"/>
  <c r="E167" i="20"/>
  <c r="F167" i="20"/>
  <c r="G167" i="20"/>
  <c r="H167" i="20"/>
  <c r="I167" i="20"/>
  <c r="J167" i="20"/>
  <c r="K167" i="20"/>
  <c r="M167" i="20"/>
  <c r="N167" i="20"/>
  <c r="P167" i="20"/>
  <c r="Q167" i="20"/>
  <c r="R167" i="20"/>
  <c r="S167" i="20"/>
  <c r="T167" i="20"/>
  <c r="U167" i="20"/>
  <c r="V167" i="20"/>
  <c r="W167" i="20"/>
  <c r="X167" i="20"/>
  <c r="Y167" i="20"/>
  <c r="Z167" i="20"/>
  <c r="AA167" i="20"/>
  <c r="AB167" i="20"/>
  <c r="AC167" i="20"/>
  <c r="AD167" i="20"/>
  <c r="AE167" i="20"/>
  <c r="AF167" i="20"/>
  <c r="AG167" i="20"/>
  <c r="AH167" i="20"/>
  <c r="AI167" i="20"/>
  <c r="AJ167" i="20"/>
  <c r="AK167" i="20"/>
  <c r="AL167" i="20"/>
  <c r="AM167" i="20"/>
  <c r="AN167" i="20"/>
  <c r="AO167" i="20"/>
  <c r="AP167" i="20"/>
  <c r="AQ167" i="20"/>
  <c r="AR167" i="20"/>
  <c r="AS167" i="20"/>
  <c r="AT167" i="20"/>
  <c r="AU167" i="20"/>
  <c r="AV167" i="20"/>
  <c r="AX167" i="20"/>
  <c r="AY167" i="20"/>
  <c r="BA167" i="20"/>
  <c r="BB167" i="20"/>
  <c r="BC167" i="20"/>
  <c r="BE167" i="20"/>
  <c r="BG167" i="20"/>
  <c r="BH167" i="20"/>
  <c r="A168" i="20"/>
  <c r="B168" i="20"/>
  <c r="C168" i="20"/>
  <c r="D168" i="20"/>
  <c r="E168" i="20"/>
  <c r="F168" i="20"/>
  <c r="G168" i="20"/>
  <c r="H168" i="20"/>
  <c r="I168" i="20"/>
  <c r="J168" i="20"/>
  <c r="K168" i="20"/>
  <c r="M168" i="20"/>
  <c r="N168" i="20"/>
  <c r="P168" i="20"/>
  <c r="Q168" i="20"/>
  <c r="R168" i="20"/>
  <c r="S168" i="20"/>
  <c r="T168" i="20"/>
  <c r="U168" i="20"/>
  <c r="V168" i="20"/>
  <c r="W168" i="20"/>
  <c r="X168" i="20"/>
  <c r="Y168" i="20"/>
  <c r="Z168" i="20"/>
  <c r="AA168" i="20"/>
  <c r="AB168" i="20"/>
  <c r="AC168" i="20"/>
  <c r="AD168" i="20"/>
  <c r="AE168" i="20"/>
  <c r="AF168" i="20"/>
  <c r="AG168" i="20"/>
  <c r="AH168" i="20"/>
  <c r="AI168" i="20"/>
  <c r="AJ168" i="20"/>
  <c r="AK168" i="20"/>
  <c r="AL168" i="20"/>
  <c r="AM168" i="20"/>
  <c r="AN168" i="20"/>
  <c r="AO168" i="20"/>
  <c r="AP168" i="20"/>
  <c r="AQ168" i="20"/>
  <c r="AR168" i="20"/>
  <c r="AS168" i="20"/>
  <c r="AT168" i="20"/>
  <c r="AU168" i="20"/>
  <c r="AV168" i="20"/>
  <c r="AX168" i="20"/>
  <c r="AY168" i="20"/>
  <c r="BA168" i="20"/>
  <c r="BB168" i="20"/>
  <c r="BC168" i="20"/>
  <c r="BE168" i="20"/>
  <c r="BG168" i="20"/>
  <c r="BH168" i="20"/>
  <c r="A169" i="20"/>
  <c r="B169" i="20"/>
  <c r="C169" i="20"/>
  <c r="D169" i="20"/>
  <c r="E169" i="20"/>
  <c r="F169" i="20"/>
  <c r="G169" i="20"/>
  <c r="H169" i="20"/>
  <c r="I169" i="20"/>
  <c r="J169" i="20"/>
  <c r="K169" i="20"/>
  <c r="M169" i="20"/>
  <c r="N169" i="20"/>
  <c r="P169" i="20"/>
  <c r="Q169" i="20"/>
  <c r="R169" i="20"/>
  <c r="S169" i="20"/>
  <c r="T169" i="20"/>
  <c r="U169" i="20"/>
  <c r="V169" i="20"/>
  <c r="W169" i="20"/>
  <c r="X169" i="20"/>
  <c r="Y169" i="20"/>
  <c r="Z169" i="20"/>
  <c r="AA169" i="20"/>
  <c r="AB169" i="20"/>
  <c r="AC169" i="20"/>
  <c r="AD169" i="20"/>
  <c r="AE169" i="20"/>
  <c r="AF169" i="20"/>
  <c r="AG169" i="20"/>
  <c r="AH169" i="20"/>
  <c r="AI169" i="20"/>
  <c r="AJ169" i="20"/>
  <c r="AK169" i="20"/>
  <c r="AL169" i="20"/>
  <c r="AM169" i="20"/>
  <c r="AN169" i="20"/>
  <c r="AO169" i="20"/>
  <c r="AP169" i="20"/>
  <c r="AQ169" i="20"/>
  <c r="AR169" i="20"/>
  <c r="AS169" i="20"/>
  <c r="AT169" i="20"/>
  <c r="AU169" i="20"/>
  <c r="AV169" i="20"/>
  <c r="AX169" i="20"/>
  <c r="AY169" i="20"/>
  <c r="BA169" i="20"/>
  <c r="BB169" i="20"/>
  <c r="BC169" i="20"/>
  <c r="BE169" i="20"/>
  <c r="BG169" i="20"/>
  <c r="BH169" i="20"/>
  <c r="A170" i="20"/>
  <c r="B170" i="20"/>
  <c r="C170" i="20"/>
  <c r="D170" i="20"/>
  <c r="E170" i="20"/>
  <c r="F170" i="20"/>
  <c r="G170" i="20"/>
  <c r="H170" i="20"/>
  <c r="I170" i="20"/>
  <c r="J170" i="20"/>
  <c r="K170" i="20"/>
  <c r="M170" i="20"/>
  <c r="N170" i="20"/>
  <c r="P170" i="20"/>
  <c r="Q170" i="20"/>
  <c r="R170" i="20"/>
  <c r="S170" i="20"/>
  <c r="T170" i="20"/>
  <c r="U170" i="20"/>
  <c r="V170" i="20"/>
  <c r="W170" i="20"/>
  <c r="X170" i="20"/>
  <c r="Y170" i="20"/>
  <c r="Z170" i="20"/>
  <c r="AA170" i="20"/>
  <c r="AB170" i="20"/>
  <c r="AC170" i="20"/>
  <c r="AD170" i="20"/>
  <c r="AE170" i="20"/>
  <c r="AF170" i="20"/>
  <c r="AG170" i="20"/>
  <c r="AH170" i="20"/>
  <c r="AI170" i="20"/>
  <c r="AJ170" i="20"/>
  <c r="AK170" i="20"/>
  <c r="AL170" i="20"/>
  <c r="AM170" i="20"/>
  <c r="AN170" i="20"/>
  <c r="AO170" i="20"/>
  <c r="AP170" i="20"/>
  <c r="AQ170" i="20"/>
  <c r="AR170" i="20"/>
  <c r="AS170" i="20"/>
  <c r="AT170" i="20"/>
  <c r="AU170" i="20"/>
  <c r="AV170" i="20"/>
  <c r="AX170" i="20"/>
  <c r="AY170" i="20"/>
  <c r="BA170" i="20"/>
  <c r="BB170" i="20"/>
  <c r="BC170" i="20"/>
  <c r="BE170" i="20"/>
  <c r="BG170" i="20"/>
  <c r="BH170" i="20"/>
  <c r="A171" i="20"/>
  <c r="B171" i="20"/>
  <c r="C171" i="20"/>
  <c r="D171" i="20"/>
  <c r="E171" i="20"/>
  <c r="F171" i="20"/>
  <c r="G171" i="20"/>
  <c r="H171" i="20"/>
  <c r="I171" i="20"/>
  <c r="J171" i="20"/>
  <c r="K171" i="20"/>
  <c r="M171" i="20"/>
  <c r="N171" i="20"/>
  <c r="P171" i="20"/>
  <c r="Q171" i="20"/>
  <c r="R171" i="20"/>
  <c r="S171" i="20"/>
  <c r="T171" i="20"/>
  <c r="U171" i="20"/>
  <c r="V171" i="20"/>
  <c r="W171" i="20"/>
  <c r="X171" i="20"/>
  <c r="Y171" i="20"/>
  <c r="Z171" i="20"/>
  <c r="AA171" i="20"/>
  <c r="AB171" i="20"/>
  <c r="AC171" i="20"/>
  <c r="AD171" i="20"/>
  <c r="AE171" i="20"/>
  <c r="AF171" i="20"/>
  <c r="AG171" i="20"/>
  <c r="AH171" i="20"/>
  <c r="AI171" i="20"/>
  <c r="AJ171" i="20"/>
  <c r="AK171" i="20"/>
  <c r="AL171" i="20"/>
  <c r="AM171" i="20"/>
  <c r="AN171" i="20"/>
  <c r="AO171" i="20"/>
  <c r="AP171" i="20"/>
  <c r="AQ171" i="20"/>
  <c r="AR171" i="20"/>
  <c r="AS171" i="20"/>
  <c r="AT171" i="20"/>
  <c r="AU171" i="20"/>
  <c r="AV171" i="20"/>
  <c r="AX171" i="20"/>
  <c r="AY171" i="20"/>
  <c r="BA171" i="20"/>
  <c r="BB171" i="20"/>
  <c r="BC171" i="20"/>
  <c r="BE171" i="20"/>
  <c r="BG171" i="20"/>
  <c r="BH171" i="20"/>
  <c r="A172" i="20"/>
  <c r="B172" i="20"/>
  <c r="C172" i="20"/>
  <c r="D172" i="20"/>
  <c r="E172" i="20"/>
  <c r="F172" i="20"/>
  <c r="G172" i="20"/>
  <c r="H172" i="20"/>
  <c r="I172" i="20"/>
  <c r="J172" i="20"/>
  <c r="K172" i="20"/>
  <c r="M172" i="20"/>
  <c r="N172" i="20"/>
  <c r="P172" i="20"/>
  <c r="Q172" i="20"/>
  <c r="R172" i="20"/>
  <c r="S172" i="20"/>
  <c r="T172" i="20"/>
  <c r="U172" i="20"/>
  <c r="V172" i="20"/>
  <c r="W172" i="20"/>
  <c r="X172" i="20"/>
  <c r="Y172" i="20"/>
  <c r="Z172" i="20"/>
  <c r="AA172" i="20"/>
  <c r="AB172" i="20"/>
  <c r="AC172" i="20"/>
  <c r="AD172" i="20"/>
  <c r="AE172" i="20"/>
  <c r="AF172" i="20"/>
  <c r="AG172" i="20"/>
  <c r="AH172" i="20"/>
  <c r="AI172" i="20"/>
  <c r="AJ172" i="20"/>
  <c r="AK172" i="20"/>
  <c r="AL172" i="20"/>
  <c r="AM172" i="20"/>
  <c r="AN172" i="20"/>
  <c r="AO172" i="20"/>
  <c r="AP172" i="20"/>
  <c r="AQ172" i="20"/>
  <c r="AR172" i="20"/>
  <c r="AS172" i="20"/>
  <c r="AT172" i="20"/>
  <c r="AU172" i="20"/>
  <c r="AV172" i="20"/>
  <c r="AX172" i="20"/>
  <c r="AY172" i="20"/>
  <c r="BA172" i="20"/>
  <c r="BB172" i="20"/>
  <c r="BC172" i="20"/>
  <c r="BE172" i="20"/>
  <c r="BG172" i="20"/>
  <c r="BH172" i="20"/>
  <c r="A173" i="20"/>
  <c r="B173" i="20"/>
  <c r="C173" i="20"/>
  <c r="D173" i="20"/>
  <c r="E173" i="20"/>
  <c r="F173" i="20"/>
  <c r="G173" i="20"/>
  <c r="H173" i="20"/>
  <c r="I173" i="20"/>
  <c r="J173" i="20"/>
  <c r="K173" i="20"/>
  <c r="M173" i="20"/>
  <c r="N173" i="20"/>
  <c r="P173" i="20"/>
  <c r="Q173" i="20"/>
  <c r="R173" i="20"/>
  <c r="S173" i="20"/>
  <c r="T173" i="20"/>
  <c r="U173" i="20"/>
  <c r="V173" i="20"/>
  <c r="W173" i="20"/>
  <c r="X173" i="20"/>
  <c r="Y173" i="20"/>
  <c r="Z173" i="20"/>
  <c r="AA173" i="20"/>
  <c r="AB173" i="20"/>
  <c r="AC173" i="20"/>
  <c r="AD173" i="20"/>
  <c r="AE173" i="20"/>
  <c r="AF173" i="20"/>
  <c r="AG173" i="20"/>
  <c r="AH173" i="20"/>
  <c r="AI173" i="20"/>
  <c r="AJ173" i="20"/>
  <c r="AK173" i="20"/>
  <c r="AL173" i="20"/>
  <c r="AM173" i="20"/>
  <c r="AN173" i="20"/>
  <c r="AO173" i="20"/>
  <c r="AP173" i="20"/>
  <c r="AQ173" i="20"/>
  <c r="AR173" i="20"/>
  <c r="AS173" i="20"/>
  <c r="AT173" i="20"/>
  <c r="AU173" i="20"/>
  <c r="AV173" i="20"/>
  <c r="AX173" i="20"/>
  <c r="AY173" i="20"/>
  <c r="BA173" i="20"/>
  <c r="BB173" i="20"/>
  <c r="BC173" i="20"/>
  <c r="BE173" i="20"/>
  <c r="BG173" i="20"/>
  <c r="BH173" i="20"/>
  <c r="A174" i="20"/>
  <c r="B174" i="20"/>
  <c r="C174" i="20"/>
  <c r="D174" i="20"/>
  <c r="E174" i="20"/>
  <c r="F174" i="20"/>
  <c r="G174" i="20"/>
  <c r="H174" i="20"/>
  <c r="I174" i="20"/>
  <c r="J174" i="20"/>
  <c r="K174" i="20"/>
  <c r="M174" i="20"/>
  <c r="N174" i="20"/>
  <c r="P174" i="20"/>
  <c r="Q174" i="20"/>
  <c r="R174" i="20"/>
  <c r="S174" i="20"/>
  <c r="T174" i="20"/>
  <c r="U174" i="20"/>
  <c r="V174" i="20"/>
  <c r="W174" i="20"/>
  <c r="X174" i="20"/>
  <c r="Y174" i="20"/>
  <c r="Z174" i="20"/>
  <c r="AA174" i="20"/>
  <c r="AB174" i="20"/>
  <c r="AC174" i="20"/>
  <c r="AD174" i="20"/>
  <c r="AE174" i="20"/>
  <c r="AF174" i="20"/>
  <c r="AG174" i="20"/>
  <c r="AH174" i="20"/>
  <c r="AI174" i="20"/>
  <c r="AJ174" i="20"/>
  <c r="AK174" i="20"/>
  <c r="AL174" i="20"/>
  <c r="AM174" i="20"/>
  <c r="AN174" i="20"/>
  <c r="AO174" i="20"/>
  <c r="AP174" i="20"/>
  <c r="AQ174" i="20"/>
  <c r="AR174" i="20"/>
  <c r="AS174" i="20"/>
  <c r="AT174" i="20"/>
  <c r="AU174" i="20"/>
  <c r="AV174" i="20"/>
  <c r="AX174" i="20"/>
  <c r="AY174" i="20"/>
  <c r="BA174" i="20"/>
  <c r="BB174" i="20"/>
  <c r="BC174" i="20"/>
  <c r="BE174" i="20"/>
  <c r="BG174" i="20"/>
  <c r="BH174" i="20"/>
  <c r="A175" i="20"/>
  <c r="B175" i="20"/>
  <c r="C175" i="20"/>
  <c r="D175" i="20"/>
  <c r="E175" i="20"/>
  <c r="F175" i="20"/>
  <c r="G175" i="20"/>
  <c r="H175" i="20"/>
  <c r="I175" i="20"/>
  <c r="J175" i="20"/>
  <c r="K175" i="20"/>
  <c r="M175" i="20"/>
  <c r="N175" i="20"/>
  <c r="P175" i="20"/>
  <c r="Q175" i="20"/>
  <c r="R175" i="20"/>
  <c r="S175" i="20"/>
  <c r="T175" i="20"/>
  <c r="U175" i="20"/>
  <c r="V175" i="20"/>
  <c r="W175" i="20"/>
  <c r="X175" i="20"/>
  <c r="Y175" i="20"/>
  <c r="Z175" i="20"/>
  <c r="AA175" i="20"/>
  <c r="AB175" i="20"/>
  <c r="AC175" i="20"/>
  <c r="AD175" i="20"/>
  <c r="AE175" i="20"/>
  <c r="AF175" i="20"/>
  <c r="AG175" i="20"/>
  <c r="AH175" i="20"/>
  <c r="AI175" i="20"/>
  <c r="AJ175" i="20"/>
  <c r="AK175" i="20"/>
  <c r="AL175" i="20"/>
  <c r="AM175" i="20"/>
  <c r="AN175" i="20"/>
  <c r="AO175" i="20"/>
  <c r="AP175" i="20"/>
  <c r="AQ175" i="20"/>
  <c r="AR175" i="20"/>
  <c r="AS175" i="20"/>
  <c r="AT175" i="20"/>
  <c r="AU175" i="20"/>
  <c r="AV175" i="20"/>
  <c r="AX175" i="20"/>
  <c r="AY175" i="20"/>
  <c r="BA175" i="20"/>
  <c r="BB175" i="20"/>
  <c r="BC175" i="20"/>
  <c r="BE175" i="20"/>
  <c r="BG175" i="20"/>
  <c r="BH175" i="20"/>
  <c r="A176" i="20"/>
  <c r="B176" i="20"/>
  <c r="C176" i="20"/>
  <c r="D176" i="20"/>
  <c r="E176" i="20"/>
  <c r="F176" i="20"/>
  <c r="G176" i="20"/>
  <c r="H176" i="20"/>
  <c r="I176" i="20"/>
  <c r="J176" i="20"/>
  <c r="K176" i="20"/>
  <c r="M176" i="20"/>
  <c r="N176" i="20"/>
  <c r="P176" i="20"/>
  <c r="Q176" i="20"/>
  <c r="R176" i="20"/>
  <c r="S176" i="20"/>
  <c r="T176" i="20"/>
  <c r="U176" i="20"/>
  <c r="V176" i="20"/>
  <c r="W176" i="20"/>
  <c r="X176" i="20"/>
  <c r="Y176" i="20"/>
  <c r="Z176" i="20"/>
  <c r="AA176" i="20"/>
  <c r="AB176" i="20"/>
  <c r="AC176" i="20"/>
  <c r="AD176" i="20"/>
  <c r="AE176" i="20"/>
  <c r="AF176" i="20"/>
  <c r="AG176" i="20"/>
  <c r="AH176" i="20"/>
  <c r="AI176" i="20"/>
  <c r="AJ176" i="20"/>
  <c r="AK176" i="20"/>
  <c r="AL176" i="20"/>
  <c r="AM176" i="20"/>
  <c r="AN176" i="20"/>
  <c r="AO176" i="20"/>
  <c r="AP176" i="20"/>
  <c r="AQ176" i="20"/>
  <c r="AR176" i="20"/>
  <c r="AS176" i="20"/>
  <c r="AT176" i="20"/>
  <c r="AU176" i="20"/>
  <c r="AV176" i="20"/>
  <c r="AX176" i="20"/>
  <c r="AY176" i="20"/>
  <c r="BA176" i="20"/>
  <c r="BB176" i="20"/>
  <c r="BC176" i="20"/>
  <c r="BE176" i="20"/>
  <c r="BG176" i="20"/>
  <c r="BH176" i="20"/>
  <c r="A177" i="20"/>
  <c r="B177" i="20"/>
  <c r="C177" i="20"/>
  <c r="D177" i="20"/>
  <c r="E177" i="20"/>
  <c r="F177" i="20"/>
  <c r="G177" i="20"/>
  <c r="H177" i="20"/>
  <c r="I177" i="20"/>
  <c r="J177" i="20"/>
  <c r="K177" i="20"/>
  <c r="M177" i="20"/>
  <c r="N177" i="20"/>
  <c r="P177" i="20"/>
  <c r="Q177" i="20"/>
  <c r="R177" i="20"/>
  <c r="S177" i="20"/>
  <c r="T177" i="20"/>
  <c r="U177" i="20"/>
  <c r="V177" i="20"/>
  <c r="W177" i="20"/>
  <c r="X177" i="20"/>
  <c r="Y177" i="20"/>
  <c r="Z177" i="20"/>
  <c r="AA177" i="20"/>
  <c r="AB177" i="20"/>
  <c r="AC177" i="20"/>
  <c r="AD177" i="20"/>
  <c r="AE177" i="20"/>
  <c r="AF177" i="20"/>
  <c r="AG177" i="20"/>
  <c r="AH177" i="20"/>
  <c r="AI177" i="20"/>
  <c r="AJ177" i="20"/>
  <c r="AK177" i="20"/>
  <c r="AL177" i="20"/>
  <c r="AM177" i="20"/>
  <c r="AN177" i="20"/>
  <c r="AO177" i="20"/>
  <c r="AP177" i="20"/>
  <c r="AQ177" i="20"/>
  <c r="AR177" i="20"/>
  <c r="AS177" i="20"/>
  <c r="AT177" i="20"/>
  <c r="AU177" i="20"/>
  <c r="AV177" i="20"/>
  <c r="AX177" i="20"/>
  <c r="AY177" i="20"/>
  <c r="BA177" i="20"/>
  <c r="BB177" i="20"/>
  <c r="BC177" i="20"/>
  <c r="BE177" i="20"/>
  <c r="BG177" i="20"/>
  <c r="BH177" i="20"/>
  <c r="A178" i="20"/>
  <c r="B178" i="20"/>
  <c r="C178" i="20"/>
  <c r="D178" i="20"/>
  <c r="E178" i="20"/>
  <c r="F178" i="20"/>
  <c r="G178" i="20"/>
  <c r="H178" i="20"/>
  <c r="I178" i="20"/>
  <c r="J178" i="20"/>
  <c r="K178" i="20"/>
  <c r="M178" i="20"/>
  <c r="N178" i="20"/>
  <c r="P178" i="20"/>
  <c r="Q178" i="20"/>
  <c r="R178" i="20"/>
  <c r="S178" i="20"/>
  <c r="T178" i="20"/>
  <c r="U178" i="20"/>
  <c r="V178" i="20"/>
  <c r="W178" i="20"/>
  <c r="X178" i="20"/>
  <c r="Y178" i="20"/>
  <c r="Z178" i="20"/>
  <c r="AA178" i="20"/>
  <c r="AB178" i="20"/>
  <c r="AC178" i="20"/>
  <c r="AD178" i="20"/>
  <c r="AE178" i="20"/>
  <c r="AF178" i="20"/>
  <c r="AG178" i="20"/>
  <c r="AH178" i="20"/>
  <c r="AI178" i="20"/>
  <c r="AJ178" i="20"/>
  <c r="AK178" i="20"/>
  <c r="AL178" i="20"/>
  <c r="AM178" i="20"/>
  <c r="AN178" i="20"/>
  <c r="AO178" i="20"/>
  <c r="AP178" i="20"/>
  <c r="AQ178" i="20"/>
  <c r="AR178" i="20"/>
  <c r="AS178" i="20"/>
  <c r="AT178" i="20"/>
  <c r="AU178" i="20"/>
  <c r="AV178" i="20"/>
  <c r="AX178" i="20"/>
  <c r="AY178" i="20"/>
  <c r="BA178" i="20"/>
  <c r="BB178" i="20"/>
  <c r="BC178" i="20"/>
  <c r="BE178" i="20"/>
  <c r="BG178" i="20"/>
  <c r="BH178" i="20"/>
  <c r="A179" i="20"/>
  <c r="B179" i="20"/>
  <c r="C179" i="20"/>
  <c r="D179" i="20"/>
  <c r="E179" i="20"/>
  <c r="F179" i="20"/>
  <c r="G179" i="20"/>
  <c r="H179" i="20"/>
  <c r="I179" i="20"/>
  <c r="J179" i="20"/>
  <c r="K179" i="20"/>
  <c r="M179" i="20"/>
  <c r="N179" i="20"/>
  <c r="P179" i="20"/>
  <c r="Q179" i="20"/>
  <c r="R179" i="20"/>
  <c r="S179" i="20"/>
  <c r="T179" i="20"/>
  <c r="U179" i="20"/>
  <c r="V179" i="20"/>
  <c r="W179" i="20"/>
  <c r="X179" i="20"/>
  <c r="Y179" i="20"/>
  <c r="Z179" i="20"/>
  <c r="AA179" i="20"/>
  <c r="AB179" i="20"/>
  <c r="AC179" i="20"/>
  <c r="AD179" i="20"/>
  <c r="AE179" i="20"/>
  <c r="AF179" i="20"/>
  <c r="AG179" i="20"/>
  <c r="AH179" i="20"/>
  <c r="AI179" i="20"/>
  <c r="AJ179" i="20"/>
  <c r="AK179" i="20"/>
  <c r="AL179" i="20"/>
  <c r="AM179" i="20"/>
  <c r="AN179" i="20"/>
  <c r="AO179" i="20"/>
  <c r="AP179" i="20"/>
  <c r="AQ179" i="20"/>
  <c r="AR179" i="20"/>
  <c r="AS179" i="20"/>
  <c r="AT179" i="20"/>
  <c r="AU179" i="20"/>
  <c r="AV179" i="20"/>
  <c r="AX179" i="20"/>
  <c r="AY179" i="20"/>
  <c r="BA179" i="20"/>
  <c r="BB179" i="20"/>
  <c r="BC179" i="20"/>
  <c r="BE179" i="20"/>
  <c r="BG179" i="20"/>
  <c r="BH179" i="20"/>
  <c r="A180" i="20"/>
  <c r="B180" i="20"/>
  <c r="C180" i="20"/>
  <c r="D180" i="20"/>
  <c r="E180" i="20"/>
  <c r="F180" i="20"/>
  <c r="G180" i="20"/>
  <c r="H180" i="20"/>
  <c r="I180" i="20"/>
  <c r="J180" i="20"/>
  <c r="K180" i="20"/>
  <c r="M180" i="20"/>
  <c r="N180" i="20"/>
  <c r="P180" i="20"/>
  <c r="Q180" i="20"/>
  <c r="R180" i="20"/>
  <c r="S180" i="20"/>
  <c r="T180" i="20"/>
  <c r="U180" i="20"/>
  <c r="V180" i="20"/>
  <c r="W180" i="20"/>
  <c r="X180" i="20"/>
  <c r="Y180" i="20"/>
  <c r="Z180" i="20"/>
  <c r="AA180" i="20"/>
  <c r="AB180" i="20"/>
  <c r="AC180" i="20"/>
  <c r="AD180" i="20"/>
  <c r="AE180" i="20"/>
  <c r="AF180" i="20"/>
  <c r="AG180" i="20"/>
  <c r="AH180" i="20"/>
  <c r="AI180" i="20"/>
  <c r="AJ180" i="20"/>
  <c r="AK180" i="20"/>
  <c r="AL180" i="20"/>
  <c r="AM180" i="20"/>
  <c r="AN180" i="20"/>
  <c r="AO180" i="20"/>
  <c r="AP180" i="20"/>
  <c r="AQ180" i="20"/>
  <c r="AR180" i="20"/>
  <c r="AS180" i="20"/>
  <c r="AT180" i="20"/>
  <c r="AU180" i="20"/>
  <c r="AV180" i="20"/>
  <c r="AX180" i="20"/>
  <c r="AY180" i="20"/>
  <c r="BA180" i="20"/>
  <c r="BB180" i="20"/>
  <c r="BC180" i="20"/>
  <c r="BE180" i="20"/>
  <c r="A181" i="20"/>
  <c r="B181" i="20"/>
  <c r="C181" i="20"/>
  <c r="D181" i="20"/>
  <c r="E181" i="20"/>
  <c r="F181" i="20"/>
  <c r="G181" i="20"/>
  <c r="H181" i="20"/>
  <c r="I181" i="20"/>
  <c r="J181" i="20"/>
  <c r="K181" i="20"/>
  <c r="M181" i="20"/>
  <c r="N181" i="20"/>
  <c r="P181" i="20"/>
  <c r="Q181" i="20"/>
  <c r="R181" i="20"/>
  <c r="S181" i="20"/>
  <c r="T181" i="20"/>
  <c r="U181" i="20"/>
  <c r="V181" i="20"/>
  <c r="W181" i="20"/>
  <c r="X181" i="20"/>
  <c r="Y181" i="20"/>
  <c r="Z181" i="20"/>
  <c r="AA181" i="20"/>
  <c r="AB181" i="20"/>
  <c r="AC181" i="20"/>
  <c r="AD181" i="20"/>
  <c r="AE181" i="20"/>
  <c r="AF181" i="20"/>
  <c r="AG181" i="20"/>
  <c r="AH181" i="20"/>
  <c r="AI181" i="20"/>
  <c r="AJ181" i="20"/>
  <c r="AK181" i="20"/>
  <c r="AL181" i="20"/>
  <c r="AM181" i="20"/>
  <c r="AN181" i="20"/>
  <c r="AO181" i="20"/>
  <c r="AP181" i="20"/>
  <c r="AQ181" i="20"/>
  <c r="AR181" i="20"/>
  <c r="AS181" i="20"/>
  <c r="AT181" i="20"/>
  <c r="AU181" i="20"/>
  <c r="AV181" i="20"/>
  <c r="AX181" i="20"/>
  <c r="AY181" i="20"/>
  <c r="BA181" i="20"/>
  <c r="BB181" i="20"/>
  <c r="BC181" i="20"/>
  <c r="BE181" i="20"/>
  <c r="BG181" i="20"/>
  <c r="BH181" i="20"/>
  <c r="E183" i="20"/>
  <c r="F183" i="20"/>
  <c r="G183" i="20"/>
  <c r="H183" i="20"/>
  <c r="I183" i="20"/>
  <c r="J183" i="20"/>
  <c r="K183" i="20"/>
  <c r="N183" i="20"/>
  <c r="O183" i="20"/>
  <c r="P183" i="20"/>
  <c r="Q183" i="20"/>
  <c r="R183" i="20"/>
  <c r="S183" i="20"/>
  <c r="T183" i="20"/>
  <c r="U183" i="20"/>
  <c r="V183" i="20"/>
  <c r="W183" i="20"/>
  <c r="X183" i="20"/>
  <c r="Y183" i="20"/>
  <c r="Z183" i="20"/>
  <c r="AA183" i="20"/>
  <c r="AB183" i="20"/>
  <c r="AC183" i="20"/>
  <c r="AD183" i="20"/>
  <c r="AE183" i="20"/>
  <c r="AF183" i="20"/>
  <c r="AG183" i="20"/>
  <c r="AH183" i="20"/>
  <c r="AI183" i="20"/>
  <c r="AJ183" i="20"/>
  <c r="AK183" i="20"/>
  <c r="AL183" i="20"/>
  <c r="AM183" i="20"/>
  <c r="AN183" i="20"/>
  <c r="AO183" i="20"/>
  <c r="AP183" i="20"/>
  <c r="AQ183" i="20"/>
  <c r="AR183" i="20"/>
  <c r="AS183" i="20"/>
  <c r="AT183" i="20"/>
  <c r="AU183" i="20"/>
  <c r="AV183" i="20"/>
  <c r="AX183" i="20"/>
  <c r="AY183" i="20"/>
  <c r="BA183" i="20"/>
  <c r="BB183" i="20"/>
  <c r="BC183" i="20"/>
  <c r="BE183" i="20"/>
  <c r="BG183" i="20"/>
  <c r="BH183" i="20"/>
  <c r="A186" i="20"/>
  <c r="B186" i="20"/>
  <c r="C186" i="20"/>
  <c r="D186" i="20"/>
  <c r="E186" i="20"/>
  <c r="F186" i="20"/>
  <c r="G186" i="20"/>
  <c r="H186" i="20"/>
  <c r="I186" i="20"/>
  <c r="J186" i="20"/>
  <c r="K186" i="20"/>
  <c r="M186" i="20"/>
  <c r="N186" i="20"/>
  <c r="O186" i="20"/>
  <c r="P186" i="20"/>
  <c r="Q186" i="20"/>
  <c r="R186" i="20"/>
  <c r="S186" i="20"/>
  <c r="T186" i="20"/>
  <c r="U186" i="20"/>
  <c r="V186" i="20"/>
  <c r="W186" i="20"/>
  <c r="X186" i="20"/>
  <c r="Y186" i="20"/>
  <c r="Z186" i="20"/>
  <c r="AA186" i="20"/>
  <c r="AB186" i="20"/>
  <c r="AC186" i="20"/>
  <c r="AD186" i="20"/>
  <c r="AE186" i="20"/>
  <c r="AF186" i="20"/>
  <c r="AG186" i="20"/>
  <c r="AH186" i="20"/>
  <c r="AI186" i="20"/>
  <c r="AJ186" i="20"/>
  <c r="AK186" i="20"/>
  <c r="AL186" i="20"/>
  <c r="AM186" i="20"/>
  <c r="AN186" i="20"/>
  <c r="AO186" i="20"/>
  <c r="AP186" i="20"/>
  <c r="AQ186" i="20"/>
  <c r="AR186" i="20"/>
  <c r="AS186" i="20"/>
  <c r="AT186" i="20"/>
  <c r="AU186" i="20"/>
  <c r="AV186" i="20"/>
  <c r="AX186" i="20"/>
  <c r="AY186" i="20"/>
  <c r="BA186" i="20"/>
  <c r="BB186" i="20"/>
  <c r="BC186" i="20"/>
  <c r="BE186" i="20"/>
  <c r="BG186" i="20"/>
  <c r="BH186" i="20"/>
  <c r="A187" i="20"/>
  <c r="B187" i="20"/>
  <c r="C187" i="20"/>
  <c r="D187" i="20"/>
  <c r="E187" i="20"/>
  <c r="F187" i="20"/>
  <c r="G187" i="20"/>
  <c r="H187" i="20"/>
  <c r="I187" i="20"/>
  <c r="J187" i="20"/>
  <c r="K187" i="20"/>
  <c r="M187" i="20"/>
  <c r="N187" i="20"/>
  <c r="O187" i="20"/>
  <c r="P187" i="20"/>
  <c r="Q187" i="20"/>
  <c r="R187" i="20"/>
  <c r="S187" i="20"/>
  <c r="T187" i="20"/>
  <c r="U187" i="20"/>
  <c r="V187" i="20"/>
  <c r="W187" i="20"/>
  <c r="X187" i="20"/>
  <c r="Y187" i="20"/>
  <c r="Z187" i="20"/>
  <c r="AA187" i="20"/>
  <c r="AB187" i="20"/>
  <c r="AC187" i="20"/>
  <c r="AD187" i="20"/>
  <c r="AE187" i="20"/>
  <c r="AF187" i="20"/>
  <c r="AG187" i="20"/>
  <c r="AH187" i="20"/>
  <c r="AI187" i="20"/>
  <c r="AJ187" i="20"/>
  <c r="AK187" i="20"/>
  <c r="AL187" i="20"/>
  <c r="AM187" i="20"/>
  <c r="AN187" i="20"/>
  <c r="AO187" i="20"/>
  <c r="AP187" i="20"/>
  <c r="AQ187" i="20"/>
  <c r="AR187" i="20"/>
  <c r="AS187" i="20"/>
  <c r="AT187" i="20"/>
  <c r="AU187" i="20"/>
  <c r="AV187" i="20"/>
  <c r="AX187" i="20"/>
  <c r="AY187" i="20"/>
  <c r="BA187" i="20"/>
  <c r="BB187" i="20"/>
  <c r="BC187" i="20"/>
  <c r="BE187" i="20"/>
  <c r="BG187" i="20"/>
  <c r="BH187" i="20"/>
  <c r="A188" i="20"/>
  <c r="B188" i="20"/>
  <c r="C188" i="20"/>
  <c r="D188" i="20"/>
  <c r="E188" i="20"/>
  <c r="F188" i="20"/>
  <c r="G188" i="20"/>
  <c r="H188" i="20"/>
  <c r="I188" i="20"/>
  <c r="J188" i="20"/>
  <c r="K188" i="20"/>
  <c r="M188" i="20"/>
  <c r="N188" i="20"/>
  <c r="O188" i="20"/>
  <c r="P188" i="20"/>
  <c r="Q188" i="20"/>
  <c r="R188" i="20"/>
  <c r="S188" i="20"/>
  <c r="T188" i="20"/>
  <c r="U188" i="20"/>
  <c r="V188" i="20"/>
  <c r="W188" i="20"/>
  <c r="X188" i="20"/>
  <c r="Y188" i="20"/>
  <c r="Z188" i="20"/>
  <c r="AA188" i="20"/>
  <c r="AB188" i="20"/>
  <c r="AC188" i="20"/>
  <c r="AD188" i="20"/>
  <c r="AE188" i="20"/>
  <c r="AF188" i="20"/>
  <c r="AG188" i="20"/>
  <c r="AH188" i="20"/>
  <c r="AI188" i="20"/>
  <c r="AJ188" i="20"/>
  <c r="AK188" i="20"/>
  <c r="AL188" i="20"/>
  <c r="AM188" i="20"/>
  <c r="AN188" i="20"/>
  <c r="AO188" i="20"/>
  <c r="AP188" i="20"/>
  <c r="AQ188" i="20"/>
  <c r="AR188" i="20"/>
  <c r="AS188" i="20"/>
  <c r="AT188" i="20"/>
  <c r="AU188" i="20"/>
  <c r="AV188" i="20"/>
  <c r="AX188" i="20"/>
  <c r="AY188" i="20"/>
  <c r="BA188" i="20"/>
  <c r="BB188" i="20"/>
  <c r="BC188" i="20"/>
  <c r="BE188" i="20"/>
  <c r="BG188" i="20"/>
  <c r="BH188" i="20"/>
  <c r="A189" i="20"/>
  <c r="B189" i="20"/>
  <c r="C189" i="20"/>
  <c r="D189" i="20"/>
  <c r="E189" i="20"/>
  <c r="F189" i="20"/>
  <c r="G189" i="20"/>
  <c r="H189" i="20"/>
  <c r="I189" i="20"/>
  <c r="J189" i="20"/>
  <c r="K189" i="20"/>
  <c r="M189" i="20"/>
  <c r="N189" i="20"/>
  <c r="O189" i="20"/>
  <c r="P189" i="20"/>
  <c r="Q189" i="20"/>
  <c r="R189" i="20"/>
  <c r="S189" i="20"/>
  <c r="T189" i="20"/>
  <c r="U189" i="20"/>
  <c r="V189" i="20"/>
  <c r="W189" i="20"/>
  <c r="X189" i="20"/>
  <c r="Y189" i="20"/>
  <c r="Z189" i="20"/>
  <c r="AA189" i="20"/>
  <c r="AB189" i="20"/>
  <c r="AC189" i="20"/>
  <c r="AD189" i="20"/>
  <c r="AE189" i="20"/>
  <c r="AF189" i="20"/>
  <c r="AG189" i="20"/>
  <c r="AH189" i="20"/>
  <c r="AI189" i="20"/>
  <c r="AJ189" i="20"/>
  <c r="AK189" i="20"/>
  <c r="AL189" i="20"/>
  <c r="AM189" i="20"/>
  <c r="AN189" i="20"/>
  <c r="AO189" i="20"/>
  <c r="AP189" i="20"/>
  <c r="AQ189" i="20"/>
  <c r="AR189" i="20"/>
  <c r="AS189" i="20"/>
  <c r="AT189" i="20"/>
  <c r="AU189" i="20"/>
  <c r="AV189" i="20"/>
  <c r="AX189" i="20"/>
  <c r="AY189" i="20"/>
  <c r="BA189" i="20"/>
  <c r="BB189" i="20"/>
  <c r="BC189" i="20"/>
  <c r="BE189" i="20"/>
  <c r="BG189" i="20"/>
  <c r="BH189" i="20"/>
  <c r="A190" i="20"/>
  <c r="B190" i="20"/>
  <c r="C190" i="20"/>
  <c r="D190" i="20"/>
  <c r="E190" i="20"/>
  <c r="F190" i="20"/>
  <c r="G190" i="20"/>
  <c r="H190" i="20"/>
  <c r="I190" i="20"/>
  <c r="J190" i="20"/>
  <c r="K190" i="20"/>
  <c r="M190" i="20"/>
  <c r="N190" i="20"/>
  <c r="O190" i="20"/>
  <c r="P190" i="20"/>
  <c r="Q190" i="20"/>
  <c r="R190" i="20"/>
  <c r="S190" i="20"/>
  <c r="T190" i="20"/>
  <c r="U190" i="20"/>
  <c r="V190" i="20"/>
  <c r="W190" i="20"/>
  <c r="X190" i="20"/>
  <c r="Y190" i="20"/>
  <c r="Z190" i="20"/>
  <c r="AA190" i="20"/>
  <c r="AB190" i="20"/>
  <c r="AC190" i="20"/>
  <c r="AD190" i="20"/>
  <c r="AE190" i="20"/>
  <c r="AF190" i="20"/>
  <c r="AG190" i="20"/>
  <c r="AH190" i="20"/>
  <c r="AI190" i="20"/>
  <c r="AJ190" i="20"/>
  <c r="AK190" i="20"/>
  <c r="AL190" i="20"/>
  <c r="AM190" i="20"/>
  <c r="AN190" i="20"/>
  <c r="AO190" i="20"/>
  <c r="AP190" i="20"/>
  <c r="AQ190" i="20"/>
  <c r="AR190" i="20"/>
  <c r="AS190" i="20"/>
  <c r="AT190" i="20"/>
  <c r="AU190" i="20"/>
  <c r="AV190" i="20"/>
  <c r="AX190" i="20"/>
  <c r="AY190" i="20"/>
  <c r="BA190" i="20"/>
  <c r="BB190" i="20"/>
  <c r="BC190" i="20"/>
  <c r="BE190" i="20"/>
  <c r="BG190" i="20"/>
  <c r="BH190" i="20"/>
  <c r="A191" i="20"/>
  <c r="B191" i="20"/>
  <c r="C191" i="20"/>
  <c r="D191" i="20"/>
  <c r="E191" i="20"/>
  <c r="F191" i="20"/>
  <c r="G191" i="20"/>
  <c r="H191" i="20"/>
  <c r="I191" i="20"/>
  <c r="J191" i="20"/>
  <c r="K191" i="20"/>
  <c r="M191" i="20"/>
  <c r="N191" i="20"/>
  <c r="O191" i="20"/>
  <c r="P191" i="20"/>
  <c r="Q191" i="20"/>
  <c r="R191" i="20"/>
  <c r="S191" i="20"/>
  <c r="T191" i="20"/>
  <c r="U191" i="20"/>
  <c r="V191" i="20"/>
  <c r="W191" i="20"/>
  <c r="X191" i="20"/>
  <c r="Y191" i="20"/>
  <c r="Z191" i="20"/>
  <c r="AA191" i="20"/>
  <c r="AB191" i="20"/>
  <c r="AC191" i="20"/>
  <c r="AD191" i="20"/>
  <c r="AE191" i="20"/>
  <c r="AF191" i="20"/>
  <c r="AG191" i="20"/>
  <c r="AH191" i="20"/>
  <c r="AI191" i="20"/>
  <c r="AJ191" i="20"/>
  <c r="AK191" i="20"/>
  <c r="AL191" i="20"/>
  <c r="AM191" i="20"/>
  <c r="AN191" i="20"/>
  <c r="AO191" i="20"/>
  <c r="AP191" i="20"/>
  <c r="AQ191" i="20"/>
  <c r="AR191" i="20"/>
  <c r="AS191" i="20"/>
  <c r="AT191" i="20"/>
  <c r="AU191" i="20"/>
  <c r="AV191" i="20"/>
  <c r="AX191" i="20"/>
  <c r="AY191" i="20"/>
  <c r="BA191" i="20"/>
  <c r="BB191" i="20"/>
  <c r="BC191" i="20"/>
  <c r="BE191" i="20"/>
  <c r="BG191" i="20"/>
  <c r="BH191" i="20"/>
  <c r="E193" i="20"/>
  <c r="F193" i="20"/>
  <c r="G193" i="20"/>
  <c r="H193" i="20"/>
  <c r="I193" i="20"/>
  <c r="J193" i="20"/>
  <c r="K193" i="20"/>
  <c r="N193" i="20"/>
  <c r="O193" i="20"/>
  <c r="P193" i="20"/>
  <c r="Q193" i="20"/>
  <c r="R193" i="20"/>
  <c r="S193" i="20"/>
  <c r="T193" i="20"/>
  <c r="U193" i="20"/>
  <c r="V193" i="20"/>
  <c r="W193" i="20"/>
  <c r="X193" i="20"/>
  <c r="Y193" i="20"/>
  <c r="Z193" i="20"/>
  <c r="AA193" i="20"/>
  <c r="AB193" i="20"/>
  <c r="AC193" i="20"/>
  <c r="AD193" i="20"/>
  <c r="AE193" i="20"/>
  <c r="AF193" i="20"/>
  <c r="AG193" i="20"/>
  <c r="AH193" i="20"/>
  <c r="AI193" i="20"/>
  <c r="AJ193" i="20"/>
  <c r="AK193" i="20"/>
  <c r="AL193" i="20"/>
  <c r="AM193" i="20"/>
  <c r="AN193" i="20"/>
  <c r="AO193" i="20"/>
  <c r="AP193" i="20"/>
  <c r="AQ193" i="20"/>
  <c r="AR193" i="20"/>
  <c r="AS193" i="20"/>
  <c r="AT193" i="20"/>
  <c r="AU193" i="20"/>
  <c r="AV193" i="20"/>
  <c r="AX193" i="20"/>
  <c r="AY193" i="20"/>
  <c r="BA193" i="20"/>
  <c r="BB193" i="20"/>
  <c r="BC193" i="20"/>
  <c r="BE193" i="20"/>
  <c r="A196" i="20"/>
  <c r="B196" i="20"/>
  <c r="C196" i="20"/>
  <c r="D196" i="20"/>
  <c r="E196" i="20"/>
  <c r="F196" i="20"/>
  <c r="G196" i="20"/>
  <c r="H196" i="20"/>
  <c r="I196" i="20"/>
  <c r="J196" i="20"/>
  <c r="K196" i="20"/>
  <c r="M196" i="20"/>
  <c r="N196" i="20"/>
  <c r="P196" i="20"/>
  <c r="Q196" i="20"/>
  <c r="R196" i="20"/>
  <c r="S196" i="20"/>
  <c r="T196" i="20"/>
  <c r="U196" i="20"/>
  <c r="V196" i="20"/>
  <c r="W196" i="20"/>
  <c r="X196" i="20"/>
  <c r="Y196" i="20"/>
  <c r="Z196" i="20"/>
  <c r="AA196" i="20"/>
  <c r="AB196" i="20"/>
  <c r="AC196" i="20"/>
  <c r="AD196" i="20"/>
  <c r="AE196" i="20"/>
  <c r="AF196" i="20"/>
  <c r="AG196" i="20"/>
  <c r="AH196" i="20"/>
  <c r="AI196" i="20"/>
  <c r="AJ196" i="20"/>
  <c r="AK196" i="20"/>
  <c r="AL196" i="20"/>
  <c r="AM196" i="20"/>
  <c r="AN196" i="20"/>
  <c r="AO196" i="20"/>
  <c r="AP196" i="20"/>
  <c r="AQ196" i="20"/>
  <c r="AR196" i="20"/>
  <c r="AS196" i="20"/>
  <c r="AT196" i="20"/>
  <c r="AU196" i="20"/>
  <c r="AV196" i="20"/>
  <c r="AX196" i="20"/>
  <c r="AY196" i="20"/>
  <c r="BA196" i="20"/>
  <c r="BB196" i="20"/>
  <c r="BC196" i="20"/>
  <c r="BE196" i="20"/>
  <c r="BG196" i="20"/>
  <c r="BH196" i="20"/>
  <c r="A197" i="20"/>
  <c r="B197" i="20"/>
  <c r="C197" i="20"/>
  <c r="D197" i="20"/>
  <c r="E197" i="20"/>
  <c r="F197" i="20"/>
  <c r="G197" i="20"/>
  <c r="H197" i="20"/>
  <c r="I197" i="20"/>
  <c r="J197" i="20"/>
  <c r="K197" i="20"/>
  <c r="M197" i="20"/>
  <c r="N197" i="20"/>
  <c r="P197" i="20"/>
  <c r="Q197" i="20"/>
  <c r="R197" i="20"/>
  <c r="S197" i="20"/>
  <c r="T197" i="20"/>
  <c r="U197" i="20"/>
  <c r="V197" i="20"/>
  <c r="W197" i="20"/>
  <c r="X197" i="20"/>
  <c r="Y197" i="20"/>
  <c r="Z197" i="20"/>
  <c r="AA197" i="20"/>
  <c r="AB197" i="20"/>
  <c r="AC197" i="20"/>
  <c r="AD197" i="20"/>
  <c r="AE197" i="20"/>
  <c r="AF197" i="20"/>
  <c r="AG197" i="20"/>
  <c r="AH197" i="20"/>
  <c r="AI197" i="20"/>
  <c r="AJ197" i="20"/>
  <c r="AK197" i="20"/>
  <c r="AL197" i="20"/>
  <c r="AM197" i="20"/>
  <c r="AN197" i="20"/>
  <c r="AO197" i="20"/>
  <c r="AP197" i="20"/>
  <c r="AQ197" i="20"/>
  <c r="AR197" i="20"/>
  <c r="AS197" i="20"/>
  <c r="AT197" i="20"/>
  <c r="AU197" i="20"/>
  <c r="AV197" i="20"/>
  <c r="AX197" i="20"/>
  <c r="AY197" i="20"/>
  <c r="BA197" i="20"/>
  <c r="BB197" i="20"/>
  <c r="BC197" i="20"/>
  <c r="BE197" i="20"/>
  <c r="BG197" i="20"/>
  <c r="BH197" i="20"/>
  <c r="A198" i="20"/>
  <c r="B198" i="20"/>
  <c r="C198" i="20"/>
  <c r="D198" i="20"/>
  <c r="E198" i="20"/>
  <c r="F198" i="20"/>
  <c r="G198" i="20"/>
  <c r="H198" i="20"/>
  <c r="I198" i="20"/>
  <c r="J198" i="20"/>
  <c r="K198" i="20"/>
  <c r="M198" i="20"/>
  <c r="N198" i="20"/>
  <c r="P198" i="20"/>
  <c r="Q198" i="20"/>
  <c r="R198" i="20"/>
  <c r="S198" i="20"/>
  <c r="T198" i="20"/>
  <c r="U198" i="20"/>
  <c r="V198" i="20"/>
  <c r="W198" i="20"/>
  <c r="X198" i="20"/>
  <c r="Y198" i="20"/>
  <c r="Z198" i="20"/>
  <c r="AA198" i="20"/>
  <c r="AB198" i="20"/>
  <c r="AC198" i="20"/>
  <c r="AD198" i="20"/>
  <c r="AE198" i="20"/>
  <c r="AF198" i="20"/>
  <c r="AG198" i="20"/>
  <c r="AH198" i="20"/>
  <c r="AI198" i="20"/>
  <c r="AJ198" i="20"/>
  <c r="AK198" i="20"/>
  <c r="AL198" i="20"/>
  <c r="AM198" i="20"/>
  <c r="AN198" i="20"/>
  <c r="AO198" i="20"/>
  <c r="AP198" i="20"/>
  <c r="AQ198" i="20"/>
  <c r="AR198" i="20"/>
  <c r="AS198" i="20"/>
  <c r="AT198" i="20"/>
  <c r="AU198" i="20"/>
  <c r="AV198" i="20"/>
  <c r="AX198" i="20"/>
  <c r="AY198" i="20"/>
  <c r="BA198" i="20"/>
  <c r="BB198" i="20"/>
  <c r="BC198" i="20"/>
  <c r="BE198" i="20"/>
  <c r="BG198" i="20"/>
  <c r="BH198" i="20"/>
  <c r="A199" i="20"/>
  <c r="B199" i="20"/>
  <c r="C199" i="20"/>
  <c r="D199" i="20"/>
  <c r="E199" i="20"/>
  <c r="F199" i="20"/>
  <c r="G199" i="20"/>
  <c r="H199" i="20"/>
  <c r="I199" i="20"/>
  <c r="J199" i="20"/>
  <c r="K199" i="20"/>
  <c r="M199" i="20"/>
  <c r="N199" i="20"/>
  <c r="P199" i="20"/>
  <c r="Q199" i="20"/>
  <c r="R199" i="20"/>
  <c r="S199" i="20"/>
  <c r="T199" i="20"/>
  <c r="U199" i="20"/>
  <c r="V199" i="20"/>
  <c r="W199" i="20"/>
  <c r="X199" i="20"/>
  <c r="Y199" i="20"/>
  <c r="Z199" i="20"/>
  <c r="AA199" i="20"/>
  <c r="AB199" i="20"/>
  <c r="AC199" i="20"/>
  <c r="AD199" i="20"/>
  <c r="AE199" i="20"/>
  <c r="AF199" i="20"/>
  <c r="AG199" i="20"/>
  <c r="AH199" i="20"/>
  <c r="AI199" i="20"/>
  <c r="AJ199" i="20"/>
  <c r="AK199" i="20"/>
  <c r="AL199" i="20"/>
  <c r="AM199" i="20"/>
  <c r="AN199" i="20"/>
  <c r="AO199" i="20"/>
  <c r="AP199" i="20"/>
  <c r="AQ199" i="20"/>
  <c r="AR199" i="20"/>
  <c r="AS199" i="20"/>
  <c r="AT199" i="20"/>
  <c r="AU199" i="20"/>
  <c r="AV199" i="20"/>
  <c r="AX199" i="20"/>
  <c r="AY199" i="20"/>
  <c r="BA199" i="20"/>
  <c r="BB199" i="20"/>
  <c r="BC199" i="20"/>
  <c r="BE199" i="20"/>
  <c r="BG199" i="20"/>
  <c r="BH199" i="20"/>
  <c r="A200" i="20"/>
  <c r="B200" i="20"/>
  <c r="C200" i="20"/>
  <c r="D200" i="20"/>
  <c r="E200" i="20"/>
  <c r="F200" i="20"/>
  <c r="G200" i="20"/>
  <c r="H200" i="20"/>
  <c r="I200" i="20"/>
  <c r="J200" i="20"/>
  <c r="K200" i="20"/>
  <c r="M200" i="20"/>
  <c r="N200" i="20"/>
  <c r="P200" i="20"/>
  <c r="Q200" i="20"/>
  <c r="R200" i="20"/>
  <c r="S200" i="20"/>
  <c r="T200" i="20"/>
  <c r="U200" i="20"/>
  <c r="V200" i="20"/>
  <c r="W200" i="20"/>
  <c r="X200" i="20"/>
  <c r="Y200" i="20"/>
  <c r="Z200" i="20"/>
  <c r="AA200" i="20"/>
  <c r="AB200" i="20"/>
  <c r="AC200" i="20"/>
  <c r="AD200" i="20"/>
  <c r="AE200" i="20"/>
  <c r="AF200" i="20"/>
  <c r="AG200" i="20"/>
  <c r="AH200" i="20"/>
  <c r="AI200" i="20"/>
  <c r="AJ200" i="20"/>
  <c r="AK200" i="20"/>
  <c r="AL200" i="20"/>
  <c r="AM200" i="20"/>
  <c r="AN200" i="20"/>
  <c r="AO200" i="20"/>
  <c r="AP200" i="20"/>
  <c r="AQ200" i="20"/>
  <c r="AR200" i="20"/>
  <c r="AS200" i="20"/>
  <c r="AT200" i="20"/>
  <c r="AU200" i="20"/>
  <c r="AV200" i="20"/>
  <c r="AX200" i="20"/>
  <c r="AY200" i="20"/>
  <c r="BA200" i="20"/>
  <c r="BB200" i="20"/>
  <c r="BC200" i="20"/>
  <c r="BE200" i="20"/>
  <c r="BG200" i="20"/>
  <c r="BH200" i="20"/>
  <c r="A201" i="20"/>
  <c r="B201" i="20"/>
  <c r="C201" i="20"/>
  <c r="D201" i="20"/>
  <c r="E201" i="20"/>
  <c r="F201" i="20"/>
  <c r="G201" i="20"/>
  <c r="H201" i="20"/>
  <c r="I201" i="20"/>
  <c r="J201" i="20"/>
  <c r="K201" i="20"/>
  <c r="M201" i="20"/>
  <c r="N201" i="20"/>
  <c r="P201" i="20"/>
  <c r="Q201" i="20"/>
  <c r="R201" i="20"/>
  <c r="S201" i="20"/>
  <c r="T201" i="20"/>
  <c r="U201" i="20"/>
  <c r="V201" i="20"/>
  <c r="W201" i="20"/>
  <c r="X201" i="20"/>
  <c r="Y201" i="20"/>
  <c r="Z201" i="20"/>
  <c r="AA201" i="20"/>
  <c r="AB201" i="20"/>
  <c r="AC201" i="20"/>
  <c r="AD201" i="20"/>
  <c r="AE201" i="20"/>
  <c r="AF201" i="20"/>
  <c r="AG201" i="20"/>
  <c r="AH201" i="20"/>
  <c r="AI201" i="20"/>
  <c r="AJ201" i="20"/>
  <c r="AK201" i="20"/>
  <c r="AL201" i="20"/>
  <c r="AM201" i="20"/>
  <c r="AN201" i="20"/>
  <c r="AO201" i="20"/>
  <c r="AP201" i="20"/>
  <c r="AQ201" i="20"/>
  <c r="AR201" i="20"/>
  <c r="AS201" i="20"/>
  <c r="AT201" i="20"/>
  <c r="AU201" i="20"/>
  <c r="AV201" i="20"/>
  <c r="AX201" i="20"/>
  <c r="AY201" i="20"/>
  <c r="BA201" i="20"/>
  <c r="BB201" i="20"/>
  <c r="BC201" i="20"/>
  <c r="BE201" i="20"/>
  <c r="BG201" i="20"/>
  <c r="BH201" i="20"/>
  <c r="A202" i="20"/>
  <c r="B202" i="20"/>
  <c r="C202" i="20"/>
  <c r="D202" i="20"/>
  <c r="E202" i="20"/>
  <c r="F202" i="20"/>
  <c r="G202" i="20"/>
  <c r="H202" i="20"/>
  <c r="I202" i="20"/>
  <c r="J202" i="20"/>
  <c r="K202" i="20"/>
  <c r="M202" i="20"/>
  <c r="N202" i="20"/>
  <c r="P202" i="20"/>
  <c r="Q202" i="20"/>
  <c r="R202" i="20"/>
  <c r="S202" i="20"/>
  <c r="T202" i="20"/>
  <c r="U202" i="20"/>
  <c r="V202" i="20"/>
  <c r="W202" i="20"/>
  <c r="X202" i="20"/>
  <c r="Y202" i="20"/>
  <c r="Z202" i="20"/>
  <c r="AA202" i="20"/>
  <c r="AB202" i="20"/>
  <c r="AC202" i="20"/>
  <c r="AD202" i="20"/>
  <c r="AE202" i="20"/>
  <c r="AF202" i="20"/>
  <c r="AG202" i="20"/>
  <c r="AH202" i="20"/>
  <c r="AI202" i="20"/>
  <c r="AJ202" i="20"/>
  <c r="AK202" i="20"/>
  <c r="AL202" i="20"/>
  <c r="AM202" i="20"/>
  <c r="AN202" i="20"/>
  <c r="AO202" i="20"/>
  <c r="AP202" i="20"/>
  <c r="AQ202" i="20"/>
  <c r="AR202" i="20"/>
  <c r="AS202" i="20"/>
  <c r="AT202" i="20"/>
  <c r="AU202" i="20"/>
  <c r="AV202" i="20"/>
  <c r="AX202" i="20"/>
  <c r="AY202" i="20"/>
  <c r="BA202" i="20"/>
  <c r="BB202" i="20"/>
  <c r="BC202" i="20"/>
  <c r="BE202" i="20"/>
  <c r="BG202" i="20"/>
  <c r="BH202" i="20"/>
  <c r="A203" i="20"/>
  <c r="B203" i="20"/>
  <c r="C203" i="20"/>
  <c r="D203" i="20"/>
  <c r="E203" i="20"/>
  <c r="F203" i="20"/>
  <c r="G203" i="20"/>
  <c r="H203" i="20"/>
  <c r="I203" i="20"/>
  <c r="J203" i="20"/>
  <c r="K203" i="20"/>
  <c r="M203" i="20"/>
  <c r="N203" i="20"/>
  <c r="P203" i="20"/>
  <c r="Q203" i="20"/>
  <c r="R203" i="20"/>
  <c r="S203" i="20"/>
  <c r="T203" i="20"/>
  <c r="U203" i="20"/>
  <c r="V203" i="20"/>
  <c r="W203" i="20"/>
  <c r="X203" i="20"/>
  <c r="Y203" i="20"/>
  <c r="Z203" i="20"/>
  <c r="AA203" i="20"/>
  <c r="AB203" i="20"/>
  <c r="AC203" i="20"/>
  <c r="AD203" i="20"/>
  <c r="AE203" i="20"/>
  <c r="AF203" i="20"/>
  <c r="AG203" i="20"/>
  <c r="AH203" i="20"/>
  <c r="AI203" i="20"/>
  <c r="AJ203" i="20"/>
  <c r="AK203" i="20"/>
  <c r="AL203" i="20"/>
  <c r="AM203" i="20"/>
  <c r="AN203" i="20"/>
  <c r="AO203" i="20"/>
  <c r="AP203" i="20"/>
  <c r="AQ203" i="20"/>
  <c r="AR203" i="20"/>
  <c r="AS203" i="20"/>
  <c r="AT203" i="20"/>
  <c r="AU203" i="20"/>
  <c r="AV203" i="20"/>
  <c r="AX203" i="20"/>
  <c r="AY203" i="20"/>
  <c r="BA203" i="20"/>
  <c r="BB203" i="20"/>
  <c r="BC203" i="20"/>
  <c r="BE203" i="20"/>
  <c r="BG203" i="20"/>
  <c r="BH203" i="20"/>
  <c r="A204" i="20"/>
  <c r="B204" i="20"/>
  <c r="C204" i="20"/>
  <c r="D204" i="20"/>
  <c r="E204" i="20"/>
  <c r="F204" i="20"/>
  <c r="G204" i="20"/>
  <c r="H204" i="20"/>
  <c r="I204" i="20"/>
  <c r="J204" i="20"/>
  <c r="K204" i="20"/>
  <c r="M204" i="20"/>
  <c r="N204" i="20"/>
  <c r="P204" i="20"/>
  <c r="Q204" i="20"/>
  <c r="R204" i="20"/>
  <c r="S204" i="20"/>
  <c r="T204" i="20"/>
  <c r="U204" i="20"/>
  <c r="V204" i="20"/>
  <c r="W204" i="20"/>
  <c r="X204" i="20"/>
  <c r="Y204" i="20"/>
  <c r="Z204" i="20"/>
  <c r="AA204" i="20"/>
  <c r="AB204" i="20"/>
  <c r="AC204" i="20"/>
  <c r="AD204" i="20"/>
  <c r="AE204" i="20"/>
  <c r="AF204" i="20"/>
  <c r="AG204" i="20"/>
  <c r="AH204" i="20"/>
  <c r="AI204" i="20"/>
  <c r="AJ204" i="20"/>
  <c r="AK204" i="20"/>
  <c r="AL204" i="20"/>
  <c r="AM204" i="20"/>
  <c r="AN204" i="20"/>
  <c r="AO204" i="20"/>
  <c r="AP204" i="20"/>
  <c r="AQ204" i="20"/>
  <c r="AR204" i="20"/>
  <c r="AS204" i="20"/>
  <c r="AT204" i="20"/>
  <c r="AU204" i="20"/>
  <c r="AV204" i="20"/>
  <c r="AX204" i="20"/>
  <c r="AY204" i="20"/>
  <c r="BA204" i="20"/>
  <c r="BB204" i="20"/>
  <c r="BC204" i="20"/>
  <c r="BE204" i="20"/>
  <c r="BG204" i="20"/>
  <c r="BH204" i="20"/>
  <c r="A205" i="20"/>
  <c r="B205" i="20"/>
  <c r="C205" i="20"/>
  <c r="D205" i="20"/>
  <c r="E205" i="20"/>
  <c r="F205" i="20"/>
  <c r="G205" i="20"/>
  <c r="H205" i="20"/>
  <c r="I205" i="20"/>
  <c r="J205" i="20"/>
  <c r="K205" i="20"/>
  <c r="M205" i="20"/>
  <c r="N205" i="20"/>
  <c r="P205" i="20"/>
  <c r="Q205" i="20"/>
  <c r="R205" i="20"/>
  <c r="S205" i="20"/>
  <c r="T205" i="20"/>
  <c r="U205" i="20"/>
  <c r="V205" i="20"/>
  <c r="W205" i="20"/>
  <c r="X205" i="20"/>
  <c r="Y205" i="20"/>
  <c r="Z205" i="20"/>
  <c r="AA205" i="20"/>
  <c r="AB205" i="20"/>
  <c r="AC205" i="20"/>
  <c r="AD205" i="20"/>
  <c r="AE205" i="20"/>
  <c r="AF205" i="20"/>
  <c r="AG205" i="20"/>
  <c r="AH205" i="20"/>
  <c r="AI205" i="20"/>
  <c r="AJ205" i="20"/>
  <c r="AK205" i="20"/>
  <c r="AL205" i="20"/>
  <c r="AM205" i="20"/>
  <c r="AN205" i="20"/>
  <c r="AO205" i="20"/>
  <c r="AP205" i="20"/>
  <c r="AQ205" i="20"/>
  <c r="AR205" i="20"/>
  <c r="AS205" i="20"/>
  <c r="AT205" i="20"/>
  <c r="AU205" i="20"/>
  <c r="AV205" i="20"/>
  <c r="AX205" i="20"/>
  <c r="AY205" i="20"/>
  <c r="BA205" i="20"/>
  <c r="BB205" i="20"/>
  <c r="BC205" i="20"/>
  <c r="BE205" i="20"/>
  <c r="BG205" i="20"/>
  <c r="BH205" i="20"/>
  <c r="A206" i="20"/>
  <c r="B206" i="20"/>
  <c r="C206" i="20"/>
  <c r="D206" i="20"/>
  <c r="E206" i="20"/>
  <c r="F206" i="20"/>
  <c r="G206" i="20"/>
  <c r="H206" i="20"/>
  <c r="I206" i="20"/>
  <c r="J206" i="20"/>
  <c r="K206" i="20"/>
  <c r="M206" i="20"/>
  <c r="N206" i="20"/>
  <c r="P206" i="20"/>
  <c r="Q206" i="20"/>
  <c r="R206" i="20"/>
  <c r="S206" i="20"/>
  <c r="T206" i="20"/>
  <c r="U206" i="20"/>
  <c r="V206" i="20"/>
  <c r="W206" i="20"/>
  <c r="X206" i="20"/>
  <c r="Y206" i="20"/>
  <c r="Z206" i="20"/>
  <c r="AA206" i="20"/>
  <c r="AB206" i="20"/>
  <c r="AC206" i="20"/>
  <c r="AD206" i="20"/>
  <c r="AE206" i="20"/>
  <c r="AF206" i="20"/>
  <c r="AG206" i="20"/>
  <c r="AH206" i="20"/>
  <c r="AI206" i="20"/>
  <c r="AJ206" i="20"/>
  <c r="AK206" i="20"/>
  <c r="AL206" i="20"/>
  <c r="AM206" i="20"/>
  <c r="AN206" i="20"/>
  <c r="AO206" i="20"/>
  <c r="AP206" i="20"/>
  <c r="AQ206" i="20"/>
  <c r="AR206" i="20"/>
  <c r="AS206" i="20"/>
  <c r="AT206" i="20"/>
  <c r="AU206" i="20"/>
  <c r="AV206" i="20"/>
  <c r="AX206" i="20"/>
  <c r="AY206" i="20"/>
  <c r="BA206" i="20"/>
  <c r="BB206" i="20"/>
  <c r="BC206" i="20"/>
  <c r="BE206" i="20"/>
  <c r="BG206" i="20"/>
  <c r="BH206" i="20"/>
  <c r="A207" i="20"/>
  <c r="B207" i="20"/>
  <c r="C207" i="20"/>
  <c r="D207" i="20"/>
  <c r="E207" i="20"/>
  <c r="F207" i="20"/>
  <c r="G207" i="20"/>
  <c r="H207" i="20"/>
  <c r="I207" i="20"/>
  <c r="J207" i="20"/>
  <c r="K207" i="20"/>
  <c r="M207" i="20"/>
  <c r="N207" i="20"/>
  <c r="P207" i="20"/>
  <c r="Q207" i="20"/>
  <c r="R207" i="20"/>
  <c r="S207" i="20"/>
  <c r="T207" i="20"/>
  <c r="U207" i="20"/>
  <c r="V207" i="20"/>
  <c r="W207" i="20"/>
  <c r="X207" i="20"/>
  <c r="Y207" i="20"/>
  <c r="Z207" i="20"/>
  <c r="AA207" i="20"/>
  <c r="AB207" i="20"/>
  <c r="AC207" i="20"/>
  <c r="AD207" i="20"/>
  <c r="AE207" i="20"/>
  <c r="AF207" i="20"/>
  <c r="AG207" i="20"/>
  <c r="AH207" i="20"/>
  <c r="AI207" i="20"/>
  <c r="AJ207" i="20"/>
  <c r="AK207" i="20"/>
  <c r="AL207" i="20"/>
  <c r="AM207" i="20"/>
  <c r="AN207" i="20"/>
  <c r="AO207" i="20"/>
  <c r="AP207" i="20"/>
  <c r="AQ207" i="20"/>
  <c r="AR207" i="20"/>
  <c r="AS207" i="20"/>
  <c r="AT207" i="20"/>
  <c r="AU207" i="20"/>
  <c r="AV207" i="20"/>
  <c r="AX207" i="20"/>
  <c r="AY207" i="20"/>
  <c r="BA207" i="20"/>
  <c r="BB207" i="20"/>
  <c r="BC207" i="20"/>
  <c r="BE207" i="20"/>
  <c r="BG207" i="20"/>
  <c r="BH207" i="20"/>
  <c r="E209" i="20"/>
  <c r="F209" i="20"/>
  <c r="G209" i="20"/>
  <c r="H209" i="20"/>
  <c r="I209" i="20"/>
  <c r="J209" i="20"/>
  <c r="K209" i="20"/>
  <c r="N209" i="20"/>
  <c r="O209" i="20"/>
  <c r="P209" i="20"/>
  <c r="Q209" i="20"/>
  <c r="R209" i="20"/>
  <c r="S209" i="20"/>
  <c r="T209" i="20"/>
  <c r="U209" i="20"/>
  <c r="V209" i="20"/>
  <c r="W209" i="20"/>
  <c r="X209" i="20"/>
  <c r="Y209" i="20"/>
  <c r="Z209" i="20"/>
  <c r="AA209" i="20"/>
  <c r="AB209" i="20"/>
  <c r="AC209" i="20"/>
  <c r="AD209" i="20"/>
  <c r="AE209" i="20"/>
  <c r="AF209" i="20"/>
  <c r="AG209" i="20"/>
  <c r="AH209" i="20"/>
  <c r="AI209" i="20"/>
  <c r="AJ209" i="20"/>
  <c r="AK209" i="20"/>
  <c r="AL209" i="20"/>
  <c r="AM209" i="20"/>
  <c r="AN209" i="20"/>
  <c r="AO209" i="20"/>
  <c r="AP209" i="20"/>
  <c r="AQ209" i="20"/>
  <c r="AR209" i="20"/>
  <c r="AS209" i="20"/>
  <c r="AT209" i="20"/>
  <c r="AU209" i="20"/>
  <c r="AV209" i="20"/>
  <c r="AX209" i="20"/>
  <c r="AY209" i="20"/>
  <c r="BA209" i="20"/>
  <c r="BB209" i="20"/>
  <c r="BC209" i="20"/>
  <c r="BE209" i="20"/>
  <c r="BG209" i="20"/>
  <c r="BH209" i="20"/>
  <c r="A212" i="20"/>
  <c r="B212" i="20"/>
  <c r="C212" i="20"/>
  <c r="D212" i="20"/>
  <c r="E212" i="20"/>
  <c r="F212" i="20"/>
  <c r="G212" i="20"/>
  <c r="H212" i="20"/>
  <c r="I212" i="20"/>
  <c r="J212" i="20"/>
  <c r="K212" i="20"/>
  <c r="M212" i="20"/>
  <c r="N212" i="20"/>
  <c r="P212" i="20"/>
  <c r="Q212" i="20"/>
  <c r="R212" i="20"/>
  <c r="S212" i="20"/>
  <c r="T212" i="20"/>
  <c r="U212" i="20"/>
  <c r="V212" i="20"/>
  <c r="W212" i="20"/>
  <c r="X212" i="20"/>
  <c r="Y212" i="20"/>
  <c r="Z212" i="20"/>
  <c r="AA212" i="20"/>
  <c r="AB212" i="20"/>
  <c r="AC212" i="20"/>
  <c r="AD212" i="20"/>
  <c r="AE212" i="20"/>
  <c r="AF212" i="20"/>
  <c r="AG212" i="20"/>
  <c r="AH212" i="20"/>
  <c r="AI212" i="20"/>
  <c r="AJ212" i="20"/>
  <c r="AK212" i="20"/>
  <c r="AL212" i="20"/>
  <c r="AM212" i="20"/>
  <c r="AN212" i="20"/>
  <c r="AO212" i="20"/>
  <c r="AP212" i="20"/>
  <c r="AQ212" i="20"/>
  <c r="AR212" i="20"/>
  <c r="AS212" i="20"/>
  <c r="AT212" i="20"/>
  <c r="AU212" i="20"/>
  <c r="AV212" i="20"/>
  <c r="AX212" i="20"/>
  <c r="AY212" i="20"/>
  <c r="BA212" i="20"/>
  <c r="BB212" i="20"/>
  <c r="BC212" i="20"/>
  <c r="BE212" i="20"/>
  <c r="BG212" i="20"/>
  <c r="BH212" i="20"/>
  <c r="A213" i="20"/>
  <c r="B213" i="20"/>
  <c r="C213" i="20"/>
  <c r="D213" i="20"/>
  <c r="E213" i="20"/>
  <c r="F213" i="20"/>
  <c r="G213" i="20"/>
  <c r="H213" i="20"/>
  <c r="I213" i="20"/>
  <c r="J213" i="20"/>
  <c r="K213" i="20"/>
  <c r="M213" i="20"/>
  <c r="N213" i="20"/>
  <c r="P213" i="20"/>
  <c r="Q213" i="20"/>
  <c r="R213" i="20"/>
  <c r="S213" i="20"/>
  <c r="T213" i="20"/>
  <c r="U213" i="20"/>
  <c r="V213" i="20"/>
  <c r="W213" i="20"/>
  <c r="X213" i="20"/>
  <c r="Y213" i="20"/>
  <c r="Z213" i="20"/>
  <c r="AA213" i="20"/>
  <c r="AB213" i="20"/>
  <c r="AC213" i="20"/>
  <c r="AD213" i="20"/>
  <c r="AE213" i="20"/>
  <c r="AF213" i="20"/>
  <c r="AG213" i="20"/>
  <c r="AH213" i="20"/>
  <c r="AI213" i="20"/>
  <c r="AJ213" i="20"/>
  <c r="AK213" i="20"/>
  <c r="AL213" i="20"/>
  <c r="AM213" i="20"/>
  <c r="AN213" i="20"/>
  <c r="AO213" i="20"/>
  <c r="AP213" i="20"/>
  <c r="AQ213" i="20"/>
  <c r="AR213" i="20"/>
  <c r="AS213" i="20"/>
  <c r="AT213" i="20"/>
  <c r="AU213" i="20"/>
  <c r="AV213" i="20"/>
  <c r="AX213" i="20"/>
  <c r="AY213" i="20"/>
  <c r="BA213" i="20"/>
  <c r="BB213" i="20"/>
  <c r="BC213" i="20"/>
  <c r="BE213" i="20"/>
  <c r="BG213" i="20"/>
  <c r="BH213" i="20"/>
  <c r="A214" i="20"/>
  <c r="B214" i="20"/>
  <c r="C214" i="20"/>
  <c r="D214" i="20"/>
  <c r="E214" i="20"/>
  <c r="F214" i="20"/>
  <c r="G214" i="20"/>
  <c r="H214" i="20"/>
  <c r="I214" i="20"/>
  <c r="J214" i="20"/>
  <c r="K214" i="20"/>
  <c r="M214" i="20"/>
  <c r="N214" i="20"/>
  <c r="P214" i="20"/>
  <c r="Q214" i="20"/>
  <c r="R214" i="20"/>
  <c r="S214" i="20"/>
  <c r="T214" i="20"/>
  <c r="U214" i="20"/>
  <c r="V214" i="20"/>
  <c r="W214" i="20"/>
  <c r="X214" i="20"/>
  <c r="Y214" i="20"/>
  <c r="Z214" i="20"/>
  <c r="AA214" i="20"/>
  <c r="AB214" i="20"/>
  <c r="AC214" i="20"/>
  <c r="AD214" i="20"/>
  <c r="AE214" i="20"/>
  <c r="AF214" i="20"/>
  <c r="AG214" i="20"/>
  <c r="AH214" i="20"/>
  <c r="AI214" i="20"/>
  <c r="AJ214" i="20"/>
  <c r="AK214" i="20"/>
  <c r="AL214" i="20"/>
  <c r="AM214" i="20"/>
  <c r="AN214" i="20"/>
  <c r="AO214" i="20"/>
  <c r="AP214" i="20"/>
  <c r="AQ214" i="20"/>
  <c r="AR214" i="20"/>
  <c r="AS214" i="20"/>
  <c r="AT214" i="20"/>
  <c r="AU214" i="20"/>
  <c r="AV214" i="20"/>
  <c r="AX214" i="20"/>
  <c r="AY214" i="20"/>
  <c r="BA214" i="20"/>
  <c r="BB214" i="20"/>
  <c r="BC214" i="20"/>
  <c r="BE214" i="20"/>
  <c r="BG214" i="20"/>
  <c r="BH214" i="20"/>
  <c r="A215" i="20"/>
  <c r="B215" i="20"/>
  <c r="C215" i="20"/>
  <c r="D215" i="20"/>
  <c r="E215" i="20"/>
  <c r="F215" i="20"/>
  <c r="G215" i="20"/>
  <c r="H215" i="20"/>
  <c r="I215" i="20"/>
  <c r="J215" i="20"/>
  <c r="K215" i="20"/>
  <c r="M215" i="20"/>
  <c r="N215" i="20"/>
  <c r="P215" i="20"/>
  <c r="Q215" i="20"/>
  <c r="R215" i="20"/>
  <c r="S215" i="20"/>
  <c r="T215" i="20"/>
  <c r="U215" i="20"/>
  <c r="V215" i="20"/>
  <c r="W215" i="20"/>
  <c r="X215" i="20"/>
  <c r="Y215" i="20"/>
  <c r="Z215" i="20"/>
  <c r="AA215" i="20"/>
  <c r="AB215" i="20"/>
  <c r="AC215" i="20"/>
  <c r="AD215" i="20"/>
  <c r="AE215" i="20"/>
  <c r="AF215" i="20"/>
  <c r="AG215" i="20"/>
  <c r="AH215" i="20"/>
  <c r="AI215" i="20"/>
  <c r="AJ215" i="20"/>
  <c r="AK215" i="20"/>
  <c r="AL215" i="20"/>
  <c r="AM215" i="20"/>
  <c r="AN215" i="20"/>
  <c r="AO215" i="20"/>
  <c r="AP215" i="20"/>
  <c r="AQ215" i="20"/>
  <c r="AR215" i="20"/>
  <c r="AS215" i="20"/>
  <c r="AT215" i="20"/>
  <c r="AU215" i="20"/>
  <c r="AV215" i="20"/>
  <c r="AX215" i="20"/>
  <c r="AY215" i="20"/>
  <c r="BA215" i="20"/>
  <c r="BB215" i="20"/>
  <c r="BC215" i="20"/>
  <c r="BE215" i="20"/>
  <c r="BG215" i="20"/>
  <c r="BH215" i="20"/>
  <c r="A216" i="20"/>
  <c r="B216" i="20"/>
  <c r="C216" i="20"/>
  <c r="D216" i="20"/>
  <c r="E216" i="20"/>
  <c r="F216" i="20"/>
  <c r="G216" i="20"/>
  <c r="H216" i="20"/>
  <c r="I216" i="20"/>
  <c r="J216" i="20"/>
  <c r="K216" i="20"/>
  <c r="M216" i="20"/>
  <c r="N216" i="20"/>
  <c r="P216" i="20"/>
  <c r="Q216" i="20"/>
  <c r="R216" i="20"/>
  <c r="S216" i="20"/>
  <c r="T216" i="20"/>
  <c r="U216" i="20"/>
  <c r="V216" i="20"/>
  <c r="W216" i="20"/>
  <c r="X216" i="20"/>
  <c r="Y216" i="20"/>
  <c r="Z216" i="20"/>
  <c r="AA216" i="20"/>
  <c r="AB216" i="20"/>
  <c r="AC216" i="20"/>
  <c r="AD216" i="20"/>
  <c r="AE216" i="20"/>
  <c r="AF216" i="20"/>
  <c r="AG216" i="20"/>
  <c r="AH216" i="20"/>
  <c r="AI216" i="20"/>
  <c r="AJ216" i="20"/>
  <c r="AK216" i="20"/>
  <c r="AL216" i="20"/>
  <c r="AM216" i="20"/>
  <c r="AN216" i="20"/>
  <c r="AO216" i="20"/>
  <c r="AP216" i="20"/>
  <c r="AQ216" i="20"/>
  <c r="AR216" i="20"/>
  <c r="AS216" i="20"/>
  <c r="AT216" i="20"/>
  <c r="AU216" i="20"/>
  <c r="AV216" i="20"/>
  <c r="AX216" i="20"/>
  <c r="AY216" i="20"/>
  <c r="BA216" i="20"/>
  <c r="BB216" i="20"/>
  <c r="BC216" i="20"/>
  <c r="BE216" i="20"/>
  <c r="BG216" i="20"/>
  <c r="BH216" i="20"/>
  <c r="A217" i="20"/>
  <c r="B217" i="20"/>
  <c r="C217" i="20"/>
  <c r="D217" i="20"/>
  <c r="E217" i="20"/>
  <c r="F217" i="20"/>
  <c r="G217" i="20"/>
  <c r="H217" i="20"/>
  <c r="I217" i="20"/>
  <c r="J217" i="20"/>
  <c r="K217" i="20"/>
  <c r="M217" i="20"/>
  <c r="N217" i="20"/>
  <c r="P217" i="20"/>
  <c r="Q217" i="20"/>
  <c r="R217" i="20"/>
  <c r="S217" i="20"/>
  <c r="T217" i="20"/>
  <c r="U217" i="20"/>
  <c r="V217" i="20"/>
  <c r="W217" i="20"/>
  <c r="X217" i="20"/>
  <c r="Y217" i="20"/>
  <c r="Z217" i="20"/>
  <c r="AA217" i="20"/>
  <c r="AB217" i="20"/>
  <c r="AC217" i="20"/>
  <c r="AD217" i="20"/>
  <c r="AE217" i="20"/>
  <c r="AF217" i="20"/>
  <c r="AG217" i="20"/>
  <c r="AH217" i="20"/>
  <c r="AI217" i="20"/>
  <c r="AJ217" i="20"/>
  <c r="AK217" i="20"/>
  <c r="AL217" i="20"/>
  <c r="AM217" i="20"/>
  <c r="AN217" i="20"/>
  <c r="AO217" i="20"/>
  <c r="AP217" i="20"/>
  <c r="AQ217" i="20"/>
  <c r="AR217" i="20"/>
  <c r="AS217" i="20"/>
  <c r="AT217" i="20"/>
  <c r="AU217" i="20"/>
  <c r="AV217" i="20"/>
  <c r="AX217" i="20"/>
  <c r="AY217" i="20"/>
  <c r="BA217" i="20"/>
  <c r="BB217" i="20"/>
  <c r="BC217" i="20"/>
  <c r="BE217" i="20"/>
  <c r="BG217" i="20"/>
  <c r="BH217" i="20"/>
  <c r="A218" i="20"/>
  <c r="B218" i="20"/>
  <c r="C218" i="20"/>
  <c r="D218" i="20"/>
  <c r="E218" i="20"/>
  <c r="F218" i="20"/>
  <c r="G218" i="20"/>
  <c r="H218" i="20"/>
  <c r="I218" i="20"/>
  <c r="J218" i="20"/>
  <c r="K218" i="20"/>
  <c r="M218" i="20"/>
  <c r="N218" i="20"/>
  <c r="P218" i="20"/>
  <c r="Q218" i="20"/>
  <c r="R218" i="20"/>
  <c r="S218" i="20"/>
  <c r="T218" i="20"/>
  <c r="U218" i="20"/>
  <c r="V218" i="20"/>
  <c r="W218" i="20"/>
  <c r="X218" i="20"/>
  <c r="Y218" i="20"/>
  <c r="Z218" i="20"/>
  <c r="AA218" i="20"/>
  <c r="AB218" i="20"/>
  <c r="AC218" i="20"/>
  <c r="AD218" i="20"/>
  <c r="AE218" i="20"/>
  <c r="AF218" i="20"/>
  <c r="AG218" i="20"/>
  <c r="AH218" i="20"/>
  <c r="AI218" i="20"/>
  <c r="AJ218" i="20"/>
  <c r="AK218" i="20"/>
  <c r="AL218" i="20"/>
  <c r="AM218" i="20"/>
  <c r="AN218" i="20"/>
  <c r="AO218" i="20"/>
  <c r="AP218" i="20"/>
  <c r="AQ218" i="20"/>
  <c r="AR218" i="20"/>
  <c r="AS218" i="20"/>
  <c r="AT218" i="20"/>
  <c r="AU218" i="20"/>
  <c r="AV218" i="20"/>
  <c r="AX218" i="20"/>
  <c r="AY218" i="20"/>
  <c r="BA218" i="20"/>
  <c r="BB218" i="20"/>
  <c r="BC218" i="20"/>
  <c r="BE218" i="20"/>
  <c r="BG218" i="20"/>
  <c r="BH218" i="20"/>
  <c r="A219" i="20"/>
  <c r="B219" i="20"/>
  <c r="C219" i="20"/>
  <c r="D219" i="20"/>
  <c r="E219" i="20"/>
  <c r="F219" i="20"/>
  <c r="G219" i="20"/>
  <c r="H219" i="20"/>
  <c r="I219" i="20"/>
  <c r="J219" i="20"/>
  <c r="K219" i="20"/>
  <c r="M219" i="20"/>
  <c r="N219" i="20"/>
  <c r="P219" i="20"/>
  <c r="Q219" i="20"/>
  <c r="R219" i="20"/>
  <c r="S219" i="20"/>
  <c r="T219" i="20"/>
  <c r="U219" i="20"/>
  <c r="V219" i="20"/>
  <c r="W219" i="20"/>
  <c r="X219" i="20"/>
  <c r="Y219" i="20"/>
  <c r="Z219" i="20"/>
  <c r="AA219" i="20"/>
  <c r="AB219" i="20"/>
  <c r="AC219" i="20"/>
  <c r="AD219" i="20"/>
  <c r="AE219" i="20"/>
  <c r="AF219" i="20"/>
  <c r="AG219" i="20"/>
  <c r="AH219" i="20"/>
  <c r="AI219" i="20"/>
  <c r="AJ219" i="20"/>
  <c r="AK219" i="20"/>
  <c r="AL219" i="20"/>
  <c r="AM219" i="20"/>
  <c r="AN219" i="20"/>
  <c r="AO219" i="20"/>
  <c r="AP219" i="20"/>
  <c r="AQ219" i="20"/>
  <c r="AR219" i="20"/>
  <c r="AS219" i="20"/>
  <c r="AT219" i="20"/>
  <c r="AU219" i="20"/>
  <c r="AV219" i="20"/>
  <c r="AX219" i="20"/>
  <c r="AY219" i="20"/>
  <c r="BA219" i="20"/>
  <c r="BB219" i="20"/>
  <c r="BC219" i="20"/>
  <c r="BE219" i="20"/>
  <c r="BG219" i="20"/>
  <c r="BH219" i="20"/>
  <c r="A220" i="20"/>
  <c r="B220" i="20"/>
  <c r="C220" i="20"/>
  <c r="D220" i="20"/>
  <c r="E220" i="20"/>
  <c r="F220" i="20"/>
  <c r="G220" i="20"/>
  <c r="H220" i="20"/>
  <c r="I220" i="20"/>
  <c r="J220" i="20"/>
  <c r="K220" i="20"/>
  <c r="M220" i="20"/>
  <c r="N220" i="20"/>
  <c r="P220" i="20"/>
  <c r="Q220" i="20"/>
  <c r="R220" i="20"/>
  <c r="S220" i="20"/>
  <c r="T220" i="20"/>
  <c r="U220" i="20"/>
  <c r="V220" i="20"/>
  <c r="W220" i="20"/>
  <c r="X220" i="20"/>
  <c r="Y220" i="20"/>
  <c r="Z220" i="20"/>
  <c r="AA220" i="20"/>
  <c r="AB220" i="20"/>
  <c r="AC220" i="20"/>
  <c r="AD220" i="20"/>
  <c r="AE220" i="20"/>
  <c r="AF220" i="20"/>
  <c r="AG220" i="20"/>
  <c r="AH220" i="20"/>
  <c r="AI220" i="20"/>
  <c r="AJ220" i="20"/>
  <c r="AK220" i="20"/>
  <c r="AL220" i="20"/>
  <c r="AM220" i="20"/>
  <c r="AN220" i="20"/>
  <c r="AO220" i="20"/>
  <c r="AP220" i="20"/>
  <c r="AQ220" i="20"/>
  <c r="AR220" i="20"/>
  <c r="AS220" i="20"/>
  <c r="AT220" i="20"/>
  <c r="AU220" i="20"/>
  <c r="AV220" i="20"/>
  <c r="AX220" i="20"/>
  <c r="AY220" i="20"/>
  <c r="BA220" i="20"/>
  <c r="BB220" i="20"/>
  <c r="BC220" i="20"/>
  <c r="BE220" i="20"/>
  <c r="BG220" i="20"/>
  <c r="BH220" i="20"/>
  <c r="E222" i="20"/>
  <c r="F222" i="20"/>
  <c r="G222" i="20"/>
  <c r="H222" i="20"/>
  <c r="I222" i="20"/>
  <c r="J222" i="20"/>
  <c r="K222" i="20"/>
  <c r="N222" i="20"/>
  <c r="O222" i="20"/>
  <c r="P222" i="20"/>
  <c r="Q222" i="20"/>
  <c r="R222" i="20"/>
  <c r="S222" i="20"/>
  <c r="T222" i="20"/>
  <c r="U222" i="20"/>
  <c r="V222" i="20"/>
  <c r="W222" i="20"/>
  <c r="X222" i="20"/>
  <c r="Y222" i="20"/>
  <c r="Z222" i="20"/>
  <c r="AA222" i="20"/>
  <c r="AB222" i="20"/>
  <c r="AC222" i="20"/>
  <c r="AD222" i="20"/>
  <c r="AE222" i="20"/>
  <c r="AF222" i="20"/>
  <c r="AG222" i="20"/>
  <c r="AH222" i="20"/>
  <c r="AI222" i="20"/>
  <c r="AJ222" i="20"/>
  <c r="AK222" i="20"/>
  <c r="AL222" i="20"/>
  <c r="AM222" i="20"/>
  <c r="AN222" i="20"/>
  <c r="AO222" i="20"/>
  <c r="AP222" i="20"/>
  <c r="AQ222" i="20"/>
  <c r="AR222" i="20"/>
  <c r="AS222" i="20"/>
  <c r="AT222" i="20"/>
  <c r="AU222" i="20"/>
  <c r="AV222" i="20"/>
  <c r="AX222" i="20"/>
  <c r="AY222" i="20"/>
  <c r="BA222" i="20"/>
  <c r="BB222" i="20"/>
  <c r="BC222" i="20"/>
  <c r="BE222" i="20"/>
  <c r="BG222" i="20"/>
  <c r="BH222" i="20"/>
  <c r="A225" i="20"/>
  <c r="B225" i="20"/>
  <c r="C225" i="20"/>
  <c r="D225" i="20"/>
  <c r="E225" i="20"/>
  <c r="F225" i="20"/>
  <c r="G225" i="20"/>
  <c r="H225" i="20"/>
  <c r="I225" i="20"/>
  <c r="J225" i="20"/>
  <c r="K225" i="20"/>
  <c r="M225" i="20"/>
  <c r="N225" i="20"/>
  <c r="P225" i="20"/>
  <c r="Q225" i="20"/>
  <c r="R225" i="20"/>
  <c r="S225" i="20"/>
  <c r="T225" i="20"/>
  <c r="U225" i="20"/>
  <c r="V225" i="20"/>
  <c r="W225" i="20"/>
  <c r="X225" i="20"/>
  <c r="Y225" i="20"/>
  <c r="Z225" i="20"/>
  <c r="AA225" i="20"/>
  <c r="AB225" i="20"/>
  <c r="AC225" i="20"/>
  <c r="AD225" i="20"/>
  <c r="AE225" i="20"/>
  <c r="AF225" i="20"/>
  <c r="AG225" i="20"/>
  <c r="AH225" i="20"/>
  <c r="AI225" i="20"/>
  <c r="AJ225" i="20"/>
  <c r="AK225" i="20"/>
  <c r="AL225" i="20"/>
  <c r="AM225" i="20"/>
  <c r="AN225" i="20"/>
  <c r="AO225" i="20"/>
  <c r="AP225" i="20"/>
  <c r="AQ225" i="20"/>
  <c r="AR225" i="20"/>
  <c r="AS225" i="20"/>
  <c r="AT225" i="20"/>
  <c r="AU225" i="20"/>
  <c r="AV225" i="20"/>
  <c r="AX225" i="20"/>
  <c r="AY225" i="20"/>
  <c r="BA225" i="20"/>
  <c r="BB225" i="20"/>
  <c r="BC225" i="20"/>
  <c r="BE225" i="20"/>
  <c r="BG225" i="20"/>
  <c r="BH225" i="20"/>
  <c r="A226" i="20"/>
  <c r="B226" i="20"/>
  <c r="C226" i="20"/>
  <c r="D226" i="20"/>
  <c r="E226" i="20"/>
  <c r="F226" i="20"/>
  <c r="G226" i="20"/>
  <c r="H226" i="20"/>
  <c r="I226" i="20"/>
  <c r="J226" i="20"/>
  <c r="K226" i="20"/>
  <c r="M226" i="20"/>
  <c r="N226" i="20"/>
  <c r="P226" i="20"/>
  <c r="Q226" i="20"/>
  <c r="R226" i="20"/>
  <c r="S226" i="20"/>
  <c r="T226" i="20"/>
  <c r="U226" i="20"/>
  <c r="V226" i="20"/>
  <c r="W226" i="20"/>
  <c r="X226" i="20"/>
  <c r="Y226" i="20"/>
  <c r="Z226" i="20"/>
  <c r="AA226" i="20"/>
  <c r="AB226" i="20"/>
  <c r="AC226" i="20"/>
  <c r="AD226" i="20"/>
  <c r="AE226" i="20"/>
  <c r="AF226" i="20"/>
  <c r="AG226" i="20"/>
  <c r="AH226" i="20"/>
  <c r="AI226" i="20"/>
  <c r="AJ226" i="20"/>
  <c r="AK226" i="20"/>
  <c r="AL226" i="20"/>
  <c r="AM226" i="20"/>
  <c r="AN226" i="20"/>
  <c r="AO226" i="20"/>
  <c r="AP226" i="20"/>
  <c r="AQ226" i="20"/>
  <c r="AR226" i="20"/>
  <c r="AS226" i="20"/>
  <c r="AT226" i="20"/>
  <c r="AU226" i="20"/>
  <c r="AV226" i="20"/>
  <c r="AX226" i="20"/>
  <c r="AY226" i="20"/>
  <c r="BA226" i="20"/>
  <c r="BB226" i="20"/>
  <c r="BC226" i="20"/>
  <c r="BE226" i="20"/>
  <c r="BG226" i="20"/>
  <c r="BH226" i="20"/>
  <c r="A227" i="20"/>
  <c r="B227" i="20"/>
  <c r="C227" i="20"/>
  <c r="D227" i="20"/>
  <c r="E227" i="20"/>
  <c r="F227" i="20"/>
  <c r="G227" i="20"/>
  <c r="H227" i="20"/>
  <c r="I227" i="20"/>
  <c r="J227" i="20"/>
  <c r="K227" i="20"/>
  <c r="M227" i="20"/>
  <c r="N227" i="20"/>
  <c r="P227" i="20"/>
  <c r="Q227" i="20"/>
  <c r="R227" i="20"/>
  <c r="S227" i="20"/>
  <c r="T227" i="20"/>
  <c r="U227" i="20"/>
  <c r="V227" i="20"/>
  <c r="W227" i="20"/>
  <c r="X227" i="20"/>
  <c r="Y227" i="20"/>
  <c r="Z227" i="20"/>
  <c r="AA227" i="20"/>
  <c r="AB227" i="20"/>
  <c r="AC227" i="20"/>
  <c r="AD227" i="20"/>
  <c r="AE227" i="20"/>
  <c r="AF227" i="20"/>
  <c r="AG227" i="20"/>
  <c r="AH227" i="20"/>
  <c r="AI227" i="20"/>
  <c r="AJ227" i="20"/>
  <c r="AK227" i="20"/>
  <c r="AL227" i="20"/>
  <c r="AM227" i="20"/>
  <c r="AN227" i="20"/>
  <c r="AO227" i="20"/>
  <c r="AP227" i="20"/>
  <c r="AQ227" i="20"/>
  <c r="AR227" i="20"/>
  <c r="AS227" i="20"/>
  <c r="AT227" i="20"/>
  <c r="AU227" i="20"/>
  <c r="AV227" i="20"/>
  <c r="AX227" i="20"/>
  <c r="AY227" i="20"/>
  <c r="BA227" i="20"/>
  <c r="BB227" i="20"/>
  <c r="BC227" i="20"/>
  <c r="BE227" i="20"/>
  <c r="BG227" i="20"/>
  <c r="BH227" i="20"/>
  <c r="A228" i="20"/>
  <c r="B228" i="20"/>
  <c r="C228" i="20"/>
  <c r="D228" i="20"/>
  <c r="E228" i="20"/>
  <c r="F228" i="20"/>
  <c r="G228" i="20"/>
  <c r="H228" i="20"/>
  <c r="I228" i="20"/>
  <c r="J228" i="20"/>
  <c r="K228" i="20"/>
  <c r="M228" i="20"/>
  <c r="N228" i="20"/>
  <c r="P228" i="20"/>
  <c r="Q228" i="20"/>
  <c r="R228" i="20"/>
  <c r="S228" i="20"/>
  <c r="T228" i="20"/>
  <c r="U228" i="20"/>
  <c r="V228" i="20"/>
  <c r="W228" i="20"/>
  <c r="X228" i="20"/>
  <c r="Y228" i="20"/>
  <c r="Z228" i="20"/>
  <c r="AA228" i="20"/>
  <c r="AB228" i="20"/>
  <c r="AC228" i="20"/>
  <c r="AD228" i="20"/>
  <c r="AE228" i="20"/>
  <c r="AF228" i="20"/>
  <c r="AG228" i="20"/>
  <c r="AH228" i="20"/>
  <c r="AI228" i="20"/>
  <c r="AJ228" i="20"/>
  <c r="AK228" i="20"/>
  <c r="AL228" i="20"/>
  <c r="AM228" i="20"/>
  <c r="AN228" i="20"/>
  <c r="AO228" i="20"/>
  <c r="AP228" i="20"/>
  <c r="AQ228" i="20"/>
  <c r="AR228" i="20"/>
  <c r="AS228" i="20"/>
  <c r="AT228" i="20"/>
  <c r="AU228" i="20"/>
  <c r="AV228" i="20"/>
  <c r="AX228" i="20"/>
  <c r="AY228" i="20"/>
  <c r="BA228" i="20"/>
  <c r="BB228" i="20"/>
  <c r="BC228" i="20"/>
  <c r="BE228" i="20"/>
  <c r="BG228" i="20"/>
  <c r="BH228" i="20"/>
  <c r="A229" i="20"/>
  <c r="B229" i="20"/>
  <c r="C229" i="20"/>
  <c r="D229" i="20"/>
  <c r="E229" i="20"/>
  <c r="F229" i="20"/>
  <c r="G229" i="20"/>
  <c r="H229" i="20"/>
  <c r="I229" i="20"/>
  <c r="J229" i="20"/>
  <c r="K229" i="20"/>
  <c r="M229" i="20"/>
  <c r="N229" i="20"/>
  <c r="P229" i="20"/>
  <c r="Q229" i="20"/>
  <c r="R229" i="20"/>
  <c r="S229" i="20"/>
  <c r="T229" i="20"/>
  <c r="U229" i="20"/>
  <c r="V229" i="20"/>
  <c r="W229" i="20"/>
  <c r="X229" i="20"/>
  <c r="Y229" i="20"/>
  <c r="Z229" i="20"/>
  <c r="AA229" i="20"/>
  <c r="AB229" i="20"/>
  <c r="AC229" i="20"/>
  <c r="AD229" i="20"/>
  <c r="AE229" i="20"/>
  <c r="AF229" i="20"/>
  <c r="AG229" i="20"/>
  <c r="AH229" i="20"/>
  <c r="AI229" i="20"/>
  <c r="AJ229" i="20"/>
  <c r="AK229" i="20"/>
  <c r="AL229" i="20"/>
  <c r="AM229" i="20"/>
  <c r="AN229" i="20"/>
  <c r="AO229" i="20"/>
  <c r="AP229" i="20"/>
  <c r="AQ229" i="20"/>
  <c r="AR229" i="20"/>
  <c r="AS229" i="20"/>
  <c r="AT229" i="20"/>
  <c r="AU229" i="20"/>
  <c r="AV229" i="20"/>
  <c r="AX229" i="20"/>
  <c r="AY229" i="20"/>
  <c r="BA229" i="20"/>
  <c r="BB229" i="20"/>
  <c r="BC229" i="20"/>
  <c r="BE229" i="20"/>
  <c r="BG229" i="20"/>
  <c r="BH229" i="20"/>
  <c r="A230" i="20"/>
  <c r="B230" i="20"/>
  <c r="C230" i="20"/>
  <c r="D230" i="20"/>
  <c r="E230" i="20"/>
  <c r="F230" i="20"/>
  <c r="G230" i="20"/>
  <c r="H230" i="20"/>
  <c r="I230" i="20"/>
  <c r="J230" i="20"/>
  <c r="K230" i="20"/>
  <c r="M230" i="20"/>
  <c r="N230" i="20"/>
  <c r="P230" i="20"/>
  <c r="Q230" i="20"/>
  <c r="R230" i="20"/>
  <c r="S230" i="20"/>
  <c r="T230" i="20"/>
  <c r="U230" i="20"/>
  <c r="V230" i="20"/>
  <c r="W230" i="20"/>
  <c r="X230" i="20"/>
  <c r="Y230" i="20"/>
  <c r="Z230" i="20"/>
  <c r="AA230" i="20"/>
  <c r="AB230" i="20"/>
  <c r="AC230" i="20"/>
  <c r="AD230" i="20"/>
  <c r="AE230" i="20"/>
  <c r="AF230" i="20"/>
  <c r="AG230" i="20"/>
  <c r="AH230" i="20"/>
  <c r="AI230" i="20"/>
  <c r="AJ230" i="20"/>
  <c r="AK230" i="20"/>
  <c r="AL230" i="20"/>
  <c r="AM230" i="20"/>
  <c r="AN230" i="20"/>
  <c r="AO230" i="20"/>
  <c r="AP230" i="20"/>
  <c r="AQ230" i="20"/>
  <c r="AR230" i="20"/>
  <c r="AS230" i="20"/>
  <c r="AT230" i="20"/>
  <c r="AU230" i="20"/>
  <c r="AV230" i="20"/>
  <c r="AX230" i="20"/>
  <c r="AY230" i="20"/>
  <c r="BA230" i="20"/>
  <c r="BB230" i="20"/>
  <c r="BC230" i="20"/>
  <c r="BE230" i="20"/>
  <c r="BG230" i="20"/>
  <c r="BH230" i="20"/>
  <c r="E232" i="20"/>
  <c r="F232" i="20"/>
  <c r="G232" i="20"/>
  <c r="H232" i="20"/>
  <c r="I232" i="20"/>
  <c r="J232" i="20"/>
  <c r="K232" i="20"/>
  <c r="N232" i="20"/>
  <c r="O232" i="20"/>
  <c r="P232" i="20"/>
  <c r="Q232" i="20"/>
  <c r="R232" i="20"/>
  <c r="S232" i="20"/>
  <c r="T232" i="20"/>
  <c r="U232" i="20"/>
  <c r="V232" i="20"/>
  <c r="W232" i="20"/>
  <c r="X232" i="20"/>
  <c r="Y232" i="20"/>
  <c r="Z232" i="20"/>
  <c r="AA232" i="20"/>
  <c r="AB232" i="20"/>
  <c r="AC232" i="20"/>
  <c r="AD232" i="20"/>
  <c r="AE232" i="20"/>
  <c r="AF232" i="20"/>
  <c r="AG232" i="20"/>
  <c r="AH232" i="20"/>
  <c r="AI232" i="20"/>
  <c r="AJ232" i="20"/>
  <c r="AK232" i="20"/>
  <c r="AL232" i="20"/>
  <c r="AM232" i="20"/>
  <c r="AN232" i="20"/>
  <c r="AO232" i="20"/>
  <c r="AP232" i="20"/>
  <c r="AQ232" i="20"/>
  <c r="AR232" i="20"/>
  <c r="AS232" i="20"/>
  <c r="AT232" i="20"/>
  <c r="AU232" i="20"/>
  <c r="AV232" i="20"/>
  <c r="AX232" i="20"/>
  <c r="AY232" i="20"/>
  <c r="BA232" i="20"/>
  <c r="BB232" i="20"/>
  <c r="BC232" i="20"/>
  <c r="BE232" i="20"/>
  <c r="BG232" i="20"/>
  <c r="BH232" i="20"/>
  <c r="E236" i="20"/>
  <c r="F236" i="20"/>
  <c r="G236" i="20"/>
  <c r="H236" i="20"/>
  <c r="I236" i="20"/>
  <c r="J236" i="20"/>
  <c r="K236" i="20"/>
  <c r="N236" i="20"/>
  <c r="P236" i="20"/>
  <c r="Q236" i="20"/>
  <c r="R236" i="20"/>
  <c r="S236" i="20"/>
  <c r="T236" i="20"/>
  <c r="U236" i="20"/>
  <c r="V236" i="20"/>
  <c r="W236" i="20"/>
  <c r="X236" i="20"/>
  <c r="Y236" i="20"/>
  <c r="Z236" i="20"/>
  <c r="AA236" i="20"/>
  <c r="AB236" i="20"/>
  <c r="AC236" i="20"/>
  <c r="AD236" i="20"/>
  <c r="AE236" i="20"/>
  <c r="AF236" i="20"/>
  <c r="AG236" i="20"/>
  <c r="AH236" i="20"/>
  <c r="AI236" i="20"/>
  <c r="AJ236" i="20"/>
  <c r="AK236" i="20"/>
  <c r="AL236" i="20"/>
  <c r="AM236" i="20"/>
  <c r="AN236" i="20"/>
  <c r="AO236" i="20"/>
  <c r="AP236" i="20"/>
  <c r="AQ236" i="20"/>
  <c r="AR236" i="20"/>
  <c r="AS236" i="20"/>
  <c r="AT236" i="20"/>
  <c r="AU236" i="20"/>
  <c r="AV236" i="20"/>
  <c r="AX236" i="20"/>
  <c r="AY236" i="20"/>
  <c r="BA236" i="20"/>
  <c r="BB236" i="20"/>
  <c r="BC236" i="20"/>
  <c r="BE236" i="20"/>
  <c r="BG236" i="20"/>
  <c r="BH236" i="20"/>
  <c r="A239" i="20"/>
  <c r="B239" i="20"/>
  <c r="C239" i="20"/>
  <c r="D239" i="20"/>
  <c r="E239" i="20"/>
  <c r="F239" i="20"/>
  <c r="G239" i="20"/>
  <c r="H239" i="20"/>
  <c r="I239" i="20"/>
  <c r="J239" i="20"/>
  <c r="K239" i="20"/>
  <c r="M239" i="20"/>
  <c r="N239" i="20"/>
  <c r="P239" i="20"/>
  <c r="Q239" i="20"/>
  <c r="R239" i="20"/>
  <c r="S239" i="20"/>
  <c r="T239" i="20"/>
  <c r="U239" i="20"/>
  <c r="V239" i="20"/>
  <c r="W239" i="20"/>
  <c r="X239" i="20"/>
  <c r="Y239" i="20"/>
  <c r="Z239" i="20"/>
  <c r="AA239" i="20"/>
  <c r="AB239" i="20"/>
  <c r="AC239" i="20"/>
  <c r="AD239" i="20"/>
  <c r="AE239" i="20"/>
  <c r="AF239" i="20"/>
  <c r="AG239" i="20"/>
  <c r="AH239" i="20"/>
  <c r="AI239" i="20"/>
  <c r="AJ239" i="20"/>
  <c r="AK239" i="20"/>
  <c r="AL239" i="20"/>
  <c r="AM239" i="20"/>
  <c r="AN239" i="20"/>
  <c r="AO239" i="20"/>
  <c r="AP239" i="20"/>
  <c r="AQ239" i="20"/>
  <c r="AR239" i="20"/>
  <c r="AS239" i="20"/>
  <c r="AT239" i="20"/>
  <c r="AU239" i="20"/>
  <c r="AV239" i="20"/>
  <c r="AX239" i="20"/>
  <c r="AY239" i="20"/>
  <c r="BA239" i="20"/>
  <c r="BB239" i="20"/>
  <c r="BC239" i="20"/>
  <c r="BE239" i="20"/>
  <c r="BG239" i="20"/>
  <c r="BH239" i="20"/>
  <c r="A240" i="20"/>
  <c r="B240" i="20"/>
  <c r="C240" i="20"/>
  <c r="D240" i="20"/>
  <c r="E240" i="20"/>
  <c r="F240" i="20"/>
  <c r="G240" i="20"/>
  <c r="H240" i="20"/>
  <c r="I240" i="20"/>
  <c r="J240" i="20"/>
  <c r="K240" i="20"/>
  <c r="M240" i="20"/>
  <c r="N240" i="20"/>
  <c r="P240" i="20"/>
  <c r="Q240" i="20"/>
  <c r="R240" i="20"/>
  <c r="S240" i="20"/>
  <c r="T240" i="20"/>
  <c r="U240" i="20"/>
  <c r="V240" i="20"/>
  <c r="W240" i="20"/>
  <c r="X240" i="20"/>
  <c r="Y240" i="20"/>
  <c r="Z240" i="20"/>
  <c r="AA240" i="20"/>
  <c r="AB240" i="20"/>
  <c r="AC240" i="20"/>
  <c r="AD240" i="20"/>
  <c r="AE240" i="20"/>
  <c r="AF240" i="20"/>
  <c r="AG240" i="20"/>
  <c r="AH240" i="20"/>
  <c r="AI240" i="20"/>
  <c r="AJ240" i="20"/>
  <c r="AK240" i="20"/>
  <c r="AL240" i="20"/>
  <c r="AM240" i="20"/>
  <c r="AN240" i="20"/>
  <c r="AO240" i="20"/>
  <c r="AP240" i="20"/>
  <c r="AQ240" i="20"/>
  <c r="AR240" i="20"/>
  <c r="AS240" i="20"/>
  <c r="AT240" i="20"/>
  <c r="AU240" i="20"/>
  <c r="AV240" i="20"/>
  <c r="AX240" i="20"/>
  <c r="AY240" i="20"/>
  <c r="BA240" i="20"/>
  <c r="BB240" i="20"/>
  <c r="BC240" i="20"/>
  <c r="BE240" i="20"/>
  <c r="BG240" i="20"/>
  <c r="BH240" i="20"/>
  <c r="A241" i="20"/>
  <c r="B241" i="20"/>
  <c r="C241" i="20"/>
  <c r="D241" i="20"/>
  <c r="E241" i="20"/>
  <c r="F241" i="20"/>
  <c r="G241" i="20"/>
  <c r="H241" i="20"/>
  <c r="I241" i="20"/>
  <c r="J241" i="20"/>
  <c r="K241" i="20"/>
  <c r="M241" i="20"/>
  <c r="N241" i="20"/>
  <c r="P241" i="20"/>
  <c r="Q241" i="20"/>
  <c r="R241" i="20"/>
  <c r="S241" i="20"/>
  <c r="T241" i="20"/>
  <c r="U241" i="20"/>
  <c r="V241" i="20"/>
  <c r="W241" i="20"/>
  <c r="X241" i="20"/>
  <c r="Y241" i="20"/>
  <c r="Z241" i="20"/>
  <c r="AA241" i="20"/>
  <c r="AB241" i="20"/>
  <c r="AC241" i="20"/>
  <c r="AD241" i="20"/>
  <c r="AE241" i="20"/>
  <c r="AF241" i="20"/>
  <c r="AG241" i="20"/>
  <c r="AH241" i="20"/>
  <c r="AI241" i="20"/>
  <c r="AJ241" i="20"/>
  <c r="AK241" i="20"/>
  <c r="AL241" i="20"/>
  <c r="AM241" i="20"/>
  <c r="AN241" i="20"/>
  <c r="AO241" i="20"/>
  <c r="AP241" i="20"/>
  <c r="AQ241" i="20"/>
  <c r="AR241" i="20"/>
  <c r="AS241" i="20"/>
  <c r="AT241" i="20"/>
  <c r="AU241" i="20"/>
  <c r="AV241" i="20"/>
  <c r="AX241" i="20"/>
  <c r="AY241" i="20"/>
  <c r="BA241" i="20"/>
  <c r="BB241" i="20"/>
  <c r="BC241" i="20"/>
  <c r="BE241" i="20"/>
  <c r="BG241" i="20"/>
  <c r="BH241" i="20"/>
  <c r="B242" i="20"/>
  <c r="C242" i="20"/>
  <c r="D242" i="20"/>
  <c r="E242" i="20"/>
  <c r="F242" i="20"/>
  <c r="G242" i="20"/>
  <c r="H242" i="20"/>
  <c r="I242" i="20"/>
  <c r="J242" i="20"/>
  <c r="K242" i="20"/>
  <c r="N242" i="20"/>
  <c r="AX242" i="20"/>
  <c r="AY242" i="20"/>
  <c r="BA242" i="20"/>
  <c r="BB242" i="20"/>
  <c r="BC242" i="20"/>
  <c r="BE242" i="20"/>
  <c r="BG242" i="20"/>
  <c r="BH242" i="20"/>
  <c r="B243" i="20"/>
  <c r="C243" i="20"/>
  <c r="D243" i="20"/>
  <c r="E243" i="20"/>
  <c r="F243" i="20"/>
  <c r="G243" i="20"/>
  <c r="H243" i="20"/>
  <c r="I243" i="20"/>
  <c r="J243" i="20"/>
  <c r="K243" i="20"/>
  <c r="N243" i="20"/>
  <c r="AK243" i="20"/>
  <c r="AX243" i="20"/>
  <c r="AY243" i="20"/>
  <c r="BA243" i="20"/>
  <c r="BB243" i="20"/>
  <c r="BC243" i="20"/>
  <c r="BE243" i="20"/>
  <c r="BG243" i="20"/>
  <c r="BH243" i="20"/>
  <c r="E246" i="20"/>
  <c r="F246" i="20"/>
  <c r="G246" i="20"/>
  <c r="H246" i="20"/>
  <c r="I246" i="20"/>
  <c r="J246" i="20"/>
  <c r="K246" i="20"/>
  <c r="N246" i="20"/>
  <c r="O246" i="20"/>
  <c r="P246" i="20"/>
  <c r="Q246" i="20"/>
  <c r="R246" i="20"/>
  <c r="S246" i="20"/>
  <c r="T246" i="20"/>
  <c r="U246" i="20"/>
  <c r="V246" i="20"/>
  <c r="W246" i="20"/>
  <c r="X246" i="20"/>
  <c r="Y246" i="20"/>
  <c r="Z246" i="20"/>
  <c r="AA246" i="20"/>
  <c r="AB246" i="20"/>
  <c r="AC246" i="20"/>
  <c r="AD246" i="20"/>
  <c r="AE246" i="20"/>
  <c r="AF246" i="20"/>
  <c r="AG246" i="20"/>
  <c r="AH246" i="20"/>
  <c r="AI246" i="20"/>
  <c r="AJ246" i="20"/>
  <c r="AK246" i="20"/>
  <c r="AL246" i="20"/>
  <c r="AM246" i="20"/>
  <c r="AN246" i="20"/>
  <c r="AO246" i="20"/>
  <c r="AP246" i="20"/>
  <c r="AQ246" i="20"/>
  <c r="AR246" i="20"/>
  <c r="AS246" i="20"/>
  <c r="AT246" i="20"/>
  <c r="AU246" i="20"/>
  <c r="AV246" i="20"/>
  <c r="AX246" i="20"/>
  <c r="AY246" i="20"/>
  <c r="BA246" i="20"/>
  <c r="BB246" i="20"/>
  <c r="BC246" i="20"/>
  <c r="BE246" i="20"/>
  <c r="BG246" i="20"/>
  <c r="BH246" i="20"/>
  <c r="A250" i="20"/>
  <c r="B250" i="20"/>
  <c r="C250" i="20"/>
  <c r="D250" i="20"/>
  <c r="E250" i="20"/>
  <c r="F250" i="20"/>
  <c r="G250" i="20"/>
  <c r="H250" i="20"/>
  <c r="I250" i="20"/>
  <c r="J250" i="20"/>
  <c r="K250" i="20"/>
  <c r="M250" i="20"/>
  <c r="N250" i="20"/>
  <c r="P250" i="20"/>
  <c r="Q250" i="20"/>
  <c r="R250" i="20"/>
  <c r="S250" i="20"/>
  <c r="T250" i="20"/>
  <c r="U250" i="20"/>
  <c r="V250" i="20"/>
  <c r="W250" i="20"/>
  <c r="X250" i="20"/>
  <c r="Y250" i="20"/>
  <c r="Z250" i="20"/>
  <c r="AA250" i="20"/>
  <c r="AB250" i="20"/>
  <c r="AC250" i="20"/>
  <c r="AD250" i="20"/>
  <c r="AE250" i="20"/>
  <c r="AF250" i="20"/>
  <c r="AG250" i="20"/>
  <c r="AH250" i="20"/>
  <c r="AI250" i="20"/>
  <c r="AJ250" i="20"/>
  <c r="AK250" i="20"/>
  <c r="AL250" i="20"/>
  <c r="AM250" i="20"/>
  <c r="AN250" i="20"/>
  <c r="AO250" i="20"/>
  <c r="AP250" i="20"/>
  <c r="AQ250" i="20"/>
  <c r="AR250" i="20"/>
  <c r="AS250" i="20"/>
  <c r="AT250" i="20"/>
  <c r="AU250" i="20"/>
  <c r="AV250" i="20"/>
  <c r="AX250" i="20"/>
  <c r="AY250" i="20"/>
  <c r="BA250" i="20"/>
  <c r="BB250" i="20"/>
  <c r="BC250" i="20"/>
  <c r="BE250" i="20"/>
  <c r="BG250" i="20"/>
  <c r="BH250" i="20"/>
  <c r="BA251" i="20"/>
  <c r="BC251" i="20"/>
  <c r="BE251" i="20"/>
  <c r="BG251" i="20"/>
  <c r="BH251" i="20"/>
  <c r="E252" i="20"/>
  <c r="F252" i="20"/>
  <c r="G252" i="20"/>
  <c r="H252" i="20"/>
  <c r="I252" i="20"/>
  <c r="J252" i="20"/>
  <c r="K252" i="20"/>
  <c r="N252" i="20"/>
  <c r="O252" i="20"/>
  <c r="P252" i="20"/>
  <c r="Q252" i="20"/>
  <c r="R252" i="20"/>
  <c r="S252" i="20"/>
  <c r="T252" i="20"/>
  <c r="U252" i="20"/>
  <c r="V252" i="20"/>
  <c r="W252" i="20"/>
  <c r="X252" i="20"/>
  <c r="Y252" i="20"/>
  <c r="Z252" i="20"/>
  <c r="AA252" i="20"/>
  <c r="AB252" i="20"/>
  <c r="AC252" i="20"/>
  <c r="AD252" i="20"/>
  <c r="AE252" i="20"/>
  <c r="AF252" i="20"/>
  <c r="AG252" i="20"/>
  <c r="AH252" i="20"/>
  <c r="AI252" i="20"/>
  <c r="AJ252" i="20"/>
  <c r="AK252" i="20"/>
  <c r="AL252" i="20"/>
  <c r="AM252" i="20"/>
  <c r="AN252" i="20"/>
  <c r="AO252" i="20"/>
  <c r="AP252" i="20"/>
  <c r="AQ252" i="20"/>
  <c r="AR252" i="20"/>
  <c r="AS252" i="20"/>
  <c r="AT252" i="20"/>
  <c r="AU252" i="20"/>
  <c r="AV252" i="20"/>
  <c r="AX252" i="20"/>
  <c r="AY252" i="20"/>
  <c r="BA252" i="20"/>
  <c r="BB252" i="20"/>
  <c r="BC252" i="20"/>
  <c r="BE252" i="20"/>
  <c r="BG252" i="20"/>
  <c r="BH252" i="20"/>
  <c r="E254" i="20"/>
  <c r="F254" i="20"/>
  <c r="G254" i="20"/>
  <c r="H254" i="20"/>
  <c r="I254" i="20"/>
  <c r="J254" i="20"/>
  <c r="K254" i="20"/>
  <c r="N254" i="20"/>
  <c r="O254" i="20"/>
  <c r="P254" i="20"/>
  <c r="Q254" i="20"/>
  <c r="R254" i="20"/>
  <c r="S254" i="20"/>
  <c r="T254" i="20"/>
  <c r="U254" i="20"/>
  <c r="V254" i="20"/>
  <c r="W254" i="20"/>
  <c r="X254" i="20"/>
  <c r="Y254" i="20"/>
  <c r="Z254" i="20"/>
  <c r="AA254" i="20"/>
  <c r="AB254" i="20"/>
  <c r="AC254" i="20"/>
  <c r="AD254" i="20"/>
  <c r="AE254" i="20"/>
  <c r="AF254" i="20"/>
  <c r="AG254" i="20"/>
  <c r="AH254" i="20"/>
  <c r="AI254" i="20"/>
  <c r="AJ254" i="20"/>
  <c r="AK254" i="20"/>
  <c r="AL254" i="20"/>
  <c r="AM254" i="20"/>
  <c r="AN254" i="20"/>
  <c r="AO254" i="20"/>
  <c r="AP254" i="20"/>
  <c r="AQ254" i="20"/>
  <c r="AR254" i="20"/>
  <c r="AS254" i="20"/>
  <c r="AT254" i="20"/>
  <c r="AU254" i="20"/>
  <c r="AV254" i="20"/>
  <c r="AX254" i="20"/>
  <c r="AY254" i="20"/>
  <c r="BA254" i="20"/>
  <c r="BB254" i="20"/>
  <c r="BC254" i="20"/>
  <c r="BE254" i="20"/>
  <c r="BG254" i="20"/>
  <c r="BH254" i="20"/>
  <c r="E255" i="20"/>
  <c r="F255" i="20"/>
  <c r="G255" i="20"/>
  <c r="H255" i="20"/>
  <c r="I255" i="20"/>
  <c r="J255" i="20"/>
  <c r="N255" i="20"/>
  <c r="O255" i="20"/>
  <c r="P255" i="20"/>
  <c r="Q255" i="20"/>
  <c r="R255" i="20"/>
  <c r="S255" i="20"/>
  <c r="T255" i="20"/>
  <c r="U255" i="20"/>
  <c r="V255" i="20"/>
  <c r="W255" i="20"/>
  <c r="X255" i="20"/>
  <c r="Y255" i="20"/>
  <c r="Z255" i="20"/>
  <c r="AA255" i="20"/>
  <c r="AB255" i="20"/>
  <c r="AC255" i="20"/>
  <c r="AD255" i="20"/>
  <c r="AE255" i="20"/>
  <c r="AF255" i="20"/>
  <c r="AG255" i="20"/>
  <c r="AH255" i="20"/>
  <c r="AI255" i="20"/>
  <c r="AJ255" i="20"/>
  <c r="AK255" i="20"/>
  <c r="AL255" i="20"/>
  <c r="AM255" i="20"/>
  <c r="AN255" i="20"/>
  <c r="AO255" i="20"/>
  <c r="AP255" i="20"/>
  <c r="AQ255" i="20"/>
  <c r="AR255" i="20"/>
  <c r="AS255" i="20"/>
  <c r="AT255" i="20"/>
  <c r="AU255" i="20"/>
  <c r="AV255" i="20"/>
  <c r="K256" i="20"/>
  <c r="BC257" i="20"/>
  <c r="BE257" i="20"/>
  <c r="BE260" i="20"/>
  <c r="N261" i="20"/>
  <c r="O261" i="20"/>
  <c r="P261" i="20"/>
  <c r="Q261" i="20"/>
  <c r="R261" i="20"/>
  <c r="S261" i="20"/>
  <c r="T261" i="20"/>
  <c r="U261" i="20"/>
  <c r="V261" i="20"/>
  <c r="W261" i="20"/>
  <c r="X261" i="20"/>
  <c r="Y261" i="20"/>
  <c r="Z261" i="20"/>
  <c r="AA261" i="20"/>
  <c r="AB261" i="20"/>
  <c r="AC261" i="20"/>
  <c r="AD261" i="20"/>
  <c r="AE261" i="20"/>
  <c r="AF261" i="20"/>
  <c r="AG261" i="20"/>
  <c r="AH261" i="20"/>
  <c r="AI261" i="20"/>
  <c r="AJ261" i="20"/>
  <c r="AK261" i="20"/>
  <c r="AL261" i="20"/>
  <c r="AM261" i="20"/>
  <c r="AN261" i="20"/>
  <c r="AO261" i="20"/>
  <c r="AP261" i="20"/>
  <c r="AQ261" i="20"/>
  <c r="AR261" i="20"/>
  <c r="AS261" i="20"/>
  <c r="AT261" i="20"/>
  <c r="AU261" i="20"/>
  <c r="AV261" i="20"/>
  <c r="AW261" i="20"/>
  <c r="AX261" i="20"/>
  <c r="AY261" i="20"/>
  <c r="Y10" i="14"/>
  <c r="AA10" i="14"/>
  <c r="A12" i="14"/>
  <c r="E12" i="14"/>
  <c r="G12" i="14"/>
  <c r="K12" i="14"/>
  <c r="M12" i="14"/>
  <c r="O12" i="14"/>
  <c r="Q12" i="14"/>
  <c r="U12" i="14"/>
  <c r="Y12" i="14"/>
  <c r="AA12" i="14"/>
  <c r="K16" i="14"/>
  <c r="M16" i="14"/>
  <c r="O16" i="14"/>
  <c r="Q16" i="14"/>
  <c r="S16" i="14"/>
  <c r="U16" i="14"/>
  <c r="W16" i="14"/>
  <c r="Y16" i="14"/>
  <c r="AA16" i="14"/>
  <c r="A18" i="14"/>
</calcChain>
</file>

<file path=xl/comments1.xml><?xml version="1.0" encoding="utf-8"?>
<comments xmlns="http://schemas.openxmlformats.org/spreadsheetml/2006/main">
  <authors>
    <author>sschwar</author>
    <author>aschultz</author>
  </authors>
  <commentList>
    <comment ref="AL36" authorId="0" shapeId="0">
      <text>
        <r>
          <rPr>
            <b/>
            <sz val="8"/>
            <color indexed="81"/>
            <rFont val="Tahoma"/>
          </rPr>
          <t>sschwar:</t>
        </r>
        <r>
          <rPr>
            <sz val="8"/>
            <color indexed="81"/>
            <rFont val="Tahoma"/>
          </rPr>
          <t xml:space="preserve">
Per sommers/lindsey on 10/25, give 2/3 to EGM and 1/3 to Calme, but already have given 55% to EGM, so hold for now.
11/16/2000 - gave 89k more to EGM to get the 1/3 - 2/3 split of the 770
</t>
        </r>
      </text>
    </comment>
    <comment ref="AO96" authorId="0" shapeId="0">
      <text>
        <r>
          <rPr>
            <b/>
            <sz val="8"/>
            <color indexed="81"/>
            <rFont val="Tahoma"/>
          </rPr>
          <t>sschwar:</t>
        </r>
        <r>
          <rPr>
            <sz val="8"/>
            <color indexed="81"/>
            <rFont val="Tahoma"/>
          </rPr>
          <t xml:space="preserve">
Added 10/24/00 
SLS</t>
        </r>
      </text>
    </comment>
    <comment ref="AP96" authorId="0" shapeId="0">
      <text>
        <r>
          <rPr>
            <b/>
            <sz val="8"/>
            <color indexed="81"/>
            <rFont val="Tahoma"/>
          </rPr>
          <t>sschwar:</t>
        </r>
        <r>
          <rPr>
            <sz val="8"/>
            <color indexed="81"/>
            <rFont val="Tahoma"/>
          </rPr>
          <t xml:space="preserve">
Added 10/24/00
SLS</t>
        </r>
      </text>
    </comment>
    <comment ref="AD133" authorId="0" shapeId="0">
      <text>
        <r>
          <rPr>
            <b/>
            <sz val="8"/>
            <color indexed="81"/>
            <rFont val="Tahoma"/>
          </rPr>
          <t>sschwar:</t>
        </r>
        <r>
          <rPr>
            <sz val="8"/>
            <color indexed="81"/>
            <rFont val="Tahoma"/>
          </rPr>
          <t xml:space="preserve">
Per Robert C. Willliams, 20% to EES, 20% to EBS, and 60% to "EI" which was split 1/3 - 2/3 to CALME/EGM</t>
        </r>
      </text>
    </comment>
    <comment ref="B139" authorId="0" shapeId="0">
      <text>
        <r>
          <rPr>
            <b/>
            <sz val="8"/>
            <color indexed="81"/>
            <rFont val="Tahoma"/>
          </rPr>
          <t>sschwar:</t>
        </r>
        <r>
          <rPr>
            <sz val="8"/>
            <color indexed="81"/>
            <rFont val="Tahoma"/>
          </rPr>
          <t xml:space="preserve">
All GSS names changed to SS for MMF</t>
        </r>
      </text>
    </comment>
    <comment ref="AB198" authorId="1" shapeId="0">
      <text>
        <r>
          <rPr>
            <b/>
            <sz val="8"/>
            <color indexed="81"/>
            <rFont val="Tahoma"/>
          </rPr>
          <t>aschultz:</t>
        </r>
        <r>
          <rPr>
            <sz val="8"/>
            <color indexed="81"/>
            <rFont val="Tahoma"/>
          </rPr>
          <t xml:space="preserve">
HC = 120 as of 07/00, HC = 10 due to move to Global Markets per Stephen Wood ( 09/00)</t>
        </r>
      </text>
    </comment>
    <comment ref="AB201" authorId="1" shapeId="0">
      <text>
        <r>
          <rPr>
            <b/>
            <sz val="8"/>
            <color indexed="81"/>
            <rFont val="Tahoma"/>
          </rPr>
          <t>aschultz:</t>
        </r>
        <r>
          <rPr>
            <sz val="8"/>
            <color indexed="81"/>
            <rFont val="Tahoma"/>
          </rPr>
          <t xml:space="preserve">
per Stephen Wood</t>
        </r>
      </text>
    </comment>
  </commentList>
</comments>
</file>

<file path=xl/comments2.xml><?xml version="1.0" encoding="utf-8"?>
<comments xmlns="http://schemas.openxmlformats.org/spreadsheetml/2006/main">
  <authors>
    <author>rdavids</author>
  </authors>
  <commentList>
    <comment ref="C16" authorId="0" shapeId="0">
      <text>
        <r>
          <rPr>
            <b/>
            <sz val="8"/>
            <color indexed="81"/>
            <rFont val="Tahoma"/>
          </rPr>
          <t>rdavids:</t>
        </r>
        <r>
          <rPr>
            <sz val="8"/>
            <color indexed="81"/>
            <rFont val="Tahoma"/>
          </rPr>
          <t xml:space="preserve">
</t>
        </r>
        <r>
          <rPr>
            <sz val="24"/>
            <color indexed="81"/>
            <rFont val="Tahoma"/>
            <family val="2"/>
          </rPr>
          <t xml:space="preserve">
DO NOT USE THIS INFORMATION
</t>
        </r>
      </text>
    </comment>
  </commentList>
</comments>
</file>

<file path=xl/comments3.xml><?xml version="1.0" encoding="utf-8"?>
<comments xmlns="http://schemas.openxmlformats.org/spreadsheetml/2006/main">
  <authors>
    <author>rdavids</author>
    <author>davidson</author>
  </authors>
  <commentList>
    <comment ref="G10" authorId="0" shapeId="0">
      <text>
        <r>
          <rPr>
            <b/>
            <sz val="8"/>
            <color indexed="81"/>
            <rFont val="Tahoma"/>
          </rPr>
          <t>rdavids:</t>
        </r>
        <r>
          <rPr>
            <sz val="8"/>
            <color indexed="81"/>
            <rFont val="Tahoma"/>
          </rPr>
          <t xml:space="preserve">
</t>
        </r>
        <r>
          <rPr>
            <sz val="20"/>
            <color indexed="81"/>
            <rFont val="Tahoma"/>
            <family val="2"/>
          </rPr>
          <t>DO NOT USE THIS INFORMATION</t>
        </r>
      </text>
    </comment>
    <comment ref="W12" authorId="1" shapeId="0">
      <text>
        <r>
          <rPr>
            <b/>
            <sz val="8"/>
            <color indexed="81"/>
            <rFont val="Tahoma"/>
          </rPr>
          <t>davidson:</t>
        </r>
        <r>
          <rPr>
            <sz val="8"/>
            <color indexed="81"/>
            <rFont val="Tahoma"/>
          </rPr>
          <t xml:space="preserve">
</t>
        </r>
        <r>
          <rPr>
            <sz val="10"/>
            <color indexed="81"/>
            <rFont val="Tahoma"/>
            <family val="2"/>
          </rPr>
          <t xml:space="preserve">Cap reached with Corp.
</t>
        </r>
      </text>
    </comment>
  </commentList>
</comments>
</file>

<file path=xl/sharedStrings.xml><?xml version="1.0" encoding="utf-8"?>
<sst xmlns="http://schemas.openxmlformats.org/spreadsheetml/2006/main" count="1080" uniqueCount="558">
  <si>
    <t xml:space="preserve"> </t>
  </si>
  <si>
    <t>1998 Plan</t>
  </si>
  <si>
    <t>Other</t>
  </si>
  <si>
    <t>Corporate Staff and Service Group Analysis</t>
  </si>
  <si>
    <t>Summary</t>
  </si>
  <si>
    <t>In thousands of dollars, except headcount</t>
  </si>
  <si>
    <t>Co.</t>
  </si>
  <si>
    <t xml:space="preserve">RC </t>
  </si>
  <si>
    <t>RC Owner</t>
  </si>
  <si>
    <t>RC #</t>
  </si>
  <si>
    <t>T&amp;E</t>
  </si>
  <si>
    <t>Variance</t>
  </si>
  <si>
    <t>Method</t>
  </si>
  <si>
    <t>EES</t>
  </si>
  <si>
    <t>NNG</t>
  </si>
  <si>
    <t>TW</t>
  </si>
  <si>
    <t>FGT</t>
  </si>
  <si>
    <t>EOTT</t>
  </si>
  <si>
    <t>Total</t>
  </si>
  <si>
    <t>MMF</t>
  </si>
  <si>
    <t>Vice President - Tax</t>
  </si>
  <si>
    <t>Corporate Development</t>
  </si>
  <si>
    <t>MMF - new 98</t>
  </si>
  <si>
    <t>MMF/direct</t>
  </si>
  <si>
    <t>% of Headcount</t>
  </si>
  <si>
    <t>Chief of Staff</t>
  </si>
  <si>
    <t>MLP Services</t>
  </si>
  <si>
    <t>MMF/MLP Direct</t>
  </si>
  <si>
    <t>Vice Chairman</t>
  </si>
  <si>
    <t>President and COO</t>
  </si>
  <si>
    <t>Corporate Legal</t>
  </si>
  <si>
    <t>Direct</t>
  </si>
  <si>
    <t xml:space="preserve">Chairman and CEO </t>
  </si>
  <si>
    <t>Investor Relations</t>
  </si>
  <si>
    <t>Corporate Secretary</t>
  </si>
  <si>
    <t>Sr. VP - Governmental Affairs</t>
  </si>
  <si>
    <t>Corp Retained</t>
  </si>
  <si>
    <t>% of DT Headcount</t>
  </si>
  <si>
    <t>Corporate Memberships</t>
  </si>
  <si>
    <t>% of Total Employees</t>
  </si>
  <si>
    <t>Political Action Committee</t>
  </si>
  <si>
    <t>Executive Consultants</t>
  </si>
  <si>
    <t>Executive Reception</t>
  </si>
  <si>
    <t>Corporate Aircraft Usage</t>
  </si>
  <si>
    <t>Executive Board Meeting Exp</t>
  </si>
  <si>
    <t>1992 Deferral Plan</t>
  </si>
  <si>
    <t>Deferral Plans</t>
  </si>
  <si>
    <t>NQ Stock Plan</t>
  </si>
  <si>
    <t>Executive Perqs</t>
  </si>
  <si>
    <t>Employee Performance Award</t>
  </si>
  <si>
    <t>1994 Deferral Plan</t>
  </si>
  <si>
    <t>Health Center</t>
  </si>
  <si>
    <t>Federal Regulatory Affairs</t>
  </si>
  <si>
    <t>Federal Government Affairs</t>
  </si>
  <si>
    <t>Credit Union</t>
  </si>
  <si>
    <t xml:space="preserve">EE Life, AD&amp;D </t>
  </si>
  <si>
    <t>Long Term Disability</t>
  </si>
  <si>
    <t>ESOP/Savings Plan Admin Fees</t>
  </si>
  <si>
    <t>Cash Balance/SERP</t>
  </si>
  <si>
    <t>Demographics/Headcount</t>
  </si>
  <si>
    <t>Inactive Medical FAS 106</t>
  </si>
  <si>
    <t>Active Medical/Dental</t>
  </si>
  <si>
    <t>Flex Admin/BTA</t>
  </si>
  <si>
    <t>Executive Supplemental/COLI</t>
  </si>
  <si>
    <t>ASO Charges</t>
  </si>
  <si>
    <t>Long Term Incentive</t>
  </si>
  <si>
    <t>Grant Elections</t>
  </si>
  <si>
    <t>Restricted Stock</t>
  </si>
  <si>
    <t>All Employee Stock Option Plan</t>
  </si>
  <si>
    <t>Usage</t>
  </si>
  <si>
    <t>% of Insurance Premiums</t>
  </si>
  <si>
    <t>Legal - Litigations</t>
  </si>
  <si>
    <t>Ad Valorem Tax</t>
  </si>
  <si>
    <t xml:space="preserve">Properties, Tax, </t>
  </si>
  <si>
    <t>State Tax Group</t>
  </si>
  <si>
    <t>Environmental Legal</t>
  </si>
  <si>
    <t>Legal Library</t>
  </si>
  <si>
    <t>% of New Hires, Random</t>
  </si>
  <si>
    <t>Electricity Regulatory Affairs</t>
  </si>
  <si>
    <t>Professional Accounting Fees</t>
  </si>
  <si>
    <t>Management Conference</t>
  </si>
  <si>
    <t>% of Attendees</t>
  </si>
  <si>
    <t>Corporate Retained</t>
  </si>
  <si>
    <t>% DT Attorneys</t>
  </si>
  <si>
    <t>Savings Plan</t>
  </si>
  <si>
    <t>O&amp;M</t>
  </si>
  <si>
    <t>Contract Specific</t>
  </si>
  <si>
    <t>Vacant  Space</t>
  </si>
  <si>
    <t>Corp Ret/MMF First CE</t>
  </si>
  <si>
    <t>MMF / Anticipated Resources</t>
  </si>
  <si>
    <t>Anticipated Resources</t>
  </si>
  <si>
    <t>MMF/Prostaff Usage</t>
  </si>
  <si>
    <t>Matching gifts/Corp Retained</t>
  </si>
  <si>
    <t>MMF (corp only)</t>
  </si>
  <si>
    <t>5% of est. payroll</t>
  </si>
  <si>
    <t>Usage (phone lines, etc.)</t>
  </si>
  <si>
    <t>LAN services, etc.</t>
  </si>
  <si>
    <t>Mainframe usage</t>
  </si>
  <si>
    <t>% of service costs</t>
  </si>
  <si>
    <t>1999 Operating Budgets</t>
  </si>
  <si>
    <t>GRAND TOTAL</t>
  </si>
  <si>
    <t>Citrus</t>
  </si>
  <si>
    <t>Enron Europe</t>
  </si>
  <si>
    <t>011</t>
  </si>
  <si>
    <t>Enron Corp</t>
  </si>
  <si>
    <t>EE&amp;CC</t>
  </si>
  <si>
    <t>GPG Executive</t>
  </si>
  <si>
    <t>Northern Plains</t>
  </si>
  <si>
    <t>Cost</t>
  </si>
  <si>
    <t>RC</t>
  </si>
  <si>
    <t>Gross</t>
  </si>
  <si>
    <t>Charges</t>
  </si>
  <si>
    <t>Retained</t>
  </si>
  <si>
    <t>Net</t>
  </si>
  <si>
    <t>Northern</t>
  </si>
  <si>
    <t>Florida</t>
  </si>
  <si>
    <t>Portland</t>
  </si>
  <si>
    <t>Oil &amp;</t>
  </si>
  <si>
    <t>Description</t>
  </si>
  <si>
    <t>Number</t>
  </si>
  <si>
    <t>Expenses</t>
  </si>
  <si>
    <t>In/(Out)</t>
  </si>
  <si>
    <t>Natural</t>
  </si>
  <si>
    <t>Transwestern</t>
  </si>
  <si>
    <t>Gas</t>
  </si>
  <si>
    <t>General</t>
  </si>
  <si>
    <t>Distribution</t>
  </si>
  <si>
    <t>MMF % Per Operating Company</t>
  </si>
  <si>
    <t xml:space="preserve">1999 PLAN </t>
  </si>
  <si>
    <t>Buy, Rick</t>
  </si>
  <si>
    <t>RAC Underwriting</t>
  </si>
  <si>
    <t>Shapiro, Rick</t>
  </si>
  <si>
    <t>Butts, Bob</t>
  </si>
  <si>
    <t>Derrick, Jim</t>
  </si>
  <si>
    <t>Gonzales, Paul</t>
  </si>
  <si>
    <t>Olson, Cindy</t>
  </si>
  <si>
    <t>Joyce, Mary</t>
  </si>
  <si>
    <t>Lay, Ken</t>
  </si>
  <si>
    <t xml:space="preserve">Urquhart, Jack </t>
  </si>
  <si>
    <t xml:space="preserve">Causey, Rick </t>
  </si>
  <si>
    <t xml:space="preserve">Skilling,Jeff </t>
  </si>
  <si>
    <t>Koeing, Mark</t>
  </si>
  <si>
    <t>Herman, Bob</t>
  </si>
  <si>
    <t xml:space="preserve">Amabile, Dick </t>
  </si>
  <si>
    <t>Thorn, Terry</t>
  </si>
  <si>
    <t>Kean, Steve</t>
  </si>
  <si>
    <t xml:space="preserve">Hillings, Joe </t>
  </si>
  <si>
    <t xml:space="preserve">Hartsoe, Joe </t>
  </si>
  <si>
    <t>Rice, Greek</t>
  </si>
  <si>
    <t>Russo, Gavin</t>
  </si>
  <si>
    <t>Cheek, Chuck</t>
  </si>
  <si>
    <t>Corp Accounting, Planning, &amp; Reporting</t>
  </si>
  <si>
    <t>Davis, Hardie</t>
  </si>
  <si>
    <t>CLOSED 1999</t>
  </si>
  <si>
    <t>Becker, Melissa</t>
  </si>
  <si>
    <t>Akhave, Billie</t>
  </si>
  <si>
    <t>Supply</t>
  </si>
  <si>
    <t>International Benefits</t>
  </si>
  <si>
    <t>ECM</t>
  </si>
  <si>
    <t>RAC Risk Management Control</t>
  </si>
  <si>
    <t>Labor Relations Risk Management</t>
  </si>
  <si>
    <t>United Way Campaign</t>
  </si>
  <si>
    <t>Petteway, Gwen</t>
  </si>
  <si>
    <t>ENRON CAPITAL MANAGEMENT</t>
  </si>
  <si>
    <t>at ECM</t>
  </si>
  <si>
    <t>Kokas, Kathy</t>
  </si>
  <si>
    <t>Houston Children's Chorus</t>
  </si>
  <si>
    <t>Best Buddies</t>
  </si>
  <si>
    <t>Transactions</t>
  </si>
  <si>
    <r>
      <t xml:space="preserve">Plains </t>
    </r>
    <r>
      <rPr>
        <vertAlign val="superscript"/>
        <sz val="10"/>
        <color indexed="12"/>
        <rFont val="Tms Rmn"/>
      </rPr>
      <t>1</t>
    </r>
  </si>
  <si>
    <t>1.  For Partnership/Joint Venture, Enron does not provide any services.</t>
  </si>
  <si>
    <t>Matching gifts</t>
  </si>
  <si>
    <t>Whole Dollars</t>
  </si>
  <si>
    <t>Global Products</t>
  </si>
  <si>
    <r>
      <t xml:space="preserve">Gas </t>
    </r>
    <r>
      <rPr>
        <vertAlign val="superscript"/>
        <sz val="10"/>
        <color indexed="8"/>
        <rFont val="Tms Rmn"/>
      </rPr>
      <t>2</t>
    </r>
    <r>
      <rPr>
        <sz val="10"/>
        <color indexed="8"/>
        <rFont val="Tms Rmn"/>
      </rPr>
      <t xml:space="preserve"> </t>
    </r>
  </si>
  <si>
    <t>2.  EOG cap reached in Corporate allocations.</t>
  </si>
  <si>
    <t>Drug/Alcohol Testing</t>
  </si>
  <si>
    <t>RAC - Due Diligence/Asset Management</t>
  </si>
  <si>
    <t>RAC - Global Credit Group</t>
  </si>
  <si>
    <t>RAC - Risk Analytics</t>
  </si>
  <si>
    <t>Anticipated Resources/Company Numbers</t>
  </si>
  <si>
    <t>State tax returns, anticipated resources</t>
  </si>
  <si>
    <t>Retained At Corp</t>
  </si>
  <si>
    <t>Gov't Affairs - Mexico</t>
  </si>
  <si>
    <t>AZURIX</t>
  </si>
  <si>
    <t>Fuji Lease</t>
  </si>
  <si>
    <t>1999 Plan</t>
  </si>
  <si>
    <t>1998 Estimate</t>
  </si>
  <si>
    <t>Allocated</t>
  </si>
  <si>
    <t>Executive</t>
  </si>
  <si>
    <t>Enron Around the World</t>
  </si>
  <si>
    <t>Public Affairs</t>
  </si>
  <si>
    <t>Diversity</t>
  </si>
  <si>
    <t>Organization Effectiveness</t>
  </si>
  <si>
    <t>Government Affairs</t>
  </si>
  <si>
    <t>Risk Assessment &amp; Controls</t>
  </si>
  <si>
    <t>Chief Accounting &amp; Information Officer</t>
  </si>
  <si>
    <t xml:space="preserve">AVIATION </t>
  </si>
  <si>
    <t>Sr VP (Hirko)</t>
  </si>
  <si>
    <t>EOG Cap</t>
  </si>
  <si>
    <t>EOG Subsidy</t>
  </si>
  <si>
    <t>TOTAL EXECUTIVE</t>
  </si>
  <si>
    <t>TOTAL PUBLIC/CORP AFFAIRS &amp; DIVERSITY</t>
  </si>
  <si>
    <t>TOTAL GOVERNMENT AFFAIRS</t>
  </si>
  <si>
    <t>TOTAL LEGAL</t>
  </si>
  <si>
    <t>TOTAL RISK ASSESSMENT &amp; CONTROLS</t>
  </si>
  <si>
    <t>TOTAL CAIO</t>
  </si>
  <si>
    <t>TOTAL OTHER</t>
  </si>
  <si>
    <t>Forms Management</t>
  </si>
  <si>
    <t>Artistic Services</t>
  </si>
  <si>
    <t>EES - Dublin Regulatory</t>
  </si>
  <si>
    <t>EGS - Denver Office</t>
  </si>
  <si>
    <t>Enron Communications</t>
  </si>
  <si>
    <t xml:space="preserve">     TOTAL  EPSC</t>
  </si>
  <si>
    <t xml:space="preserve">     TOTAL AVIATION</t>
  </si>
  <si>
    <t>SAP costs related to Project Apollo</t>
  </si>
  <si>
    <t>Non-Corp</t>
  </si>
  <si>
    <t>Corp</t>
  </si>
  <si>
    <t>EMI Billing R/C  (ECM)</t>
  </si>
  <si>
    <t>Review Adjustment</t>
  </si>
  <si>
    <t>EPSC  R/Cs</t>
  </si>
  <si>
    <t>Allocation to Corp R/C 2001 - Reversal</t>
  </si>
  <si>
    <t>Summary - Corporate Responsibility Groups</t>
  </si>
  <si>
    <t xml:space="preserve">     TOTAL PUBLIC/CORP AFFAIRS</t>
  </si>
  <si>
    <t xml:space="preserve">     TOTAL DIVERSITY</t>
  </si>
  <si>
    <t>BLUE = needs research</t>
  </si>
  <si>
    <t>RED = totals</t>
  </si>
  <si>
    <t xml:space="preserve">       ECM charges  Included in R/C 1400</t>
  </si>
  <si>
    <t>GRAND TOTAL G&amp;A</t>
  </si>
  <si>
    <t>checking total  should = 0</t>
  </si>
  <si>
    <t>Non-Corp = excludes Companies 001, 011, 34V, 359, 409, 426, 901</t>
  </si>
  <si>
    <t>ESOP Billings Reversal</t>
  </si>
  <si>
    <t>Allocation to Corp R/Cs  - Reversal</t>
  </si>
  <si>
    <t>Historical data, groups supported</t>
  </si>
  <si>
    <t xml:space="preserve">Properties, Tax,  &amp; MMF </t>
  </si>
  <si>
    <t>Contract Specific &amp; MMF</t>
  </si>
  <si>
    <t>American Indian Affairs - Gov't Affairs</t>
  </si>
  <si>
    <t>State Govt Affairs - TX,OK,AR,LA</t>
  </si>
  <si>
    <t>State Govt Affairs - Canada</t>
  </si>
  <si>
    <t>Tax - Analyst/Intern Recruiting</t>
  </si>
  <si>
    <t xml:space="preserve">     This Line Should Be Zero</t>
  </si>
  <si>
    <t>Check Totals - This Page To Corp MMF Calc Page</t>
  </si>
  <si>
    <t>Retained At EMI</t>
  </si>
  <si>
    <t>Retained at Corp</t>
  </si>
  <si>
    <t>Resources &amp; Assignment</t>
  </si>
  <si>
    <t>Based on Sys depreciation before lease - BU</t>
  </si>
  <si>
    <t>Lindsey, Mark</t>
  </si>
  <si>
    <t>Hu, Sylvia</t>
  </si>
  <si>
    <t>Coats, Ed</t>
  </si>
  <si>
    <t>Starbucks Construction</t>
  </si>
  <si>
    <t>Office Service</t>
  </si>
  <si>
    <t>Admin - Expense Other</t>
  </si>
  <si>
    <t>Allocation to Corp R/Cs  - Reversal DC 845</t>
  </si>
  <si>
    <t>CORP MMF CALC - NET CORP NOT MMF AVAILABLE</t>
  </si>
  <si>
    <t>TOTAL MMF ALLOCATIONS  NON-CORP</t>
  </si>
  <si>
    <t>TOTAL AVAILABLE MMF ALLOCATIONS</t>
  </si>
  <si>
    <t xml:space="preserve">      TOTAL MMF RETAINED CORP EXPENSES</t>
  </si>
  <si>
    <t>CHECK 1</t>
  </si>
  <si>
    <t>CHECK 2</t>
  </si>
  <si>
    <t>TOTAL RETAINED AT CORP</t>
  </si>
  <si>
    <t>LESS INTERNAL DUPLICATED COUNTED BILLINGS</t>
  </si>
  <si>
    <t>Palmer, Mark</t>
  </si>
  <si>
    <t>MMF Charges of ECM &amp; Other Expenses -Revised with 1998 Actual Percentages</t>
  </si>
  <si>
    <t>Original Plan Allocation</t>
  </si>
  <si>
    <t xml:space="preserve">    Net Change</t>
  </si>
  <si>
    <t>SAP CC #</t>
  </si>
  <si>
    <t>Community Relations Programs</t>
  </si>
  <si>
    <t>Vision &amp; Values Task Force</t>
  </si>
  <si>
    <t>CC Owner</t>
  </si>
  <si>
    <t>CO.</t>
  </si>
  <si>
    <t>COST CENTER NAME/DESCRIPTION</t>
  </si>
  <si>
    <t>Assessment/Allocation Method</t>
  </si>
  <si>
    <t>0011</t>
  </si>
  <si>
    <t>Sales &amp; Use Tax</t>
  </si>
  <si>
    <t>Vice- Chairman  (Sutton)</t>
  </si>
  <si>
    <t>Work Life</t>
  </si>
  <si>
    <t>A&amp;A Recruits Expenses</t>
  </si>
  <si>
    <t>A&amp;A Recruiting</t>
  </si>
  <si>
    <t>A&amp;A Operations</t>
  </si>
  <si>
    <t>Community Relations</t>
  </si>
  <si>
    <t>Global E&amp;P</t>
  </si>
  <si>
    <t>Community Relations - Employee Events</t>
  </si>
  <si>
    <t>Gen Business</t>
  </si>
  <si>
    <t>EIS   EPSC</t>
  </si>
  <si>
    <t>Sal, PR, Ben, Tax</t>
  </si>
  <si>
    <t>Matching Gifts</t>
  </si>
  <si>
    <t>Body Shop / Wellness</t>
  </si>
  <si>
    <t>Employee Recreation</t>
  </si>
  <si>
    <t>O'Dell, David</t>
  </si>
  <si>
    <t>Sutton, Joe</t>
  </si>
  <si>
    <t>Accounts Payable - Executive</t>
  </si>
  <si>
    <t>Dallman, Larry</t>
  </si>
  <si>
    <t>Prorata to MSA/SAP &amp; SUN support CC's</t>
  </si>
  <si>
    <t>Van, Henry</t>
  </si>
  <si>
    <t>Asset Ops - EHS</t>
  </si>
  <si>
    <t>Direct Usage</t>
  </si>
  <si>
    <t>Conventions/Inauguration</t>
  </si>
  <si>
    <t>Retained  At Corp</t>
  </si>
  <si>
    <t>State Govt Affairs - California/West</t>
  </si>
  <si>
    <t>State Govt Affairs - Mid Atl/NY/NE</t>
  </si>
  <si>
    <t>State Govt Affairs - Midwest/Great Lakes</t>
  </si>
  <si>
    <t>State Gov't / Fed Reg Env / Implementaion</t>
  </si>
  <si>
    <t>Environment</t>
  </si>
  <si>
    <t>Environment Policy &amp; Compliance</t>
  </si>
  <si>
    <t>International Government Affairs</t>
  </si>
  <si>
    <t>International Regulatory Affairs</t>
  </si>
  <si>
    <t>International Project Finance</t>
  </si>
  <si>
    <t>Kimberly, Kelly</t>
  </si>
  <si>
    <t>Public Relations - Advertising</t>
  </si>
  <si>
    <t>Public Relations - Astros</t>
  </si>
  <si>
    <t>Public Relations - Annual Report</t>
  </si>
  <si>
    <t>Sr. VP - Chief Accounting Officer</t>
  </si>
  <si>
    <t>HR &amp; Community Relations - Executive</t>
  </si>
  <si>
    <t>TOTAL  EPSC  CO 0901 CHARGES</t>
  </si>
  <si>
    <t xml:space="preserve">     EPSC CHARGES   (CO 0901)</t>
  </si>
  <si>
    <t>Awards grants</t>
  </si>
  <si>
    <t>EARN Risk Management</t>
  </si>
  <si>
    <t>CALME</t>
  </si>
  <si>
    <t>India</t>
  </si>
  <si>
    <t>Headcount Used for Allocations</t>
  </si>
  <si>
    <t>Downtown</t>
  </si>
  <si>
    <t xml:space="preserve">US </t>
  </si>
  <si>
    <t>US &amp; Expat</t>
  </si>
  <si>
    <t>Headcount Percentages</t>
  </si>
  <si>
    <t xml:space="preserve">Benefits &amp; Compensation </t>
  </si>
  <si>
    <t>Subtotal</t>
  </si>
  <si>
    <t>HR Support Services</t>
  </si>
  <si>
    <t>H.R.I.S.</t>
  </si>
  <si>
    <t>% of International Headcount</t>
  </si>
  <si>
    <t>Included in benefits rate</t>
  </si>
  <si>
    <t>Allocated based on Analyst &amp; Assoc used</t>
  </si>
  <si>
    <t>MD Recruiting &amp; Resource Mgmt</t>
  </si>
  <si>
    <t>Jackson, Charlene</t>
  </si>
  <si>
    <t xml:space="preserve">Wind Down - Omaha </t>
  </si>
  <si>
    <t>Anticipated Resources/MMF</t>
  </si>
  <si>
    <t>Staffing</t>
  </si>
  <si>
    <t>Agreed by Executive Com</t>
  </si>
  <si>
    <t>EXECUTIVE</t>
  </si>
  <si>
    <t>LEGAL</t>
  </si>
  <si>
    <t>ACCOUNTING</t>
  </si>
  <si>
    <t>RISK ASSESSMENT &amp; CONTROLS</t>
  </si>
  <si>
    <t>INVESTOR RELATIONS</t>
  </si>
  <si>
    <t>GOVERNMENT AFFAIRS</t>
  </si>
  <si>
    <t>PUBLIC AFFAIRS</t>
  </si>
  <si>
    <t>HUMAN RESOURCES</t>
  </si>
  <si>
    <t>OTHER</t>
  </si>
  <si>
    <t>ASSET OPERATIONS</t>
  </si>
  <si>
    <t>RISK MANAGEMENT</t>
  </si>
  <si>
    <t>CORPORATE DEVELOPMENT</t>
  </si>
  <si>
    <t>BENEFIT PLANS</t>
  </si>
  <si>
    <t>GPG</t>
  </si>
  <si>
    <t>INCLUDED IN BENEFIT RATE</t>
  </si>
  <si>
    <t>EPSCO</t>
  </si>
  <si>
    <t>Intl PR, Marketing, &amp; Communications</t>
  </si>
  <si>
    <t>Public Relations - Employee Comm.</t>
  </si>
  <si>
    <t>If you have any questions regarding this charge, please direct them to Bradley Stewart.</t>
  </si>
  <si>
    <t>Alloc. Subtotal</t>
  </si>
  <si>
    <t>Grand Total</t>
  </si>
  <si>
    <t>Check Totals</t>
  </si>
  <si>
    <t>061M</t>
  </si>
  <si>
    <t>061N</t>
  </si>
  <si>
    <t>061P</t>
  </si>
  <si>
    <t>067S</t>
  </si>
  <si>
    <t>2001 Proposed Plan O&amp;M Expense</t>
  </si>
  <si>
    <t>2001 Operating Budgets</t>
  </si>
  <si>
    <t>2001 Proposed Budget O&amp;M Expense</t>
  </si>
  <si>
    <t>2001 Budget</t>
  </si>
  <si>
    <t>0060</t>
  </si>
  <si>
    <t>0062</t>
  </si>
  <si>
    <t>0172</t>
  </si>
  <si>
    <t>0179</t>
  </si>
  <si>
    <t>0082</t>
  </si>
  <si>
    <t>0085</t>
  </si>
  <si>
    <t>0105</t>
  </si>
  <si>
    <t>0366</t>
  </si>
  <si>
    <t>0413</t>
  </si>
  <si>
    <t>0436</t>
  </si>
  <si>
    <t>0460</t>
  </si>
  <si>
    <t>0912</t>
  </si>
  <si>
    <t>0969</t>
  </si>
  <si>
    <t>0985</t>
  </si>
  <si>
    <t>017H</t>
  </si>
  <si>
    <t>01F8</t>
  </si>
  <si>
    <t>040Y</t>
  </si>
  <si>
    <t>063Q</t>
  </si>
  <si>
    <t>0419</t>
  </si>
  <si>
    <t>ENA</t>
  </si>
  <si>
    <t>Financial Initiatives</t>
  </si>
  <si>
    <t>Clean Fuels</t>
  </si>
  <si>
    <t>Global Finance</t>
  </si>
  <si>
    <t>EBS</t>
  </si>
  <si>
    <t>Renewable Energy</t>
  </si>
  <si>
    <t>APACHE</t>
  </si>
  <si>
    <t>South America</t>
  </si>
  <si>
    <t>Chris Schlaudraff</t>
  </si>
  <si>
    <t>WorkLife Programs</t>
  </si>
  <si>
    <t>Corp-HR Benefits</t>
  </si>
  <si>
    <t>Corporate Insurance Premiums</t>
  </si>
  <si>
    <t>Government Programs</t>
  </si>
  <si>
    <t>Employee Relations</t>
  </si>
  <si>
    <t>Employment Law Training</t>
  </si>
  <si>
    <t>Workforce Diversity</t>
  </si>
  <si>
    <t>Human Resources Support Services</t>
  </si>
  <si>
    <t>HR-PRC</t>
  </si>
  <si>
    <t>HR Projects</t>
  </si>
  <si>
    <t>HR Data Mart</t>
  </si>
  <si>
    <t>ODT/Transition Mgt</t>
  </si>
  <si>
    <t>Govt Aff Water</t>
  </si>
  <si>
    <t>Generalist</t>
  </si>
  <si>
    <t>Sports Marketing</t>
  </si>
  <si>
    <t>University Relations</t>
  </si>
  <si>
    <t>Brand</t>
  </si>
  <si>
    <t>Experience Enron</t>
  </si>
  <si>
    <t>Oral History</t>
  </si>
  <si>
    <t>Reg Risk/Comp Analysis</t>
  </si>
  <si>
    <t>Feener, Lisa</t>
  </si>
  <si>
    <t>Roberts, Celeste</t>
  </si>
  <si>
    <t>Annual Incentive</t>
  </si>
  <si>
    <t>Global Compensation</t>
  </si>
  <si>
    <t>Projects - Personic Development and Enhome</t>
  </si>
  <si>
    <t>Personic Operations</t>
  </si>
  <si>
    <t>Lowry/Carson - Domestic Compliance</t>
  </si>
  <si>
    <t>Lowry/Carson - International Compliance</t>
  </si>
  <si>
    <t>Rodney Faldyn</t>
  </si>
  <si>
    <t>Jones, Robert</t>
  </si>
  <si>
    <t>Tosoni, S</t>
  </si>
  <si>
    <t>Baxter, C</t>
  </si>
  <si>
    <t>Menchaca, P</t>
  </si>
  <si>
    <t>Daniels, D</t>
  </si>
  <si>
    <t>Brown, Jeff</t>
  </si>
  <si>
    <t>Hillings, Joe</t>
  </si>
  <si>
    <t>Moore, Jerry</t>
  </si>
  <si>
    <t>Davis, Sarah</t>
  </si>
  <si>
    <t>Bouillion, Jim</t>
  </si>
  <si>
    <t>Gibson, Gerry</t>
  </si>
  <si>
    <t>Lowry, Donna</t>
  </si>
  <si>
    <t>Wasaff, George</t>
  </si>
  <si>
    <t>Rizzi, K</t>
  </si>
  <si>
    <t>Knudsen, S</t>
  </si>
  <si>
    <t>Schaffer, B</t>
  </si>
  <si>
    <t>Reeves, K</t>
  </si>
  <si>
    <t>Yowman, A</t>
  </si>
  <si>
    <t>Cortiselli, G</t>
  </si>
  <si>
    <t>Brown, S</t>
  </si>
  <si>
    <t>Baust, Michael</t>
  </si>
  <si>
    <t>Bellinghausen, Susan</t>
  </si>
  <si>
    <t>Sentiff, Gary</t>
  </si>
  <si>
    <t>Schmidt, Mark</t>
  </si>
  <si>
    <t>Bosien, Terry</t>
  </si>
  <si>
    <t>Roman deMeza, MaryAnn</t>
  </si>
  <si>
    <t>International Tax</t>
  </si>
  <si>
    <t>Cullen, Duke</t>
  </si>
  <si>
    <t>EECC Tax</t>
  </si>
  <si>
    <t>Garcia, Rey</t>
  </si>
  <si>
    <t>Sparger, Bob, Coleman, Brad</t>
  </si>
  <si>
    <t>Rerained at Corp</t>
  </si>
  <si>
    <t>Estimated Payments/MMF (Corp Only)</t>
  </si>
  <si>
    <t>Chief Environmental Officer</t>
  </si>
  <si>
    <t>Regulatory Technical Analysis Group</t>
  </si>
  <si>
    <t>Terraso, M</t>
  </si>
  <si>
    <t>Corporate Social/Environmental Responsibility</t>
  </si>
  <si>
    <t>Aniticipated Resources</t>
  </si>
  <si>
    <t>Meg Wysatta</t>
  </si>
  <si>
    <t>Networks</t>
  </si>
  <si>
    <t>PGE</t>
  </si>
  <si>
    <t>Global Markets</t>
  </si>
  <si>
    <t>016R</t>
  </si>
  <si>
    <t>International Litigation</t>
  </si>
  <si>
    <t>Historical Usage</t>
  </si>
  <si>
    <t>083E</t>
  </si>
  <si>
    <t>In thousands of dollars</t>
  </si>
  <si>
    <t>1105</t>
  </si>
  <si>
    <t>Corp Global Finance Charges</t>
  </si>
  <si>
    <t>Corp GPG Charges</t>
  </si>
  <si>
    <t>MMF &amp; Retained at Corp</t>
  </si>
  <si>
    <t>Barrow, Cynthia</t>
  </si>
  <si>
    <t>Kimberely, Kelly</t>
  </si>
  <si>
    <t>Johansen, Bob</t>
  </si>
  <si>
    <t>EOG</t>
  </si>
  <si>
    <t>0119</t>
  </si>
  <si>
    <t>EPSC</t>
  </si>
  <si>
    <t>The New Power Co</t>
  </si>
  <si>
    <t>a Business Unit at the rate of $10,400 for an associate and $6,400 for an analyst per month.</t>
  </si>
  <si>
    <t>Resource Management</t>
  </si>
  <si>
    <t>OLER</t>
  </si>
  <si>
    <t>Hope, V.</t>
  </si>
  <si>
    <t>Corporate Structuring</t>
  </si>
  <si>
    <t>Boehm, Rick</t>
  </si>
  <si>
    <t>Higgason, Kelly</t>
  </si>
  <si>
    <t>% of Time Spent</t>
  </si>
  <si>
    <t>^ NOTE - Cost center 100135 is only CC with allocation method of Headcount using formula and Headcount information shown above for distributions.  All other CC with Headcount allocation method specified distributions in Budget workbook.</t>
  </si>
  <si>
    <t>* NOTE - Analyst &amp; Associates program will billed based on number of analyst or associated used by</t>
  </si>
  <si>
    <t>EMI</t>
  </si>
  <si>
    <t>0901</t>
  </si>
  <si>
    <t>0001</t>
  </si>
  <si>
    <t>% of Global Headcount</t>
  </si>
  <si>
    <t>Projected domestic new hires</t>
  </si>
  <si>
    <t>% of Domestic Headcount</t>
  </si>
  <si>
    <t>% of Downtown Headcount</t>
  </si>
  <si>
    <t>Southern Cone Risk Mgmt</t>
  </si>
  <si>
    <t>Cousino, L</t>
  </si>
  <si>
    <t>Global Risk Mgmt</t>
  </si>
  <si>
    <t>Global MD/VP/Exec Committee/OTC Headcount</t>
  </si>
  <si>
    <t xml:space="preserve">A&amp;A Costs </t>
  </si>
  <si>
    <t>check</t>
  </si>
  <si>
    <t>Apollo Amortization</t>
  </si>
  <si>
    <t>Per Agreement with BU</t>
  </si>
  <si>
    <t>ClickAtHome Program</t>
  </si>
  <si>
    <t>100% To ESA</t>
  </si>
  <si>
    <t>Metts, M</t>
  </si>
  <si>
    <t>EVP &amp; Chief Strategy Officer</t>
  </si>
  <si>
    <t>HR Process Improvement</t>
  </si>
  <si>
    <t>FAR</t>
  </si>
  <si>
    <t>Marketing Services</t>
  </si>
  <si>
    <t>0974</t>
  </si>
  <si>
    <t>NEPCO</t>
  </si>
  <si>
    <t>IndustrialMarkets</t>
  </si>
  <si>
    <t>Business Risk Management and IT Compliance</t>
  </si>
  <si>
    <t>Lindholm, Tod</t>
  </si>
  <si>
    <t>ISC-SAP PS/SP  Resources</t>
  </si>
  <si>
    <t>ISC-SAP Generalist Hub</t>
  </si>
  <si>
    <t>ISC-SAP Internal Support Resources</t>
  </si>
  <si>
    <t>ISC-Technical Hub</t>
  </si>
  <si>
    <t>ISC-SAP Hub/Service Line Mgt Resources</t>
  </si>
  <si>
    <t>ISC-Maximize Service Leader</t>
  </si>
  <si>
    <t>ISC-Release Service</t>
  </si>
  <si>
    <t>ISC-SAP HR Resources HUB</t>
  </si>
  <si>
    <t>ISC-Financial HUB</t>
  </si>
  <si>
    <t>ISC-SAP Organization Leader</t>
  </si>
  <si>
    <t>0584</t>
  </si>
  <si>
    <t>HPL Ops</t>
  </si>
  <si>
    <t>Estimated on 2000 Matching</t>
  </si>
  <si>
    <t>Portfolio Management (Political Risk Insurance)</t>
  </si>
  <si>
    <t>Shedd, Cliff</t>
  </si>
  <si>
    <t>Corp Strategic Initiatives</t>
  </si>
  <si>
    <t>CORP - IT Compliance</t>
  </si>
  <si>
    <t>Parsons, A</t>
  </si>
  <si>
    <t>PR - Internet Marketing / Strategic Marketing and Brand Management</t>
  </si>
  <si>
    <t>Wasaff, G</t>
  </si>
  <si>
    <t>ANALYSTS AND ASSOCIATES</t>
  </si>
  <si>
    <t>Corporate Contributions</t>
  </si>
  <si>
    <t>HR-Corporate Analysis and Reporting</t>
  </si>
  <si>
    <t>HR Communications</t>
  </si>
  <si>
    <t>% Domestic Headcount</t>
  </si>
  <si>
    <t>Executive Programs</t>
  </si>
  <si>
    <t>70% Domestic, 30% MD/VP count</t>
  </si>
  <si>
    <t>ISC-Training/Change Mgmt</t>
  </si>
  <si>
    <t>ISC-Reporting Services</t>
  </si>
  <si>
    <t>Corp Communications</t>
  </si>
  <si>
    <t>Strategic Sourcing - Executive Offices</t>
  </si>
  <si>
    <t>Strategic Sourcing - Sales and Marketing</t>
  </si>
  <si>
    <t>Strategic Sourcing - Operations</t>
  </si>
  <si>
    <t>Strategic Sourcing - Platforms &amp; Processes</t>
  </si>
  <si>
    <t>Strategic Sourcing - Contract Administration</t>
  </si>
  <si>
    <t>COMMUNITY RELATIONS</t>
  </si>
  <si>
    <t>Strategic Sourcing-Metrics and Financial Structuring</t>
  </si>
  <si>
    <t>Strategic Sourcing-Min.&amp; Women Bus Develop</t>
  </si>
  <si>
    <t>FIFTH DISTRIBUTION-FINAL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</si>
</sst>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1" formatCode="_(* #,##0_);_(* \(#,##0\);_(* &quot;-&quot;_);_(@_)"/>
    <numFmt numFmtId="43" formatCode="_(* #,##0.00_);_(* \(#,##0.00\);_(* &quot;-&quot;??_);_(@_)"/>
    <numFmt numFmtId="164" formatCode="000"/>
    <numFmt numFmtId="165" formatCode="0000"/>
    <numFmt numFmtId="166" formatCode="dd\-mmm\-yy_)"/>
    <numFmt numFmtId="171" formatCode="_(* #,##0_);_(* \(#,##0\);_(* &quot;-&quot;??_);_(@_)"/>
    <numFmt numFmtId="186" formatCode="hh:mm\ AM/PM_)"/>
    <numFmt numFmtId="189" formatCode="mm/dd/yy"/>
  </numFmts>
  <fonts count="39" x14ac:knownFonts="1">
    <font>
      <sz val="10"/>
      <name val="Arial"/>
    </font>
    <font>
      <sz val="10"/>
      <name val="Arial"/>
    </font>
    <font>
      <sz val="8"/>
      <color indexed="8"/>
      <name val="Arial"/>
      <family val="2"/>
    </font>
    <font>
      <sz val="10"/>
      <color indexed="8"/>
      <name val="Arial"/>
      <family val="2"/>
    </font>
    <font>
      <b/>
      <sz val="10"/>
      <color indexed="8"/>
      <name val="Arial"/>
      <family val="2"/>
    </font>
    <font>
      <b/>
      <sz val="12"/>
      <color indexed="8"/>
      <name val="Arial"/>
      <family val="2"/>
    </font>
    <font>
      <b/>
      <sz val="8"/>
      <color indexed="8"/>
      <name val="Arial"/>
      <family val="2"/>
    </font>
    <font>
      <b/>
      <i/>
      <sz val="12"/>
      <color indexed="10"/>
      <name val="Arial"/>
      <family val="2"/>
    </font>
    <font>
      <b/>
      <sz val="20"/>
      <color indexed="8"/>
      <name val="Tms Rmn"/>
    </font>
    <font>
      <sz val="10"/>
      <color indexed="8"/>
      <name val="Tms Rmn"/>
    </font>
    <font>
      <i/>
      <sz val="10"/>
      <color indexed="8"/>
      <name val="Tms Rmn"/>
    </font>
    <font>
      <sz val="10"/>
      <color indexed="8"/>
      <name val="Arial"/>
    </font>
    <font>
      <b/>
      <sz val="12"/>
      <color indexed="8"/>
      <name val="Tms Rmn"/>
    </font>
    <font>
      <sz val="20"/>
      <color indexed="8"/>
      <name val="Tms Rmn"/>
    </font>
    <font>
      <b/>
      <sz val="18"/>
      <color indexed="8"/>
      <name val="Tms Rmn"/>
    </font>
    <font>
      <b/>
      <sz val="10"/>
      <color indexed="8"/>
      <name val="Tms Rmn"/>
    </font>
    <font>
      <sz val="8"/>
      <color indexed="8"/>
      <name val="Tms Rmn"/>
    </font>
    <font>
      <b/>
      <sz val="8"/>
      <color indexed="10"/>
      <name val="Arial"/>
      <family val="2"/>
    </font>
    <font>
      <sz val="8"/>
      <color indexed="10"/>
      <name val="Arial"/>
      <family val="2"/>
    </font>
    <font>
      <b/>
      <sz val="10"/>
      <color indexed="10"/>
      <name val="Arial"/>
      <family val="2"/>
    </font>
    <font>
      <b/>
      <sz val="10"/>
      <color indexed="12"/>
      <name val="Tms Rmn"/>
    </font>
    <font>
      <vertAlign val="superscript"/>
      <sz val="10"/>
      <color indexed="12"/>
      <name val="Tms Rmn"/>
    </font>
    <font>
      <sz val="8"/>
      <color indexed="81"/>
      <name val="Tahoma"/>
    </font>
    <font>
      <b/>
      <sz val="8"/>
      <color indexed="81"/>
      <name val="Tahoma"/>
    </font>
    <font>
      <sz val="10"/>
      <color indexed="81"/>
      <name val="Tahoma"/>
      <family val="2"/>
    </font>
    <font>
      <vertAlign val="superscript"/>
      <sz val="10"/>
      <color indexed="8"/>
      <name val="Tms Rmn"/>
    </font>
    <font>
      <b/>
      <i/>
      <sz val="10"/>
      <color indexed="10"/>
      <name val="Arial"/>
      <family val="2"/>
    </font>
    <font>
      <sz val="10"/>
      <color indexed="10"/>
      <name val="Arial"/>
      <family val="2"/>
    </font>
    <font>
      <sz val="8"/>
      <name val="Arial"/>
      <family val="2"/>
    </font>
    <font>
      <sz val="6"/>
      <color indexed="8"/>
      <name val="Arial"/>
      <family val="2"/>
    </font>
    <font>
      <sz val="8"/>
      <color indexed="12"/>
      <name val="Arial"/>
      <family val="2"/>
    </font>
    <font>
      <b/>
      <sz val="10"/>
      <color indexed="12"/>
      <name val="Arial"/>
      <family val="2"/>
    </font>
    <font>
      <sz val="10"/>
      <color indexed="12"/>
      <name val="Arial"/>
      <family val="2"/>
    </font>
    <font>
      <b/>
      <sz val="8"/>
      <color indexed="12"/>
      <name val="Arial"/>
      <family val="2"/>
    </font>
    <font>
      <sz val="24"/>
      <color indexed="81"/>
      <name val="Tahoma"/>
      <family val="2"/>
    </font>
    <font>
      <sz val="20"/>
      <color indexed="81"/>
      <name val="Tahoma"/>
      <family val="2"/>
    </font>
    <font>
      <sz val="10"/>
      <name val="Arial"/>
      <family val="2"/>
    </font>
    <font>
      <b/>
      <sz val="8"/>
      <name val="Arial"/>
      <family val="2"/>
    </font>
    <font>
      <b/>
      <sz val="10"/>
      <name val="Arial"/>
      <family val="2"/>
    </font>
  </fonts>
  <fills count="3">
    <fill>
      <patternFill patternType="none"/>
    </fill>
    <fill>
      <patternFill patternType="gray125"/>
    </fill>
    <fill>
      <patternFill patternType="solid">
        <fgColor indexed="47"/>
        <bgColor indexed="64"/>
      </patternFill>
    </fill>
  </fills>
  <borders count="15">
    <border>
      <left/>
      <right/>
      <top/>
      <bottom/>
      <diagonal/>
    </border>
    <border>
      <left/>
      <right/>
      <top style="thin">
        <color indexed="64"/>
      </top>
      <bottom style="thin">
        <color indexed="64"/>
      </bottom>
      <diagonal/>
    </border>
    <border>
      <left/>
      <right/>
      <top/>
      <bottom style="thin">
        <color indexed="8"/>
      </bottom>
      <diagonal/>
    </border>
    <border>
      <left/>
      <right/>
      <top style="thin">
        <color indexed="64"/>
      </top>
      <bottom/>
      <diagonal/>
    </border>
    <border>
      <left/>
      <right/>
      <top/>
      <bottom style="thin">
        <color indexed="64"/>
      </bottom>
      <diagonal/>
    </border>
    <border>
      <left/>
      <right/>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70">
    <xf numFmtId="0" fontId="0" fillId="0" borderId="0" xfId="0"/>
    <xf numFmtId="37" fontId="3" fillId="0" borderId="0" xfId="0" applyNumberFormat="1" applyFont="1" applyFill="1"/>
    <xf numFmtId="37" fontId="2" fillId="0" borderId="0" xfId="0" applyNumberFormat="1" applyFont="1" applyFill="1"/>
    <xf numFmtId="37" fontId="4" fillId="0" borderId="0" xfId="0" applyNumberFormat="1" applyFont="1" applyFill="1"/>
    <xf numFmtId="37" fontId="3" fillId="0" borderId="0" xfId="0" applyNumberFormat="1" applyFont="1" applyFill="1" applyAlignment="1">
      <alignment horizontal="left"/>
    </xf>
    <xf numFmtId="37" fontId="3" fillId="0" borderId="0" xfId="0" applyNumberFormat="1" applyFont="1" applyFill="1" applyBorder="1"/>
    <xf numFmtId="37" fontId="5" fillId="0" borderId="0" xfId="0" applyNumberFormat="1" applyFont="1" applyFill="1"/>
    <xf numFmtId="37" fontId="3" fillId="0" borderId="0" xfId="2" applyNumberFormat="1" applyFont="1" applyFill="1" applyBorder="1"/>
    <xf numFmtId="37" fontId="3" fillId="0" borderId="0" xfId="1" applyNumberFormat="1" applyFont="1" applyFill="1"/>
    <xf numFmtId="37" fontId="4" fillId="0" borderId="0" xfId="0" applyNumberFormat="1" applyFont="1" applyFill="1" applyAlignment="1">
      <alignment horizontal="centerContinuous"/>
    </xf>
    <xf numFmtId="37" fontId="3" fillId="0" borderId="0" xfId="1" applyNumberFormat="1" applyFont="1" applyFill="1" applyAlignment="1">
      <alignment horizontal="center"/>
    </xf>
    <xf numFmtId="37" fontId="4" fillId="0" borderId="0" xfId="0" applyNumberFormat="1" applyFont="1" applyFill="1" applyBorder="1" applyAlignment="1">
      <alignment horizontal="centerContinuous"/>
    </xf>
    <xf numFmtId="37" fontId="4" fillId="0" borderId="0" xfId="0" applyNumberFormat="1" applyFont="1" applyFill="1" applyAlignment="1">
      <alignment horizontal="center"/>
    </xf>
    <xf numFmtId="37" fontId="6" fillId="0" borderId="0" xfId="0" applyNumberFormat="1" applyFont="1" applyFill="1" applyAlignment="1">
      <alignment horizontal="center"/>
    </xf>
    <xf numFmtId="37" fontId="6" fillId="0" borderId="0" xfId="1" applyNumberFormat="1" applyFont="1" applyFill="1" applyBorder="1" applyAlignment="1">
      <alignment horizontal="center"/>
    </xf>
    <xf numFmtId="37" fontId="6" fillId="0" borderId="1" xfId="0" applyNumberFormat="1" applyFont="1" applyFill="1" applyBorder="1" applyAlignment="1">
      <alignment horizontal="center"/>
    </xf>
    <xf numFmtId="37" fontId="6" fillId="0" borderId="1" xfId="0" applyNumberFormat="1" applyFont="1" applyFill="1" applyBorder="1"/>
    <xf numFmtId="37" fontId="6" fillId="0" borderId="1" xfId="2" applyNumberFormat="1" applyFont="1" applyFill="1" applyBorder="1" applyAlignment="1">
      <alignment horizontal="center"/>
    </xf>
    <xf numFmtId="37" fontId="6" fillId="0" borderId="1" xfId="1" applyNumberFormat="1" applyFont="1" applyFill="1" applyBorder="1" applyAlignment="1">
      <alignment horizontal="center"/>
    </xf>
    <xf numFmtId="37" fontId="2" fillId="0" borderId="0" xfId="0" applyNumberFormat="1" applyFont="1" applyFill="1" applyBorder="1"/>
    <xf numFmtId="37" fontId="2" fillId="0" borderId="0" xfId="0" applyNumberFormat="1" applyFont="1" applyFill="1" applyBorder="1" applyAlignment="1">
      <alignment horizontal="left"/>
    </xf>
    <xf numFmtId="37" fontId="2" fillId="0" borderId="0" xfId="1" applyNumberFormat="1" applyFont="1" applyFill="1" applyBorder="1"/>
    <xf numFmtId="37" fontId="2" fillId="0" borderId="0" xfId="2" applyNumberFormat="1" applyFont="1" applyFill="1" applyBorder="1"/>
    <xf numFmtId="37" fontId="2" fillId="0" borderId="0" xfId="0" applyNumberFormat="1" applyFont="1" applyFill="1" applyAlignment="1">
      <alignment horizontal="left"/>
    </xf>
    <xf numFmtId="37" fontId="6" fillId="0" borderId="0" xfId="0" applyNumberFormat="1" applyFont="1" applyFill="1"/>
    <xf numFmtId="37" fontId="6" fillId="0" borderId="0" xfId="0" applyNumberFormat="1" applyFont="1" applyFill="1" applyBorder="1"/>
    <xf numFmtId="37" fontId="6" fillId="0" borderId="0" xfId="0" applyNumberFormat="1" applyFont="1" applyFill="1" applyBorder="1" applyAlignment="1">
      <alignment horizontal="left"/>
    </xf>
    <xf numFmtId="37" fontId="6" fillId="0" borderId="0" xfId="1" applyNumberFormat="1" applyFont="1" applyFill="1" applyBorder="1"/>
    <xf numFmtId="37" fontId="6" fillId="0" borderId="0" xfId="2" applyNumberFormat="1" applyFont="1" applyFill="1" applyBorder="1"/>
    <xf numFmtId="37" fontId="2" fillId="0" borderId="0" xfId="0" applyNumberFormat="1" applyFont="1" applyFill="1" applyBorder="1" applyAlignment="1" applyProtection="1">
      <alignment horizontal="left"/>
    </xf>
    <xf numFmtId="37" fontId="6" fillId="0" borderId="0" xfId="0" applyNumberFormat="1" applyFont="1" applyFill="1" applyBorder="1" applyAlignment="1">
      <alignment horizontal="center"/>
    </xf>
    <xf numFmtId="37" fontId="2" fillId="0" borderId="0" xfId="1" applyNumberFormat="1" applyFont="1" applyFill="1" applyBorder="1" applyAlignment="1">
      <alignment horizontal="right"/>
    </xf>
    <xf numFmtId="37" fontId="6" fillId="0" borderId="0" xfId="0" applyNumberFormat="1" applyFont="1" applyFill="1" applyBorder="1" applyAlignment="1">
      <alignment horizontal="centerContinuous"/>
    </xf>
    <xf numFmtId="37" fontId="6" fillId="0" borderId="1" xfId="1" applyNumberFormat="1" applyFont="1" applyFill="1" applyBorder="1" applyAlignment="1">
      <alignment horizontal="center" wrapText="1"/>
    </xf>
    <xf numFmtId="37" fontId="6" fillId="0" borderId="0" xfId="1" quotePrefix="1" applyNumberFormat="1" applyFont="1" applyFill="1" applyBorder="1" applyAlignment="1">
      <alignment horizontal="center"/>
    </xf>
    <xf numFmtId="164" fontId="3" fillId="0" borderId="0" xfId="0" applyNumberFormat="1" applyFont="1" applyFill="1"/>
    <xf numFmtId="164" fontId="2" fillId="0" borderId="0" xfId="0" applyNumberFormat="1" applyFont="1" applyFill="1"/>
    <xf numFmtId="164" fontId="6" fillId="0" borderId="0" xfId="0" applyNumberFormat="1" applyFont="1" applyFill="1"/>
    <xf numFmtId="165" fontId="6" fillId="0" borderId="1" xfId="0" applyNumberFormat="1" applyFont="1" applyFill="1" applyBorder="1" applyAlignment="1">
      <alignment horizontal="center"/>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applyAlignment="1">
      <alignment horizontal="center"/>
    </xf>
    <xf numFmtId="0" fontId="15" fillId="0" borderId="0" xfId="0" applyFont="1"/>
    <xf numFmtId="166" fontId="16" fillId="0" borderId="0" xfId="0" applyNumberFormat="1" applyFont="1" applyProtection="1"/>
    <xf numFmtId="0" fontId="16" fillId="0" borderId="0" xfId="0" applyFont="1"/>
    <xf numFmtId="186" fontId="16" fillId="0" borderId="0" xfId="0" applyNumberFormat="1" applyFont="1" applyProtection="1"/>
    <xf numFmtId="0" fontId="9" fillId="0" borderId="0" xfId="0" applyFont="1" applyAlignment="1">
      <alignment horizontal="center"/>
    </xf>
    <xf numFmtId="0" fontId="9" fillId="0" borderId="2" xfId="0" applyFont="1" applyBorder="1" applyAlignment="1">
      <alignment horizontal="center"/>
    </xf>
    <xf numFmtId="10" fontId="9" fillId="0" borderId="0" xfId="0" applyNumberFormat="1" applyFont="1" applyProtection="1">
      <protection locked="0"/>
    </xf>
    <xf numFmtId="0" fontId="9" fillId="0" borderId="0" xfId="0" applyFont="1" applyProtection="1">
      <protection locked="0"/>
    </xf>
    <xf numFmtId="10" fontId="9" fillId="0" borderId="0" xfId="0" applyNumberFormat="1" applyFont="1" applyProtection="1"/>
    <xf numFmtId="37" fontId="9" fillId="0" borderId="0" xfId="0" applyNumberFormat="1" applyFont="1" applyProtection="1"/>
    <xf numFmtId="37" fontId="9" fillId="0" borderId="0" xfId="0" applyNumberFormat="1" applyFont="1"/>
    <xf numFmtId="164" fontId="9" fillId="0" borderId="0" xfId="0" applyNumberFormat="1" applyFont="1"/>
    <xf numFmtId="164" fontId="9" fillId="0" borderId="0" xfId="0" applyNumberFormat="1" applyFont="1" applyAlignment="1">
      <alignment horizontal="center"/>
    </xf>
    <xf numFmtId="164" fontId="9" fillId="0" borderId="2" xfId="0" applyNumberFormat="1" applyFont="1" applyBorder="1" applyAlignment="1">
      <alignment horizontal="center"/>
    </xf>
    <xf numFmtId="165" fontId="8" fillId="0" borderId="0" xfId="0" applyNumberFormat="1" applyFont="1"/>
    <xf numFmtId="165" fontId="9" fillId="0" borderId="0" xfId="0" applyNumberFormat="1" applyFont="1"/>
    <xf numFmtId="165" fontId="9" fillId="0" borderId="0" xfId="0" applyNumberFormat="1" applyFont="1" applyAlignment="1" applyProtection="1">
      <alignment horizontal="center"/>
    </xf>
    <xf numFmtId="165" fontId="9" fillId="0" borderId="0" xfId="0" applyNumberFormat="1" applyFont="1" applyAlignment="1">
      <alignment horizontal="center"/>
    </xf>
    <xf numFmtId="165" fontId="9" fillId="0" borderId="2" xfId="0" applyNumberFormat="1" applyFont="1" applyBorder="1" applyAlignment="1">
      <alignment horizontal="center"/>
    </xf>
    <xf numFmtId="37" fontId="17" fillId="0" borderId="0" xfId="0" applyNumberFormat="1" applyFont="1" applyFill="1" applyBorder="1"/>
    <xf numFmtId="37" fontId="3" fillId="0" borderId="0" xfId="1" applyNumberFormat="1" applyFont="1" applyFill="1" applyAlignment="1">
      <alignment horizontal="right"/>
    </xf>
    <xf numFmtId="37" fontId="6" fillId="0" borderId="0" xfId="1" applyNumberFormat="1" applyFont="1" applyFill="1" applyBorder="1" applyAlignment="1">
      <alignment horizontal="right"/>
    </xf>
    <xf numFmtId="164" fontId="18" fillId="0" borderId="0" xfId="0" applyNumberFormat="1" applyFont="1" applyFill="1"/>
    <xf numFmtId="37" fontId="18" fillId="0" borderId="0" xfId="0" applyNumberFormat="1" applyFont="1" applyFill="1" applyBorder="1"/>
    <xf numFmtId="37" fontId="18" fillId="0" borderId="0" xfId="0" applyNumberFormat="1" applyFont="1" applyFill="1" applyBorder="1" applyAlignment="1">
      <alignment horizontal="left"/>
    </xf>
    <xf numFmtId="37" fontId="18" fillId="0" borderId="0" xfId="1" applyNumberFormat="1" applyFont="1" applyFill="1" applyBorder="1"/>
    <xf numFmtId="37" fontId="18" fillId="0" borderId="0" xfId="0" applyNumberFormat="1" applyFont="1" applyFill="1"/>
    <xf numFmtId="37" fontId="2" fillId="0" borderId="3" xfId="1" applyNumberFormat="1" applyFont="1" applyFill="1" applyBorder="1"/>
    <xf numFmtId="0" fontId="20" fillId="0" borderId="0" xfId="0" applyFont="1"/>
    <xf numFmtId="37" fontId="20" fillId="0" borderId="0" xfId="0" applyNumberFormat="1" applyFont="1" applyProtection="1"/>
    <xf numFmtId="189" fontId="7" fillId="0" borderId="0" xfId="0" quotePrefix="1" applyNumberFormat="1" applyFont="1" applyFill="1"/>
    <xf numFmtId="10" fontId="20" fillId="0" borderId="0" xfId="0" applyNumberFormat="1" applyFont="1" applyProtection="1">
      <protection locked="0"/>
    </xf>
    <xf numFmtId="37" fontId="26" fillId="0" borderId="0" xfId="0" applyNumberFormat="1" applyFont="1" applyFill="1"/>
    <xf numFmtId="37" fontId="19" fillId="0" borderId="0" xfId="0" applyNumberFormat="1" applyFont="1" applyFill="1"/>
    <xf numFmtId="37" fontId="19" fillId="0" borderId="0" xfId="0" applyNumberFormat="1" applyFont="1" applyFill="1" applyBorder="1"/>
    <xf numFmtId="164" fontId="2" fillId="0" borderId="0" xfId="0" applyNumberFormat="1" applyFont="1" applyFill="1" applyBorder="1"/>
    <xf numFmtId="164" fontId="2" fillId="0" borderId="0" xfId="0" applyNumberFormat="1" applyFont="1" applyFill="1" applyAlignment="1">
      <alignment horizontal="right"/>
    </xf>
    <xf numFmtId="165" fontId="3" fillId="0" borderId="0" xfId="0" applyNumberFormat="1" applyFont="1" applyFill="1" applyAlignment="1">
      <alignment horizontal="center"/>
    </xf>
    <xf numFmtId="165" fontId="2" fillId="0" borderId="0" xfId="0" quotePrefix="1" applyNumberFormat="1" applyFont="1" applyFill="1" applyBorder="1" applyAlignment="1">
      <alignment horizontal="center"/>
    </xf>
    <xf numFmtId="165" fontId="2" fillId="0" borderId="0" xfId="0" applyNumberFormat="1" applyFont="1" applyFill="1" applyBorder="1" applyAlignment="1">
      <alignment horizontal="center"/>
    </xf>
    <xf numFmtId="165" fontId="2" fillId="0" borderId="0" xfId="0" applyNumberFormat="1" applyFont="1" applyFill="1" applyAlignment="1">
      <alignment horizontal="center"/>
    </xf>
    <xf numFmtId="165" fontId="6" fillId="0" borderId="0" xfId="0" applyNumberFormat="1" applyFont="1" applyFill="1" applyBorder="1" applyAlignment="1">
      <alignment horizontal="center"/>
    </xf>
    <xf numFmtId="165" fontId="18" fillId="0" borderId="0" xfId="0" applyNumberFormat="1" applyFont="1" applyFill="1" applyBorder="1" applyAlignment="1">
      <alignment horizontal="center"/>
    </xf>
    <xf numFmtId="164" fontId="3" fillId="0" borderId="0" xfId="0" applyNumberFormat="1" applyFont="1" applyFill="1" applyAlignment="1">
      <alignment horizontal="center"/>
    </xf>
    <xf numFmtId="37" fontId="4" fillId="0" borderId="4" xfId="0" quotePrefix="1" applyNumberFormat="1" applyFont="1" applyFill="1" applyBorder="1" applyAlignment="1">
      <alignment horizontal="centerContinuous"/>
    </xf>
    <xf numFmtId="37" fontId="4" fillId="0" borderId="0" xfId="0" quotePrefix="1" applyNumberFormat="1" applyFont="1" applyFill="1" applyBorder="1" applyAlignment="1">
      <alignment horizontal="center"/>
    </xf>
    <xf numFmtId="164" fontId="6" fillId="0" borderId="4" xfId="0" applyNumberFormat="1" applyFont="1" applyFill="1" applyBorder="1" applyAlignment="1">
      <alignment horizontal="center"/>
    </xf>
    <xf numFmtId="164" fontId="6" fillId="0" borderId="0" xfId="0" applyNumberFormat="1" applyFont="1" applyFill="1" applyBorder="1" applyAlignment="1">
      <alignment horizontal="center"/>
    </xf>
    <xf numFmtId="37" fontId="6" fillId="0" borderId="4" xfId="0" applyNumberFormat="1" applyFont="1" applyFill="1" applyBorder="1" applyAlignment="1">
      <alignment horizontal="center"/>
    </xf>
    <xf numFmtId="165" fontId="6" fillId="0" borderId="4" xfId="0" applyNumberFormat="1" applyFont="1" applyFill="1" applyBorder="1" applyAlignment="1">
      <alignment horizontal="center"/>
    </xf>
    <xf numFmtId="164" fontId="2" fillId="0" borderId="0" xfId="0" applyNumberFormat="1" applyFont="1" applyFill="1" applyAlignment="1">
      <alignment horizontal="center"/>
    </xf>
    <xf numFmtId="41" fontId="2" fillId="0" borderId="0" xfId="1" applyNumberFormat="1" applyFont="1" applyFill="1" applyBorder="1"/>
    <xf numFmtId="164" fontId="2" fillId="0" borderId="0" xfId="0" quotePrefix="1" applyNumberFormat="1" applyFont="1" applyFill="1" applyAlignment="1">
      <alignment horizontal="center"/>
    </xf>
    <xf numFmtId="41" fontId="2" fillId="0" borderId="3" xfId="1" applyNumberFormat="1" applyFont="1" applyFill="1" applyBorder="1"/>
    <xf numFmtId="41" fontId="2" fillId="0" borderId="4" xfId="1" applyNumberFormat="1" applyFont="1" applyFill="1" applyBorder="1"/>
    <xf numFmtId="164" fontId="2" fillId="0" borderId="0" xfId="0" applyNumberFormat="1" applyFont="1" applyFill="1" applyBorder="1" applyAlignment="1">
      <alignment horizontal="center"/>
    </xf>
    <xf numFmtId="37" fontId="6" fillId="0" borderId="0" xfId="0" applyNumberFormat="1" applyFont="1" applyFill="1" applyBorder="1" applyAlignment="1" applyProtection="1">
      <alignment horizontal="center"/>
    </xf>
    <xf numFmtId="41" fontId="2" fillId="0" borderId="0" xfId="1" applyNumberFormat="1" applyFont="1" applyFill="1"/>
    <xf numFmtId="164" fontId="18" fillId="0" borderId="0" xfId="0" applyNumberFormat="1" applyFont="1" applyFill="1" applyAlignment="1">
      <alignment horizontal="center"/>
    </xf>
    <xf numFmtId="41" fontId="18" fillId="0" borderId="0" xfId="1" applyNumberFormat="1" applyFont="1" applyFill="1" applyBorder="1"/>
    <xf numFmtId="37" fontId="18" fillId="0" borderId="0" xfId="0" applyNumberFormat="1" applyFont="1" applyFill="1" applyBorder="1" applyAlignment="1" applyProtection="1">
      <alignment horizontal="left"/>
    </xf>
    <xf numFmtId="165" fontId="18" fillId="0" borderId="0" xfId="0" applyNumberFormat="1" applyFont="1" applyFill="1" applyAlignment="1">
      <alignment horizontal="center"/>
    </xf>
    <xf numFmtId="37" fontId="18" fillId="0" borderId="0" xfId="0" applyNumberFormat="1" applyFont="1" applyFill="1" applyAlignment="1">
      <alignment horizontal="left"/>
    </xf>
    <xf numFmtId="164" fontId="6" fillId="0" borderId="0" xfId="0" applyNumberFormat="1" applyFont="1" applyFill="1" applyBorder="1"/>
    <xf numFmtId="41" fontId="6" fillId="0" borderId="3" xfId="1" applyNumberFormat="1" applyFont="1" applyFill="1" applyBorder="1"/>
    <xf numFmtId="41" fontId="6" fillId="0" borderId="0" xfId="1" applyNumberFormat="1" applyFont="1" applyFill="1" applyBorder="1"/>
    <xf numFmtId="164" fontId="6" fillId="0" borderId="0" xfId="0" applyNumberFormat="1" applyFont="1" applyFill="1" applyAlignment="1">
      <alignment horizontal="center"/>
    </xf>
    <xf numFmtId="41" fontId="18" fillId="0" borderId="4" xfId="1" applyNumberFormat="1" applyFont="1" applyFill="1" applyBorder="1"/>
    <xf numFmtId="0" fontId="27" fillId="0" borderId="0" xfId="0" applyFont="1"/>
    <xf numFmtId="37" fontId="18" fillId="0" borderId="0" xfId="0" applyNumberFormat="1" applyFont="1" applyFill="1" applyBorder="1" applyAlignment="1" applyProtection="1"/>
    <xf numFmtId="164" fontId="18" fillId="0" borderId="0" xfId="0" applyNumberFormat="1" applyFont="1" applyFill="1" applyBorder="1" applyAlignment="1">
      <alignment horizontal="center"/>
    </xf>
    <xf numFmtId="164" fontId="18" fillId="0" borderId="0" xfId="0" applyNumberFormat="1" applyFont="1" applyFill="1" applyBorder="1"/>
    <xf numFmtId="37" fontId="17" fillId="0" borderId="0" xfId="0" applyNumberFormat="1" applyFont="1" applyFill="1" applyBorder="1" applyAlignment="1">
      <alignment horizontal="center"/>
    </xf>
    <xf numFmtId="164" fontId="18" fillId="0" borderId="0" xfId="0" applyNumberFormat="1" applyFont="1" applyFill="1" applyAlignment="1">
      <alignment horizontal="right"/>
    </xf>
    <xf numFmtId="0" fontId="3" fillId="0" borderId="0" xfId="0" applyFont="1"/>
    <xf numFmtId="37" fontId="18" fillId="0" borderId="0" xfId="0" applyNumberFormat="1" applyFont="1" applyFill="1" applyBorder="1" applyAlignment="1"/>
    <xf numFmtId="37" fontId="6" fillId="0" borderId="0" xfId="0" applyNumberFormat="1" applyFont="1"/>
    <xf numFmtId="37" fontId="2" fillId="0" borderId="0" xfId="0" applyNumberFormat="1" applyFont="1"/>
    <xf numFmtId="0" fontId="2" fillId="0" borderId="0" xfId="0" applyFont="1"/>
    <xf numFmtId="0" fontId="2" fillId="0" borderId="0" xfId="0" applyFont="1" applyFill="1"/>
    <xf numFmtId="0" fontId="3" fillId="0" borderId="0" xfId="0" applyFont="1" applyFill="1"/>
    <xf numFmtId="41" fontId="2" fillId="0" borderId="1" xfId="1" applyNumberFormat="1" applyFont="1" applyFill="1" applyBorder="1"/>
    <xf numFmtId="37" fontId="6" fillId="0" borderId="0" xfId="0" quotePrefix="1" applyNumberFormat="1" applyFont="1" applyFill="1" applyBorder="1" applyAlignment="1">
      <alignment horizontal="centerContinuous"/>
    </xf>
    <xf numFmtId="37" fontId="6" fillId="0" borderId="0" xfId="0" quotePrefix="1" applyNumberFormat="1" applyFont="1" applyFill="1" applyBorder="1" applyAlignment="1">
      <alignment horizontal="center"/>
    </xf>
    <xf numFmtId="0" fontId="28" fillId="0" borderId="0" xfId="0" applyFont="1" applyBorder="1"/>
    <xf numFmtId="37" fontId="2" fillId="0" borderId="0" xfId="0" applyNumberFormat="1" applyFont="1" applyBorder="1"/>
    <xf numFmtId="0" fontId="3" fillId="0" borderId="0" xfId="0" applyFont="1" applyBorder="1"/>
    <xf numFmtId="164" fontId="17" fillId="0" borderId="0" xfId="0" applyNumberFormat="1" applyFont="1" applyFill="1" applyBorder="1" applyAlignment="1">
      <alignment horizontal="center"/>
    </xf>
    <xf numFmtId="164" fontId="17" fillId="0" borderId="0" xfId="0" applyNumberFormat="1" applyFont="1" applyFill="1" applyBorder="1"/>
    <xf numFmtId="165" fontId="17" fillId="0" borderId="0" xfId="0" applyNumberFormat="1" applyFont="1" applyFill="1" applyBorder="1" applyAlignment="1">
      <alignment horizontal="center"/>
    </xf>
    <xf numFmtId="37" fontId="17" fillId="0" borderId="0" xfId="0" applyNumberFormat="1" applyFont="1" applyFill="1" applyBorder="1" applyAlignment="1">
      <alignment horizontal="left"/>
    </xf>
    <xf numFmtId="41" fontId="17" fillId="0" borderId="5" xfId="1" applyNumberFormat="1" applyFont="1" applyFill="1" applyBorder="1"/>
    <xf numFmtId="41" fontId="17" fillId="0" borderId="0" xfId="1" applyNumberFormat="1" applyFont="1" applyFill="1" applyBorder="1"/>
    <xf numFmtId="37" fontId="17" fillId="0" borderId="0" xfId="1" applyNumberFormat="1" applyFont="1" applyFill="1" applyBorder="1"/>
    <xf numFmtId="164" fontId="30" fillId="0" borderId="0" xfId="0" applyNumberFormat="1" applyFont="1" applyFill="1"/>
    <xf numFmtId="37" fontId="30" fillId="0" borderId="0" xfId="1" applyNumberFormat="1" applyFont="1" applyFill="1" applyBorder="1"/>
    <xf numFmtId="37" fontId="30" fillId="0" borderId="0" xfId="0" applyNumberFormat="1" applyFont="1" applyFill="1" applyBorder="1"/>
    <xf numFmtId="37" fontId="31" fillId="0" borderId="0" xfId="0" applyNumberFormat="1" applyFont="1" applyFill="1"/>
    <xf numFmtId="37" fontId="6" fillId="0" borderId="6" xfId="0" applyNumberFormat="1" applyFont="1" applyFill="1" applyBorder="1"/>
    <xf numFmtId="37" fontId="2" fillId="0" borderId="7" xfId="0" applyNumberFormat="1" applyFont="1" applyFill="1" applyBorder="1"/>
    <xf numFmtId="37" fontId="6" fillId="0" borderId="8" xfId="0" applyNumberFormat="1" applyFont="1" applyFill="1" applyBorder="1"/>
    <xf numFmtId="165" fontId="30" fillId="0" borderId="0" xfId="0" applyNumberFormat="1" applyFont="1" applyFill="1" applyBorder="1" applyAlignment="1">
      <alignment horizontal="center"/>
    </xf>
    <xf numFmtId="37" fontId="30" fillId="0" borderId="0" xfId="0" applyNumberFormat="1" applyFont="1" applyFill="1" applyBorder="1" applyAlignment="1">
      <alignment horizontal="left"/>
    </xf>
    <xf numFmtId="164" fontId="30" fillId="0" borderId="0" xfId="0" applyNumberFormat="1" applyFont="1" applyFill="1" applyAlignment="1">
      <alignment horizontal="center"/>
    </xf>
    <xf numFmtId="165" fontId="30" fillId="0" borderId="0" xfId="0" applyNumberFormat="1" applyFont="1" applyFill="1" applyAlignment="1">
      <alignment horizontal="center"/>
    </xf>
    <xf numFmtId="37" fontId="30" fillId="0" borderId="0" xfId="0" applyNumberFormat="1" applyFont="1" applyFill="1" applyAlignment="1">
      <alignment horizontal="left"/>
    </xf>
    <xf numFmtId="41" fontId="30" fillId="0" borderId="0" xfId="1" applyNumberFormat="1" applyFont="1" applyFill="1" applyBorder="1"/>
    <xf numFmtId="0" fontId="32" fillId="0" borderId="0" xfId="0" applyFont="1"/>
    <xf numFmtId="164" fontId="30" fillId="0" borderId="0" xfId="0" applyNumberFormat="1" applyFont="1" applyFill="1" applyBorder="1" applyAlignment="1">
      <alignment horizontal="center"/>
    </xf>
    <xf numFmtId="164" fontId="30" fillId="0" borderId="0" xfId="0" applyNumberFormat="1" applyFont="1" applyFill="1" applyBorder="1"/>
    <xf numFmtId="37" fontId="30" fillId="0" borderId="0" xfId="0" applyNumberFormat="1" applyFont="1" applyBorder="1"/>
    <xf numFmtId="0" fontId="32" fillId="0" borderId="0" xfId="0" applyFont="1" applyBorder="1"/>
    <xf numFmtId="164" fontId="29" fillId="0" borderId="0" xfId="0" applyNumberFormat="1" applyFont="1" applyFill="1" applyAlignment="1">
      <alignment horizontal="left"/>
    </xf>
    <xf numFmtId="165" fontId="4" fillId="0" borderId="0" xfId="0" applyNumberFormat="1" applyFont="1" applyFill="1" applyAlignment="1">
      <alignment horizontal="center"/>
    </xf>
    <xf numFmtId="37" fontId="27" fillId="0" borderId="9" xfId="0" applyNumberFormat="1" applyFont="1" applyFill="1" applyBorder="1"/>
    <xf numFmtId="37" fontId="27" fillId="0" borderId="3" xfId="0" applyNumberFormat="1" applyFont="1" applyFill="1" applyBorder="1"/>
    <xf numFmtId="165" fontId="27" fillId="0" borderId="3" xfId="0" applyNumberFormat="1" applyFont="1" applyFill="1" applyBorder="1" applyAlignment="1">
      <alignment horizontal="center"/>
    </xf>
    <xf numFmtId="37" fontId="27" fillId="0" borderId="3" xfId="0" applyNumberFormat="1" applyFont="1" applyFill="1" applyBorder="1" applyAlignment="1">
      <alignment horizontal="left"/>
    </xf>
    <xf numFmtId="37" fontId="18" fillId="0" borderId="3" xfId="0" applyNumberFormat="1" applyFont="1" applyFill="1" applyBorder="1"/>
    <xf numFmtId="37" fontId="18" fillId="0" borderId="10" xfId="0" applyNumberFormat="1" applyFont="1" applyFill="1" applyBorder="1"/>
    <xf numFmtId="37" fontId="27" fillId="0" borderId="11" xfId="0" applyNumberFormat="1" applyFont="1" applyFill="1" applyBorder="1"/>
    <xf numFmtId="37" fontId="27" fillId="0" borderId="4" xfId="0" applyNumberFormat="1" applyFont="1" applyFill="1" applyBorder="1"/>
    <xf numFmtId="165" fontId="27" fillId="0" borderId="4" xfId="0" applyNumberFormat="1" applyFont="1" applyFill="1" applyBorder="1" applyAlignment="1">
      <alignment horizontal="center"/>
    </xf>
    <xf numFmtId="37" fontId="27" fillId="0" borderId="4" xfId="0" applyNumberFormat="1" applyFont="1" applyFill="1" applyBorder="1" applyAlignment="1">
      <alignment horizontal="left"/>
    </xf>
    <xf numFmtId="37" fontId="18" fillId="0" borderId="4" xfId="0" applyNumberFormat="1" applyFont="1" applyFill="1" applyBorder="1"/>
    <xf numFmtId="37" fontId="18" fillId="0" borderId="12" xfId="0" applyNumberFormat="1" applyFont="1" applyFill="1" applyBorder="1"/>
    <xf numFmtId="37" fontId="27" fillId="0" borderId="0" xfId="0" applyNumberFormat="1" applyFont="1" applyFill="1" applyBorder="1"/>
    <xf numFmtId="0" fontId="0" fillId="0" borderId="0" xfId="0" applyBorder="1"/>
    <xf numFmtId="37" fontId="6" fillId="0" borderId="0" xfId="2" applyNumberFormat="1" applyFont="1" applyFill="1" applyBorder="1" applyAlignment="1">
      <alignment horizontal="center"/>
    </xf>
    <xf numFmtId="37" fontId="6" fillId="0" borderId="0" xfId="1" applyNumberFormat="1" applyFont="1" applyFill="1" applyBorder="1" applyAlignment="1">
      <alignment horizontal="center" wrapText="1"/>
    </xf>
    <xf numFmtId="165" fontId="2" fillId="0" borderId="0" xfId="0" applyNumberFormat="1" applyFont="1" applyFill="1" applyBorder="1" applyAlignment="1"/>
    <xf numFmtId="37" fontId="2" fillId="0" borderId="0" xfId="0" applyNumberFormat="1" applyFont="1" applyFill="1" applyBorder="1" applyAlignment="1"/>
    <xf numFmtId="165" fontId="2" fillId="0" borderId="0" xfId="0" applyNumberFormat="1" applyFont="1" applyFill="1" applyAlignment="1"/>
    <xf numFmtId="37" fontId="30" fillId="0" borderId="0" xfId="0" applyNumberFormat="1" applyFont="1" applyFill="1" applyBorder="1" applyAlignment="1" applyProtection="1"/>
    <xf numFmtId="165" fontId="30" fillId="0" borderId="0" xfId="0" applyNumberFormat="1" applyFont="1" applyFill="1" applyAlignment="1"/>
    <xf numFmtId="37" fontId="2" fillId="0" borderId="0" xfId="0" applyNumberFormat="1" applyFont="1" applyFill="1" applyBorder="1" applyAlignment="1" applyProtection="1"/>
    <xf numFmtId="37" fontId="2" fillId="0" borderId="0" xfId="0" applyNumberFormat="1" applyFont="1" applyFill="1" applyAlignment="1"/>
    <xf numFmtId="165" fontId="6" fillId="0" borderId="0" xfId="0" applyNumberFormat="1" applyFont="1" applyFill="1" applyBorder="1" applyAlignment="1"/>
    <xf numFmtId="37" fontId="2" fillId="0" borderId="13" xfId="0" applyNumberFormat="1" applyFont="1" applyFill="1" applyBorder="1"/>
    <xf numFmtId="164" fontId="4" fillId="0" borderId="0" xfId="0" applyNumberFormat="1" applyFont="1" applyFill="1" applyAlignment="1"/>
    <xf numFmtId="165" fontId="27" fillId="0" borderId="0" xfId="0" applyNumberFormat="1" applyFont="1" applyFill="1" applyBorder="1" applyAlignment="1">
      <alignment horizontal="center"/>
    </xf>
    <xf numFmtId="37" fontId="27" fillId="0" borderId="0" xfId="0" applyNumberFormat="1" applyFont="1" applyFill="1" applyBorder="1" applyAlignment="1">
      <alignment horizontal="left"/>
    </xf>
    <xf numFmtId="0" fontId="9" fillId="0" borderId="0" xfId="0" applyFont="1" applyAlignment="1"/>
    <xf numFmtId="37" fontId="9" fillId="0" borderId="13" xfId="0" applyNumberFormat="1" applyFont="1" applyBorder="1"/>
    <xf numFmtId="1" fontId="6" fillId="0" borderId="1" xfId="1" applyNumberFormat="1" applyFont="1" applyFill="1" applyBorder="1" applyAlignment="1">
      <alignment horizontal="center"/>
    </xf>
    <xf numFmtId="37" fontId="2" fillId="0" borderId="3" xfId="0" applyNumberFormat="1" applyFont="1" applyFill="1" applyBorder="1"/>
    <xf numFmtId="37" fontId="2" fillId="0" borderId="3" xfId="0" applyNumberFormat="1" applyFont="1" applyFill="1" applyBorder="1" applyAlignment="1" applyProtection="1">
      <alignment horizontal="left"/>
    </xf>
    <xf numFmtId="37" fontId="6" fillId="0" borderId="14" xfId="0" applyNumberFormat="1" applyFont="1" applyFill="1" applyBorder="1" applyAlignment="1">
      <alignment horizontal="center" wrapText="1"/>
    </xf>
    <xf numFmtId="1" fontId="3" fillId="0" borderId="0" xfId="0" applyNumberFormat="1" applyFont="1" applyFill="1" applyAlignment="1">
      <alignment horizontal="center"/>
    </xf>
    <xf numFmtId="1" fontId="7" fillId="0" borderId="0" xfId="0" quotePrefix="1" applyNumberFormat="1" applyFont="1" applyFill="1" applyAlignment="1">
      <alignment horizontal="center"/>
    </xf>
    <xf numFmtId="1" fontId="6" fillId="0" borderId="0" xfId="0" applyNumberFormat="1" applyFont="1" applyFill="1" applyBorder="1" applyAlignment="1">
      <alignment horizontal="center"/>
    </xf>
    <xf numFmtId="1" fontId="2" fillId="0" borderId="0" xfId="0" applyNumberFormat="1" applyFont="1" applyFill="1" applyBorder="1" applyAlignment="1">
      <alignment horizontal="center"/>
    </xf>
    <xf numFmtId="165" fontId="7" fillId="0" borderId="0" xfId="0" applyNumberFormat="1" applyFont="1" applyFill="1" applyAlignment="1">
      <alignment horizontal="left"/>
    </xf>
    <xf numFmtId="165" fontId="6" fillId="0" borderId="0" xfId="0" applyNumberFormat="1" applyFont="1" applyFill="1" applyAlignment="1">
      <alignment horizontal="center"/>
    </xf>
    <xf numFmtId="165" fontId="9" fillId="0" borderId="0" xfId="0" applyNumberFormat="1" applyFont="1" applyAlignment="1">
      <alignment horizontal="left"/>
    </xf>
    <xf numFmtId="165" fontId="2" fillId="0" borderId="3" xfId="0" quotePrefix="1" applyNumberFormat="1" applyFont="1" applyFill="1" applyBorder="1" applyAlignment="1">
      <alignment horizontal="center"/>
    </xf>
    <xf numFmtId="37" fontId="6" fillId="0" borderId="1" xfId="0" applyNumberFormat="1" applyFont="1" applyFill="1" applyBorder="1" applyAlignment="1">
      <alignment horizontal="center" wrapText="1"/>
    </xf>
    <xf numFmtId="1" fontId="3" fillId="0" borderId="0" xfId="1" applyNumberFormat="1" applyFont="1" applyFill="1" applyAlignment="1">
      <alignment horizontal="center"/>
    </xf>
    <xf numFmtId="1" fontId="2" fillId="0" borderId="3" xfId="1" applyNumberFormat="1" applyFont="1" applyFill="1" applyBorder="1" applyAlignment="1">
      <alignment horizontal="center"/>
    </xf>
    <xf numFmtId="1" fontId="2" fillId="0" borderId="0" xfId="1" applyNumberFormat="1" applyFont="1" applyFill="1" applyBorder="1" applyAlignment="1">
      <alignment horizontal="center"/>
    </xf>
    <xf numFmtId="1" fontId="6" fillId="0" borderId="0" xfId="1" applyNumberFormat="1" applyFont="1" applyFill="1" applyBorder="1" applyAlignment="1">
      <alignment horizontal="center"/>
    </xf>
    <xf numFmtId="165" fontId="6" fillId="0" borderId="0" xfId="0" applyNumberFormat="1" applyFont="1" applyFill="1" applyBorder="1" applyAlignment="1">
      <alignment horizontal="left"/>
    </xf>
    <xf numFmtId="37" fontId="6" fillId="0" borderId="0" xfId="0" applyNumberFormat="1" applyFont="1" applyFill="1" applyBorder="1" applyAlignment="1" applyProtection="1">
      <alignment horizontal="left"/>
    </xf>
    <xf numFmtId="37" fontId="2" fillId="0" borderId="1" xfId="0" applyNumberFormat="1" applyFont="1" applyFill="1" applyBorder="1"/>
    <xf numFmtId="37" fontId="19" fillId="0" borderId="0" xfId="0" applyNumberFormat="1" applyFont="1" applyFill="1" applyBorder="1" applyAlignment="1" applyProtection="1">
      <alignment horizontal="left"/>
    </xf>
    <xf numFmtId="165" fontId="19" fillId="0" borderId="0" xfId="0" quotePrefix="1" applyNumberFormat="1" applyFont="1" applyFill="1" applyBorder="1" applyAlignment="1">
      <alignment horizontal="center"/>
    </xf>
    <xf numFmtId="1" fontId="19" fillId="0" borderId="0" xfId="1" applyNumberFormat="1" applyFont="1" applyFill="1" applyBorder="1" applyAlignment="1">
      <alignment horizontal="center"/>
    </xf>
    <xf numFmtId="165" fontId="33" fillId="0" borderId="0" xfId="0" applyNumberFormat="1" applyFont="1" applyFill="1" applyBorder="1" applyAlignment="1">
      <alignment horizontal="left"/>
    </xf>
    <xf numFmtId="37" fontId="3" fillId="0" borderId="0" xfId="0" applyNumberFormat="1" applyFont="1" applyBorder="1"/>
    <xf numFmtId="165" fontId="4" fillId="0" borderId="0" xfId="0" applyNumberFormat="1" applyFont="1" applyFill="1" applyAlignment="1">
      <alignment horizontal="left"/>
    </xf>
    <xf numFmtId="0" fontId="36" fillId="0" borderId="0" xfId="0" applyFont="1"/>
    <xf numFmtId="10" fontId="2" fillId="0" borderId="0" xfId="2" applyNumberFormat="1" applyFont="1" applyFill="1" applyBorder="1" applyAlignment="1">
      <alignment horizontal="right"/>
    </xf>
    <xf numFmtId="41" fontId="2" fillId="0" borderId="0" xfId="0" applyNumberFormat="1" applyFont="1" applyFill="1" applyBorder="1"/>
    <xf numFmtId="41" fontId="2" fillId="0" borderId="0" xfId="2" applyNumberFormat="1" applyFont="1" applyFill="1" applyBorder="1"/>
    <xf numFmtId="41" fontId="2" fillId="0" borderId="0" xfId="1" applyNumberFormat="1" applyFont="1" applyFill="1" applyBorder="1" applyAlignment="1">
      <alignment horizontal="right"/>
    </xf>
    <xf numFmtId="41" fontId="6" fillId="0" borderId="4" xfId="0" applyNumberFormat="1" applyFont="1" applyFill="1" applyBorder="1" applyAlignment="1">
      <alignment horizontal="right"/>
    </xf>
    <xf numFmtId="41" fontId="6" fillId="0" borderId="0" xfId="1" applyNumberFormat="1" applyFont="1" applyFill="1" applyBorder="1" applyAlignment="1">
      <alignment horizontal="right"/>
    </xf>
    <xf numFmtId="41" fontId="6" fillId="0" borderId="0" xfId="2" applyNumberFormat="1" applyFont="1" applyFill="1" applyBorder="1"/>
    <xf numFmtId="41" fontId="3" fillId="0" borderId="0" xfId="0" applyNumberFormat="1" applyFont="1" applyBorder="1"/>
    <xf numFmtId="41" fontId="2" fillId="0" borderId="0" xfId="0" applyNumberFormat="1" applyFont="1" applyBorder="1"/>
    <xf numFmtId="165" fontId="2" fillId="0" borderId="0" xfId="0" applyNumberFormat="1" applyFont="1" applyFill="1" applyBorder="1" applyAlignment="1">
      <alignment horizontal="left"/>
    </xf>
    <xf numFmtId="37" fontId="2" fillId="0" borderId="4" xfId="0" applyNumberFormat="1" applyFont="1" applyFill="1" applyBorder="1"/>
    <xf numFmtId="41" fontId="2" fillId="0" borderId="0" xfId="0" applyNumberFormat="1" applyFont="1" applyFill="1" applyBorder="1" applyAlignment="1">
      <alignment horizontal="center"/>
    </xf>
    <xf numFmtId="171" fontId="2" fillId="0" borderId="0" xfId="1" applyNumberFormat="1" applyFont="1" applyFill="1" applyBorder="1" applyAlignment="1">
      <alignment horizontal="center"/>
    </xf>
    <xf numFmtId="165" fontId="29" fillId="0" borderId="0" xfId="0" applyNumberFormat="1" applyFont="1" applyAlignment="1">
      <alignment horizontal="left"/>
    </xf>
    <xf numFmtId="37" fontId="36" fillId="0" borderId="0" xfId="0" applyNumberFormat="1" applyFont="1" applyFill="1" applyBorder="1"/>
    <xf numFmtId="37" fontId="37" fillId="0" borderId="1" xfId="0" applyNumberFormat="1" applyFont="1" applyFill="1" applyBorder="1" applyAlignment="1">
      <alignment horizontal="center" wrapText="1"/>
    </xf>
    <xf numFmtId="37" fontId="28" fillId="0" borderId="3" xfId="0" applyNumberFormat="1" applyFont="1" applyFill="1" applyBorder="1"/>
    <xf numFmtId="37" fontId="28" fillId="0" borderId="0" xfId="0" applyNumberFormat="1" applyFont="1" applyFill="1" applyBorder="1"/>
    <xf numFmtId="37" fontId="37" fillId="0" borderId="0" xfId="0" applyNumberFormat="1" applyFont="1" applyFill="1"/>
    <xf numFmtId="0" fontId="6" fillId="0" borderId="0" xfId="1" quotePrefix="1" applyNumberFormat="1" applyFont="1" applyFill="1" applyBorder="1" applyAlignment="1">
      <alignment horizontal="center"/>
    </xf>
    <xf numFmtId="0" fontId="6" fillId="0" borderId="0" xfId="1" applyNumberFormat="1" applyFont="1" applyFill="1" applyBorder="1" applyAlignment="1">
      <alignment horizontal="center"/>
    </xf>
    <xf numFmtId="49" fontId="6" fillId="0" borderId="0" xfId="1" applyNumberFormat="1" applyFont="1" applyFill="1" applyBorder="1" applyAlignment="1">
      <alignment horizontal="center"/>
    </xf>
    <xf numFmtId="49" fontId="6" fillId="0" borderId="0" xfId="1" applyNumberFormat="1" applyFont="1" applyFill="1" applyBorder="1" applyAlignment="1">
      <alignment horizontal="centerContinuous"/>
    </xf>
    <xf numFmtId="49" fontId="3" fillId="0" borderId="0" xfId="1" applyNumberFormat="1" applyFont="1" applyFill="1"/>
    <xf numFmtId="49" fontId="0" fillId="0" borderId="0" xfId="0" applyNumberFormat="1"/>
    <xf numFmtId="0" fontId="6" fillId="0" borderId="0" xfId="1" applyNumberFormat="1" applyFont="1" applyFill="1" applyBorder="1" applyAlignment="1">
      <alignment horizontal="centerContinuous"/>
    </xf>
    <xf numFmtId="165" fontId="28" fillId="0" borderId="0" xfId="0" applyNumberFormat="1" applyFont="1" applyFill="1" applyBorder="1" applyAlignment="1">
      <alignment horizontal="center"/>
    </xf>
    <xf numFmtId="1" fontId="28" fillId="0" borderId="0" xfId="0" applyNumberFormat="1" applyFont="1" applyFill="1" applyBorder="1" applyAlignment="1">
      <alignment horizontal="center"/>
    </xf>
    <xf numFmtId="41" fontId="28" fillId="0" borderId="0" xfId="0" applyNumberFormat="1" applyFont="1" applyFill="1" applyBorder="1"/>
    <xf numFmtId="41" fontId="28" fillId="0" borderId="0" xfId="1" applyNumberFormat="1" applyFont="1" applyFill="1" applyBorder="1"/>
    <xf numFmtId="41" fontId="28" fillId="0" borderId="0" xfId="2" applyNumberFormat="1" applyFont="1" applyFill="1" applyBorder="1"/>
    <xf numFmtId="0" fontId="36" fillId="0" borderId="0" xfId="0" applyFont="1" applyBorder="1"/>
    <xf numFmtId="37" fontId="28" fillId="0" borderId="4" xfId="0" applyNumberFormat="1" applyFont="1" applyFill="1" applyBorder="1"/>
    <xf numFmtId="37" fontId="28" fillId="0" borderId="1" xfId="0" applyNumberFormat="1" applyFont="1" applyFill="1" applyBorder="1"/>
    <xf numFmtId="165" fontId="6" fillId="2" borderId="0" xfId="0" applyNumberFormat="1" applyFont="1" applyFill="1" applyBorder="1" applyAlignment="1">
      <alignment horizontal="left"/>
    </xf>
    <xf numFmtId="37" fontId="6" fillId="2" borderId="0" xfId="0" applyNumberFormat="1" applyFont="1" applyFill="1" applyBorder="1"/>
    <xf numFmtId="1" fontId="6" fillId="2" borderId="0" xfId="0" applyNumberFormat="1" applyFont="1" applyFill="1" applyBorder="1" applyAlignment="1">
      <alignment horizontal="center"/>
    </xf>
    <xf numFmtId="37" fontId="6" fillId="2" borderId="0" xfId="1" applyNumberFormat="1" applyFont="1" applyFill="1" applyBorder="1" applyAlignment="1">
      <alignment horizontal="right"/>
    </xf>
    <xf numFmtId="165" fontId="6" fillId="2" borderId="0" xfId="0" applyNumberFormat="1" applyFont="1" applyFill="1" applyAlignment="1">
      <alignment horizontal="center"/>
    </xf>
    <xf numFmtId="0" fontId="0" fillId="0" borderId="0" xfId="0" applyAlignment="1">
      <alignment wrapText="1"/>
    </xf>
    <xf numFmtId="37" fontId="2" fillId="0" borderId="1" xfId="1" applyNumberFormat="1" applyFont="1" applyFill="1" applyBorder="1"/>
    <xf numFmtId="1" fontId="2" fillId="0" borderId="0" xfId="1" applyNumberFormat="1" applyFont="1" applyFill="1" applyBorder="1" applyAlignment="1">
      <alignment horizontal="right"/>
    </xf>
    <xf numFmtId="37" fontId="19" fillId="0" borderId="13" xfId="0" applyNumberFormat="1" applyFont="1" applyFill="1" applyBorder="1"/>
    <xf numFmtId="37" fontId="38" fillId="0" borderId="13" xfId="0" applyNumberFormat="1" applyFont="1" applyFill="1" applyBorder="1"/>
    <xf numFmtId="37" fontId="3" fillId="0" borderId="0" xfId="1" applyNumberFormat="1" applyFont="1" applyFill="1" applyAlignment="1">
      <alignment horizontal="left"/>
    </xf>
    <xf numFmtId="0" fontId="36" fillId="0" borderId="0" xfId="0" applyFont="1" applyFill="1" applyBorder="1"/>
    <xf numFmtId="0" fontId="3" fillId="0" borderId="0" xfId="0" applyFont="1" applyFill="1" applyBorder="1"/>
    <xf numFmtId="0" fontId="0" fillId="0" borderId="0" xfId="0" applyFill="1" applyBorder="1"/>
    <xf numFmtId="0" fontId="0" fillId="0" borderId="0" xfId="0" applyFill="1"/>
    <xf numFmtId="37" fontId="2" fillId="0" borderId="4" xfId="1" applyNumberFormat="1" applyFont="1" applyFill="1" applyBorder="1"/>
    <xf numFmtId="37" fontId="3" fillId="0" borderId="4" xfId="0" applyNumberFormat="1" applyFont="1" applyFill="1" applyBorder="1"/>
    <xf numFmtId="37" fontId="6" fillId="0" borderId="0" xfId="1" applyNumberFormat="1" applyFont="1" applyFill="1" applyBorder="1" applyAlignment="1">
      <alignment horizontal="left" wrapText="1"/>
    </xf>
    <xf numFmtId="0" fontId="0" fillId="0" borderId="0" xfId="0" applyAlignment="1">
      <alignment wrapText="1"/>
    </xf>
  </cellXfs>
  <cellStyles count="3">
    <cellStyle name="Comma" xfId="1" builtinId="3"/>
    <cellStyle name="Normal" xfId="0" builtinId="0"/>
    <cellStyle name="Percent" xfId="2"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51</xdr:col>
      <xdr:colOff>0</xdr:colOff>
      <xdr:row>77</xdr:row>
      <xdr:rowOff>0</xdr:rowOff>
    </xdr:from>
    <xdr:to>
      <xdr:col>51</xdr:col>
      <xdr:colOff>0</xdr:colOff>
      <xdr:row>77</xdr:row>
      <xdr:rowOff>0</xdr:rowOff>
    </xdr:to>
    <xdr:sp macro="" textlink="">
      <xdr:nvSpPr>
        <xdr:cNvPr id="17409" name="Rectangle 1">
          <a:extLst>
            <a:ext uri="{FF2B5EF4-FFF2-40B4-BE49-F238E27FC236}">
              <a16:creationId xmlns:a16="http://schemas.microsoft.com/office/drawing/2014/main" id="{0E29F953-4D0D-C07E-6803-0A355D7F7EB8}"/>
            </a:ext>
          </a:extLst>
        </xdr:cNvPr>
        <xdr:cNvSpPr>
          <a:spLocks noChangeArrowheads="1"/>
        </xdr:cNvSpPr>
      </xdr:nvSpPr>
      <xdr:spPr bwMode="auto">
        <a:xfrm>
          <a:off x="33632775" y="12220575"/>
          <a:ext cx="0" cy="0"/>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77</xdr:row>
      <xdr:rowOff>0</xdr:rowOff>
    </xdr:from>
    <xdr:to>
      <xdr:col>51</xdr:col>
      <xdr:colOff>0</xdr:colOff>
      <xdr:row>77</xdr:row>
      <xdr:rowOff>0</xdr:rowOff>
    </xdr:to>
    <xdr:sp macro="" textlink="">
      <xdr:nvSpPr>
        <xdr:cNvPr id="17410" name="Rectangle 2">
          <a:extLst>
            <a:ext uri="{FF2B5EF4-FFF2-40B4-BE49-F238E27FC236}">
              <a16:creationId xmlns:a16="http://schemas.microsoft.com/office/drawing/2014/main" id="{14621D95-2700-0198-4973-6B446932F1D7}"/>
            </a:ext>
          </a:extLst>
        </xdr:cNvPr>
        <xdr:cNvSpPr>
          <a:spLocks noChangeArrowheads="1"/>
        </xdr:cNvSpPr>
      </xdr:nvSpPr>
      <xdr:spPr bwMode="auto">
        <a:xfrm>
          <a:off x="33632775" y="12220575"/>
          <a:ext cx="0" cy="0"/>
        </a:xfrm>
        <a:prstGeom prst="rect">
          <a:avLst/>
        </a:prstGeom>
        <a:solidFill>
          <a:srgbClr xmlns:mc="http://schemas.openxmlformats.org/markup-compatibility/2006" xmlns:a14="http://schemas.microsoft.com/office/drawing/2010/main" val="FF00FF" mc:Ignorable="a14" a14:legacySpreadsheetColorIndex="1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77</xdr:row>
      <xdr:rowOff>0</xdr:rowOff>
    </xdr:from>
    <xdr:to>
      <xdr:col>51</xdr:col>
      <xdr:colOff>0</xdr:colOff>
      <xdr:row>77</xdr:row>
      <xdr:rowOff>0</xdr:rowOff>
    </xdr:to>
    <xdr:sp macro="" textlink="">
      <xdr:nvSpPr>
        <xdr:cNvPr id="17411" name="Rectangle 3">
          <a:extLst>
            <a:ext uri="{FF2B5EF4-FFF2-40B4-BE49-F238E27FC236}">
              <a16:creationId xmlns:a16="http://schemas.microsoft.com/office/drawing/2014/main" id="{ABA2B1AA-943E-8878-DBA5-B28C025285D3}"/>
            </a:ext>
          </a:extLst>
        </xdr:cNvPr>
        <xdr:cNvSpPr>
          <a:spLocks noChangeArrowheads="1"/>
        </xdr:cNvSpPr>
      </xdr:nvSpPr>
      <xdr:spPr bwMode="auto">
        <a:xfrm>
          <a:off x="33632775" y="12220575"/>
          <a:ext cx="0" cy="0"/>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77</xdr:row>
      <xdr:rowOff>0</xdr:rowOff>
    </xdr:from>
    <xdr:to>
      <xdr:col>51</xdr:col>
      <xdr:colOff>0</xdr:colOff>
      <xdr:row>77</xdr:row>
      <xdr:rowOff>0</xdr:rowOff>
    </xdr:to>
    <xdr:sp macro="" textlink="">
      <xdr:nvSpPr>
        <xdr:cNvPr id="17412" name="Rectangle 4">
          <a:extLst>
            <a:ext uri="{FF2B5EF4-FFF2-40B4-BE49-F238E27FC236}">
              <a16:creationId xmlns:a16="http://schemas.microsoft.com/office/drawing/2014/main" id="{4E433C28-B05C-807D-F0B8-DE3C99F39EC4}"/>
            </a:ext>
          </a:extLst>
        </xdr:cNvPr>
        <xdr:cNvSpPr>
          <a:spLocks noChangeArrowheads="1"/>
        </xdr:cNvSpPr>
      </xdr:nvSpPr>
      <xdr:spPr bwMode="auto">
        <a:xfrm>
          <a:off x="33632775" y="12220575"/>
          <a:ext cx="0" cy="0"/>
        </a:xfrm>
        <a:prstGeom prst="rect">
          <a:avLst/>
        </a:prstGeom>
        <a:solidFill>
          <a:srgbClr xmlns:mc="http://schemas.openxmlformats.org/markup-compatibility/2006" xmlns:a14="http://schemas.microsoft.com/office/drawing/2010/main" val="FF00FF" mc:Ignorable="a14" a14:legacySpreadsheetColorIndex="1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77</xdr:row>
      <xdr:rowOff>0</xdr:rowOff>
    </xdr:from>
    <xdr:to>
      <xdr:col>51</xdr:col>
      <xdr:colOff>0</xdr:colOff>
      <xdr:row>77</xdr:row>
      <xdr:rowOff>0</xdr:rowOff>
    </xdr:to>
    <xdr:sp macro="" textlink="">
      <xdr:nvSpPr>
        <xdr:cNvPr id="17413" name="Rectangle 5">
          <a:extLst>
            <a:ext uri="{FF2B5EF4-FFF2-40B4-BE49-F238E27FC236}">
              <a16:creationId xmlns:a16="http://schemas.microsoft.com/office/drawing/2014/main" id="{F519CDC6-E081-E9DC-DDCC-B9573F1AEA40}"/>
            </a:ext>
          </a:extLst>
        </xdr:cNvPr>
        <xdr:cNvSpPr>
          <a:spLocks noChangeArrowheads="1"/>
        </xdr:cNvSpPr>
      </xdr:nvSpPr>
      <xdr:spPr bwMode="auto">
        <a:xfrm>
          <a:off x="33632775" y="12220575"/>
          <a:ext cx="0" cy="0"/>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77</xdr:row>
      <xdr:rowOff>0</xdr:rowOff>
    </xdr:from>
    <xdr:to>
      <xdr:col>51</xdr:col>
      <xdr:colOff>0</xdr:colOff>
      <xdr:row>77</xdr:row>
      <xdr:rowOff>0</xdr:rowOff>
    </xdr:to>
    <xdr:sp macro="" textlink="">
      <xdr:nvSpPr>
        <xdr:cNvPr id="17414" name="Rectangle 6">
          <a:extLst>
            <a:ext uri="{FF2B5EF4-FFF2-40B4-BE49-F238E27FC236}">
              <a16:creationId xmlns:a16="http://schemas.microsoft.com/office/drawing/2014/main" id="{C709ACE3-833C-6041-76A2-08553320D4EA}"/>
            </a:ext>
          </a:extLst>
        </xdr:cNvPr>
        <xdr:cNvSpPr>
          <a:spLocks noChangeArrowheads="1"/>
        </xdr:cNvSpPr>
      </xdr:nvSpPr>
      <xdr:spPr bwMode="auto">
        <a:xfrm>
          <a:off x="33632775" y="12220575"/>
          <a:ext cx="0" cy="0"/>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77</xdr:row>
      <xdr:rowOff>0</xdr:rowOff>
    </xdr:from>
    <xdr:to>
      <xdr:col>51</xdr:col>
      <xdr:colOff>0</xdr:colOff>
      <xdr:row>77</xdr:row>
      <xdr:rowOff>0</xdr:rowOff>
    </xdr:to>
    <xdr:sp macro="" textlink="">
      <xdr:nvSpPr>
        <xdr:cNvPr id="17415" name="Rectangle 7">
          <a:extLst>
            <a:ext uri="{FF2B5EF4-FFF2-40B4-BE49-F238E27FC236}">
              <a16:creationId xmlns:a16="http://schemas.microsoft.com/office/drawing/2014/main" id="{F9C785A4-57C7-748D-73E4-069BF0CD6625}"/>
            </a:ext>
          </a:extLst>
        </xdr:cNvPr>
        <xdr:cNvSpPr>
          <a:spLocks noChangeArrowheads="1"/>
        </xdr:cNvSpPr>
      </xdr:nvSpPr>
      <xdr:spPr bwMode="auto">
        <a:xfrm>
          <a:off x="33632775" y="12220575"/>
          <a:ext cx="0" cy="0"/>
        </a:xfrm>
        <a:prstGeom prst="rect">
          <a:avLst/>
        </a:prstGeom>
        <a:solidFill>
          <a:srgbClr xmlns:mc="http://schemas.openxmlformats.org/markup-compatibility/2006" xmlns:a14="http://schemas.microsoft.com/office/drawing/2010/main" val="800080" mc:Ignorable="a14" a14:legacySpreadsheetColorIndex="2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77</xdr:row>
      <xdr:rowOff>0</xdr:rowOff>
    </xdr:from>
    <xdr:to>
      <xdr:col>51</xdr:col>
      <xdr:colOff>0</xdr:colOff>
      <xdr:row>77</xdr:row>
      <xdr:rowOff>0</xdr:rowOff>
    </xdr:to>
    <xdr:sp macro="" textlink="">
      <xdr:nvSpPr>
        <xdr:cNvPr id="17416" name="Rectangle 8">
          <a:extLst>
            <a:ext uri="{FF2B5EF4-FFF2-40B4-BE49-F238E27FC236}">
              <a16:creationId xmlns:a16="http://schemas.microsoft.com/office/drawing/2014/main" id="{F6B05168-2395-C6A6-FBF6-3F2B6170BDFC}"/>
            </a:ext>
          </a:extLst>
        </xdr:cNvPr>
        <xdr:cNvSpPr>
          <a:spLocks noChangeArrowheads="1"/>
        </xdr:cNvSpPr>
      </xdr:nvSpPr>
      <xdr:spPr bwMode="auto">
        <a:xfrm>
          <a:off x="33632775" y="12220575"/>
          <a:ext cx="0" cy="0"/>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215</xdr:row>
      <xdr:rowOff>0</xdr:rowOff>
    </xdr:from>
    <xdr:to>
      <xdr:col>51</xdr:col>
      <xdr:colOff>0</xdr:colOff>
      <xdr:row>215</xdr:row>
      <xdr:rowOff>0</xdr:rowOff>
    </xdr:to>
    <xdr:sp macro="" textlink="">
      <xdr:nvSpPr>
        <xdr:cNvPr id="17417" name="Rectangle 9">
          <a:extLst>
            <a:ext uri="{FF2B5EF4-FFF2-40B4-BE49-F238E27FC236}">
              <a16:creationId xmlns:a16="http://schemas.microsoft.com/office/drawing/2014/main" id="{8EBD5145-7873-0EE1-2C1C-6E32234E4BC4}"/>
            </a:ext>
          </a:extLst>
        </xdr:cNvPr>
        <xdr:cNvSpPr>
          <a:spLocks noChangeArrowheads="1"/>
        </xdr:cNvSpPr>
      </xdr:nvSpPr>
      <xdr:spPr bwMode="auto">
        <a:xfrm>
          <a:off x="33632775" y="33756600"/>
          <a:ext cx="0" cy="0"/>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215</xdr:row>
      <xdr:rowOff>0</xdr:rowOff>
    </xdr:from>
    <xdr:to>
      <xdr:col>51</xdr:col>
      <xdr:colOff>0</xdr:colOff>
      <xdr:row>215</xdr:row>
      <xdr:rowOff>0</xdr:rowOff>
    </xdr:to>
    <xdr:sp macro="" textlink="">
      <xdr:nvSpPr>
        <xdr:cNvPr id="17418" name="Rectangle 10">
          <a:extLst>
            <a:ext uri="{FF2B5EF4-FFF2-40B4-BE49-F238E27FC236}">
              <a16:creationId xmlns:a16="http://schemas.microsoft.com/office/drawing/2014/main" id="{443BE464-E9E4-9C8E-B455-CB65448D89C8}"/>
            </a:ext>
          </a:extLst>
        </xdr:cNvPr>
        <xdr:cNvSpPr>
          <a:spLocks noChangeArrowheads="1"/>
        </xdr:cNvSpPr>
      </xdr:nvSpPr>
      <xdr:spPr bwMode="auto">
        <a:xfrm>
          <a:off x="33632775" y="33756600"/>
          <a:ext cx="0" cy="0"/>
        </a:xfrm>
        <a:prstGeom prst="rect">
          <a:avLst/>
        </a:prstGeom>
        <a:solidFill>
          <a:srgbClr xmlns:mc="http://schemas.openxmlformats.org/markup-compatibility/2006" xmlns:a14="http://schemas.microsoft.com/office/drawing/2010/main" val="FF00FF" mc:Ignorable="a14" a14:legacySpreadsheetColorIndex="1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215</xdr:row>
      <xdr:rowOff>0</xdr:rowOff>
    </xdr:from>
    <xdr:to>
      <xdr:col>51</xdr:col>
      <xdr:colOff>0</xdr:colOff>
      <xdr:row>215</xdr:row>
      <xdr:rowOff>0</xdr:rowOff>
    </xdr:to>
    <xdr:sp macro="" textlink="">
      <xdr:nvSpPr>
        <xdr:cNvPr id="17419" name="Rectangle 11">
          <a:extLst>
            <a:ext uri="{FF2B5EF4-FFF2-40B4-BE49-F238E27FC236}">
              <a16:creationId xmlns:a16="http://schemas.microsoft.com/office/drawing/2014/main" id="{8838F9F2-CB36-E7FE-0350-373C2991AC04}"/>
            </a:ext>
          </a:extLst>
        </xdr:cNvPr>
        <xdr:cNvSpPr>
          <a:spLocks noChangeArrowheads="1"/>
        </xdr:cNvSpPr>
      </xdr:nvSpPr>
      <xdr:spPr bwMode="auto">
        <a:xfrm>
          <a:off x="33632775" y="33756600"/>
          <a:ext cx="0" cy="0"/>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215</xdr:row>
      <xdr:rowOff>0</xdr:rowOff>
    </xdr:from>
    <xdr:to>
      <xdr:col>51</xdr:col>
      <xdr:colOff>0</xdr:colOff>
      <xdr:row>215</xdr:row>
      <xdr:rowOff>0</xdr:rowOff>
    </xdr:to>
    <xdr:sp macro="" textlink="">
      <xdr:nvSpPr>
        <xdr:cNvPr id="17420" name="Rectangle 12">
          <a:extLst>
            <a:ext uri="{FF2B5EF4-FFF2-40B4-BE49-F238E27FC236}">
              <a16:creationId xmlns:a16="http://schemas.microsoft.com/office/drawing/2014/main" id="{74A65F88-61D7-344A-A515-4B6E5D9880E1}"/>
            </a:ext>
          </a:extLst>
        </xdr:cNvPr>
        <xdr:cNvSpPr>
          <a:spLocks noChangeArrowheads="1"/>
        </xdr:cNvSpPr>
      </xdr:nvSpPr>
      <xdr:spPr bwMode="auto">
        <a:xfrm>
          <a:off x="33632775" y="33756600"/>
          <a:ext cx="0" cy="0"/>
        </a:xfrm>
        <a:prstGeom prst="rect">
          <a:avLst/>
        </a:prstGeom>
        <a:solidFill>
          <a:srgbClr xmlns:mc="http://schemas.openxmlformats.org/markup-compatibility/2006" xmlns:a14="http://schemas.microsoft.com/office/drawing/2010/main" val="FF00FF" mc:Ignorable="a14" a14:legacySpreadsheetColorIndex="1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215</xdr:row>
      <xdr:rowOff>0</xdr:rowOff>
    </xdr:from>
    <xdr:to>
      <xdr:col>51</xdr:col>
      <xdr:colOff>0</xdr:colOff>
      <xdr:row>215</xdr:row>
      <xdr:rowOff>0</xdr:rowOff>
    </xdr:to>
    <xdr:sp macro="" textlink="">
      <xdr:nvSpPr>
        <xdr:cNvPr id="17421" name="Rectangle 13">
          <a:extLst>
            <a:ext uri="{FF2B5EF4-FFF2-40B4-BE49-F238E27FC236}">
              <a16:creationId xmlns:a16="http://schemas.microsoft.com/office/drawing/2014/main" id="{20A41196-B1AB-0BA7-9C8D-5B42439E896A}"/>
            </a:ext>
          </a:extLst>
        </xdr:cNvPr>
        <xdr:cNvSpPr>
          <a:spLocks noChangeArrowheads="1"/>
        </xdr:cNvSpPr>
      </xdr:nvSpPr>
      <xdr:spPr bwMode="auto">
        <a:xfrm>
          <a:off x="33632775" y="33756600"/>
          <a:ext cx="0" cy="0"/>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215</xdr:row>
      <xdr:rowOff>0</xdr:rowOff>
    </xdr:from>
    <xdr:to>
      <xdr:col>51</xdr:col>
      <xdr:colOff>0</xdr:colOff>
      <xdr:row>215</xdr:row>
      <xdr:rowOff>0</xdr:rowOff>
    </xdr:to>
    <xdr:sp macro="" textlink="">
      <xdr:nvSpPr>
        <xdr:cNvPr id="17422" name="Rectangle 14">
          <a:extLst>
            <a:ext uri="{FF2B5EF4-FFF2-40B4-BE49-F238E27FC236}">
              <a16:creationId xmlns:a16="http://schemas.microsoft.com/office/drawing/2014/main" id="{9F343B75-F15A-60A0-0E9B-3092BA796EF5}"/>
            </a:ext>
          </a:extLst>
        </xdr:cNvPr>
        <xdr:cNvSpPr>
          <a:spLocks noChangeArrowheads="1"/>
        </xdr:cNvSpPr>
      </xdr:nvSpPr>
      <xdr:spPr bwMode="auto">
        <a:xfrm>
          <a:off x="33632775" y="33756600"/>
          <a:ext cx="0" cy="0"/>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215</xdr:row>
      <xdr:rowOff>0</xdr:rowOff>
    </xdr:from>
    <xdr:to>
      <xdr:col>51</xdr:col>
      <xdr:colOff>0</xdr:colOff>
      <xdr:row>215</xdr:row>
      <xdr:rowOff>0</xdr:rowOff>
    </xdr:to>
    <xdr:sp macro="" textlink="">
      <xdr:nvSpPr>
        <xdr:cNvPr id="17423" name="Rectangle 15">
          <a:extLst>
            <a:ext uri="{FF2B5EF4-FFF2-40B4-BE49-F238E27FC236}">
              <a16:creationId xmlns:a16="http://schemas.microsoft.com/office/drawing/2014/main" id="{9D9AF074-43CA-CDD2-B2E4-791F10DE8E56}"/>
            </a:ext>
          </a:extLst>
        </xdr:cNvPr>
        <xdr:cNvSpPr>
          <a:spLocks noChangeArrowheads="1"/>
        </xdr:cNvSpPr>
      </xdr:nvSpPr>
      <xdr:spPr bwMode="auto">
        <a:xfrm>
          <a:off x="33632775" y="33756600"/>
          <a:ext cx="0" cy="0"/>
        </a:xfrm>
        <a:prstGeom prst="rect">
          <a:avLst/>
        </a:prstGeom>
        <a:solidFill>
          <a:srgbClr xmlns:mc="http://schemas.openxmlformats.org/markup-compatibility/2006" xmlns:a14="http://schemas.microsoft.com/office/drawing/2010/main" val="800080" mc:Ignorable="a14" a14:legacySpreadsheetColorIndex="2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215</xdr:row>
      <xdr:rowOff>0</xdr:rowOff>
    </xdr:from>
    <xdr:to>
      <xdr:col>51</xdr:col>
      <xdr:colOff>0</xdr:colOff>
      <xdr:row>215</xdr:row>
      <xdr:rowOff>0</xdr:rowOff>
    </xdr:to>
    <xdr:sp macro="" textlink="">
      <xdr:nvSpPr>
        <xdr:cNvPr id="17424" name="Rectangle 16">
          <a:extLst>
            <a:ext uri="{FF2B5EF4-FFF2-40B4-BE49-F238E27FC236}">
              <a16:creationId xmlns:a16="http://schemas.microsoft.com/office/drawing/2014/main" id="{11496A1E-E6E7-A723-4765-EA7B8BDD87C8}"/>
            </a:ext>
          </a:extLst>
        </xdr:cNvPr>
        <xdr:cNvSpPr>
          <a:spLocks noChangeArrowheads="1"/>
        </xdr:cNvSpPr>
      </xdr:nvSpPr>
      <xdr:spPr bwMode="auto">
        <a:xfrm>
          <a:off x="33632775" y="33756600"/>
          <a:ext cx="0" cy="0"/>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265</xdr:row>
      <xdr:rowOff>0</xdr:rowOff>
    </xdr:from>
    <xdr:to>
      <xdr:col>51</xdr:col>
      <xdr:colOff>0</xdr:colOff>
      <xdr:row>265</xdr:row>
      <xdr:rowOff>0</xdr:rowOff>
    </xdr:to>
    <xdr:sp macro="" textlink="">
      <xdr:nvSpPr>
        <xdr:cNvPr id="17425" name="Rectangle 17">
          <a:extLst>
            <a:ext uri="{FF2B5EF4-FFF2-40B4-BE49-F238E27FC236}">
              <a16:creationId xmlns:a16="http://schemas.microsoft.com/office/drawing/2014/main" id="{C495B207-3954-8D72-B558-A6808D8A57CD}"/>
            </a:ext>
          </a:extLst>
        </xdr:cNvPr>
        <xdr:cNvSpPr>
          <a:spLocks noChangeArrowheads="1"/>
        </xdr:cNvSpPr>
      </xdr:nvSpPr>
      <xdr:spPr bwMode="auto">
        <a:xfrm>
          <a:off x="33632775" y="39147750"/>
          <a:ext cx="0" cy="0"/>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265</xdr:row>
      <xdr:rowOff>0</xdr:rowOff>
    </xdr:from>
    <xdr:to>
      <xdr:col>51</xdr:col>
      <xdr:colOff>0</xdr:colOff>
      <xdr:row>265</xdr:row>
      <xdr:rowOff>0</xdr:rowOff>
    </xdr:to>
    <xdr:sp macro="" textlink="">
      <xdr:nvSpPr>
        <xdr:cNvPr id="17426" name="Rectangle 18">
          <a:extLst>
            <a:ext uri="{FF2B5EF4-FFF2-40B4-BE49-F238E27FC236}">
              <a16:creationId xmlns:a16="http://schemas.microsoft.com/office/drawing/2014/main" id="{3078BB75-E0AA-8F1D-4476-F7691C91CFA6}"/>
            </a:ext>
          </a:extLst>
        </xdr:cNvPr>
        <xdr:cNvSpPr>
          <a:spLocks noChangeArrowheads="1"/>
        </xdr:cNvSpPr>
      </xdr:nvSpPr>
      <xdr:spPr bwMode="auto">
        <a:xfrm>
          <a:off x="33632775" y="39147750"/>
          <a:ext cx="0" cy="0"/>
        </a:xfrm>
        <a:prstGeom prst="rect">
          <a:avLst/>
        </a:prstGeom>
        <a:solidFill>
          <a:srgbClr xmlns:mc="http://schemas.openxmlformats.org/markup-compatibility/2006" xmlns:a14="http://schemas.microsoft.com/office/drawing/2010/main" val="FF00FF" mc:Ignorable="a14" a14:legacySpreadsheetColorIndex="1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265</xdr:row>
      <xdr:rowOff>0</xdr:rowOff>
    </xdr:from>
    <xdr:to>
      <xdr:col>51</xdr:col>
      <xdr:colOff>0</xdr:colOff>
      <xdr:row>265</xdr:row>
      <xdr:rowOff>0</xdr:rowOff>
    </xdr:to>
    <xdr:sp macro="" textlink="">
      <xdr:nvSpPr>
        <xdr:cNvPr id="17427" name="Rectangle 19">
          <a:extLst>
            <a:ext uri="{FF2B5EF4-FFF2-40B4-BE49-F238E27FC236}">
              <a16:creationId xmlns:a16="http://schemas.microsoft.com/office/drawing/2014/main" id="{0E761541-341E-6361-89D3-890E4E5EAFC3}"/>
            </a:ext>
          </a:extLst>
        </xdr:cNvPr>
        <xdr:cNvSpPr>
          <a:spLocks noChangeArrowheads="1"/>
        </xdr:cNvSpPr>
      </xdr:nvSpPr>
      <xdr:spPr bwMode="auto">
        <a:xfrm>
          <a:off x="33632775" y="39147750"/>
          <a:ext cx="0" cy="0"/>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265</xdr:row>
      <xdr:rowOff>0</xdr:rowOff>
    </xdr:from>
    <xdr:to>
      <xdr:col>51</xdr:col>
      <xdr:colOff>0</xdr:colOff>
      <xdr:row>265</xdr:row>
      <xdr:rowOff>0</xdr:rowOff>
    </xdr:to>
    <xdr:sp macro="" textlink="">
      <xdr:nvSpPr>
        <xdr:cNvPr id="17428" name="Rectangle 20">
          <a:extLst>
            <a:ext uri="{FF2B5EF4-FFF2-40B4-BE49-F238E27FC236}">
              <a16:creationId xmlns:a16="http://schemas.microsoft.com/office/drawing/2014/main" id="{3A89CFE1-98EE-D43D-CDDE-34A03E207B6D}"/>
            </a:ext>
          </a:extLst>
        </xdr:cNvPr>
        <xdr:cNvSpPr>
          <a:spLocks noChangeArrowheads="1"/>
        </xdr:cNvSpPr>
      </xdr:nvSpPr>
      <xdr:spPr bwMode="auto">
        <a:xfrm>
          <a:off x="33632775" y="39147750"/>
          <a:ext cx="0" cy="0"/>
        </a:xfrm>
        <a:prstGeom prst="rect">
          <a:avLst/>
        </a:prstGeom>
        <a:solidFill>
          <a:srgbClr xmlns:mc="http://schemas.openxmlformats.org/markup-compatibility/2006" xmlns:a14="http://schemas.microsoft.com/office/drawing/2010/main" val="FF00FF" mc:Ignorable="a14" a14:legacySpreadsheetColorIndex="1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265</xdr:row>
      <xdr:rowOff>0</xdr:rowOff>
    </xdr:from>
    <xdr:to>
      <xdr:col>51</xdr:col>
      <xdr:colOff>0</xdr:colOff>
      <xdr:row>265</xdr:row>
      <xdr:rowOff>0</xdr:rowOff>
    </xdr:to>
    <xdr:sp macro="" textlink="">
      <xdr:nvSpPr>
        <xdr:cNvPr id="17429" name="Rectangle 21">
          <a:extLst>
            <a:ext uri="{FF2B5EF4-FFF2-40B4-BE49-F238E27FC236}">
              <a16:creationId xmlns:a16="http://schemas.microsoft.com/office/drawing/2014/main" id="{5BC37BAC-C1A1-B50C-D554-15651412A7A2}"/>
            </a:ext>
          </a:extLst>
        </xdr:cNvPr>
        <xdr:cNvSpPr>
          <a:spLocks noChangeArrowheads="1"/>
        </xdr:cNvSpPr>
      </xdr:nvSpPr>
      <xdr:spPr bwMode="auto">
        <a:xfrm>
          <a:off x="33632775" y="39147750"/>
          <a:ext cx="0" cy="0"/>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265</xdr:row>
      <xdr:rowOff>0</xdr:rowOff>
    </xdr:from>
    <xdr:to>
      <xdr:col>51</xdr:col>
      <xdr:colOff>0</xdr:colOff>
      <xdr:row>265</xdr:row>
      <xdr:rowOff>0</xdr:rowOff>
    </xdr:to>
    <xdr:sp macro="" textlink="">
      <xdr:nvSpPr>
        <xdr:cNvPr id="17430" name="Rectangle 22">
          <a:extLst>
            <a:ext uri="{FF2B5EF4-FFF2-40B4-BE49-F238E27FC236}">
              <a16:creationId xmlns:a16="http://schemas.microsoft.com/office/drawing/2014/main" id="{3FE914FF-349C-343D-035E-5650889BA3E5}"/>
            </a:ext>
          </a:extLst>
        </xdr:cNvPr>
        <xdr:cNvSpPr>
          <a:spLocks noChangeArrowheads="1"/>
        </xdr:cNvSpPr>
      </xdr:nvSpPr>
      <xdr:spPr bwMode="auto">
        <a:xfrm>
          <a:off x="33632775" y="39147750"/>
          <a:ext cx="0" cy="0"/>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265</xdr:row>
      <xdr:rowOff>0</xdr:rowOff>
    </xdr:from>
    <xdr:to>
      <xdr:col>51</xdr:col>
      <xdr:colOff>0</xdr:colOff>
      <xdr:row>265</xdr:row>
      <xdr:rowOff>0</xdr:rowOff>
    </xdr:to>
    <xdr:sp macro="" textlink="">
      <xdr:nvSpPr>
        <xdr:cNvPr id="17431" name="Rectangle 23">
          <a:extLst>
            <a:ext uri="{FF2B5EF4-FFF2-40B4-BE49-F238E27FC236}">
              <a16:creationId xmlns:a16="http://schemas.microsoft.com/office/drawing/2014/main" id="{4329C8F8-AC58-8848-4840-464B48111221}"/>
            </a:ext>
          </a:extLst>
        </xdr:cNvPr>
        <xdr:cNvSpPr>
          <a:spLocks noChangeArrowheads="1"/>
        </xdr:cNvSpPr>
      </xdr:nvSpPr>
      <xdr:spPr bwMode="auto">
        <a:xfrm>
          <a:off x="33632775" y="39147750"/>
          <a:ext cx="0" cy="0"/>
        </a:xfrm>
        <a:prstGeom prst="rect">
          <a:avLst/>
        </a:prstGeom>
        <a:solidFill>
          <a:srgbClr xmlns:mc="http://schemas.openxmlformats.org/markup-compatibility/2006" xmlns:a14="http://schemas.microsoft.com/office/drawing/2010/main" val="800080" mc:Ignorable="a14" a14:legacySpreadsheetColorIndex="2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265</xdr:row>
      <xdr:rowOff>0</xdr:rowOff>
    </xdr:from>
    <xdr:to>
      <xdr:col>51</xdr:col>
      <xdr:colOff>0</xdr:colOff>
      <xdr:row>265</xdr:row>
      <xdr:rowOff>0</xdr:rowOff>
    </xdr:to>
    <xdr:sp macro="" textlink="">
      <xdr:nvSpPr>
        <xdr:cNvPr id="17432" name="Rectangle 24">
          <a:extLst>
            <a:ext uri="{FF2B5EF4-FFF2-40B4-BE49-F238E27FC236}">
              <a16:creationId xmlns:a16="http://schemas.microsoft.com/office/drawing/2014/main" id="{4E694A90-1467-A0E6-79AB-10C324D85837}"/>
            </a:ext>
          </a:extLst>
        </xdr:cNvPr>
        <xdr:cNvSpPr>
          <a:spLocks noChangeArrowheads="1"/>
        </xdr:cNvSpPr>
      </xdr:nvSpPr>
      <xdr:spPr bwMode="auto">
        <a:xfrm>
          <a:off x="33632775" y="39147750"/>
          <a:ext cx="0" cy="0"/>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247</xdr:row>
      <xdr:rowOff>0</xdr:rowOff>
    </xdr:from>
    <xdr:to>
      <xdr:col>51</xdr:col>
      <xdr:colOff>0</xdr:colOff>
      <xdr:row>247</xdr:row>
      <xdr:rowOff>0</xdr:rowOff>
    </xdr:to>
    <xdr:sp macro="" textlink="">
      <xdr:nvSpPr>
        <xdr:cNvPr id="17433" name="Rectangle 25">
          <a:extLst>
            <a:ext uri="{FF2B5EF4-FFF2-40B4-BE49-F238E27FC236}">
              <a16:creationId xmlns:a16="http://schemas.microsoft.com/office/drawing/2014/main" id="{A879274A-158F-E9E8-E19C-9E64ACBA25BA}"/>
            </a:ext>
          </a:extLst>
        </xdr:cNvPr>
        <xdr:cNvSpPr>
          <a:spLocks noChangeArrowheads="1"/>
        </xdr:cNvSpPr>
      </xdr:nvSpPr>
      <xdr:spPr bwMode="auto">
        <a:xfrm>
          <a:off x="33632775" y="37985700"/>
          <a:ext cx="0" cy="0"/>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247</xdr:row>
      <xdr:rowOff>0</xdr:rowOff>
    </xdr:from>
    <xdr:to>
      <xdr:col>51</xdr:col>
      <xdr:colOff>0</xdr:colOff>
      <xdr:row>247</xdr:row>
      <xdr:rowOff>0</xdr:rowOff>
    </xdr:to>
    <xdr:sp macro="" textlink="">
      <xdr:nvSpPr>
        <xdr:cNvPr id="17434" name="Rectangle 26">
          <a:extLst>
            <a:ext uri="{FF2B5EF4-FFF2-40B4-BE49-F238E27FC236}">
              <a16:creationId xmlns:a16="http://schemas.microsoft.com/office/drawing/2014/main" id="{FAA1F7EB-2FBB-B43E-4BB5-EA7F9C39F743}"/>
            </a:ext>
          </a:extLst>
        </xdr:cNvPr>
        <xdr:cNvSpPr>
          <a:spLocks noChangeArrowheads="1"/>
        </xdr:cNvSpPr>
      </xdr:nvSpPr>
      <xdr:spPr bwMode="auto">
        <a:xfrm>
          <a:off x="33632775" y="37985700"/>
          <a:ext cx="0" cy="0"/>
        </a:xfrm>
        <a:prstGeom prst="rect">
          <a:avLst/>
        </a:prstGeom>
        <a:solidFill>
          <a:srgbClr xmlns:mc="http://schemas.openxmlformats.org/markup-compatibility/2006" xmlns:a14="http://schemas.microsoft.com/office/drawing/2010/main" val="FF00FF" mc:Ignorable="a14" a14:legacySpreadsheetColorIndex="1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247</xdr:row>
      <xdr:rowOff>0</xdr:rowOff>
    </xdr:from>
    <xdr:to>
      <xdr:col>51</xdr:col>
      <xdr:colOff>0</xdr:colOff>
      <xdr:row>247</xdr:row>
      <xdr:rowOff>0</xdr:rowOff>
    </xdr:to>
    <xdr:sp macro="" textlink="">
      <xdr:nvSpPr>
        <xdr:cNvPr id="17435" name="Rectangle 27">
          <a:extLst>
            <a:ext uri="{FF2B5EF4-FFF2-40B4-BE49-F238E27FC236}">
              <a16:creationId xmlns:a16="http://schemas.microsoft.com/office/drawing/2014/main" id="{CD220678-300A-7473-2F72-AED2FB8E984A}"/>
            </a:ext>
          </a:extLst>
        </xdr:cNvPr>
        <xdr:cNvSpPr>
          <a:spLocks noChangeArrowheads="1"/>
        </xdr:cNvSpPr>
      </xdr:nvSpPr>
      <xdr:spPr bwMode="auto">
        <a:xfrm>
          <a:off x="33632775" y="37985700"/>
          <a:ext cx="0" cy="0"/>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247</xdr:row>
      <xdr:rowOff>0</xdr:rowOff>
    </xdr:from>
    <xdr:to>
      <xdr:col>51</xdr:col>
      <xdr:colOff>0</xdr:colOff>
      <xdr:row>247</xdr:row>
      <xdr:rowOff>0</xdr:rowOff>
    </xdr:to>
    <xdr:sp macro="" textlink="">
      <xdr:nvSpPr>
        <xdr:cNvPr id="17436" name="Rectangle 28">
          <a:extLst>
            <a:ext uri="{FF2B5EF4-FFF2-40B4-BE49-F238E27FC236}">
              <a16:creationId xmlns:a16="http://schemas.microsoft.com/office/drawing/2014/main" id="{BFC73CC0-58AF-7CA2-29B3-7C206573EB86}"/>
            </a:ext>
          </a:extLst>
        </xdr:cNvPr>
        <xdr:cNvSpPr>
          <a:spLocks noChangeArrowheads="1"/>
        </xdr:cNvSpPr>
      </xdr:nvSpPr>
      <xdr:spPr bwMode="auto">
        <a:xfrm>
          <a:off x="33632775" y="37985700"/>
          <a:ext cx="0" cy="0"/>
        </a:xfrm>
        <a:prstGeom prst="rect">
          <a:avLst/>
        </a:prstGeom>
        <a:solidFill>
          <a:srgbClr xmlns:mc="http://schemas.openxmlformats.org/markup-compatibility/2006" xmlns:a14="http://schemas.microsoft.com/office/drawing/2010/main" val="FF00FF" mc:Ignorable="a14" a14:legacySpreadsheetColorIndex="1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247</xdr:row>
      <xdr:rowOff>0</xdr:rowOff>
    </xdr:from>
    <xdr:to>
      <xdr:col>51</xdr:col>
      <xdr:colOff>0</xdr:colOff>
      <xdr:row>247</xdr:row>
      <xdr:rowOff>0</xdr:rowOff>
    </xdr:to>
    <xdr:sp macro="" textlink="">
      <xdr:nvSpPr>
        <xdr:cNvPr id="17437" name="Rectangle 29">
          <a:extLst>
            <a:ext uri="{FF2B5EF4-FFF2-40B4-BE49-F238E27FC236}">
              <a16:creationId xmlns:a16="http://schemas.microsoft.com/office/drawing/2014/main" id="{8370104C-D9B6-521D-2C54-738DA5047D3A}"/>
            </a:ext>
          </a:extLst>
        </xdr:cNvPr>
        <xdr:cNvSpPr>
          <a:spLocks noChangeArrowheads="1"/>
        </xdr:cNvSpPr>
      </xdr:nvSpPr>
      <xdr:spPr bwMode="auto">
        <a:xfrm>
          <a:off x="33632775" y="37985700"/>
          <a:ext cx="0" cy="0"/>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247</xdr:row>
      <xdr:rowOff>0</xdr:rowOff>
    </xdr:from>
    <xdr:to>
      <xdr:col>51</xdr:col>
      <xdr:colOff>0</xdr:colOff>
      <xdr:row>247</xdr:row>
      <xdr:rowOff>0</xdr:rowOff>
    </xdr:to>
    <xdr:sp macro="" textlink="">
      <xdr:nvSpPr>
        <xdr:cNvPr id="17438" name="Rectangle 30">
          <a:extLst>
            <a:ext uri="{FF2B5EF4-FFF2-40B4-BE49-F238E27FC236}">
              <a16:creationId xmlns:a16="http://schemas.microsoft.com/office/drawing/2014/main" id="{E5BC02B2-CB12-C05A-6722-866992238927}"/>
            </a:ext>
          </a:extLst>
        </xdr:cNvPr>
        <xdr:cNvSpPr>
          <a:spLocks noChangeArrowheads="1"/>
        </xdr:cNvSpPr>
      </xdr:nvSpPr>
      <xdr:spPr bwMode="auto">
        <a:xfrm>
          <a:off x="33632775" y="37985700"/>
          <a:ext cx="0" cy="0"/>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247</xdr:row>
      <xdr:rowOff>0</xdr:rowOff>
    </xdr:from>
    <xdr:to>
      <xdr:col>51</xdr:col>
      <xdr:colOff>0</xdr:colOff>
      <xdr:row>247</xdr:row>
      <xdr:rowOff>0</xdr:rowOff>
    </xdr:to>
    <xdr:sp macro="" textlink="">
      <xdr:nvSpPr>
        <xdr:cNvPr id="17439" name="Rectangle 31">
          <a:extLst>
            <a:ext uri="{FF2B5EF4-FFF2-40B4-BE49-F238E27FC236}">
              <a16:creationId xmlns:a16="http://schemas.microsoft.com/office/drawing/2014/main" id="{75CDA858-B443-F79C-2FC1-632588378688}"/>
            </a:ext>
          </a:extLst>
        </xdr:cNvPr>
        <xdr:cNvSpPr>
          <a:spLocks noChangeArrowheads="1"/>
        </xdr:cNvSpPr>
      </xdr:nvSpPr>
      <xdr:spPr bwMode="auto">
        <a:xfrm>
          <a:off x="33632775" y="37985700"/>
          <a:ext cx="0" cy="0"/>
        </a:xfrm>
        <a:prstGeom prst="rect">
          <a:avLst/>
        </a:prstGeom>
        <a:solidFill>
          <a:srgbClr xmlns:mc="http://schemas.openxmlformats.org/markup-compatibility/2006" xmlns:a14="http://schemas.microsoft.com/office/drawing/2010/main" val="800080" mc:Ignorable="a14" a14:legacySpreadsheetColorIndex="2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247</xdr:row>
      <xdr:rowOff>0</xdr:rowOff>
    </xdr:from>
    <xdr:to>
      <xdr:col>51</xdr:col>
      <xdr:colOff>0</xdr:colOff>
      <xdr:row>247</xdr:row>
      <xdr:rowOff>0</xdr:rowOff>
    </xdr:to>
    <xdr:sp macro="" textlink="">
      <xdr:nvSpPr>
        <xdr:cNvPr id="17440" name="Rectangle 32">
          <a:extLst>
            <a:ext uri="{FF2B5EF4-FFF2-40B4-BE49-F238E27FC236}">
              <a16:creationId xmlns:a16="http://schemas.microsoft.com/office/drawing/2014/main" id="{9822508D-FC66-0FBE-F42E-2431192FFA3C}"/>
            </a:ext>
          </a:extLst>
        </xdr:cNvPr>
        <xdr:cNvSpPr>
          <a:spLocks noChangeArrowheads="1"/>
        </xdr:cNvSpPr>
      </xdr:nvSpPr>
      <xdr:spPr bwMode="auto">
        <a:xfrm>
          <a:off x="33632775" y="37985700"/>
          <a:ext cx="0" cy="0"/>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DX220"/>
  <sheetViews>
    <sheetView zoomScaleNormal="100" workbookViewId="0">
      <pane xSplit="4" ySplit="8" topLeftCell="AX235" activePane="bottomRight" state="frozen"/>
      <selection pane="topRight" activeCell="E1" sqref="E1"/>
      <selection pane="bottomLeft" activeCell="A9" sqref="A9"/>
      <selection pane="bottomRight" activeCell="BA252" sqref="BA252"/>
    </sheetView>
  </sheetViews>
  <sheetFormatPr defaultRowHeight="12.75" x14ac:dyDescent="0.2"/>
  <cols>
    <col min="1" max="1" width="4.85546875" style="83" customWidth="1"/>
    <col min="2" max="2" width="37" style="1" customWidth="1"/>
    <col min="3" max="3" width="18.5703125" style="1" customWidth="1"/>
    <col min="4" max="4" width="8.140625" style="194" bestFit="1" customWidth="1"/>
    <col min="5" max="5" width="10.28515625" style="1" customWidth="1"/>
    <col min="6" max="6" width="8.7109375" style="1" customWidth="1"/>
    <col min="7" max="7" width="9.28515625" style="1" customWidth="1"/>
    <col min="8" max="8" width="10.28515625" style="1" customWidth="1"/>
    <col min="9" max="9" width="9.7109375" style="1" customWidth="1"/>
    <col min="10" max="10" width="9.5703125" style="1" customWidth="1"/>
    <col min="11" max="11" width="9.28515625" style="2" customWidth="1"/>
    <col min="12" max="12" width="1.85546875" style="7" customWidth="1"/>
    <col min="13" max="13" width="31.28515625" style="5" customWidth="1"/>
    <col min="14" max="17" width="7.7109375" style="8" customWidth="1"/>
    <col min="18" max="18" width="7.7109375" style="66" customWidth="1"/>
    <col min="19" max="21" width="7.7109375" style="8" customWidth="1"/>
    <col min="22" max="23" width="8.28515625" style="8" customWidth="1"/>
    <col min="24" max="24" width="7.7109375" style="8" customWidth="1"/>
    <col min="25" max="25" width="8.42578125" style="8" customWidth="1"/>
    <col min="26" max="26" width="7.7109375" style="8" customWidth="1"/>
    <col min="27" max="27" width="8.28515625" style="8" customWidth="1"/>
    <col min="28" max="31" width="7.7109375" style="8" customWidth="1"/>
    <col min="32" max="32" width="9.7109375" style="8" customWidth="1"/>
    <col min="33" max="38" width="7.7109375" style="8" customWidth="1"/>
    <col min="39" max="42" width="8.42578125" style="8" customWidth="1"/>
    <col min="43" max="46" width="9.28515625" style="8" customWidth="1"/>
    <col min="47" max="47" width="1.7109375" style="8" customWidth="1"/>
    <col min="48" max="51" width="7.7109375" style="8" customWidth="1"/>
    <col min="52" max="52" width="8.28515625" style="8" bestFit="1" customWidth="1"/>
    <col min="53" max="53" width="14.140625" bestFit="1" customWidth="1"/>
  </cols>
  <sheetData>
    <row r="1" spans="1:128" x14ac:dyDescent="0.2">
      <c r="B1" s="3" t="s">
        <v>3</v>
      </c>
      <c r="J1" s="2"/>
    </row>
    <row r="2" spans="1:128" x14ac:dyDescent="0.2">
      <c r="B2" s="3" t="s">
        <v>4</v>
      </c>
      <c r="J2" s="2"/>
    </row>
    <row r="3" spans="1:128" x14ac:dyDescent="0.2">
      <c r="B3" s="3" t="s">
        <v>364</v>
      </c>
    </row>
    <row r="4" spans="1:128" x14ac:dyDescent="0.2">
      <c r="B4" s="2" t="s">
        <v>470</v>
      </c>
    </row>
    <row r="5" spans="1:128" ht="15" x14ac:dyDescent="0.2">
      <c r="A5" s="198" t="s">
        <v>557</v>
      </c>
      <c r="C5" s="76"/>
      <c r="D5" s="195"/>
      <c r="K5" s="9"/>
      <c r="R5" s="261"/>
      <c r="Z5" s="10"/>
    </row>
    <row r="6" spans="1:128" ht="15" x14ac:dyDescent="0.2">
      <c r="A6" s="198"/>
      <c r="C6" s="76"/>
      <c r="D6" s="195"/>
      <c r="K6" s="9"/>
      <c r="N6" s="238" t="s">
        <v>367</v>
      </c>
      <c r="O6" s="238" t="s">
        <v>368</v>
      </c>
      <c r="P6" s="238" t="s">
        <v>371</v>
      </c>
      <c r="Q6" s="238" t="s">
        <v>514</v>
      </c>
      <c r="R6" s="238" t="s">
        <v>372</v>
      </c>
      <c r="S6" s="238" t="s">
        <v>373</v>
      </c>
      <c r="T6" s="238" t="s">
        <v>369</v>
      </c>
      <c r="U6" s="238" t="s">
        <v>370</v>
      </c>
      <c r="V6" s="238" t="s">
        <v>374</v>
      </c>
      <c r="W6" s="239" t="s">
        <v>529</v>
      </c>
      <c r="X6" s="238" t="s">
        <v>375</v>
      </c>
      <c r="Y6" s="238" t="s">
        <v>385</v>
      </c>
      <c r="Z6" s="238" t="s">
        <v>376</v>
      </c>
      <c r="AA6" s="238" t="s">
        <v>377</v>
      </c>
      <c r="AB6" s="238" t="s">
        <v>378</v>
      </c>
      <c r="AC6" s="238" t="s">
        <v>379</v>
      </c>
      <c r="AD6" s="238" t="s">
        <v>380</v>
      </c>
      <c r="AE6" s="238" t="s">
        <v>381</v>
      </c>
      <c r="AF6" s="238" t="s">
        <v>382</v>
      </c>
      <c r="AG6" s="238" t="s">
        <v>383</v>
      </c>
      <c r="AH6" s="238" t="s">
        <v>359</v>
      </c>
      <c r="AI6" s="238" t="s">
        <v>360</v>
      </c>
      <c r="AJ6" s="238" t="s">
        <v>361</v>
      </c>
      <c r="AK6" s="238" t="s">
        <v>384</v>
      </c>
      <c r="AL6" s="238" t="s">
        <v>362</v>
      </c>
      <c r="AM6" s="238" t="s">
        <v>469</v>
      </c>
      <c r="AN6" s="238" t="s">
        <v>466</v>
      </c>
      <c r="AO6" s="238" t="s">
        <v>471</v>
      </c>
      <c r="AP6" s="238"/>
      <c r="AQ6" s="238" t="s">
        <v>479</v>
      </c>
      <c r="AR6" s="238" t="s">
        <v>493</v>
      </c>
      <c r="AS6" s="238"/>
      <c r="AT6" s="238" t="s">
        <v>494</v>
      </c>
      <c r="AU6" s="240"/>
      <c r="AV6" s="240"/>
      <c r="AW6" s="238" t="s">
        <v>272</v>
      </c>
      <c r="AX6" s="238" t="s">
        <v>272</v>
      </c>
      <c r="AY6" s="240"/>
      <c r="AZ6" s="240"/>
      <c r="BA6" s="241"/>
      <c r="BB6" s="241"/>
      <c r="BC6" s="241"/>
      <c r="BD6" s="241"/>
      <c r="BE6" s="241"/>
      <c r="BF6" s="241"/>
      <c r="BG6" s="241"/>
      <c r="BH6" s="241"/>
      <c r="BI6" s="241"/>
      <c r="BJ6" s="241"/>
      <c r="BK6" s="241"/>
    </row>
    <row r="7" spans="1:128" x14ac:dyDescent="0.2">
      <c r="E7" s="11" t="s">
        <v>363</v>
      </c>
      <c r="F7" s="11"/>
      <c r="G7" s="11"/>
      <c r="H7" s="11"/>
      <c r="I7" s="11"/>
      <c r="J7" s="11"/>
      <c r="K7" s="11" t="s">
        <v>85</v>
      </c>
      <c r="M7" s="13"/>
      <c r="N7" s="237" t="s">
        <v>512</v>
      </c>
      <c r="O7" s="237" t="s">
        <v>512</v>
      </c>
      <c r="P7" s="237">
        <v>102276</v>
      </c>
      <c r="Q7" s="237">
        <v>102343</v>
      </c>
      <c r="R7" s="237" t="s">
        <v>512</v>
      </c>
      <c r="S7" s="237">
        <v>100256</v>
      </c>
      <c r="T7" s="237" t="s">
        <v>512</v>
      </c>
      <c r="U7" s="237" t="s">
        <v>512</v>
      </c>
      <c r="V7" s="237">
        <v>111723</v>
      </c>
      <c r="W7" s="242" t="s">
        <v>512</v>
      </c>
      <c r="X7" s="236">
        <v>105717</v>
      </c>
      <c r="Y7" s="237">
        <v>106041</v>
      </c>
      <c r="Z7" s="237">
        <v>111824</v>
      </c>
      <c r="AA7" s="237">
        <v>120459</v>
      </c>
      <c r="AB7" s="237">
        <v>100672</v>
      </c>
      <c r="AC7" s="237">
        <v>106196</v>
      </c>
      <c r="AD7" s="237">
        <v>105285</v>
      </c>
      <c r="AE7" s="237">
        <v>104151</v>
      </c>
      <c r="AF7" s="237">
        <v>107629</v>
      </c>
      <c r="AG7" s="237">
        <v>100290</v>
      </c>
      <c r="AH7" s="237">
        <v>102055</v>
      </c>
      <c r="AI7" s="237">
        <v>102564</v>
      </c>
      <c r="AJ7" s="237">
        <v>102247</v>
      </c>
      <c r="AK7" s="237">
        <v>102352</v>
      </c>
      <c r="AL7" s="237">
        <v>102183</v>
      </c>
      <c r="AM7" s="237">
        <v>103353</v>
      </c>
      <c r="AN7" s="237"/>
      <c r="AO7" s="237">
        <v>120459</v>
      </c>
      <c r="AP7" s="237"/>
      <c r="AQ7" s="237"/>
      <c r="AR7" s="237">
        <v>100184</v>
      </c>
      <c r="AS7" s="237"/>
      <c r="AT7" s="237">
        <v>100003</v>
      </c>
      <c r="AU7" s="237"/>
      <c r="AV7" s="237"/>
      <c r="AW7" s="237"/>
      <c r="AX7" s="237"/>
      <c r="AY7" s="12"/>
    </row>
    <row r="8" spans="1:128" ht="28.5" customHeight="1" x14ac:dyDescent="0.2">
      <c r="A8" s="38" t="s">
        <v>269</v>
      </c>
      <c r="B8" s="15" t="s">
        <v>270</v>
      </c>
      <c r="C8" s="15" t="s">
        <v>268</v>
      </c>
      <c r="D8" s="190" t="s">
        <v>265</v>
      </c>
      <c r="E8" s="202" t="s">
        <v>284</v>
      </c>
      <c r="F8" s="15" t="s">
        <v>10</v>
      </c>
      <c r="G8" s="15" t="s">
        <v>156</v>
      </c>
      <c r="H8" s="202" t="s">
        <v>282</v>
      </c>
      <c r="I8" s="202" t="s">
        <v>283</v>
      </c>
      <c r="J8" s="15" t="s">
        <v>2</v>
      </c>
      <c r="K8" s="193" t="s">
        <v>366</v>
      </c>
      <c r="L8" s="17"/>
      <c r="M8" s="15" t="s">
        <v>271</v>
      </c>
      <c r="N8" s="33" t="s">
        <v>15</v>
      </c>
      <c r="O8" s="33" t="s">
        <v>16</v>
      </c>
      <c r="P8" s="33" t="s">
        <v>105</v>
      </c>
      <c r="Q8" s="33" t="s">
        <v>515</v>
      </c>
      <c r="R8" s="33" t="s">
        <v>101</v>
      </c>
      <c r="S8" s="33" t="s">
        <v>17</v>
      </c>
      <c r="T8" s="33" t="s">
        <v>107</v>
      </c>
      <c r="U8" s="33" t="s">
        <v>14</v>
      </c>
      <c r="V8" s="33" t="s">
        <v>106</v>
      </c>
      <c r="W8" s="33" t="s">
        <v>530</v>
      </c>
      <c r="X8" s="33" t="s">
        <v>386</v>
      </c>
      <c r="Y8" s="33" t="s">
        <v>387</v>
      </c>
      <c r="Z8" s="33" t="s">
        <v>388</v>
      </c>
      <c r="AA8" s="33" t="s">
        <v>173</v>
      </c>
      <c r="AB8" s="33" t="s">
        <v>102</v>
      </c>
      <c r="AC8" s="33" t="s">
        <v>389</v>
      </c>
      <c r="AD8" s="33" t="s">
        <v>13</v>
      </c>
      <c r="AE8" s="33" t="s">
        <v>390</v>
      </c>
      <c r="AF8" s="33" t="s">
        <v>391</v>
      </c>
      <c r="AG8" s="33" t="s">
        <v>184</v>
      </c>
      <c r="AH8" s="33" t="s">
        <v>392</v>
      </c>
      <c r="AI8" s="33" t="s">
        <v>393</v>
      </c>
      <c r="AJ8" s="33" t="s">
        <v>318</v>
      </c>
      <c r="AK8" s="33" t="s">
        <v>280</v>
      </c>
      <c r="AL8" s="33" t="s">
        <v>317</v>
      </c>
      <c r="AM8" s="33" t="s">
        <v>463</v>
      </c>
      <c r="AN8" s="33" t="s">
        <v>464</v>
      </c>
      <c r="AO8" s="33" t="s">
        <v>465</v>
      </c>
      <c r="AP8" s="33" t="s">
        <v>516</v>
      </c>
      <c r="AQ8" s="33" t="s">
        <v>478</v>
      </c>
      <c r="AR8" s="33" t="s">
        <v>480</v>
      </c>
      <c r="AS8" s="33" t="s">
        <v>481</v>
      </c>
      <c r="AT8" s="33" t="s">
        <v>492</v>
      </c>
      <c r="AU8" s="33"/>
      <c r="AV8" s="18" t="s">
        <v>325</v>
      </c>
      <c r="AW8" s="33" t="s">
        <v>104</v>
      </c>
      <c r="AX8" s="33" t="s">
        <v>503</v>
      </c>
      <c r="AY8" s="18" t="s">
        <v>18</v>
      </c>
      <c r="AZ8" s="18" t="s">
        <v>11</v>
      </c>
      <c r="DX8" s="173"/>
    </row>
    <row r="9" spans="1:128" x14ac:dyDescent="0.2">
      <c r="A9" s="87"/>
      <c r="B9" s="30"/>
      <c r="C9" s="30"/>
      <c r="D9" s="196"/>
      <c r="E9" s="30"/>
      <c r="F9" s="30"/>
      <c r="G9" s="30"/>
      <c r="H9" s="30"/>
      <c r="I9" s="30"/>
      <c r="J9" s="30"/>
      <c r="K9" s="30"/>
      <c r="L9" s="174"/>
      <c r="M9" s="30"/>
      <c r="N9" s="175"/>
      <c r="O9" s="175"/>
      <c r="P9" s="175"/>
      <c r="Q9" s="175"/>
      <c r="R9" s="175"/>
      <c r="S9" s="175"/>
      <c r="T9" s="175"/>
      <c r="U9" s="175"/>
      <c r="V9" s="175"/>
      <c r="W9" s="175"/>
      <c r="X9" s="175"/>
      <c r="Y9" s="175"/>
      <c r="Z9" s="175"/>
      <c r="AA9" s="175"/>
      <c r="AB9" s="175"/>
      <c r="AC9" s="175"/>
      <c r="AD9" s="175"/>
      <c r="AE9" s="175"/>
      <c r="AF9" s="175"/>
      <c r="AG9" s="175"/>
      <c r="AH9" s="175"/>
      <c r="AI9" s="175"/>
      <c r="AJ9" s="175"/>
      <c r="AK9" s="175"/>
      <c r="AL9" s="175"/>
      <c r="AM9" s="175"/>
      <c r="AN9" s="175"/>
      <c r="AO9" s="175"/>
      <c r="AP9" s="175"/>
      <c r="AQ9" s="175"/>
      <c r="AR9" s="175"/>
      <c r="AS9" s="175"/>
      <c r="AT9" s="175"/>
      <c r="AU9" s="175"/>
      <c r="AV9" s="175"/>
      <c r="AW9" s="175"/>
      <c r="AX9" s="175"/>
      <c r="AY9" s="14"/>
      <c r="AZ9" s="14"/>
    </row>
    <row r="10" spans="1:128" s="132" customFormat="1" x14ac:dyDescent="0.2">
      <c r="A10" s="85">
        <v>1</v>
      </c>
      <c r="B10" s="29" t="s">
        <v>324</v>
      </c>
      <c r="C10" s="19" t="s">
        <v>136</v>
      </c>
      <c r="D10" s="197">
        <v>100001</v>
      </c>
      <c r="E10" s="218">
        <f>1269+123+189</f>
        <v>1581</v>
      </c>
      <c r="F10" s="97">
        <v>148</v>
      </c>
      <c r="G10" s="97">
        <v>12</v>
      </c>
      <c r="H10" s="97">
        <v>148</v>
      </c>
      <c r="I10" s="97">
        <f>70+150</f>
        <v>220</v>
      </c>
      <c r="J10" s="97">
        <v>-195</v>
      </c>
      <c r="K10" s="97">
        <f>SUM(E10:J10)</f>
        <v>1914</v>
      </c>
      <c r="L10" s="219"/>
      <c r="M10" s="218" t="s">
        <v>545</v>
      </c>
      <c r="N10" s="97">
        <v>28</v>
      </c>
      <c r="O10" s="97">
        <v>54</v>
      </c>
      <c r="P10" s="97">
        <v>61</v>
      </c>
      <c r="Q10" s="97">
        <v>61</v>
      </c>
      <c r="R10" s="97">
        <v>6</v>
      </c>
      <c r="S10" s="97">
        <v>0</v>
      </c>
      <c r="T10" s="97">
        <v>32</v>
      </c>
      <c r="U10" s="97">
        <v>210</v>
      </c>
      <c r="V10" s="97">
        <v>48</v>
      </c>
      <c r="W10" s="97">
        <v>16</v>
      </c>
      <c r="X10" s="97">
        <v>316</v>
      </c>
      <c r="Y10" s="97">
        <v>3</v>
      </c>
      <c r="Z10" s="97">
        <v>33</v>
      </c>
      <c r="AA10" s="97">
        <v>7</v>
      </c>
      <c r="AB10" s="97">
        <v>13</v>
      </c>
      <c r="AC10" s="97">
        <v>13</v>
      </c>
      <c r="AD10" s="97">
        <v>270</v>
      </c>
      <c r="AE10" s="97">
        <v>219</v>
      </c>
      <c r="AF10" s="97">
        <v>8</v>
      </c>
      <c r="AG10" s="97">
        <v>0</v>
      </c>
      <c r="AH10" s="97">
        <v>19</v>
      </c>
      <c r="AI10" s="97">
        <v>23</v>
      </c>
      <c r="AJ10" s="97">
        <v>10</v>
      </c>
      <c r="AK10" s="97">
        <v>19</v>
      </c>
      <c r="AL10" s="97">
        <v>12</v>
      </c>
      <c r="AM10" s="97">
        <v>138</v>
      </c>
      <c r="AN10" s="97">
        <v>0</v>
      </c>
      <c r="AO10" s="97">
        <v>78</v>
      </c>
      <c r="AP10" s="97">
        <v>21</v>
      </c>
      <c r="AQ10" s="97">
        <v>0</v>
      </c>
      <c r="AR10" s="97">
        <v>0</v>
      </c>
      <c r="AS10" s="97">
        <v>0</v>
      </c>
      <c r="AT10" s="97">
        <v>0</v>
      </c>
      <c r="AU10" s="97"/>
      <c r="AV10" s="97">
        <f t="shared" ref="AV10:AV36" si="0">SUM(N10:AU10)</f>
        <v>1718</v>
      </c>
      <c r="AW10" s="97">
        <v>196</v>
      </c>
      <c r="AX10" s="97">
        <v>0</v>
      </c>
      <c r="AY10" s="97">
        <f>+AV10+AW10+AX10</f>
        <v>1914</v>
      </c>
      <c r="AZ10" s="97">
        <f t="shared" ref="AZ10:AZ41" si="1">+K10-AY10</f>
        <v>0</v>
      </c>
      <c r="BA10" s="224"/>
      <c r="BB10" s="224"/>
      <c r="BC10" s="224"/>
      <c r="BD10" s="224"/>
      <c r="BE10" s="224"/>
      <c r="BF10" s="224"/>
      <c r="BG10" s="224"/>
      <c r="BH10" s="224"/>
      <c r="BI10" s="224"/>
    </row>
    <row r="11" spans="1:128" s="132" customFormat="1" hidden="1" x14ac:dyDescent="0.2">
      <c r="A11" s="85">
        <v>1</v>
      </c>
      <c r="B11" s="19" t="s">
        <v>218</v>
      </c>
      <c r="C11" s="19" t="s">
        <v>246</v>
      </c>
      <c r="D11" s="197">
        <v>100003</v>
      </c>
      <c r="E11" s="218">
        <v>0</v>
      </c>
      <c r="F11" s="97">
        <v>0</v>
      </c>
      <c r="G11" s="97">
        <v>0</v>
      </c>
      <c r="H11" s="97">
        <v>0</v>
      </c>
      <c r="I11" s="97">
        <v>0</v>
      </c>
      <c r="J11" s="97">
        <v>0</v>
      </c>
      <c r="K11" s="97">
        <f t="shared" ref="K11:K74" si="2">SUM(E11:J11)</f>
        <v>0</v>
      </c>
      <c r="L11" s="219"/>
      <c r="M11" s="218" t="s">
        <v>242</v>
      </c>
      <c r="N11" s="97">
        <v>0</v>
      </c>
      <c r="O11" s="97">
        <v>0</v>
      </c>
      <c r="P11" s="97">
        <v>0</v>
      </c>
      <c r="Q11" s="97"/>
      <c r="R11" s="97">
        <v>0</v>
      </c>
      <c r="S11" s="97">
        <v>0</v>
      </c>
      <c r="T11" s="97">
        <v>0</v>
      </c>
      <c r="U11" s="97">
        <v>0</v>
      </c>
      <c r="V11" s="97">
        <v>0</v>
      </c>
      <c r="W11" s="97">
        <v>0</v>
      </c>
      <c r="X11" s="97">
        <v>0</v>
      </c>
      <c r="Y11" s="97">
        <v>0</v>
      </c>
      <c r="Z11" s="97">
        <v>0</v>
      </c>
      <c r="AA11" s="97">
        <v>0</v>
      </c>
      <c r="AB11" s="97">
        <v>0</v>
      </c>
      <c r="AC11" s="97">
        <v>0</v>
      </c>
      <c r="AD11" s="97">
        <v>0</v>
      </c>
      <c r="AE11" s="97">
        <v>0</v>
      </c>
      <c r="AF11" s="97">
        <v>0</v>
      </c>
      <c r="AG11" s="97">
        <v>0</v>
      </c>
      <c r="AH11" s="97">
        <v>0</v>
      </c>
      <c r="AI11" s="97">
        <v>0</v>
      </c>
      <c r="AJ11" s="97">
        <v>0</v>
      </c>
      <c r="AK11" s="97">
        <v>0</v>
      </c>
      <c r="AL11" s="97">
        <v>0</v>
      </c>
      <c r="AM11" s="97">
        <v>0</v>
      </c>
      <c r="AN11" s="97">
        <v>0</v>
      </c>
      <c r="AO11" s="97">
        <v>0</v>
      </c>
      <c r="AP11" s="97">
        <v>0</v>
      </c>
      <c r="AQ11" s="97">
        <v>0</v>
      </c>
      <c r="AR11" s="97">
        <v>0</v>
      </c>
      <c r="AS11" s="97">
        <v>0</v>
      </c>
      <c r="AT11" s="97">
        <v>0</v>
      </c>
      <c r="AU11" s="97"/>
      <c r="AV11" s="97">
        <f t="shared" si="0"/>
        <v>0</v>
      </c>
      <c r="AW11" s="97">
        <v>0</v>
      </c>
      <c r="AX11" s="97">
        <v>0</v>
      </c>
      <c r="AY11" s="97">
        <f t="shared" ref="AY11:AY74" si="3">+AV11+AW11+AX11</f>
        <v>0</v>
      </c>
      <c r="AZ11" s="97">
        <f t="shared" si="1"/>
        <v>0</v>
      </c>
      <c r="BA11" s="224"/>
      <c r="BB11" s="224"/>
      <c r="BC11" s="224"/>
      <c r="BD11" s="224"/>
      <c r="BE11" s="224"/>
      <c r="BF11" s="224"/>
      <c r="BG11" s="224"/>
      <c r="BH11" s="224"/>
      <c r="BI11" s="224"/>
    </row>
    <row r="12" spans="1:128" s="132" customFormat="1" x14ac:dyDescent="0.2">
      <c r="A12" s="85">
        <v>1</v>
      </c>
      <c r="B12" s="29" t="s">
        <v>46</v>
      </c>
      <c r="C12" s="19" t="s">
        <v>424</v>
      </c>
      <c r="D12" s="197">
        <v>100005</v>
      </c>
      <c r="E12" s="218">
        <v>0</v>
      </c>
      <c r="F12" s="97">
        <v>0</v>
      </c>
      <c r="G12" s="97">
        <v>0</v>
      </c>
      <c r="H12" s="97">
        <v>0</v>
      </c>
      <c r="I12" s="97">
        <v>0</v>
      </c>
      <c r="J12" s="97">
        <v>9091</v>
      </c>
      <c r="K12" s="97">
        <f t="shared" si="2"/>
        <v>9091</v>
      </c>
      <c r="L12" s="219"/>
      <c r="M12" s="218" t="s">
        <v>182</v>
      </c>
      <c r="N12" s="97">
        <v>0</v>
      </c>
      <c r="O12" s="97">
        <v>0</v>
      </c>
      <c r="P12" s="97">
        <v>0</v>
      </c>
      <c r="Q12" s="97">
        <v>0</v>
      </c>
      <c r="R12" s="97">
        <v>0</v>
      </c>
      <c r="S12" s="97">
        <v>0</v>
      </c>
      <c r="T12" s="97">
        <v>0</v>
      </c>
      <c r="U12" s="97">
        <v>0</v>
      </c>
      <c r="V12" s="97">
        <v>0</v>
      </c>
      <c r="W12" s="97">
        <v>0</v>
      </c>
      <c r="X12" s="97">
        <v>0</v>
      </c>
      <c r="Y12" s="97">
        <v>0</v>
      </c>
      <c r="Z12" s="97">
        <v>0</v>
      </c>
      <c r="AA12" s="97">
        <v>0</v>
      </c>
      <c r="AB12" s="97">
        <v>0</v>
      </c>
      <c r="AC12" s="97">
        <v>0</v>
      </c>
      <c r="AD12" s="97">
        <v>0</v>
      </c>
      <c r="AE12" s="97">
        <v>0</v>
      </c>
      <c r="AF12" s="97">
        <v>0</v>
      </c>
      <c r="AG12" s="97">
        <v>0</v>
      </c>
      <c r="AH12" s="97">
        <v>0</v>
      </c>
      <c r="AI12" s="97">
        <v>0</v>
      </c>
      <c r="AJ12" s="97">
        <v>0</v>
      </c>
      <c r="AK12" s="97">
        <v>0</v>
      </c>
      <c r="AL12" s="97">
        <v>0</v>
      </c>
      <c r="AM12" s="97">
        <v>0</v>
      </c>
      <c r="AN12" s="97">
        <v>0</v>
      </c>
      <c r="AO12" s="97">
        <v>0</v>
      </c>
      <c r="AP12" s="97">
        <v>0</v>
      </c>
      <c r="AQ12" s="97">
        <v>0</v>
      </c>
      <c r="AR12" s="97">
        <v>0</v>
      </c>
      <c r="AS12" s="97">
        <v>0</v>
      </c>
      <c r="AT12" s="97">
        <v>0</v>
      </c>
      <c r="AU12" s="97"/>
      <c r="AV12" s="97">
        <f t="shared" si="0"/>
        <v>0</v>
      </c>
      <c r="AW12" s="97">
        <v>9091</v>
      </c>
      <c r="AX12" s="97">
        <v>0</v>
      </c>
      <c r="AY12" s="97">
        <f t="shared" si="3"/>
        <v>9091</v>
      </c>
      <c r="AZ12" s="97">
        <f t="shared" si="1"/>
        <v>0</v>
      </c>
      <c r="BA12" s="224"/>
      <c r="BB12" s="224"/>
      <c r="BC12" s="224"/>
      <c r="BD12" s="224"/>
      <c r="BE12" s="224"/>
      <c r="BF12" s="224"/>
      <c r="BG12" s="224"/>
      <c r="BH12" s="224"/>
      <c r="BI12" s="224"/>
    </row>
    <row r="13" spans="1:128" s="132" customFormat="1" x14ac:dyDescent="0.2">
      <c r="A13" s="84" t="s">
        <v>272</v>
      </c>
      <c r="B13" s="19" t="s">
        <v>65</v>
      </c>
      <c r="C13" s="19" t="s">
        <v>136</v>
      </c>
      <c r="D13" s="197">
        <v>100007</v>
      </c>
      <c r="E13" s="218">
        <v>0</v>
      </c>
      <c r="F13" s="97">
        <v>0</v>
      </c>
      <c r="G13" s="97">
        <v>0</v>
      </c>
      <c r="H13" s="97">
        <v>0</v>
      </c>
      <c r="I13" s="97">
        <v>0</v>
      </c>
      <c r="J13" s="97">
        <v>14738</v>
      </c>
      <c r="K13" s="97">
        <f t="shared" si="2"/>
        <v>14738</v>
      </c>
      <c r="L13" s="219"/>
      <c r="M13" s="218" t="s">
        <v>66</v>
      </c>
      <c r="N13" s="97">
        <v>0</v>
      </c>
      <c r="O13" s="97">
        <v>200</v>
      </c>
      <c r="P13" s="97">
        <v>300</v>
      </c>
      <c r="Q13" s="97">
        <v>0</v>
      </c>
      <c r="R13" s="97">
        <v>0</v>
      </c>
      <c r="S13" s="97">
        <v>0</v>
      </c>
      <c r="T13" s="97">
        <v>75</v>
      </c>
      <c r="U13" s="97">
        <v>450</v>
      </c>
      <c r="V13" s="97">
        <v>1125</v>
      </c>
      <c r="W13" s="97">
        <v>0</v>
      </c>
      <c r="X13" s="97">
        <f>200-24-17</f>
        <v>159</v>
      </c>
      <c r="Y13" s="97">
        <v>0</v>
      </c>
      <c r="Z13" s="97">
        <v>200</v>
      </c>
      <c r="AA13" s="97">
        <v>0</v>
      </c>
      <c r="AB13" s="97">
        <v>0</v>
      </c>
      <c r="AC13" s="97">
        <v>0</v>
      </c>
      <c r="AD13" s="97">
        <v>725</v>
      </c>
      <c r="AE13" s="97">
        <v>500</v>
      </c>
      <c r="AF13" s="97">
        <v>0</v>
      </c>
      <c r="AG13" s="97">
        <v>350</v>
      </c>
      <c r="AH13" s="97">
        <v>125</v>
      </c>
      <c r="AI13" s="97">
        <v>0</v>
      </c>
      <c r="AJ13" s="97">
        <v>0</v>
      </c>
      <c r="AK13" s="97">
        <v>0</v>
      </c>
      <c r="AL13" s="97">
        <f>75-41</f>
        <v>34</v>
      </c>
      <c r="AM13" s="97">
        <v>0</v>
      </c>
      <c r="AN13" s="97">
        <v>0</v>
      </c>
      <c r="AO13" s="97">
        <f>24+41</f>
        <v>65</v>
      </c>
      <c r="AP13" s="97">
        <v>17</v>
      </c>
      <c r="AQ13" s="97">
        <v>0</v>
      </c>
      <c r="AR13" s="97">
        <v>0</v>
      </c>
      <c r="AS13" s="97">
        <v>0</v>
      </c>
      <c r="AT13" s="97">
        <v>0</v>
      </c>
      <c r="AU13" s="97"/>
      <c r="AV13" s="97">
        <f t="shared" si="0"/>
        <v>4325</v>
      </c>
      <c r="AW13" s="97">
        <f>9888+525</f>
        <v>10413</v>
      </c>
      <c r="AX13" s="97">
        <v>0</v>
      </c>
      <c r="AY13" s="97">
        <f t="shared" si="3"/>
        <v>14738</v>
      </c>
      <c r="AZ13" s="97">
        <f t="shared" si="1"/>
        <v>0</v>
      </c>
      <c r="BA13" s="224"/>
      <c r="BB13" s="224"/>
      <c r="BC13" s="224"/>
      <c r="BD13" s="224"/>
      <c r="BE13" s="224"/>
      <c r="BF13" s="224"/>
      <c r="BG13" s="224"/>
      <c r="BH13" s="224"/>
      <c r="BI13" s="224"/>
    </row>
    <row r="14" spans="1:128" s="132" customFormat="1" x14ac:dyDescent="0.2">
      <c r="A14" s="84" t="s">
        <v>272</v>
      </c>
      <c r="B14" s="29" t="s">
        <v>176</v>
      </c>
      <c r="C14" s="19" t="s">
        <v>425</v>
      </c>
      <c r="D14" s="197">
        <v>100008</v>
      </c>
      <c r="E14" s="218">
        <f>37+5+8</f>
        <v>50</v>
      </c>
      <c r="F14" s="97">
        <v>4</v>
      </c>
      <c r="G14" s="97">
        <v>1</v>
      </c>
      <c r="H14" s="97">
        <v>175</v>
      </c>
      <c r="I14" s="97">
        <f>3+18</f>
        <v>21</v>
      </c>
      <c r="J14" s="97">
        <v>-94</v>
      </c>
      <c r="K14" s="97">
        <f t="shared" si="2"/>
        <v>157</v>
      </c>
      <c r="L14" s="219"/>
      <c r="M14" s="218" t="s">
        <v>496</v>
      </c>
      <c r="N14" s="97">
        <v>20</v>
      </c>
      <c r="O14" s="97">
        <v>20</v>
      </c>
      <c r="P14" s="97">
        <v>0</v>
      </c>
      <c r="Q14" s="97">
        <v>0</v>
      </c>
      <c r="R14" s="97">
        <v>19</v>
      </c>
      <c r="S14" s="97">
        <v>0</v>
      </c>
      <c r="T14" s="97">
        <v>19</v>
      </c>
      <c r="U14" s="97">
        <v>19</v>
      </c>
      <c r="V14" s="97">
        <v>0</v>
      </c>
      <c r="W14" s="97">
        <v>4</v>
      </c>
      <c r="X14" s="97">
        <v>3</v>
      </c>
      <c r="Y14" s="97">
        <v>0</v>
      </c>
      <c r="Z14" s="97">
        <v>1</v>
      </c>
      <c r="AA14" s="97">
        <v>6</v>
      </c>
      <c r="AB14" s="97">
        <v>0</v>
      </c>
      <c r="AC14" s="97">
        <v>0</v>
      </c>
      <c r="AD14" s="97">
        <v>7</v>
      </c>
      <c r="AE14" s="97">
        <v>7</v>
      </c>
      <c r="AF14" s="97">
        <v>0</v>
      </c>
      <c r="AG14" s="97">
        <v>0</v>
      </c>
      <c r="AH14" s="97">
        <v>0</v>
      </c>
      <c r="AI14" s="97">
        <v>0</v>
      </c>
      <c r="AJ14" s="97">
        <v>0</v>
      </c>
      <c r="AK14" s="97">
        <v>0</v>
      </c>
      <c r="AL14" s="97">
        <v>0</v>
      </c>
      <c r="AM14" s="97">
        <v>19</v>
      </c>
      <c r="AN14" s="97">
        <v>0</v>
      </c>
      <c r="AO14" s="97">
        <v>4</v>
      </c>
      <c r="AP14" s="97">
        <v>4</v>
      </c>
      <c r="AQ14" s="97">
        <v>0</v>
      </c>
      <c r="AR14" s="97">
        <v>0</v>
      </c>
      <c r="AS14" s="97">
        <v>0</v>
      </c>
      <c r="AT14" s="97">
        <v>0</v>
      </c>
      <c r="AU14" s="97"/>
      <c r="AV14" s="246">
        <f>SUM(N14:AU14)</f>
        <v>152</v>
      </c>
      <c r="AW14" s="97">
        <v>5</v>
      </c>
      <c r="AX14" s="97">
        <v>0</v>
      </c>
      <c r="AY14" s="246">
        <f>+AV14+AW14+AX14</f>
        <v>157</v>
      </c>
      <c r="AZ14" s="97">
        <f t="shared" si="1"/>
        <v>0</v>
      </c>
      <c r="BA14" s="224"/>
      <c r="BB14" s="224"/>
      <c r="BC14" s="224"/>
      <c r="BD14" s="224"/>
      <c r="BE14" s="224"/>
      <c r="BF14" s="224"/>
      <c r="BG14" s="224"/>
      <c r="BH14" s="224"/>
      <c r="BI14" s="224"/>
    </row>
    <row r="15" spans="1:128" s="132" customFormat="1" x14ac:dyDescent="0.2">
      <c r="A15" s="85">
        <v>11</v>
      </c>
      <c r="B15" s="19" t="s">
        <v>41</v>
      </c>
      <c r="C15" s="19" t="s">
        <v>138</v>
      </c>
      <c r="D15" s="197">
        <v>100009</v>
      </c>
      <c r="E15" s="218">
        <v>0</v>
      </c>
      <c r="F15" s="97">
        <v>628</v>
      </c>
      <c r="G15" s="97">
        <v>0</v>
      </c>
      <c r="H15" s="97">
        <v>800</v>
      </c>
      <c r="I15" s="97">
        <v>1</v>
      </c>
      <c r="J15" s="97">
        <v>0</v>
      </c>
      <c r="K15" s="97">
        <f t="shared" si="2"/>
        <v>1429</v>
      </c>
      <c r="L15" s="219"/>
      <c r="M15" s="218" t="s">
        <v>182</v>
      </c>
      <c r="N15" s="97">
        <v>0</v>
      </c>
      <c r="O15" s="97">
        <v>0</v>
      </c>
      <c r="P15" s="97">
        <v>0</v>
      </c>
      <c r="Q15" s="97">
        <v>0</v>
      </c>
      <c r="R15" s="97">
        <v>0</v>
      </c>
      <c r="S15" s="97">
        <v>0</v>
      </c>
      <c r="T15" s="97">
        <v>0</v>
      </c>
      <c r="U15" s="97">
        <v>0</v>
      </c>
      <c r="V15" s="97">
        <v>0</v>
      </c>
      <c r="W15" s="97">
        <v>0</v>
      </c>
      <c r="X15" s="97">
        <v>0</v>
      </c>
      <c r="Y15" s="97">
        <v>0</v>
      </c>
      <c r="Z15" s="97">
        <v>0</v>
      </c>
      <c r="AA15" s="97">
        <v>0</v>
      </c>
      <c r="AB15" s="97">
        <v>0</v>
      </c>
      <c r="AC15" s="97">
        <v>0</v>
      </c>
      <c r="AD15" s="97">
        <v>0</v>
      </c>
      <c r="AE15" s="97">
        <v>0</v>
      </c>
      <c r="AF15" s="97">
        <v>0</v>
      </c>
      <c r="AG15" s="97">
        <v>0</v>
      </c>
      <c r="AH15" s="97">
        <v>0</v>
      </c>
      <c r="AI15" s="97">
        <v>0</v>
      </c>
      <c r="AJ15" s="97">
        <v>0</v>
      </c>
      <c r="AK15" s="97">
        <v>0</v>
      </c>
      <c r="AL15" s="97">
        <v>0</v>
      </c>
      <c r="AM15" s="97">
        <v>0</v>
      </c>
      <c r="AN15" s="97">
        <v>0</v>
      </c>
      <c r="AO15" s="97">
        <v>0</v>
      </c>
      <c r="AP15" s="97">
        <v>0</v>
      </c>
      <c r="AQ15" s="97">
        <v>0</v>
      </c>
      <c r="AR15" s="97">
        <v>0</v>
      </c>
      <c r="AS15" s="97">
        <v>0</v>
      </c>
      <c r="AT15" s="97">
        <v>0</v>
      </c>
      <c r="AU15" s="97"/>
      <c r="AV15" s="97">
        <f t="shared" si="0"/>
        <v>0</v>
      </c>
      <c r="AW15" s="97">
        <v>1429</v>
      </c>
      <c r="AX15" s="97">
        <v>0</v>
      </c>
      <c r="AY15" s="97">
        <f t="shared" si="3"/>
        <v>1429</v>
      </c>
      <c r="AZ15" s="97">
        <f t="shared" si="1"/>
        <v>0</v>
      </c>
      <c r="BA15" s="224"/>
      <c r="BB15" s="224"/>
      <c r="BC15" s="224"/>
      <c r="BD15" s="224"/>
      <c r="BE15" s="224"/>
      <c r="BF15" s="224"/>
      <c r="BG15" s="224"/>
      <c r="BH15" s="224"/>
      <c r="BI15" s="224"/>
    </row>
    <row r="16" spans="1:128" s="132" customFormat="1" x14ac:dyDescent="0.2">
      <c r="A16" s="85">
        <v>11</v>
      </c>
      <c r="B16" s="19" t="s">
        <v>151</v>
      </c>
      <c r="C16" s="19" t="s">
        <v>132</v>
      </c>
      <c r="D16" s="197">
        <v>100012</v>
      </c>
      <c r="E16" s="218">
        <f>2993+215+450</f>
        <v>3658</v>
      </c>
      <c r="F16" s="97">
        <v>124</v>
      </c>
      <c r="G16" s="97">
        <v>50</v>
      </c>
      <c r="H16" s="97">
        <f>1650+1+50</f>
        <v>1701</v>
      </c>
      <c r="I16" s="97">
        <f>270+417</f>
        <v>687</v>
      </c>
      <c r="J16" s="97">
        <v>40</v>
      </c>
      <c r="K16" s="97">
        <f t="shared" si="2"/>
        <v>6260</v>
      </c>
      <c r="L16" s="219"/>
      <c r="M16" s="218" t="s">
        <v>19</v>
      </c>
      <c r="N16" s="97">
        <v>0</v>
      </c>
      <c r="O16" s="97">
        <v>0</v>
      </c>
      <c r="P16" s="97">
        <v>0</v>
      </c>
      <c r="Q16" s="97">
        <v>0</v>
      </c>
      <c r="R16" s="97">
        <v>0</v>
      </c>
      <c r="S16" s="97">
        <v>0</v>
      </c>
      <c r="T16" s="97">
        <v>0</v>
      </c>
      <c r="U16" s="97">
        <v>0</v>
      </c>
      <c r="V16" s="97">
        <v>0</v>
      </c>
      <c r="W16" s="97">
        <v>0</v>
      </c>
      <c r="X16" s="97">
        <v>0</v>
      </c>
      <c r="Y16" s="97">
        <v>0</v>
      </c>
      <c r="Z16" s="97">
        <v>0</v>
      </c>
      <c r="AA16" s="97">
        <v>0</v>
      </c>
      <c r="AB16" s="97">
        <v>0</v>
      </c>
      <c r="AC16" s="97">
        <v>0</v>
      </c>
      <c r="AD16" s="97">
        <v>0</v>
      </c>
      <c r="AE16" s="97">
        <v>0</v>
      </c>
      <c r="AF16" s="97">
        <v>0</v>
      </c>
      <c r="AG16" s="97">
        <v>0</v>
      </c>
      <c r="AH16" s="97">
        <v>0</v>
      </c>
      <c r="AI16" s="97">
        <v>0</v>
      </c>
      <c r="AJ16" s="97">
        <v>0</v>
      </c>
      <c r="AK16" s="97">
        <v>0</v>
      </c>
      <c r="AL16" s="97">
        <v>0</v>
      </c>
      <c r="AM16" s="97">
        <v>0</v>
      </c>
      <c r="AN16" s="97">
        <v>0</v>
      </c>
      <c r="AO16" s="97">
        <v>0</v>
      </c>
      <c r="AP16" s="97">
        <v>0</v>
      </c>
      <c r="AQ16" s="97">
        <v>0</v>
      </c>
      <c r="AR16" s="97">
        <v>0</v>
      </c>
      <c r="AS16" s="97">
        <v>0</v>
      </c>
      <c r="AT16" s="97">
        <v>0</v>
      </c>
      <c r="AU16" s="97"/>
      <c r="AV16" s="97">
        <f t="shared" si="0"/>
        <v>0</v>
      </c>
      <c r="AW16" s="97">
        <v>6260</v>
      </c>
      <c r="AX16" s="97">
        <v>0</v>
      </c>
      <c r="AY16" s="97">
        <f t="shared" si="3"/>
        <v>6260</v>
      </c>
      <c r="AZ16" s="97">
        <f t="shared" si="1"/>
        <v>0</v>
      </c>
      <c r="BA16" s="224"/>
      <c r="BB16" s="224"/>
      <c r="BC16" s="224"/>
      <c r="BD16" s="224"/>
      <c r="BE16" s="224"/>
      <c r="BF16" s="224"/>
      <c r="BG16" s="224"/>
      <c r="BH16" s="224"/>
      <c r="BI16" s="224"/>
    </row>
    <row r="17" spans="1:61" s="132" customFormat="1" x14ac:dyDescent="0.2">
      <c r="A17" s="84" t="s">
        <v>272</v>
      </c>
      <c r="B17" s="29" t="s">
        <v>326</v>
      </c>
      <c r="C17" s="19" t="s">
        <v>288</v>
      </c>
      <c r="D17" s="197">
        <v>100013</v>
      </c>
      <c r="E17" s="218">
        <f>128+11+21</f>
        <v>160</v>
      </c>
      <c r="F17" s="97">
        <v>11</v>
      </c>
      <c r="G17" s="97">
        <v>6</v>
      </c>
      <c r="H17" s="97">
        <f>1478+5</f>
        <v>1483</v>
      </c>
      <c r="I17" s="97">
        <f>21+92</f>
        <v>113</v>
      </c>
      <c r="J17" s="97">
        <v>-197</v>
      </c>
      <c r="K17" s="97">
        <f t="shared" si="2"/>
        <v>1576</v>
      </c>
      <c r="L17" s="219"/>
      <c r="M17" s="218" t="s">
        <v>497</v>
      </c>
      <c r="N17" s="97">
        <v>25</v>
      </c>
      <c r="O17" s="97">
        <v>47</v>
      </c>
      <c r="P17" s="97">
        <v>50</v>
      </c>
      <c r="Q17" s="97">
        <v>54</v>
      </c>
      <c r="R17" s="97">
        <v>5</v>
      </c>
      <c r="S17" s="97">
        <v>0</v>
      </c>
      <c r="T17" s="97">
        <v>29</v>
      </c>
      <c r="U17" s="97">
        <v>184</v>
      </c>
      <c r="V17" s="97">
        <v>35</v>
      </c>
      <c r="W17" s="97">
        <v>14</v>
      </c>
      <c r="X17" s="97">
        <v>256</v>
      </c>
      <c r="Y17" s="97">
        <v>2</v>
      </c>
      <c r="Z17" s="97">
        <v>29</v>
      </c>
      <c r="AA17" s="97">
        <v>6</v>
      </c>
      <c r="AB17" s="97">
        <v>1</v>
      </c>
      <c r="AC17" s="97">
        <v>12</v>
      </c>
      <c r="AD17" s="97">
        <v>227</v>
      </c>
      <c r="AE17" s="97">
        <v>183</v>
      </c>
      <c r="AF17" s="97">
        <v>3</v>
      </c>
      <c r="AG17" s="97">
        <v>0</v>
      </c>
      <c r="AH17" s="97">
        <v>13</v>
      </c>
      <c r="AI17" s="97">
        <v>12</v>
      </c>
      <c r="AJ17" s="97">
        <v>6</v>
      </c>
      <c r="AK17" s="97">
        <v>15</v>
      </c>
      <c r="AL17" s="97">
        <v>5</v>
      </c>
      <c r="AM17" s="97">
        <v>117</v>
      </c>
      <c r="AN17" s="97">
        <v>0</v>
      </c>
      <c r="AO17" s="97">
        <v>68</v>
      </c>
      <c r="AP17" s="97">
        <v>18</v>
      </c>
      <c r="AQ17" s="97">
        <v>0</v>
      </c>
      <c r="AR17" s="97">
        <v>0</v>
      </c>
      <c r="AS17" s="97">
        <v>0</v>
      </c>
      <c r="AT17" s="97">
        <v>0</v>
      </c>
      <c r="AU17" s="97"/>
      <c r="AV17" s="246">
        <f>SUM(N17:AU17)</f>
        <v>1416</v>
      </c>
      <c r="AW17" s="97">
        <v>160</v>
      </c>
      <c r="AX17" s="97">
        <v>0</v>
      </c>
      <c r="AY17" s="97">
        <f t="shared" si="3"/>
        <v>1576</v>
      </c>
      <c r="AZ17" s="97">
        <f t="shared" si="1"/>
        <v>0</v>
      </c>
      <c r="BA17" s="224"/>
      <c r="BB17" s="224"/>
      <c r="BC17" s="224"/>
      <c r="BD17" s="224"/>
      <c r="BE17" s="224"/>
      <c r="BF17" s="224"/>
      <c r="BG17" s="224"/>
      <c r="BH17" s="224"/>
      <c r="BI17" s="224"/>
    </row>
    <row r="18" spans="1:61" s="132" customFormat="1" x14ac:dyDescent="0.2">
      <c r="A18" s="85">
        <v>11</v>
      </c>
      <c r="B18" s="19" t="s">
        <v>311</v>
      </c>
      <c r="C18" s="19" t="s">
        <v>139</v>
      </c>
      <c r="D18" s="197">
        <v>100016</v>
      </c>
      <c r="E18" s="218">
        <f>700+18+79</f>
        <v>797</v>
      </c>
      <c r="F18" s="97">
        <v>167</v>
      </c>
      <c r="G18" s="97">
        <v>20</v>
      </c>
      <c r="H18" s="97">
        <f>643+50</f>
        <v>693</v>
      </c>
      <c r="I18" s="97">
        <f>30+90</f>
        <v>120</v>
      </c>
      <c r="J18" s="97">
        <v>36</v>
      </c>
      <c r="K18" s="97">
        <f t="shared" si="2"/>
        <v>1833</v>
      </c>
      <c r="L18" s="219"/>
      <c r="M18" s="218" t="s">
        <v>19</v>
      </c>
      <c r="N18" s="97">
        <v>0</v>
      </c>
      <c r="O18" s="97">
        <v>0</v>
      </c>
      <c r="P18" s="97">
        <v>0</v>
      </c>
      <c r="Q18" s="97">
        <v>0</v>
      </c>
      <c r="R18" s="97">
        <v>0</v>
      </c>
      <c r="S18" s="97">
        <v>0</v>
      </c>
      <c r="T18" s="97">
        <v>0</v>
      </c>
      <c r="U18" s="97">
        <v>0</v>
      </c>
      <c r="V18" s="97">
        <v>0</v>
      </c>
      <c r="W18" s="97">
        <v>0</v>
      </c>
      <c r="X18" s="97">
        <v>0</v>
      </c>
      <c r="Y18" s="97">
        <v>0</v>
      </c>
      <c r="Z18" s="97">
        <v>0</v>
      </c>
      <c r="AA18" s="97">
        <v>0</v>
      </c>
      <c r="AB18" s="97">
        <v>0</v>
      </c>
      <c r="AC18" s="97">
        <v>0</v>
      </c>
      <c r="AD18" s="97">
        <v>0</v>
      </c>
      <c r="AE18" s="97">
        <v>0</v>
      </c>
      <c r="AF18" s="97">
        <v>0</v>
      </c>
      <c r="AG18" s="97">
        <v>0</v>
      </c>
      <c r="AH18" s="97">
        <v>0</v>
      </c>
      <c r="AI18" s="97">
        <v>0</v>
      </c>
      <c r="AJ18" s="97">
        <v>0</v>
      </c>
      <c r="AK18" s="97">
        <v>0</v>
      </c>
      <c r="AL18" s="97">
        <v>0</v>
      </c>
      <c r="AM18" s="97">
        <v>0</v>
      </c>
      <c r="AN18" s="97">
        <v>0</v>
      </c>
      <c r="AO18" s="97">
        <v>0</v>
      </c>
      <c r="AP18" s="97">
        <v>0</v>
      </c>
      <c r="AQ18" s="97">
        <v>0</v>
      </c>
      <c r="AR18" s="97">
        <v>0</v>
      </c>
      <c r="AS18" s="97">
        <v>0</v>
      </c>
      <c r="AT18" s="97">
        <v>0</v>
      </c>
      <c r="AU18" s="97"/>
      <c r="AV18" s="97">
        <f t="shared" si="0"/>
        <v>0</v>
      </c>
      <c r="AW18" s="97">
        <v>1833</v>
      </c>
      <c r="AX18" s="97">
        <v>0</v>
      </c>
      <c r="AY18" s="97">
        <f t="shared" si="3"/>
        <v>1833</v>
      </c>
      <c r="AZ18" s="97">
        <f t="shared" si="1"/>
        <v>0</v>
      </c>
    </row>
    <row r="19" spans="1:61" s="132" customFormat="1" x14ac:dyDescent="0.2">
      <c r="A19" s="85">
        <v>11</v>
      </c>
      <c r="B19" s="19" t="s">
        <v>29</v>
      </c>
      <c r="C19" s="19" t="s">
        <v>140</v>
      </c>
      <c r="D19" s="197">
        <v>100017</v>
      </c>
      <c r="E19" s="218">
        <f>1091+22+115</f>
        <v>1228</v>
      </c>
      <c r="F19" s="97">
        <f>965-300+27</f>
        <v>692</v>
      </c>
      <c r="G19" s="97">
        <v>10</v>
      </c>
      <c r="H19" s="97">
        <f>1500+20+3-200</f>
        <v>1323</v>
      </c>
      <c r="I19" s="97">
        <f>30+76</f>
        <v>106</v>
      </c>
      <c r="J19" s="97">
        <v>41</v>
      </c>
      <c r="K19" s="97">
        <f t="shared" si="2"/>
        <v>3400</v>
      </c>
      <c r="L19" s="219"/>
      <c r="M19" s="218" t="s">
        <v>19</v>
      </c>
      <c r="N19" s="97">
        <v>0</v>
      </c>
      <c r="O19" s="97">
        <v>0</v>
      </c>
      <c r="P19" s="97">
        <v>0</v>
      </c>
      <c r="Q19" s="97">
        <v>0</v>
      </c>
      <c r="R19" s="97">
        <v>0</v>
      </c>
      <c r="S19" s="97">
        <v>0</v>
      </c>
      <c r="T19" s="97">
        <v>0</v>
      </c>
      <c r="U19" s="97">
        <v>0</v>
      </c>
      <c r="V19" s="97">
        <v>0</v>
      </c>
      <c r="W19" s="97">
        <v>0</v>
      </c>
      <c r="X19" s="97">
        <v>0</v>
      </c>
      <c r="Y19" s="97">
        <v>0</v>
      </c>
      <c r="Z19" s="97">
        <v>0</v>
      </c>
      <c r="AA19" s="97">
        <v>0</v>
      </c>
      <c r="AB19" s="97">
        <v>0</v>
      </c>
      <c r="AC19" s="97">
        <v>0</v>
      </c>
      <c r="AD19" s="97">
        <v>0</v>
      </c>
      <c r="AE19" s="97">
        <v>0</v>
      </c>
      <c r="AF19" s="97">
        <v>0</v>
      </c>
      <c r="AG19" s="97">
        <v>0</v>
      </c>
      <c r="AH19" s="97">
        <v>0</v>
      </c>
      <c r="AI19" s="97">
        <v>0</v>
      </c>
      <c r="AJ19" s="97">
        <v>0</v>
      </c>
      <c r="AK19" s="97">
        <v>0</v>
      </c>
      <c r="AL19" s="97">
        <v>0</v>
      </c>
      <c r="AM19" s="97">
        <v>0</v>
      </c>
      <c r="AN19" s="97">
        <v>0</v>
      </c>
      <c r="AO19" s="97">
        <v>0</v>
      </c>
      <c r="AP19" s="97">
        <v>0</v>
      </c>
      <c r="AQ19" s="97">
        <v>0</v>
      </c>
      <c r="AR19" s="97">
        <v>0</v>
      </c>
      <c r="AS19" s="97">
        <v>0</v>
      </c>
      <c r="AT19" s="97">
        <v>0</v>
      </c>
      <c r="AU19" s="97"/>
      <c r="AV19" s="97">
        <f t="shared" si="0"/>
        <v>0</v>
      </c>
      <c r="AW19" s="97">
        <v>3400</v>
      </c>
      <c r="AX19" s="97">
        <v>0</v>
      </c>
      <c r="AY19" s="97">
        <f t="shared" si="3"/>
        <v>3400</v>
      </c>
      <c r="AZ19" s="97">
        <f t="shared" si="1"/>
        <v>0</v>
      </c>
    </row>
    <row r="20" spans="1:61" s="132" customFormat="1" x14ac:dyDescent="0.2">
      <c r="A20" s="85">
        <v>11</v>
      </c>
      <c r="B20" s="19" t="s">
        <v>28</v>
      </c>
      <c r="C20" s="19" t="s">
        <v>138</v>
      </c>
      <c r="D20" s="197">
        <v>100018</v>
      </c>
      <c r="E20" s="218">
        <f>90+7+18</f>
        <v>115</v>
      </c>
      <c r="F20" s="97">
        <v>8</v>
      </c>
      <c r="G20" s="97">
        <v>4</v>
      </c>
      <c r="H20" s="97">
        <v>1</v>
      </c>
      <c r="I20" s="97">
        <f>11+132</f>
        <v>143</v>
      </c>
      <c r="J20" s="97">
        <v>0</v>
      </c>
      <c r="K20" s="97">
        <f t="shared" si="2"/>
        <v>271</v>
      </c>
      <c r="L20" s="219"/>
      <c r="M20" s="218" t="s">
        <v>19</v>
      </c>
      <c r="N20" s="97">
        <v>0</v>
      </c>
      <c r="O20" s="97">
        <v>0</v>
      </c>
      <c r="P20" s="97">
        <v>0</v>
      </c>
      <c r="Q20" s="97">
        <v>0</v>
      </c>
      <c r="R20" s="97">
        <v>0</v>
      </c>
      <c r="S20" s="97">
        <v>0</v>
      </c>
      <c r="T20" s="97">
        <v>0</v>
      </c>
      <c r="U20" s="97">
        <v>0</v>
      </c>
      <c r="V20" s="97">
        <v>0</v>
      </c>
      <c r="W20" s="97">
        <v>0</v>
      </c>
      <c r="X20" s="97">
        <v>0</v>
      </c>
      <c r="Y20" s="97">
        <v>0</v>
      </c>
      <c r="Z20" s="97">
        <v>0</v>
      </c>
      <c r="AA20" s="97">
        <v>0</v>
      </c>
      <c r="AB20" s="97">
        <v>0</v>
      </c>
      <c r="AC20" s="97">
        <v>0</v>
      </c>
      <c r="AD20" s="97">
        <v>0</v>
      </c>
      <c r="AE20" s="97">
        <v>0</v>
      </c>
      <c r="AF20" s="97">
        <v>0</v>
      </c>
      <c r="AG20" s="97">
        <v>0</v>
      </c>
      <c r="AH20" s="97">
        <v>0</v>
      </c>
      <c r="AI20" s="97">
        <v>0</v>
      </c>
      <c r="AJ20" s="97">
        <v>0</v>
      </c>
      <c r="AK20" s="97">
        <v>0</v>
      </c>
      <c r="AL20" s="97">
        <v>0</v>
      </c>
      <c r="AM20" s="97">
        <v>0</v>
      </c>
      <c r="AN20" s="97">
        <v>0</v>
      </c>
      <c r="AO20" s="97">
        <v>0</v>
      </c>
      <c r="AP20" s="97">
        <v>0</v>
      </c>
      <c r="AQ20" s="97">
        <v>0</v>
      </c>
      <c r="AR20" s="97">
        <v>0</v>
      </c>
      <c r="AS20" s="97">
        <v>0</v>
      </c>
      <c r="AT20" s="97">
        <v>0</v>
      </c>
      <c r="AU20" s="97"/>
      <c r="AV20" s="97">
        <f t="shared" si="0"/>
        <v>0</v>
      </c>
      <c r="AW20" s="97">
        <v>271</v>
      </c>
      <c r="AX20" s="97">
        <v>0</v>
      </c>
      <c r="AY20" s="97">
        <f t="shared" si="3"/>
        <v>271</v>
      </c>
      <c r="AZ20" s="97">
        <f t="shared" si="1"/>
        <v>0</v>
      </c>
    </row>
    <row r="21" spans="1:61" s="248" customFormat="1" x14ac:dyDescent="0.2">
      <c r="A21" s="243">
        <v>11</v>
      </c>
      <c r="B21" s="234" t="s">
        <v>279</v>
      </c>
      <c r="C21" s="234" t="s">
        <v>135</v>
      </c>
      <c r="D21" s="244">
        <v>100019</v>
      </c>
      <c r="E21" s="245">
        <f>790+82+159</f>
        <v>1031</v>
      </c>
      <c r="F21" s="246">
        <v>174</v>
      </c>
      <c r="G21" s="246">
        <v>60</v>
      </c>
      <c r="H21" s="246">
        <f>60+158+2</f>
        <v>220</v>
      </c>
      <c r="I21" s="246">
        <v>0</v>
      </c>
      <c r="J21" s="246">
        <v>53</v>
      </c>
      <c r="K21" s="97">
        <f t="shared" si="2"/>
        <v>1538</v>
      </c>
      <c r="L21" s="247"/>
      <c r="M21" s="245" t="s">
        <v>19</v>
      </c>
      <c r="N21" s="246">
        <v>0</v>
      </c>
      <c r="O21" s="246">
        <v>0</v>
      </c>
      <c r="P21" s="246">
        <v>0</v>
      </c>
      <c r="Q21" s="246">
        <v>0</v>
      </c>
      <c r="R21" s="246">
        <v>0</v>
      </c>
      <c r="S21" s="246">
        <v>0</v>
      </c>
      <c r="T21" s="246">
        <v>0</v>
      </c>
      <c r="U21" s="246">
        <v>0</v>
      </c>
      <c r="V21" s="246">
        <v>0</v>
      </c>
      <c r="W21" s="97">
        <v>0</v>
      </c>
      <c r="X21" s="246">
        <v>0</v>
      </c>
      <c r="Y21" s="246">
        <v>0</v>
      </c>
      <c r="Z21" s="246">
        <v>0</v>
      </c>
      <c r="AA21" s="246">
        <v>0</v>
      </c>
      <c r="AB21" s="246">
        <v>0</v>
      </c>
      <c r="AC21" s="246">
        <v>0</v>
      </c>
      <c r="AD21" s="246">
        <v>0</v>
      </c>
      <c r="AE21" s="246">
        <v>0</v>
      </c>
      <c r="AF21" s="246">
        <v>0</v>
      </c>
      <c r="AG21" s="246">
        <v>0</v>
      </c>
      <c r="AH21" s="246">
        <v>0</v>
      </c>
      <c r="AI21" s="246">
        <v>0</v>
      </c>
      <c r="AJ21" s="246">
        <v>0</v>
      </c>
      <c r="AK21" s="246">
        <v>0</v>
      </c>
      <c r="AL21" s="246">
        <v>0</v>
      </c>
      <c r="AM21" s="246">
        <v>0</v>
      </c>
      <c r="AN21" s="246">
        <v>0</v>
      </c>
      <c r="AO21" s="246">
        <v>0</v>
      </c>
      <c r="AP21" s="246">
        <v>0</v>
      </c>
      <c r="AQ21" s="246">
        <v>0</v>
      </c>
      <c r="AR21" s="246">
        <v>0</v>
      </c>
      <c r="AS21" s="246">
        <v>0</v>
      </c>
      <c r="AT21" s="97">
        <v>0</v>
      </c>
      <c r="AU21" s="246"/>
      <c r="AV21" s="246">
        <f>SUM(N21:AU21)</f>
        <v>0</v>
      </c>
      <c r="AW21" s="246">
        <v>1538</v>
      </c>
      <c r="AX21" s="97">
        <v>0</v>
      </c>
      <c r="AY21" s="97">
        <f t="shared" si="3"/>
        <v>1538</v>
      </c>
      <c r="AZ21" s="246">
        <f t="shared" si="1"/>
        <v>0</v>
      </c>
    </row>
    <row r="22" spans="1:61" s="132" customFormat="1" x14ac:dyDescent="0.2">
      <c r="A22" s="85">
        <v>11</v>
      </c>
      <c r="B22" s="19" t="s">
        <v>42</v>
      </c>
      <c r="C22" s="19" t="s">
        <v>137</v>
      </c>
      <c r="D22" s="197">
        <v>100020</v>
      </c>
      <c r="E22" s="218">
        <f>121+7+26</f>
        <v>154</v>
      </c>
      <c r="F22" s="97">
        <v>601</v>
      </c>
      <c r="G22" s="97">
        <v>48</v>
      </c>
      <c r="H22" s="97">
        <f>109+19+12+1</f>
        <v>141</v>
      </c>
      <c r="I22" s="97">
        <f>14+49</f>
        <v>63</v>
      </c>
      <c r="J22" s="97">
        <f>693-200</f>
        <v>493</v>
      </c>
      <c r="K22" s="97">
        <f t="shared" si="2"/>
        <v>1500</v>
      </c>
      <c r="L22" s="219"/>
      <c r="M22" s="218" t="s">
        <v>19</v>
      </c>
      <c r="N22" s="97">
        <v>0</v>
      </c>
      <c r="O22" s="97">
        <v>0</v>
      </c>
      <c r="P22" s="97">
        <v>0</v>
      </c>
      <c r="Q22" s="97">
        <v>0</v>
      </c>
      <c r="R22" s="97">
        <v>0</v>
      </c>
      <c r="S22" s="97">
        <v>0</v>
      </c>
      <c r="T22" s="97">
        <v>0</v>
      </c>
      <c r="U22" s="97">
        <v>0</v>
      </c>
      <c r="V22" s="97">
        <v>0</v>
      </c>
      <c r="W22" s="97">
        <v>0</v>
      </c>
      <c r="X22" s="97">
        <v>0</v>
      </c>
      <c r="Y22" s="97">
        <v>0</v>
      </c>
      <c r="Z22" s="97">
        <v>0</v>
      </c>
      <c r="AA22" s="97">
        <v>0</v>
      </c>
      <c r="AB22" s="97">
        <v>0</v>
      </c>
      <c r="AC22" s="97">
        <v>0</v>
      </c>
      <c r="AD22" s="97">
        <v>0</v>
      </c>
      <c r="AE22" s="97">
        <v>0</v>
      </c>
      <c r="AF22" s="97">
        <v>0</v>
      </c>
      <c r="AG22" s="97">
        <v>0</v>
      </c>
      <c r="AH22" s="97">
        <v>0</v>
      </c>
      <c r="AI22" s="97">
        <v>0</v>
      </c>
      <c r="AJ22" s="97">
        <v>0</v>
      </c>
      <c r="AK22" s="97">
        <v>0</v>
      </c>
      <c r="AL22" s="97">
        <v>0</v>
      </c>
      <c r="AM22" s="97">
        <v>0</v>
      </c>
      <c r="AN22" s="97">
        <v>0</v>
      </c>
      <c r="AO22" s="97">
        <v>0</v>
      </c>
      <c r="AP22" s="97">
        <v>0</v>
      </c>
      <c r="AQ22" s="97">
        <v>0</v>
      </c>
      <c r="AR22" s="97">
        <v>0</v>
      </c>
      <c r="AS22" s="97">
        <v>0</v>
      </c>
      <c r="AT22" s="97">
        <v>0</v>
      </c>
      <c r="AU22" s="97"/>
      <c r="AV22" s="97">
        <f t="shared" si="0"/>
        <v>0</v>
      </c>
      <c r="AW22" s="97">
        <v>1500</v>
      </c>
      <c r="AX22" s="97">
        <v>0</v>
      </c>
      <c r="AY22" s="97">
        <f t="shared" si="3"/>
        <v>1500</v>
      </c>
      <c r="AZ22" s="97">
        <f t="shared" si="1"/>
        <v>0</v>
      </c>
    </row>
    <row r="23" spans="1:61" s="132" customFormat="1" x14ac:dyDescent="0.2">
      <c r="A23" s="85">
        <v>11</v>
      </c>
      <c r="B23" s="19" t="s">
        <v>40</v>
      </c>
      <c r="C23" s="19" t="s">
        <v>132</v>
      </c>
      <c r="D23" s="197">
        <v>100021</v>
      </c>
      <c r="E23" s="218">
        <v>0</v>
      </c>
      <c r="F23" s="97">
        <v>3</v>
      </c>
      <c r="G23" s="97">
        <v>2</v>
      </c>
      <c r="H23" s="97">
        <f>122+6</f>
        <v>128</v>
      </c>
      <c r="I23" s="97">
        <v>80</v>
      </c>
      <c r="J23" s="97">
        <v>0</v>
      </c>
      <c r="K23" s="97">
        <f t="shared" si="2"/>
        <v>213</v>
      </c>
      <c r="L23" s="219"/>
      <c r="M23" s="218" t="s">
        <v>19</v>
      </c>
      <c r="N23" s="97">
        <v>0</v>
      </c>
      <c r="O23" s="97">
        <v>0</v>
      </c>
      <c r="P23" s="97">
        <v>0</v>
      </c>
      <c r="Q23" s="97">
        <v>0</v>
      </c>
      <c r="R23" s="97">
        <v>0</v>
      </c>
      <c r="S23" s="97">
        <v>0</v>
      </c>
      <c r="T23" s="97">
        <v>0</v>
      </c>
      <c r="U23" s="97">
        <v>0</v>
      </c>
      <c r="V23" s="97">
        <v>0</v>
      </c>
      <c r="W23" s="97">
        <v>0</v>
      </c>
      <c r="X23" s="97">
        <v>0</v>
      </c>
      <c r="Y23" s="97">
        <v>0</v>
      </c>
      <c r="Z23" s="97">
        <v>0</v>
      </c>
      <c r="AA23" s="97">
        <v>0</v>
      </c>
      <c r="AB23" s="97">
        <v>0</v>
      </c>
      <c r="AC23" s="97">
        <v>0</v>
      </c>
      <c r="AD23" s="97">
        <v>0</v>
      </c>
      <c r="AE23" s="97">
        <v>0</v>
      </c>
      <c r="AF23" s="97">
        <v>0</v>
      </c>
      <c r="AG23" s="97">
        <v>0</v>
      </c>
      <c r="AH23" s="97">
        <v>0</v>
      </c>
      <c r="AI23" s="97">
        <v>0</v>
      </c>
      <c r="AJ23" s="97">
        <v>0</v>
      </c>
      <c r="AK23" s="97">
        <v>0</v>
      </c>
      <c r="AL23" s="97">
        <v>0</v>
      </c>
      <c r="AM23" s="97">
        <v>0</v>
      </c>
      <c r="AN23" s="97">
        <v>0</v>
      </c>
      <c r="AO23" s="97">
        <v>0</v>
      </c>
      <c r="AP23" s="97">
        <v>0</v>
      </c>
      <c r="AQ23" s="97">
        <v>0</v>
      </c>
      <c r="AR23" s="97">
        <v>0</v>
      </c>
      <c r="AS23" s="97">
        <v>0</v>
      </c>
      <c r="AT23" s="97">
        <v>0</v>
      </c>
      <c r="AU23" s="97"/>
      <c r="AV23" s="97">
        <f t="shared" si="0"/>
        <v>0</v>
      </c>
      <c r="AW23" s="97">
        <v>213</v>
      </c>
      <c r="AX23" s="97">
        <v>0</v>
      </c>
      <c r="AY23" s="97">
        <f t="shared" si="3"/>
        <v>213</v>
      </c>
      <c r="AZ23" s="97">
        <f t="shared" si="1"/>
        <v>0</v>
      </c>
    </row>
    <row r="24" spans="1:61" s="132" customFormat="1" x14ac:dyDescent="0.2">
      <c r="A24" s="85">
        <v>11</v>
      </c>
      <c r="B24" s="19" t="s">
        <v>556</v>
      </c>
      <c r="C24" s="19" t="s">
        <v>538</v>
      </c>
      <c r="D24" s="197">
        <v>100022</v>
      </c>
      <c r="E24" s="218">
        <f>164+14+25</f>
        <v>203</v>
      </c>
      <c r="F24" s="97">
        <v>38</v>
      </c>
      <c r="G24" s="97">
        <v>0</v>
      </c>
      <c r="H24" s="97">
        <f>17+15</f>
        <v>32</v>
      </c>
      <c r="I24" s="97">
        <f>3+16</f>
        <v>19</v>
      </c>
      <c r="J24" s="97">
        <v>35</v>
      </c>
      <c r="K24" s="97">
        <f t="shared" si="2"/>
        <v>327</v>
      </c>
      <c r="L24" s="219"/>
      <c r="M24" s="218" t="s">
        <v>19</v>
      </c>
      <c r="N24" s="97">
        <v>0</v>
      </c>
      <c r="O24" s="97">
        <v>0</v>
      </c>
      <c r="P24" s="97">
        <v>0</v>
      </c>
      <c r="Q24" s="97">
        <v>0</v>
      </c>
      <c r="R24" s="97">
        <v>0</v>
      </c>
      <c r="S24" s="97">
        <v>0</v>
      </c>
      <c r="T24" s="97">
        <v>0</v>
      </c>
      <c r="U24" s="97">
        <v>0</v>
      </c>
      <c r="V24" s="97">
        <v>0</v>
      </c>
      <c r="W24" s="97">
        <v>0</v>
      </c>
      <c r="X24" s="97">
        <v>0</v>
      </c>
      <c r="Y24" s="97">
        <v>0</v>
      </c>
      <c r="Z24" s="97">
        <v>0</v>
      </c>
      <c r="AA24" s="97">
        <v>0</v>
      </c>
      <c r="AB24" s="97">
        <v>0</v>
      </c>
      <c r="AC24" s="97">
        <v>0</v>
      </c>
      <c r="AD24" s="97">
        <v>0</v>
      </c>
      <c r="AE24" s="97">
        <v>0</v>
      </c>
      <c r="AF24" s="97">
        <v>0</v>
      </c>
      <c r="AG24" s="97">
        <v>0</v>
      </c>
      <c r="AH24" s="97">
        <v>0</v>
      </c>
      <c r="AI24" s="97">
        <v>0</v>
      </c>
      <c r="AJ24" s="97">
        <v>0</v>
      </c>
      <c r="AK24" s="97">
        <v>0</v>
      </c>
      <c r="AL24" s="97">
        <v>0</v>
      </c>
      <c r="AM24" s="97">
        <v>0</v>
      </c>
      <c r="AN24" s="97">
        <v>0</v>
      </c>
      <c r="AO24" s="97">
        <v>0</v>
      </c>
      <c r="AP24" s="97">
        <v>0</v>
      </c>
      <c r="AQ24" s="97">
        <v>0</v>
      </c>
      <c r="AR24" s="97">
        <v>0</v>
      </c>
      <c r="AS24" s="97">
        <v>0</v>
      </c>
      <c r="AT24" s="97">
        <v>0</v>
      </c>
      <c r="AU24" s="97"/>
      <c r="AV24" s="97">
        <f t="shared" si="0"/>
        <v>0</v>
      </c>
      <c r="AW24" s="97">
        <v>327</v>
      </c>
      <c r="AX24" s="97">
        <v>0</v>
      </c>
      <c r="AY24" s="97">
        <f t="shared" si="3"/>
        <v>327</v>
      </c>
      <c r="AZ24" s="97">
        <f t="shared" si="1"/>
        <v>0</v>
      </c>
    </row>
    <row r="25" spans="1:61" s="132" customFormat="1" x14ac:dyDescent="0.2">
      <c r="A25" s="85">
        <v>11</v>
      </c>
      <c r="B25" s="19" t="s">
        <v>33</v>
      </c>
      <c r="C25" s="19" t="s">
        <v>141</v>
      </c>
      <c r="D25" s="197">
        <v>100024</v>
      </c>
      <c r="E25" s="218">
        <f>1250+70+150</f>
        <v>1470</v>
      </c>
      <c r="F25" s="97">
        <v>308</v>
      </c>
      <c r="G25" s="97">
        <v>50</v>
      </c>
      <c r="H25" s="97">
        <f>625+30</f>
        <v>655</v>
      </c>
      <c r="I25" s="97">
        <f>100+400</f>
        <v>500</v>
      </c>
      <c r="J25" s="97">
        <v>103</v>
      </c>
      <c r="K25" s="97">
        <f t="shared" si="2"/>
        <v>3086</v>
      </c>
      <c r="L25" s="219"/>
      <c r="M25" s="218" t="s">
        <v>19</v>
      </c>
      <c r="N25" s="97">
        <v>0</v>
      </c>
      <c r="O25" s="97">
        <v>0</v>
      </c>
      <c r="P25" s="97">
        <v>0</v>
      </c>
      <c r="Q25" s="97">
        <v>0</v>
      </c>
      <c r="R25" s="97">
        <v>0</v>
      </c>
      <c r="S25" s="97">
        <v>50</v>
      </c>
      <c r="T25" s="97">
        <v>0</v>
      </c>
      <c r="U25" s="97">
        <v>0</v>
      </c>
      <c r="V25" s="97">
        <v>0</v>
      </c>
      <c r="W25" s="97">
        <v>0</v>
      </c>
      <c r="X25" s="97">
        <v>0</v>
      </c>
      <c r="Y25" s="97">
        <v>0</v>
      </c>
      <c r="Z25" s="97">
        <v>0</v>
      </c>
      <c r="AA25" s="97">
        <v>0</v>
      </c>
      <c r="AB25" s="97">
        <v>0</v>
      </c>
      <c r="AC25" s="97">
        <v>0</v>
      </c>
      <c r="AD25" s="97">
        <v>0</v>
      </c>
      <c r="AE25" s="97">
        <v>0</v>
      </c>
      <c r="AF25" s="97">
        <v>0</v>
      </c>
      <c r="AG25" s="97">
        <v>0</v>
      </c>
      <c r="AH25" s="97">
        <v>0</v>
      </c>
      <c r="AI25" s="97">
        <v>0</v>
      </c>
      <c r="AJ25" s="97">
        <v>0</v>
      </c>
      <c r="AK25" s="97">
        <v>0</v>
      </c>
      <c r="AL25" s="97">
        <v>0</v>
      </c>
      <c r="AM25" s="97">
        <v>0</v>
      </c>
      <c r="AN25" s="97">
        <v>0</v>
      </c>
      <c r="AO25" s="97">
        <v>0</v>
      </c>
      <c r="AP25" s="97">
        <v>0</v>
      </c>
      <c r="AQ25" s="97">
        <v>0</v>
      </c>
      <c r="AR25" s="97">
        <v>0</v>
      </c>
      <c r="AS25" s="97">
        <v>0</v>
      </c>
      <c r="AT25" s="97">
        <v>0</v>
      </c>
      <c r="AU25" s="97"/>
      <c r="AV25" s="97">
        <f t="shared" si="0"/>
        <v>50</v>
      </c>
      <c r="AW25" s="97">
        <v>3036</v>
      </c>
      <c r="AX25" s="97">
        <v>0</v>
      </c>
      <c r="AY25" s="97">
        <f t="shared" si="3"/>
        <v>3086</v>
      </c>
      <c r="AZ25" s="97">
        <f t="shared" si="1"/>
        <v>0</v>
      </c>
    </row>
    <row r="26" spans="1:61" s="132" customFormat="1" x14ac:dyDescent="0.2">
      <c r="A26" s="84" t="s">
        <v>272</v>
      </c>
      <c r="B26" s="29" t="s">
        <v>74</v>
      </c>
      <c r="C26" s="19" t="s">
        <v>148</v>
      </c>
      <c r="D26" s="197">
        <v>100026</v>
      </c>
      <c r="E26" s="218">
        <f>360+33+60</f>
        <v>453</v>
      </c>
      <c r="F26" s="97">
        <v>25</v>
      </c>
      <c r="G26" s="97">
        <v>1</v>
      </c>
      <c r="H26" s="97">
        <f>57+6</f>
        <v>63</v>
      </c>
      <c r="I26" s="97">
        <f>18+47</f>
        <v>65</v>
      </c>
      <c r="J26" s="97">
        <v>0</v>
      </c>
      <c r="K26" s="97">
        <f t="shared" si="2"/>
        <v>607</v>
      </c>
      <c r="L26" s="219"/>
      <c r="M26" s="225" t="s">
        <v>181</v>
      </c>
      <c r="N26" s="97">
        <v>15</v>
      </c>
      <c r="O26" s="97">
        <v>39</v>
      </c>
      <c r="P26" s="97">
        <v>7</v>
      </c>
      <c r="Q26" s="97">
        <v>8</v>
      </c>
      <c r="R26" s="97">
        <v>0</v>
      </c>
      <c r="S26" s="97">
        <v>0</v>
      </c>
      <c r="T26" s="97">
        <v>0</v>
      </c>
      <c r="U26" s="97">
        <v>52</v>
      </c>
      <c r="V26" s="97">
        <v>0</v>
      </c>
      <c r="W26" s="97">
        <v>0</v>
      </c>
      <c r="X26" s="97">
        <f>243-15</f>
        <v>228</v>
      </c>
      <c r="Y26" s="97">
        <v>0</v>
      </c>
      <c r="Z26" s="97">
        <v>0</v>
      </c>
      <c r="AA26" s="97">
        <v>0</v>
      </c>
      <c r="AB26" s="97">
        <v>0</v>
      </c>
      <c r="AC26" s="97">
        <v>0</v>
      </c>
      <c r="AD26" s="97">
        <v>43</v>
      </c>
      <c r="AE26" s="97">
        <v>12</v>
      </c>
      <c r="AF26" s="97">
        <v>42</v>
      </c>
      <c r="AG26" s="97">
        <v>9</v>
      </c>
      <c r="AH26" s="97">
        <v>0</v>
      </c>
      <c r="AI26" s="97">
        <v>0</v>
      </c>
      <c r="AJ26" s="97">
        <v>0</v>
      </c>
      <c r="AK26" s="97">
        <v>0</v>
      </c>
      <c r="AL26" s="97">
        <v>0</v>
      </c>
      <c r="AM26" s="97">
        <v>0</v>
      </c>
      <c r="AN26" s="97">
        <v>0</v>
      </c>
      <c r="AO26" s="97">
        <v>0</v>
      </c>
      <c r="AP26" s="97">
        <v>15</v>
      </c>
      <c r="AQ26" s="97">
        <v>0</v>
      </c>
      <c r="AR26" s="97">
        <v>0</v>
      </c>
      <c r="AS26" s="97">
        <v>0</v>
      </c>
      <c r="AT26" s="97">
        <v>0</v>
      </c>
      <c r="AU26" s="97"/>
      <c r="AV26" s="246">
        <f>SUM(N26:AU26)</f>
        <v>470</v>
      </c>
      <c r="AW26" s="97">
        <v>137</v>
      </c>
      <c r="AX26" s="97">
        <v>0</v>
      </c>
      <c r="AY26" s="97">
        <f t="shared" si="3"/>
        <v>607</v>
      </c>
      <c r="AZ26" s="97">
        <f t="shared" si="1"/>
        <v>0</v>
      </c>
    </row>
    <row r="27" spans="1:61" s="132" customFormat="1" x14ac:dyDescent="0.2">
      <c r="A27" s="85">
        <v>11</v>
      </c>
      <c r="B27" s="19" t="s">
        <v>20</v>
      </c>
      <c r="C27" s="19" t="s">
        <v>142</v>
      </c>
      <c r="D27" s="197">
        <v>100027</v>
      </c>
      <c r="E27" s="218">
        <f>6745+894+1030</f>
        <v>8669</v>
      </c>
      <c r="F27" s="97">
        <v>933</v>
      </c>
      <c r="G27" s="97">
        <v>114</v>
      </c>
      <c r="H27" s="97">
        <f>2854+17+96</f>
        <v>2967</v>
      </c>
      <c r="I27" s="97">
        <f>420+897</f>
        <v>1317</v>
      </c>
      <c r="J27" s="97">
        <v>184</v>
      </c>
      <c r="K27" s="97">
        <f t="shared" si="2"/>
        <v>14184</v>
      </c>
      <c r="L27" s="219"/>
      <c r="M27" s="218" t="s">
        <v>334</v>
      </c>
      <c r="N27" s="97">
        <v>0</v>
      </c>
      <c r="O27" s="97">
        <v>0</v>
      </c>
      <c r="P27" s="97">
        <v>0</v>
      </c>
      <c r="Q27" s="97">
        <v>0</v>
      </c>
      <c r="R27" s="97">
        <v>0</v>
      </c>
      <c r="S27" s="97">
        <v>0</v>
      </c>
      <c r="T27" s="97">
        <v>0</v>
      </c>
      <c r="U27" s="97">
        <v>0</v>
      </c>
      <c r="V27" s="97">
        <v>100</v>
      </c>
      <c r="W27" s="97">
        <v>0</v>
      </c>
      <c r="X27" s="97">
        <f>251-15</f>
        <v>236</v>
      </c>
      <c r="Y27" s="97">
        <v>0</v>
      </c>
      <c r="Z27" s="97">
        <v>0</v>
      </c>
      <c r="AA27" s="97">
        <v>0</v>
      </c>
      <c r="AB27" s="97">
        <v>180</v>
      </c>
      <c r="AC27" s="97">
        <v>0</v>
      </c>
      <c r="AD27" s="97">
        <v>192</v>
      </c>
      <c r="AE27" s="97">
        <v>67</v>
      </c>
      <c r="AF27" s="97">
        <v>25</v>
      </c>
      <c r="AG27" s="97">
        <v>0</v>
      </c>
      <c r="AH27" s="97">
        <v>907</v>
      </c>
      <c r="AI27" s="97">
        <v>907</v>
      </c>
      <c r="AJ27" s="97">
        <v>624</v>
      </c>
      <c r="AK27" s="97">
        <v>38</v>
      </c>
      <c r="AL27" s="97">
        <f>907-499</f>
        <v>408</v>
      </c>
      <c r="AM27" s="97">
        <v>0</v>
      </c>
      <c r="AN27" s="97">
        <v>0</v>
      </c>
      <c r="AO27" s="97">
        <f>499</f>
        <v>499</v>
      </c>
      <c r="AP27" s="97">
        <v>15</v>
      </c>
      <c r="AQ27" s="97">
        <v>0</v>
      </c>
      <c r="AR27" s="97">
        <v>0</v>
      </c>
      <c r="AS27" s="97">
        <v>0</v>
      </c>
      <c r="AT27" s="97">
        <v>0</v>
      </c>
      <c r="AU27" s="97"/>
      <c r="AV27" s="97">
        <f t="shared" si="0"/>
        <v>4198</v>
      </c>
      <c r="AW27" s="97">
        <v>9986</v>
      </c>
      <c r="AX27" s="97">
        <v>0</v>
      </c>
      <c r="AY27" s="97">
        <f t="shared" si="3"/>
        <v>14184</v>
      </c>
      <c r="AZ27" s="97">
        <f t="shared" si="1"/>
        <v>0</v>
      </c>
    </row>
    <row r="28" spans="1:61" s="132" customFormat="1" x14ac:dyDescent="0.2">
      <c r="A28" s="85">
        <v>11</v>
      </c>
      <c r="B28" s="19" t="s">
        <v>21</v>
      </c>
      <c r="C28" s="19" t="s">
        <v>509</v>
      </c>
      <c r="D28" s="197">
        <v>100028</v>
      </c>
      <c r="E28" s="218">
        <f>2200+90+252</f>
        <v>2542</v>
      </c>
      <c r="F28" s="97">
        <v>102</v>
      </c>
      <c r="G28" s="97">
        <v>20</v>
      </c>
      <c r="H28" s="97">
        <f>380+45</f>
        <v>425</v>
      </c>
      <c r="I28" s="97">
        <f>54+255</f>
        <v>309</v>
      </c>
      <c r="J28" s="97">
        <v>87</v>
      </c>
      <c r="K28" s="97">
        <f t="shared" si="2"/>
        <v>3485</v>
      </c>
      <c r="L28" s="219"/>
      <c r="M28" s="218" t="s">
        <v>243</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7">
        <v>0</v>
      </c>
      <c r="AI28" s="97">
        <v>0</v>
      </c>
      <c r="AJ28" s="97">
        <v>0</v>
      </c>
      <c r="AK28" s="97">
        <v>0</v>
      </c>
      <c r="AL28" s="97">
        <v>0</v>
      </c>
      <c r="AM28" s="97">
        <v>0</v>
      </c>
      <c r="AN28" s="97">
        <v>0</v>
      </c>
      <c r="AO28" s="97">
        <v>0</v>
      </c>
      <c r="AP28" s="97">
        <v>0</v>
      </c>
      <c r="AQ28" s="97">
        <v>0</v>
      </c>
      <c r="AR28" s="97">
        <v>0</v>
      </c>
      <c r="AS28" s="97">
        <v>0</v>
      </c>
      <c r="AT28" s="97">
        <v>0</v>
      </c>
      <c r="AU28" s="97"/>
      <c r="AV28" s="97">
        <f t="shared" si="0"/>
        <v>0</v>
      </c>
      <c r="AW28" s="97">
        <v>3485</v>
      </c>
      <c r="AX28" s="97">
        <v>0</v>
      </c>
      <c r="AY28" s="97">
        <f t="shared" si="3"/>
        <v>3485</v>
      </c>
      <c r="AZ28" s="97">
        <f t="shared" si="1"/>
        <v>0</v>
      </c>
    </row>
    <row r="29" spans="1:61" s="132" customFormat="1" x14ac:dyDescent="0.2">
      <c r="A29" s="84" t="s">
        <v>272</v>
      </c>
      <c r="B29" s="29" t="s">
        <v>72</v>
      </c>
      <c r="C29" s="19" t="s">
        <v>149</v>
      </c>
      <c r="D29" s="197">
        <v>100029</v>
      </c>
      <c r="E29" s="218">
        <f>746+75+124</f>
        <v>945</v>
      </c>
      <c r="F29" s="97">
        <v>176</v>
      </c>
      <c r="G29" s="97">
        <v>6</v>
      </c>
      <c r="H29" s="97">
        <f>106+1+36</f>
        <v>143</v>
      </c>
      <c r="I29" s="97">
        <f>36+74</f>
        <v>110</v>
      </c>
      <c r="J29" s="97">
        <v>8</v>
      </c>
      <c r="K29" s="97">
        <f t="shared" si="2"/>
        <v>1388</v>
      </c>
      <c r="L29" s="219"/>
      <c r="M29" s="218" t="s">
        <v>234</v>
      </c>
      <c r="N29" s="97">
        <v>79</v>
      </c>
      <c r="O29" s="97">
        <v>123</v>
      </c>
      <c r="P29" s="97">
        <v>0</v>
      </c>
      <c r="Q29" s="97">
        <v>0</v>
      </c>
      <c r="R29" s="97">
        <v>0</v>
      </c>
      <c r="S29" s="97">
        <v>0</v>
      </c>
      <c r="T29" s="97">
        <v>0</v>
      </c>
      <c r="U29" s="97">
        <v>304</v>
      </c>
      <c r="V29" s="97">
        <v>0</v>
      </c>
      <c r="W29" s="97">
        <v>0</v>
      </c>
      <c r="X29" s="97">
        <f>249-15</f>
        <v>234</v>
      </c>
      <c r="Y29" s="97">
        <v>0</v>
      </c>
      <c r="Z29" s="97">
        <v>43</v>
      </c>
      <c r="AA29" s="97">
        <v>0</v>
      </c>
      <c r="AB29" s="97">
        <v>0</v>
      </c>
      <c r="AC29" s="97">
        <v>0</v>
      </c>
      <c r="AD29" s="97">
        <v>100</v>
      </c>
      <c r="AE29" s="97">
        <v>150</v>
      </c>
      <c r="AF29" s="97">
        <v>75</v>
      </c>
      <c r="AG29" s="97">
        <v>10</v>
      </c>
      <c r="AH29" s="97">
        <v>0</v>
      </c>
      <c r="AI29" s="97">
        <v>0</v>
      </c>
      <c r="AJ29" s="97">
        <v>0</v>
      </c>
      <c r="AK29" s="97">
        <v>0</v>
      </c>
      <c r="AL29" s="97">
        <v>0</v>
      </c>
      <c r="AM29" s="97">
        <v>0</v>
      </c>
      <c r="AN29" s="97">
        <v>0</v>
      </c>
      <c r="AO29" s="97">
        <v>0</v>
      </c>
      <c r="AP29" s="97">
        <v>15</v>
      </c>
      <c r="AQ29" s="97">
        <v>0</v>
      </c>
      <c r="AR29" s="97">
        <v>0</v>
      </c>
      <c r="AS29" s="97">
        <v>0</v>
      </c>
      <c r="AT29" s="97">
        <v>0</v>
      </c>
      <c r="AU29" s="97"/>
      <c r="AV29" s="97">
        <f t="shared" si="0"/>
        <v>1133</v>
      </c>
      <c r="AW29" s="97">
        <v>255</v>
      </c>
      <c r="AX29" s="97">
        <v>0</v>
      </c>
      <c r="AY29" s="97">
        <f t="shared" si="3"/>
        <v>1388</v>
      </c>
      <c r="AZ29" s="97">
        <f t="shared" si="1"/>
        <v>0</v>
      </c>
    </row>
    <row r="30" spans="1:61" s="132" customFormat="1" x14ac:dyDescent="0.2">
      <c r="A30" s="85">
        <v>11</v>
      </c>
      <c r="B30" s="19" t="s">
        <v>34</v>
      </c>
      <c r="C30" s="19" t="s">
        <v>427</v>
      </c>
      <c r="D30" s="197">
        <v>100030</v>
      </c>
      <c r="E30" s="218">
        <f>1381+107+209</f>
        <v>1697</v>
      </c>
      <c r="F30" s="97">
        <v>45</v>
      </c>
      <c r="G30" s="97">
        <v>6</v>
      </c>
      <c r="H30" s="97">
        <f>1690+10+60</f>
        <v>1760</v>
      </c>
      <c r="I30" s="97">
        <f>58+152</f>
        <v>210</v>
      </c>
      <c r="J30" s="97">
        <v>900</v>
      </c>
      <c r="K30" s="97">
        <f t="shared" si="2"/>
        <v>4618</v>
      </c>
      <c r="L30" s="219"/>
      <c r="M30" s="218" t="s">
        <v>180</v>
      </c>
      <c r="N30" s="97">
        <v>0</v>
      </c>
      <c r="O30" s="97">
        <v>0</v>
      </c>
      <c r="P30" s="97">
        <v>0</v>
      </c>
      <c r="Q30" s="97">
        <v>0</v>
      </c>
      <c r="R30" s="97">
        <v>0</v>
      </c>
      <c r="S30" s="97">
        <v>17</v>
      </c>
      <c r="T30" s="97">
        <v>0</v>
      </c>
      <c r="U30" s="97">
        <v>0</v>
      </c>
      <c r="V30" s="97">
        <v>67</v>
      </c>
      <c r="W30" s="97">
        <v>0</v>
      </c>
      <c r="X30" s="97">
        <f>304-26</f>
        <v>278</v>
      </c>
      <c r="Y30" s="97">
        <v>0</v>
      </c>
      <c r="Z30" s="97">
        <v>0</v>
      </c>
      <c r="AA30" s="97">
        <v>0</v>
      </c>
      <c r="AB30" s="97">
        <v>0</v>
      </c>
      <c r="AC30" s="97">
        <v>0</v>
      </c>
      <c r="AD30" s="97">
        <v>73</v>
      </c>
      <c r="AE30" s="97">
        <v>67</v>
      </c>
      <c r="AF30" s="97">
        <v>0</v>
      </c>
      <c r="AG30" s="97">
        <v>67</v>
      </c>
      <c r="AH30" s="97">
        <v>67</v>
      </c>
      <c r="AI30" s="97">
        <v>67</v>
      </c>
      <c r="AJ30" s="97">
        <v>0</v>
      </c>
      <c r="AK30" s="97">
        <v>0</v>
      </c>
      <c r="AL30" s="97">
        <f>67-37</f>
        <v>30</v>
      </c>
      <c r="AM30" s="97">
        <v>0</v>
      </c>
      <c r="AN30" s="97">
        <v>0</v>
      </c>
      <c r="AO30" s="97">
        <v>37</v>
      </c>
      <c r="AP30" s="97">
        <v>26</v>
      </c>
      <c r="AQ30" s="97">
        <v>0</v>
      </c>
      <c r="AR30" s="97">
        <v>17</v>
      </c>
      <c r="AS30" s="97">
        <v>0</v>
      </c>
      <c r="AT30" s="97">
        <v>0</v>
      </c>
      <c r="AU30" s="97"/>
      <c r="AV30" s="97">
        <f t="shared" si="0"/>
        <v>813</v>
      </c>
      <c r="AW30" s="97">
        <v>3805</v>
      </c>
      <c r="AX30" s="97">
        <v>0</v>
      </c>
      <c r="AY30" s="97">
        <f t="shared" si="3"/>
        <v>4618</v>
      </c>
      <c r="AZ30" s="97">
        <f t="shared" si="1"/>
        <v>0</v>
      </c>
    </row>
    <row r="31" spans="1:61" s="132" customFormat="1" x14ac:dyDescent="0.2">
      <c r="A31" s="85">
        <v>11</v>
      </c>
      <c r="B31" s="19" t="s">
        <v>26</v>
      </c>
      <c r="C31" s="19" t="s">
        <v>152</v>
      </c>
      <c r="D31" s="197">
        <v>100031</v>
      </c>
      <c r="E31" s="218">
        <f>292+21+42</f>
        <v>355</v>
      </c>
      <c r="F31" s="97">
        <v>20</v>
      </c>
      <c r="G31" s="97">
        <v>6</v>
      </c>
      <c r="H31" s="97">
        <f>95+3+8</f>
        <v>106</v>
      </c>
      <c r="I31" s="97">
        <f>14+41</f>
        <v>55</v>
      </c>
      <c r="J31" s="97">
        <v>0</v>
      </c>
      <c r="K31" s="97">
        <f t="shared" si="2"/>
        <v>542</v>
      </c>
      <c r="L31" s="219"/>
      <c r="M31" s="218" t="s">
        <v>27</v>
      </c>
      <c r="N31" s="97">
        <v>0</v>
      </c>
      <c r="O31" s="97">
        <v>0</v>
      </c>
      <c r="P31" s="97">
        <v>0</v>
      </c>
      <c r="Q31" s="97">
        <v>0</v>
      </c>
      <c r="R31" s="97">
        <v>0</v>
      </c>
      <c r="S31" s="97">
        <v>136</v>
      </c>
      <c r="T31" s="97">
        <v>190</v>
      </c>
      <c r="U31" s="97">
        <v>0</v>
      </c>
      <c r="V31" s="97">
        <v>0</v>
      </c>
      <c r="W31" s="97">
        <v>0</v>
      </c>
      <c r="X31" s="97">
        <v>0</v>
      </c>
      <c r="Y31" s="97">
        <v>0</v>
      </c>
      <c r="Z31" s="97">
        <v>0</v>
      </c>
      <c r="AA31" s="97">
        <v>0</v>
      </c>
      <c r="AB31" s="97">
        <v>0</v>
      </c>
      <c r="AC31" s="97">
        <v>0</v>
      </c>
      <c r="AD31" s="97">
        <v>0</v>
      </c>
      <c r="AE31" s="97">
        <v>0</v>
      </c>
      <c r="AF31" s="97">
        <v>0</v>
      </c>
      <c r="AG31" s="97">
        <v>0</v>
      </c>
      <c r="AH31" s="97">
        <v>0</v>
      </c>
      <c r="AI31" s="97">
        <v>0</v>
      </c>
      <c r="AJ31" s="97">
        <v>0</v>
      </c>
      <c r="AK31" s="97">
        <v>0</v>
      </c>
      <c r="AL31" s="97">
        <v>0</v>
      </c>
      <c r="AM31" s="97">
        <v>0</v>
      </c>
      <c r="AN31" s="97">
        <v>0</v>
      </c>
      <c r="AO31" s="97">
        <v>0</v>
      </c>
      <c r="AP31" s="97">
        <v>0</v>
      </c>
      <c r="AQ31" s="97">
        <v>0</v>
      </c>
      <c r="AR31" s="97">
        <v>0</v>
      </c>
      <c r="AS31" s="97">
        <v>0</v>
      </c>
      <c r="AT31" s="97">
        <v>0</v>
      </c>
      <c r="AU31" s="97"/>
      <c r="AV31" s="97">
        <f t="shared" si="0"/>
        <v>326</v>
      </c>
      <c r="AW31" s="97">
        <v>216</v>
      </c>
      <c r="AX31" s="97">
        <v>0</v>
      </c>
      <c r="AY31" s="97">
        <f t="shared" si="3"/>
        <v>542</v>
      </c>
      <c r="AZ31" s="97">
        <f t="shared" si="1"/>
        <v>0</v>
      </c>
    </row>
    <row r="32" spans="1:61" s="132" customFormat="1" x14ac:dyDescent="0.2">
      <c r="A32" s="85">
        <v>11</v>
      </c>
      <c r="B32" s="29" t="s">
        <v>54</v>
      </c>
      <c r="C32" s="19" t="s">
        <v>246</v>
      </c>
      <c r="D32" s="197">
        <v>100032</v>
      </c>
      <c r="E32" s="218">
        <v>0</v>
      </c>
      <c r="F32" s="97">
        <v>0</v>
      </c>
      <c r="G32" s="97">
        <v>0</v>
      </c>
      <c r="H32" s="97">
        <v>0</v>
      </c>
      <c r="I32" s="97">
        <v>0</v>
      </c>
      <c r="J32" s="97">
        <v>0</v>
      </c>
      <c r="K32" s="97">
        <f t="shared" si="2"/>
        <v>0</v>
      </c>
      <c r="L32" s="219"/>
      <c r="M32" s="218" t="s">
        <v>182</v>
      </c>
      <c r="N32" s="97">
        <v>0</v>
      </c>
      <c r="O32" s="97">
        <v>0</v>
      </c>
      <c r="P32" s="97">
        <v>0</v>
      </c>
      <c r="Q32" s="97">
        <v>0</v>
      </c>
      <c r="R32" s="97">
        <v>0</v>
      </c>
      <c r="S32" s="97">
        <v>0</v>
      </c>
      <c r="T32" s="97">
        <v>0</v>
      </c>
      <c r="U32" s="97">
        <v>0</v>
      </c>
      <c r="V32" s="97">
        <v>0</v>
      </c>
      <c r="W32" s="97">
        <v>0</v>
      </c>
      <c r="X32" s="97">
        <v>0</v>
      </c>
      <c r="Y32" s="97">
        <v>0</v>
      </c>
      <c r="Z32" s="97">
        <v>0</v>
      </c>
      <c r="AA32" s="97">
        <v>0</v>
      </c>
      <c r="AB32" s="97">
        <v>0</v>
      </c>
      <c r="AC32" s="97">
        <v>0</v>
      </c>
      <c r="AD32" s="97">
        <v>0</v>
      </c>
      <c r="AE32" s="97">
        <v>0</v>
      </c>
      <c r="AF32" s="97">
        <v>0</v>
      </c>
      <c r="AG32" s="97">
        <v>0</v>
      </c>
      <c r="AH32" s="97">
        <v>0</v>
      </c>
      <c r="AI32" s="97">
        <v>0</v>
      </c>
      <c r="AJ32" s="97">
        <v>0</v>
      </c>
      <c r="AK32" s="97">
        <v>0</v>
      </c>
      <c r="AL32" s="97">
        <v>0</v>
      </c>
      <c r="AM32" s="97">
        <v>0</v>
      </c>
      <c r="AN32" s="97">
        <v>0</v>
      </c>
      <c r="AO32" s="97">
        <v>0</v>
      </c>
      <c r="AP32" s="97">
        <v>0</v>
      </c>
      <c r="AQ32" s="97">
        <v>0</v>
      </c>
      <c r="AR32" s="97">
        <v>0</v>
      </c>
      <c r="AS32" s="97">
        <v>0</v>
      </c>
      <c r="AT32" s="97">
        <v>0</v>
      </c>
      <c r="AU32" s="97"/>
      <c r="AV32" s="97">
        <f t="shared" si="0"/>
        <v>0</v>
      </c>
      <c r="AW32" s="97">
        <v>0</v>
      </c>
      <c r="AX32" s="97">
        <v>0</v>
      </c>
      <c r="AY32" s="97">
        <f t="shared" si="3"/>
        <v>0</v>
      </c>
      <c r="AZ32" s="97">
        <f t="shared" si="1"/>
        <v>0</v>
      </c>
    </row>
    <row r="33" spans="1:52" s="132" customFormat="1" x14ac:dyDescent="0.2">
      <c r="A33" s="84" t="s">
        <v>272</v>
      </c>
      <c r="B33" s="29" t="s">
        <v>327</v>
      </c>
      <c r="C33" s="19" t="s">
        <v>424</v>
      </c>
      <c r="D33" s="197">
        <v>100033</v>
      </c>
      <c r="E33" s="218">
        <f>317+43+56</f>
        <v>416</v>
      </c>
      <c r="F33" s="97">
        <v>22</v>
      </c>
      <c r="G33" s="97">
        <v>3</v>
      </c>
      <c r="H33" s="97">
        <f>174+25</f>
        <v>199</v>
      </c>
      <c r="I33" s="97">
        <f>25+42</f>
        <v>67</v>
      </c>
      <c r="J33" s="97">
        <v>2</v>
      </c>
      <c r="K33" s="97">
        <f t="shared" si="2"/>
        <v>709</v>
      </c>
      <c r="L33" s="219"/>
      <c r="M33" s="218" t="s">
        <v>497</v>
      </c>
      <c r="N33" s="97">
        <v>11</v>
      </c>
      <c r="O33" s="97">
        <v>21</v>
      </c>
      <c r="P33" s="97">
        <v>23</v>
      </c>
      <c r="Q33" s="97">
        <v>24</v>
      </c>
      <c r="R33" s="97">
        <v>2</v>
      </c>
      <c r="S33" s="97">
        <v>0</v>
      </c>
      <c r="T33" s="97">
        <v>13</v>
      </c>
      <c r="U33" s="97">
        <v>83</v>
      </c>
      <c r="V33" s="97">
        <v>19</v>
      </c>
      <c r="W33" s="97">
        <v>0</v>
      </c>
      <c r="X33" s="97">
        <v>117</v>
      </c>
      <c r="Y33" s="97">
        <v>1</v>
      </c>
      <c r="Z33" s="97">
        <v>13</v>
      </c>
      <c r="AA33" s="97">
        <v>3</v>
      </c>
      <c r="AB33" s="97">
        <v>1</v>
      </c>
      <c r="AC33" s="97">
        <v>5</v>
      </c>
      <c r="AD33" s="97">
        <v>102</v>
      </c>
      <c r="AE33" s="97">
        <v>82</v>
      </c>
      <c r="AF33" s="97">
        <v>1</v>
      </c>
      <c r="AG33" s="97">
        <v>0</v>
      </c>
      <c r="AH33" s="97">
        <v>6</v>
      </c>
      <c r="AI33" s="97">
        <v>6</v>
      </c>
      <c r="AJ33" s="97">
        <v>3</v>
      </c>
      <c r="AK33" s="97">
        <v>7</v>
      </c>
      <c r="AL33" s="97">
        <v>2</v>
      </c>
      <c r="AM33" s="97">
        <v>53</v>
      </c>
      <c r="AN33" s="97">
        <v>0</v>
      </c>
      <c r="AO33" s="97">
        <v>31</v>
      </c>
      <c r="AP33" s="97">
        <v>8</v>
      </c>
      <c r="AQ33" s="97">
        <v>0</v>
      </c>
      <c r="AR33" s="97">
        <v>0</v>
      </c>
      <c r="AS33" s="97">
        <v>0</v>
      </c>
      <c r="AT33" s="97">
        <v>0</v>
      </c>
      <c r="AU33" s="97"/>
      <c r="AV33" s="97">
        <f t="shared" si="0"/>
        <v>637</v>
      </c>
      <c r="AW33" s="97">
        <v>72</v>
      </c>
      <c r="AX33" s="97">
        <v>0</v>
      </c>
      <c r="AY33" s="97">
        <f t="shared" si="3"/>
        <v>709</v>
      </c>
      <c r="AZ33" s="97">
        <f t="shared" si="1"/>
        <v>0</v>
      </c>
    </row>
    <row r="34" spans="1:52" s="132" customFormat="1" x14ac:dyDescent="0.2">
      <c r="A34" s="84" t="s">
        <v>272</v>
      </c>
      <c r="B34" s="29" t="s">
        <v>51</v>
      </c>
      <c r="C34" s="19" t="s">
        <v>424</v>
      </c>
      <c r="D34" s="197">
        <v>100034</v>
      </c>
      <c r="E34" s="218">
        <f>85+8+18</f>
        <v>111</v>
      </c>
      <c r="F34" s="97">
        <v>27</v>
      </c>
      <c r="G34" s="97">
        <v>236</v>
      </c>
      <c r="H34" s="97">
        <f>238+2+15</f>
        <v>255</v>
      </c>
      <c r="I34" s="97">
        <f>4+87</f>
        <v>91</v>
      </c>
      <c r="J34" s="97">
        <v>-49</v>
      </c>
      <c r="K34" s="97">
        <f t="shared" si="2"/>
        <v>671</v>
      </c>
      <c r="L34" s="219"/>
      <c r="M34" s="218" t="s">
        <v>37</v>
      </c>
      <c r="N34" s="97">
        <v>5</v>
      </c>
      <c r="O34" s="97">
        <v>7</v>
      </c>
      <c r="P34" s="97">
        <v>35</v>
      </c>
      <c r="Q34" s="97">
        <v>0</v>
      </c>
      <c r="R34" s="97">
        <v>4</v>
      </c>
      <c r="S34" s="97">
        <v>0</v>
      </c>
      <c r="T34" s="97">
        <v>0</v>
      </c>
      <c r="U34" s="97">
        <v>14</v>
      </c>
      <c r="V34" s="97">
        <v>25</v>
      </c>
      <c r="W34" s="97">
        <v>0</v>
      </c>
      <c r="X34" s="97">
        <v>158</v>
      </c>
      <c r="Y34" s="97">
        <v>1</v>
      </c>
      <c r="Z34" s="97">
        <v>2</v>
      </c>
      <c r="AA34" s="97">
        <v>4</v>
      </c>
      <c r="AB34" s="97">
        <v>11</v>
      </c>
      <c r="AC34" s="97">
        <v>8</v>
      </c>
      <c r="AD34" s="97">
        <v>75</v>
      </c>
      <c r="AE34" s="97">
        <v>68</v>
      </c>
      <c r="AF34" s="97">
        <v>2</v>
      </c>
      <c r="AG34" s="97">
        <v>15</v>
      </c>
      <c r="AH34" s="97">
        <v>8</v>
      </c>
      <c r="AI34" s="97">
        <v>6</v>
      </c>
      <c r="AJ34" s="97">
        <v>4</v>
      </c>
      <c r="AK34" s="97">
        <v>11</v>
      </c>
      <c r="AL34" s="97">
        <v>19</v>
      </c>
      <c r="AM34" s="97">
        <v>103</v>
      </c>
      <c r="AN34" s="97">
        <v>0</v>
      </c>
      <c r="AO34" s="97">
        <v>0</v>
      </c>
      <c r="AP34" s="97">
        <v>0</v>
      </c>
      <c r="AQ34" s="97">
        <v>0</v>
      </c>
      <c r="AR34" s="97">
        <v>0</v>
      </c>
      <c r="AS34" s="97">
        <v>0</v>
      </c>
      <c r="AT34" s="97">
        <v>0</v>
      </c>
      <c r="AU34" s="97"/>
      <c r="AV34" s="246">
        <f>SUM(N34:AU34)</f>
        <v>585</v>
      </c>
      <c r="AW34" s="97">
        <v>86</v>
      </c>
      <c r="AX34" s="97">
        <v>0</v>
      </c>
      <c r="AY34" s="97">
        <f t="shared" si="3"/>
        <v>671</v>
      </c>
      <c r="AZ34" s="97">
        <f t="shared" si="1"/>
        <v>0</v>
      </c>
    </row>
    <row r="35" spans="1:52" s="132" customFormat="1" x14ac:dyDescent="0.2">
      <c r="A35" s="85">
        <v>11</v>
      </c>
      <c r="B35" s="19" t="s">
        <v>544</v>
      </c>
      <c r="C35" s="19" t="s">
        <v>143</v>
      </c>
      <c r="D35" s="197">
        <v>100035</v>
      </c>
      <c r="E35" s="218">
        <f>195+16+28</f>
        <v>239</v>
      </c>
      <c r="F35" s="97">
        <v>43</v>
      </c>
      <c r="G35" s="97">
        <v>4</v>
      </c>
      <c r="H35" s="97">
        <v>136</v>
      </c>
      <c r="I35" s="97">
        <f>6+36</f>
        <v>42</v>
      </c>
      <c r="J35" s="97">
        <v>-291</v>
      </c>
      <c r="K35" s="97">
        <f t="shared" si="2"/>
        <v>173</v>
      </c>
      <c r="L35" s="219"/>
      <c r="M35" s="218" t="s">
        <v>502</v>
      </c>
      <c r="N35" s="97">
        <v>0</v>
      </c>
      <c r="O35" s="97">
        <v>0</v>
      </c>
      <c r="P35" s="97">
        <v>5</v>
      </c>
      <c r="Q35" s="97">
        <v>0</v>
      </c>
      <c r="R35" s="97">
        <v>0</v>
      </c>
      <c r="S35" s="97">
        <v>0</v>
      </c>
      <c r="T35" s="97">
        <v>0</v>
      </c>
      <c r="U35" s="97">
        <v>0</v>
      </c>
      <c r="V35" s="97">
        <v>11</v>
      </c>
      <c r="W35" s="97">
        <v>0</v>
      </c>
      <c r="X35" s="97">
        <v>35</v>
      </c>
      <c r="Y35" s="97">
        <v>0</v>
      </c>
      <c r="Z35" s="97">
        <v>0</v>
      </c>
      <c r="AA35" s="97">
        <v>0</v>
      </c>
      <c r="AB35" s="97">
        <v>16</v>
      </c>
      <c r="AC35" s="97">
        <v>3</v>
      </c>
      <c r="AD35" s="97">
        <v>17</v>
      </c>
      <c r="AE35" s="97">
        <v>16</v>
      </c>
      <c r="AF35" s="97">
        <v>7</v>
      </c>
      <c r="AG35" s="97">
        <v>0</v>
      </c>
      <c r="AH35" s="97">
        <v>7</v>
      </c>
      <c r="AI35" s="97">
        <v>14</v>
      </c>
      <c r="AJ35" s="97">
        <v>5</v>
      </c>
      <c r="AK35" s="97">
        <v>2</v>
      </c>
      <c r="AL35" s="97">
        <v>8</v>
      </c>
      <c r="AM35" s="97">
        <v>7</v>
      </c>
      <c r="AN35" s="97">
        <v>0</v>
      </c>
      <c r="AO35" s="97">
        <v>0</v>
      </c>
      <c r="AP35" s="97">
        <v>0</v>
      </c>
      <c r="AQ35" s="97">
        <v>0</v>
      </c>
      <c r="AR35" s="97">
        <v>0</v>
      </c>
      <c r="AS35" s="97">
        <v>0</v>
      </c>
      <c r="AT35" s="97">
        <v>0</v>
      </c>
      <c r="AU35" s="97"/>
      <c r="AV35" s="246">
        <f>SUM(N35:AU35)</f>
        <v>153</v>
      </c>
      <c r="AW35" s="97">
        <v>20</v>
      </c>
      <c r="AX35" s="97">
        <v>0</v>
      </c>
      <c r="AY35" s="97">
        <f t="shared" si="3"/>
        <v>173</v>
      </c>
      <c r="AZ35" s="97">
        <f t="shared" si="1"/>
        <v>0</v>
      </c>
    </row>
    <row r="36" spans="1:52" s="132" customFormat="1" x14ac:dyDescent="0.2">
      <c r="A36" s="84" t="s">
        <v>272</v>
      </c>
      <c r="B36" s="29" t="s">
        <v>71</v>
      </c>
      <c r="C36" s="19" t="s">
        <v>150</v>
      </c>
      <c r="D36" s="197">
        <v>100039</v>
      </c>
      <c r="E36" s="218">
        <f>1985+190+284</f>
        <v>2459</v>
      </c>
      <c r="F36" s="97">
        <v>100</v>
      </c>
      <c r="G36" s="97">
        <v>24</v>
      </c>
      <c r="H36" s="97">
        <f>1096+3</f>
        <v>1099</v>
      </c>
      <c r="I36" s="97">
        <f>93+312</f>
        <v>405</v>
      </c>
      <c r="J36" s="97">
        <v>43</v>
      </c>
      <c r="K36" s="97">
        <f t="shared" si="2"/>
        <v>4130</v>
      </c>
      <c r="L36" s="219"/>
      <c r="M36" s="218" t="s">
        <v>69</v>
      </c>
      <c r="N36" s="97">
        <v>0</v>
      </c>
      <c r="O36" s="97">
        <v>0</v>
      </c>
      <c r="P36" s="97">
        <v>0</v>
      </c>
      <c r="Q36" s="97">
        <v>0</v>
      </c>
      <c r="R36" s="97">
        <v>0</v>
      </c>
      <c r="S36" s="97">
        <v>25</v>
      </c>
      <c r="T36" s="97">
        <v>150</v>
      </c>
      <c r="U36" s="97">
        <v>0</v>
      </c>
      <c r="V36" s="97">
        <v>900</v>
      </c>
      <c r="W36" s="97">
        <v>0</v>
      </c>
      <c r="X36" s="97">
        <f>500-42</f>
        <v>458</v>
      </c>
      <c r="Y36" s="97">
        <v>0</v>
      </c>
      <c r="Z36" s="97">
        <v>0</v>
      </c>
      <c r="AA36" s="97">
        <v>0</v>
      </c>
      <c r="AB36" s="97">
        <v>0</v>
      </c>
      <c r="AC36" s="97">
        <v>0</v>
      </c>
      <c r="AD36" s="97">
        <v>30</v>
      </c>
      <c r="AE36" s="97">
        <v>250</v>
      </c>
      <c r="AF36" s="97">
        <v>1</v>
      </c>
      <c r="AG36" s="97">
        <v>180</v>
      </c>
      <c r="AH36" s="97">
        <v>0</v>
      </c>
      <c r="AI36" s="97">
        <v>440</v>
      </c>
      <c r="AJ36" s="97">
        <v>0</v>
      </c>
      <c r="AK36" s="97">
        <v>0</v>
      </c>
      <c r="AL36" s="97">
        <f>770-424-89</f>
        <v>257</v>
      </c>
      <c r="AM36" s="97">
        <v>0</v>
      </c>
      <c r="AN36" s="97">
        <v>0</v>
      </c>
      <c r="AO36" s="97">
        <f>424+89</f>
        <v>513</v>
      </c>
      <c r="AP36" s="97">
        <v>42</v>
      </c>
      <c r="AQ36" s="97">
        <v>30</v>
      </c>
      <c r="AR36" s="97">
        <v>5</v>
      </c>
      <c r="AS36" s="97">
        <v>25</v>
      </c>
      <c r="AT36" s="97">
        <v>0</v>
      </c>
      <c r="AU36" s="97"/>
      <c r="AV36" s="97">
        <f t="shared" si="0"/>
        <v>3306</v>
      </c>
      <c r="AW36" s="97">
        <v>824</v>
      </c>
      <c r="AX36" s="97">
        <v>0</v>
      </c>
      <c r="AY36" s="97">
        <f t="shared" si="3"/>
        <v>4130</v>
      </c>
      <c r="AZ36" s="97">
        <f t="shared" si="1"/>
        <v>0</v>
      </c>
    </row>
    <row r="37" spans="1:52" s="132" customFormat="1" x14ac:dyDescent="0.2">
      <c r="A37" s="85">
        <v>11</v>
      </c>
      <c r="B37" s="19" t="s">
        <v>30</v>
      </c>
      <c r="C37" s="19" t="s">
        <v>133</v>
      </c>
      <c r="D37" s="197">
        <v>100040</v>
      </c>
      <c r="E37" s="218">
        <f>2982+305+381</f>
        <v>3668</v>
      </c>
      <c r="F37" s="97">
        <v>517</v>
      </c>
      <c r="G37" s="97">
        <v>42</v>
      </c>
      <c r="H37" s="97">
        <f>708+5+36+2</f>
        <v>751</v>
      </c>
      <c r="I37" s="97">
        <f>88+348</f>
        <v>436</v>
      </c>
      <c r="J37" s="97">
        <v>56</v>
      </c>
      <c r="K37" s="97">
        <f t="shared" si="2"/>
        <v>5470</v>
      </c>
      <c r="L37" s="219"/>
      <c r="M37" s="218" t="s">
        <v>90</v>
      </c>
      <c r="N37" s="97">
        <v>0</v>
      </c>
      <c r="O37" s="97">
        <v>0</v>
      </c>
      <c r="P37" s="97">
        <v>133</v>
      </c>
      <c r="Q37" s="97">
        <v>141</v>
      </c>
      <c r="R37" s="97">
        <v>0</v>
      </c>
      <c r="S37" s="97">
        <v>0</v>
      </c>
      <c r="T37" s="97">
        <v>0</v>
      </c>
      <c r="U37" s="97">
        <v>0</v>
      </c>
      <c r="V37" s="97">
        <v>0</v>
      </c>
      <c r="W37" s="97">
        <v>0</v>
      </c>
      <c r="X37" s="97">
        <f>1092-102</f>
        <v>990</v>
      </c>
      <c r="Y37" s="97">
        <v>0</v>
      </c>
      <c r="Z37" s="97">
        <v>0</v>
      </c>
      <c r="AA37" s="97">
        <v>0</v>
      </c>
      <c r="AB37" s="97">
        <v>274</v>
      </c>
      <c r="AC37" s="97">
        <v>274</v>
      </c>
      <c r="AD37" s="97">
        <v>546</v>
      </c>
      <c r="AE37" s="97">
        <v>546</v>
      </c>
      <c r="AF37" s="97">
        <v>0</v>
      </c>
      <c r="AG37" s="97">
        <v>274</v>
      </c>
      <c r="AH37" s="97">
        <v>274</v>
      </c>
      <c r="AI37" s="97">
        <v>274</v>
      </c>
      <c r="AJ37" s="97">
        <v>274</v>
      </c>
      <c r="AK37" s="97">
        <v>0</v>
      </c>
      <c r="AL37" s="97">
        <v>0</v>
      </c>
      <c r="AM37" s="97">
        <v>0</v>
      </c>
      <c r="AN37" s="97">
        <v>0</v>
      </c>
      <c r="AO37" s="97">
        <v>0</v>
      </c>
      <c r="AP37" s="97">
        <v>102</v>
      </c>
      <c r="AQ37" s="97">
        <v>0</v>
      </c>
      <c r="AR37" s="97">
        <v>0</v>
      </c>
      <c r="AS37" s="97">
        <v>0</v>
      </c>
      <c r="AT37" s="97">
        <v>0</v>
      </c>
      <c r="AU37" s="97"/>
      <c r="AV37" s="246">
        <f>SUM(N37:AU37)</f>
        <v>4102</v>
      </c>
      <c r="AW37" s="97">
        <v>1368</v>
      </c>
      <c r="AX37" s="97">
        <v>0</v>
      </c>
      <c r="AY37" s="97">
        <f t="shared" si="3"/>
        <v>5470</v>
      </c>
      <c r="AZ37" s="97">
        <f t="shared" si="1"/>
        <v>0</v>
      </c>
    </row>
    <row r="38" spans="1:52" s="132" customFormat="1" x14ac:dyDescent="0.2">
      <c r="A38" s="84" t="s">
        <v>272</v>
      </c>
      <c r="B38" s="29" t="s">
        <v>75</v>
      </c>
      <c r="C38" s="19" t="s">
        <v>133</v>
      </c>
      <c r="D38" s="197">
        <v>100041</v>
      </c>
      <c r="E38" s="218">
        <f>366+34+53</f>
        <v>453</v>
      </c>
      <c r="F38" s="97">
        <v>25</v>
      </c>
      <c r="G38" s="97">
        <v>0</v>
      </c>
      <c r="H38" s="97">
        <f>12+3</f>
        <v>15</v>
      </c>
      <c r="I38" s="97">
        <f>16+36</f>
        <v>52</v>
      </c>
      <c r="J38" s="97">
        <v>0</v>
      </c>
      <c r="K38" s="97">
        <f t="shared" si="2"/>
        <v>545</v>
      </c>
      <c r="L38" s="219"/>
      <c r="M38" s="218" t="s">
        <v>90</v>
      </c>
      <c r="N38" s="97">
        <v>27</v>
      </c>
      <c r="O38" s="97">
        <v>81</v>
      </c>
      <c r="P38" s="97">
        <v>0</v>
      </c>
      <c r="Q38" s="97">
        <v>0</v>
      </c>
      <c r="R38" s="97">
        <v>0</v>
      </c>
      <c r="S38" s="97">
        <v>27</v>
      </c>
      <c r="T38" s="97">
        <v>27</v>
      </c>
      <c r="U38" s="97">
        <v>54</v>
      </c>
      <c r="V38" s="97">
        <v>0</v>
      </c>
      <c r="W38" s="97">
        <v>0</v>
      </c>
      <c r="X38" s="97">
        <f>83-7</f>
        <v>76</v>
      </c>
      <c r="Y38" s="97">
        <v>0</v>
      </c>
      <c r="Z38" s="97">
        <v>0</v>
      </c>
      <c r="AA38" s="97">
        <v>0</v>
      </c>
      <c r="AB38" s="97">
        <v>0</v>
      </c>
      <c r="AC38" s="97">
        <v>0</v>
      </c>
      <c r="AD38" s="97">
        <v>81</v>
      </c>
      <c r="AE38" s="97">
        <v>27</v>
      </c>
      <c r="AF38" s="97">
        <v>0</v>
      </c>
      <c r="AG38" s="97">
        <v>0</v>
      </c>
      <c r="AH38" s="97">
        <v>27</v>
      </c>
      <c r="AI38" s="97">
        <v>54</v>
      </c>
      <c r="AJ38" s="97">
        <v>27</v>
      </c>
      <c r="AK38" s="97">
        <v>0</v>
      </c>
      <c r="AL38" s="97">
        <f>27-15</f>
        <v>12</v>
      </c>
      <c r="AM38" s="97">
        <v>0</v>
      </c>
      <c r="AN38" s="97">
        <v>0</v>
      </c>
      <c r="AO38" s="97">
        <v>15</v>
      </c>
      <c r="AP38" s="97">
        <v>7</v>
      </c>
      <c r="AQ38" s="97">
        <v>0</v>
      </c>
      <c r="AR38" s="97">
        <v>0</v>
      </c>
      <c r="AS38" s="97">
        <v>0</v>
      </c>
      <c r="AT38" s="97">
        <v>0</v>
      </c>
      <c r="AU38" s="97"/>
      <c r="AV38" s="97">
        <f t="shared" ref="AV38:AV61" si="4">SUM(N38:AU38)</f>
        <v>542</v>
      </c>
      <c r="AW38" s="97">
        <v>3</v>
      </c>
      <c r="AX38" s="97">
        <v>0</v>
      </c>
      <c r="AY38" s="97">
        <f t="shared" si="3"/>
        <v>545</v>
      </c>
      <c r="AZ38" s="97">
        <f t="shared" si="1"/>
        <v>0</v>
      </c>
    </row>
    <row r="39" spans="1:52" s="132" customFormat="1" x14ac:dyDescent="0.2">
      <c r="A39" s="84" t="s">
        <v>272</v>
      </c>
      <c r="B39" s="19" t="s">
        <v>53</v>
      </c>
      <c r="C39" s="19" t="s">
        <v>146</v>
      </c>
      <c r="D39" s="197">
        <v>100042</v>
      </c>
      <c r="E39" s="218">
        <v>0</v>
      </c>
      <c r="F39" s="97">
        <v>1009</v>
      </c>
      <c r="G39" s="97">
        <v>139</v>
      </c>
      <c r="H39" s="97">
        <f>539+25+130</f>
        <v>694</v>
      </c>
      <c r="I39" s="97">
        <f>30+70</f>
        <v>100</v>
      </c>
      <c r="J39" s="97">
        <v>1</v>
      </c>
      <c r="K39" s="97">
        <f t="shared" si="2"/>
        <v>1943</v>
      </c>
      <c r="L39" s="219"/>
      <c r="M39" s="218" t="s">
        <v>90</v>
      </c>
      <c r="N39" s="97">
        <v>0</v>
      </c>
      <c r="O39" s="97">
        <v>0</v>
      </c>
      <c r="P39" s="97">
        <v>0</v>
      </c>
      <c r="Q39" s="97">
        <v>0</v>
      </c>
      <c r="R39" s="97">
        <v>0</v>
      </c>
      <c r="S39" s="97">
        <v>0</v>
      </c>
      <c r="T39" s="97">
        <v>0</v>
      </c>
      <c r="U39" s="97">
        <v>0</v>
      </c>
      <c r="V39" s="97">
        <v>0</v>
      </c>
      <c r="W39" s="97">
        <v>0</v>
      </c>
      <c r="X39" s="97">
        <v>1450</v>
      </c>
      <c r="Y39" s="97">
        <v>0</v>
      </c>
      <c r="Z39" s="97">
        <v>0</v>
      </c>
      <c r="AA39" s="97">
        <v>0</v>
      </c>
      <c r="AB39" s="97">
        <v>0</v>
      </c>
      <c r="AC39" s="97">
        <v>0</v>
      </c>
      <c r="AD39" s="97">
        <v>358</v>
      </c>
      <c r="AE39" s="97">
        <v>134</v>
      </c>
      <c r="AF39" s="97">
        <v>0</v>
      </c>
      <c r="AG39" s="97">
        <v>0</v>
      </c>
      <c r="AH39" s="97">
        <v>0</v>
      </c>
      <c r="AI39" s="97">
        <v>0</v>
      </c>
      <c r="AJ39" s="97">
        <v>0</v>
      </c>
      <c r="AK39" s="97">
        <v>0</v>
      </c>
      <c r="AL39" s="97">
        <v>0</v>
      </c>
      <c r="AM39" s="97">
        <v>0</v>
      </c>
      <c r="AN39" s="97">
        <v>0</v>
      </c>
      <c r="AO39" s="97">
        <v>0</v>
      </c>
      <c r="AP39" s="97">
        <v>0</v>
      </c>
      <c r="AQ39" s="97">
        <v>0</v>
      </c>
      <c r="AR39" s="97">
        <v>0</v>
      </c>
      <c r="AS39" s="97">
        <v>0</v>
      </c>
      <c r="AT39" s="97">
        <v>0</v>
      </c>
      <c r="AU39" s="97"/>
      <c r="AV39" s="246">
        <f>SUM(N39:AU39)</f>
        <v>1942</v>
      </c>
      <c r="AW39" s="97">
        <v>1</v>
      </c>
      <c r="AX39" s="97">
        <v>0</v>
      </c>
      <c r="AY39" s="97">
        <f t="shared" si="3"/>
        <v>1943</v>
      </c>
      <c r="AZ39" s="97">
        <f t="shared" si="1"/>
        <v>0</v>
      </c>
    </row>
    <row r="40" spans="1:52" s="132" customFormat="1" x14ac:dyDescent="0.2">
      <c r="A40" s="85">
        <v>11</v>
      </c>
      <c r="B40" s="19" t="s">
        <v>32</v>
      </c>
      <c r="C40" s="19" t="s">
        <v>137</v>
      </c>
      <c r="D40" s="197">
        <v>100044</v>
      </c>
      <c r="E40" s="218">
        <f>1749+35+186</f>
        <v>1970</v>
      </c>
      <c r="F40" s="97">
        <v>41</v>
      </c>
      <c r="G40" s="97">
        <v>1</v>
      </c>
      <c r="H40" s="97">
        <f>65+1+492</f>
        <v>558</v>
      </c>
      <c r="I40" s="97">
        <f>48+240</f>
        <v>288</v>
      </c>
      <c r="J40" s="97">
        <f>92+450</f>
        <v>542</v>
      </c>
      <c r="K40" s="97">
        <f t="shared" si="2"/>
        <v>3400</v>
      </c>
      <c r="L40" s="219"/>
      <c r="M40" s="218" t="s">
        <v>19</v>
      </c>
      <c r="N40" s="97">
        <v>0</v>
      </c>
      <c r="O40" s="97">
        <v>0</v>
      </c>
      <c r="P40" s="97">
        <v>0</v>
      </c>
      <c r="Q40" s="97">
        <v>0</v>
      </c>
      <c r="R40" s="97">
        <v>0</v>
      </c>
      <c r="S40" s="97">
        <v>0</v>
      </c>
      <c r="T40" s="97">
        <v>0</v>
      </c>
      <c r="U40" s="97">
        <v>0</v>
      </c>
      <c r="V40" s="97">
        <v>0</v>
      </c>
      <c r="W40" s="97">
        <v>0</v>
      </c>
      <c r="X40" s="97">
        <v>0</v>
      </c>
      <c r="Y40" s="97">
        <v>0</v>
      </c>
      <c r="Z40" s="97">
        <v>0</v>
      </c>
      <c r="AA40" s="97">
        <v>0</v>
      </c>
      <c r="AB40" s="97">
        <v>0</v>
      </c>
      <c r="AC40" s="97">
        <v>0</v>
      </c>
      <c r="AD40" s="97">
        <v>0</v>
      </c>
      <c r="AE40" s="97">
        <v>0</v>
      </c>
      <c r="AF40" s="97">
        <v>0</v>
      </c>
      <c r="AG40" s="97">
        <v>0</v>
      </c>
      <c r="AH40" s="97">
        <v>0</v>
      </c>
      <c r="AI40" s="97">
        <v>0</v>
      </c>
      <c r="AJ40" s="97">
        <v>0</v>
      </c>
      <c r="AK40" s="97">
        <v>0</v>
      </c>
      <c r="AL40" s="97">
        <v>0</v>
      </c>
      <c r="AM40" s="97">
        <v>0</v>
      </c>
      <c r="AN40" s="97">
        <v>0</v>
      </c>
      <c r="AO40" s="97">
        <v>0</v>
      </c>
      <c r="AP40" s="97">
        <v>0</v>
      </c>
      <c r="AQ40" s="97">
        <v>0</v>
      </c>
      <c r="AR40" s="97">
        <v>0</v>
      </c>
      <c r="AS40" s="97">
        <v>0</v>
      </c>
      <c r="AT40" s="97">
        <v>0</v>
      </c>
      <c r="AU40" s="97"/>
      <c r="AV40" s="97">
        <f t="shared" si="4"/>
        <v>0</v>
      </c>
      <c r="AW40" s="97">
        <v>3400</v>
      </c>
      <c r="AX40" s="97">
        <v>0</v>
      </c>
      <c r="AY40" s="97">
        <f t="shared" si="3"/>
        <v>3400</v>
      </c>
      <c r="AZ40" s="97">
        <f t="shared" si="1"/>
        <v>0</v>
      </c>
    </row>
    <row r="41" spans="1:52" s="132" customFormat="1" x14ac:dyDescent="0.2">
      <c r="A41" s="85">
        <v>11</v>
      </c>
      <c r="B41" s="19" t="s">
        <v>239</v>
      </c>
      <c r="C41" s="19" t="s">
        <v>248</v>
      </c>
      <c r="D41" s="197">
        <v>100045</v>
      </c>
      <c r="E41" s="218">
        <f>1600+144+410</f>
        <v>2154</v>
      </c>
      <c r="F41" s="97">
        <v>80</v>
      </c>
      <c r="G41" s="97">
        <v>5</v>
      </c>
      <c r="H41" s="97">
        <f>17+1</f>
        <v>18</v>
      </c>
      <c r="I41" s="97">
        <f>40+22</f>
        <v>62</v>
      </c>
      <c r="J41" s="97">
        <v>0</v>
      </c>
      <c r="K41" s="97">
        <f t="shared" si="2"/>
        <v>2319</v>
      </c>
      <c r="L41" s="219"/>
      <c r="M41" s="218" t="s">
        <v>244</v>
      </c>
      <c r="N41" s="97">
        <v>0</v>
      </c>
      <c r="O41" s="97">
        <v>0</v>
      </c>
      <c r="P41" s="97">
        <v>0</v>
      </c>
      <c r="Q41" s="97">
        <v>0</v>
      </c>
      <c r="R41" s="97">
        <v>0</v>
      </c>
      <c r="S41" s="97">
        <v>0</v>
      </c>
      <c r="T41" s="97">
        <v>0</v>
      </c>
      <c r="U41" s="97">
        <v>0</v>
      </c>
      <c r="V41" s="97">
        <v>0</v>
      </c>
      <c r="W41" s="97">
        <v>0</v>
      </c>
      <c r="X41" s="97">
        <v>0</v>
      </c>
      <c r="Y41" s="97">
        <v>0</v>
      </c>
      <c r="Z41" s="97">
        <v>0</v>
      </c>
      <c r="AA41" s="97">
        <v>0</v>
      </c>
      <c r="AB41" s="97">
        <v>0</v>
      </c>
      <c r="AC41" s="97">
        <v>0</v>
      </c>
      <c r="AD41" s="97">
        <v>0</v>
      </c>
      <c r="AE41" s="97">
        <v>0</v>
      </c>
      <c r="AF41" s="97">
        <v>0</v>
      </c>
      <c r="AG41" s="97">
        <v>0</v>
      </c>
      <c r="AH41" s="97">
        <v>0</v>
      </c>
      <c r="AI41" s="97">
        <v>0</v>
      </c>
      <c r="AJ41" s="97">
        <v>0</v>
      </c>
      <c r="AK41" s="97">
        <v>0</v>
      </c>
      <c r="AL41" s="97">
        <v>0</v>
      </c>
      <c r="AM41" s="97">
        <v>0</v>
      </c>
      <c r="AN41" s="97">
        <v>0</v>
      </c>
      <c r="AO41" s="97">
        <v>0</v>
      </c>
      <c r="AP41" s="97">
        <v>0</v>
      </c>
      <c r="AQ41" s="97">
        <v>0</v>
      </c>
      <c r="AR41" s="97">
        <v>0</v>
      </c>
      <c r="AS41" s="97">
        <v>0</v>
      </c>
      <c r="AT41" s="97">
        <v>0</v>
      </c>
      <c r="AU41" s="97"/>
      <c r="AV41" s="97">
        <f t="shared" si="4"/>
        <v>0</v>
      </c>
      <c r="AW41" s="97">
        <v>2319</v>
      </c>
      <c r="AX41" s="97">
        <v>0</v>
      </c>
      <c r="AY41" s="97">
        <f t="shared" si="3"/>
        <v>2319</v>
      </c>
      <c r="AZ41" s="97">
        <f t="shared" si="1"/>
        <v>0</v>
      </c>
    </row>
    <row r="42" spans="1:52" s="132" customFormat="1" x14ac:dyDescent="0.2">
      <c r="A42" s="85">
        <v>11</v>
      </c>
      <c r="B42" s="19" t="s">
        <v>308</v>
      </c>
      <c r="C42" s="19" t="s">
        <v>145</v>
      </c>
      <c r="D42" s="197">
        <v>100046</v>
      </c>
      <c r="E42" s="218">
        <v>0</v>
      </c>
      <c r="F42" s="97">
        <v>50</v>
      </c>
      <c r="G42" s="97">
        <v>0</v>
      </c>
      <c r="H42" s="97">
        <f>10+18400</f>
        <v>18410</v>
      </c>
      <c r="I42" s="97">
        <v>0</v>
      </c>
      <c r="J42" s="97">
        <v>0</v>
      </c>
      <c r="K42" s="97">
        <f t="shared" si="2"/>
        <v>18460</v>
      </c>
      <c r="L42" s="219"/>
      <c r="M42" s="218" t="s">
        <v>182</v>
      </c>
      <c r="N42" s="97">
        <v>0</v>
      </c>
      <c r="O42" s="97">
        <v>0</v>
      </c>
      <c r="P42" s="97">
        <v>0</v>
      </c>
      <c r="Q42" s="97">
        <v>0</v>
      </c>
      <c r="R42" s="97">
        <v>0</v>
      </c>
      <c r="S42" s="97">
        <v>0</v>
      </c>
      <c r="T42" s="97">
        <v>0</v>
      </c>
      <c r="U42" s="97">
        <v>0</v>
      </c>
      <c r="V42" s="97">
        <v>0</v>
      </c>
      <c r="W42" s="97">
        <v>0</v>
      </c>
      <c r="X42" s="97">
        <v>0</v>
      </c>
      <c r="Y42" s="97">
        <v>0</v>
      </c>
      <c r="Z42" s="97">
        <v>0</v>
      </c>
      <c r="AA42" s="97">
        <v>0</v>
      </c>
      <c r="AB42" s="97">
        <v>0</v>
      </c>
      <c r="AC42" s="97">
        <v>0</v>
      </c>
      <c r="AD42" s="97">
        <v>0</v>
      </c>
      <c r="AE42" s="97">
        <v>0</v>
      </c>
      <c r="AF42" s="97">
        <v>0</v>
      </c>
      <c r="AG42" s="97">
        <v>0</v>
      </c>
      <c r="AH42" s="97">
        <v>0</v>
      </c>
      <c r="AI42" s="97">
        <v>0</v>
      </c>
      <c r="AJ42" s="97">
        <v>0</v>
      </c>
      <c r="AK42" s="97">
        <v>0</v>
      </c>
      <c r="AL42" s="97">
        <v>0</v>
      </c>
      <c r="AM42" s="97">
        <v>0</v>
      </c>
      <c r="AN42" s="97">
        <v>0</v>
      </c>
      <c r="AO42" s="97">
        <v>0</v>
      </c>
      <c r="AP42" s="97">
        <v>0</v>
      </c>
      <c r="AQ42" s="97">
        <v>0</v>
      </c>
      <c r="AR42" s="97">
        <v>0</v>
      </c>
      <c r="AS42" s="97">
        <v>0</v>
      </c>
      <c r="AT42" s="97">
        <v>0</v>
      </c>
      <c r="AU42" s="97"/>
      <c r="AV42" s="97">
        <f t="shared" si="4"/>
        <v>0</v>
      </c>
      <c r="AW42" s="97">
        <v>18460</v>
      </c>
      <c r="AX42" s="97">
        <v>0</v>
      </c>
      <c r="AY42" s="97">
        <f t="shared" si="3"/>
        <v>18460</v>
      </c>
      <c r="AZ42" s="97">
        <f t="shared" ref="AZ42:AZ73" si="5">+K42-AY42</f>
        <v>0</v>
      </c>
    </row>
    <row r="43" spans="1:52" s="132" customFormat="1" x14ac:dyDescent="0.2">
      <c r="A43" s="84" t="s">
        <v>272</v>
      </c>
      <c r="B43" s="29" t="s">
        <v>178</v>
      </c>
      <c r="C43" s="19" t="s">
        <v>129</v>
      </c>
      <c r="D43" s="197">
        <v>100052</v>
      </c>
      <c r="E43" s="218">
        <f>3139+265+468</f>
        <v>3872</v>
      </c>
      <c r="F43" s="97">
        <v>558</v>
      </c>
      <c r="G43" s="97">
        <v>25</v>
      </c>
      <c r="H43" s="97">
        <f>215+8+120</f>
        <v>343</v>
      </c>
      <c r="I43" s="97">
        <f>120+355</f>
        <v>475</v>
      </c>
      <c r="J43" s="97">
        <v>361</v>
      </c>
      <c r="K43" s="97">
        <f t="shared" si="2"/>
        <v>5634</v>
      </c>
      <c r="L43" s="219"/>
      <c r="M43" s="218" t="s">
        <v>90</v>
      </c>
      <c r="N43" s="218">
        <v>0</v>
      </c>
      <c r="O43" s="218">
        <v>0</v>
      </c>
      <c r="P43" s="218">
        <v>27</v>
      </c>
      <c r="Q43" s="218">
        <v>29</v>
      </c>
      <c r="R43" s="218">
        <v>0</v>
      </c>
      <c r="S43" s="218">
        <v>0</v>
      </c>
      <c r="T43" s="218">
        <v>0</v>
      </c>
      <c r="U43" s="218">
        <v>0</v>
      </c>
      <c r="V43" s="218">
        <v>0</v>
      </c>
      <c r="W43" s="97">
        <v>0</v>
      </c>
      <c r="X43" s="218">
        <f>2986-418-180</f>
        <v>2388</v>
      </c>
      <c r="Y43" s="218">
        <v>0</v>
      </c>
      <c r="Z43" s="218">
        <v>0</v>
      </c>
      <c r="AA43" s="218">
        <v>423</v>
      </c>
      <c r="AB43" s="218">
        <v>423</v>
      </c>
      <c r="AC43" s="218">
        <v>0</v>
      </c>
      <c r="AD43" s="218">
        <v>901</v>
      </c>
      <c r="AE43" s="218">
        <v>451</v>
      </c>
      <c r="AF43" s="218">
        <v>0</v>
      </c>
      <c r="AG43" s="218">
        <v>0</v>
      </c>
      <c r="AH43" s="218">
        <v>169</v>
      </c>
      <c r="AI43" s="218">
        <v>169</v>
      </c>
      <c r="AJ43" s="218">
        <v>56</v>
      </c>
      <c r="AK43" s="218">
        <v>0</v>
      </c>
      <c r="AL43" s="218">
        <v>0</v>
      </c>
      <c r="AM43" s="97">
        <v>0</v>
      </c>
      <c r="AN43" s="97">
        <v>0</v>
      </c>
      <c r="AO43" s="97">
        <v>418</v>
      </c>
      <c r="AP43" s="97">
        <v>180</v>
      </c>
      <c r="AQ43" s="97">
        <v>0</v>
      </c>
      <c r="AR43" s="97">
        <v>0</v>
      </c>
      <c r="AS43" s="97">
        <v>0</v>
      </c>
      <c r="AT43" s="97">
        <v>0</v>
      </c>
      <c r="AU43" s="218"/>
      <c r="AV43" s="97">
        <f t="shared" si="4"/>
        <v>5634</v>
      </c>
      <c r="AW43" s="97">
        <v>0</v>
      </c>
      <c r="AX43" s="97">
        <v>0</v>
      </c>
      <c r="AY43" s="97">
        <f t="shared" si="3"/>
        <v>5634</v>
      </c>
      <c r="AZ43" s="97">
        <f t="shared" si="5"/>
        <v>0</v>
      </c>
    </row>
    <row r="44" spans="1:52" s="132" customFormat="1" x14ac:dyDescent="0.2">
      <c r="A44" s="84" t="s">
        <v>272</v>
      </c>
      <c r="B44" s="29" t="s">
        <v>177</v>
      </c>
      <c r="C44" s="19" t="s">
        <v>129</v>
      </c>
      <c r="D44" s="197">
        <v>100053</v>
      </c>
      <c r="E44" s="218">
        <f>1767+175+257</f>
        <v>2199</v>
      </c>
      <c r="F44" s="97">
        <v>355</v>
      </c>
      <c r="G44" s="97">
        <v>36</v>
      </c>
      <c r="H44" s="97">
        <f>139+25</f>
        <v>164</v>
      </c>
      <c r="I44" s="97">
        <f>110+300</f>
        <v>410</v>
      </c>
      <c r="J44" s="97">
        <v>261</v>
      </c>
      <c r="K44" s="97">
        <f t="shared" si="2"/>
        <v>3425</v>
      </c>
      <c r="L44" s="219"/>
      <c r="M44" s="218" t="s">
        <v>90</v>
      </c>
      <c r="N44" s="218">
        <v>0</v>
      </c>
      <c r="O44" s="218">
        <v>0</v>
      </c>
      <c r="P44" s="218">
        <v>0</v>
      </c>
      <c r="Q44" s="218">
        <v>0</v>
      </c>
      <c r="R44" s="218">
        <v>0</v>
      </c>
      <c r="S44" s="218">
        <v>0</v>
      </c>
      <c r="T44" s="218">
        <v>0</v>
      </c>
      <c r="U44" s="218">
        <v>0</v>
      </c>
      <c r="V44" s="218">
        <v>0</v>
      </c>
      <c r="W44" s="97">
        <v>0</v>
      </c>
      <c r="X44" s="218">
        <f>1815-125-416</f>
        <v>1274</v>
      </c>
      <c r="Y44" s="218">
        <v>0</v>
      </c>
      <c r="Z44" s="218">
        <v>0</v>
      </c>
      <c r="AA44" s="218">
        <v>0</v>
      </c>
      <c r="AB44" s="218">
        <v>343</v>
      </c>
      <c r="AC44" s="218">
        <v>0</v>
      </c>
      <c r="AD44" s="218">
        <v>411</v>
      </c>
      <c r="AE44" s="218">
        <v>411</v>
      </c>
      <c r="AF44" s="218">
        <v>0</v>
      </c>
      <c r="AG44" s="218">
        <v>0</v>
      </c>
      <c r="AH44" s="218">
        <v>0</v>
      </c>
      <c r="AI44" s="218">
        <v>308</v>
      </c>
      <c r="AJ44" s="218">
        <v>137</v>
      </c>
      <c r="AK44" s="218">
        <v>0</v>
      </c>
      <c r="AL44" s="218">
        <v>0</v>
      </c>
      <c r="AM44" s="97">
        <v>0</v>
      </c>
      <c r="AN44" s="97">
        <v>0</v>
      </c>
      <c r="AO44" s="97">
        <f>125</f>
        <v>125</v>
      </c>
      <c r="AP44" s="97">
        <v>416</v>
      </c>
      <c r="AQ44" s="97">
        <v>0</v>
      </c>
      <c r="AR44" s="97">
        <v>0</v>
      </c>
      <c r="AS44" s="97">
        <v>0</v>
      </c>
      <c r="AT44" s="97">
        <v>0</v>
      </c>
      <c r="AU44" s="218"/>
      <c r="AV44" s="97">
        <f t="shared" si="4"/>
        <v>3425</v>
      </c>
      <c r="AW44" s="97">
        <v>0</v>
      </c>
      <c r="AX44" s="97">
        <v>0</v>
      </c>
      <c r="AY44" s="97">
        <f t="shared" si="3"/>
        <v>3425</v>
      </c>
      <c r="AZ44" s="97">
        <f t="shared" si="5"/>
        <v>0</v>
      </c>
    </row>
    <row r="45" spans="1:52" s="132" customFormat="1" x14ac:dyDescent="0.2">
      <c r="A45" s="84" t="s">
        <v>272</v>
      </c>
      <c r="B45" s="29" t="s">
        <v>179</v>
      </c>
      <c r="C45" s="19" t="s">
        <v>129</v>
      </c>
      <c r="D45" s="197">
        <v>100054</v>
      </c>
      <c r="E45" s="218">
        <f>2115+95+154</f>
        <v>2364</v>
      </c>
      <c r="F45" s="97">
        <v>128</v>
      </c>
      <c r="G45" s="97">
        <v>13</v>
      </c>
      <c r="H45" s="97">
        <f>30+70</f>
        <v>100</v>
      </c>
      <c r="I45" s="97">
        <f>95+205</f>
        <v>300</v>
      </c>
      <c r="J45" s="97">
        <v>380</v>
      </c>
      <c r="K45" s="97">
        <f t="shared" si="2"/>
        <v>3285</v>
      </c>
      <c r="L45" s="219"/>
      <c r="M45" s="218" t="s">
        <v>90</v>
      </c>
      <c r="N45" s="218">
        <v>0</v>
      </c>
      <c r="O45" s="218">
        <v>0</v>
      </c>
      <c r="P45" s="218">
        <v>16</v>
      </c>
      <c r="Q45" s="218">
        <v>17</v>
      </c>
      <c r="R45" s="218">
        <v>0</v>
      </c>
      <c r="S45" s="218">
        <v>0</v>
      </c>
      <c r="T45" s="218">
        <v>0</v>
      </c>
      <c r="U45" s="218">
        <v>66</v>
      </c>
      <c r="V45" s="218">
        <v>66</v>
      </c>
      <c r="W45" s="97">
        <v>0</v>
      </c>
      <c r="X45" s="218">
        <f>1413-76-100</f>
        <v>1237</v>
      </c>
      <c r="Y45" s="218">
        <v>32</v>
      </c>
      <c r="Z45" s="218">
        <v>0</v>
      </c>
      <c r="AA45" s="218">
        <v>0</v>
      </c>
      <c r="AB45" s="218">
        <v>32</v>
      </c>
      <c r="AC45" s="218">
        <v>0</v>
      </c>
      <c r="AD45" s="218">
        <v>394</v>
      </c>
      <c r="AE45" s="218">
        <v>723</v>
      </c>
      <c r="AF45" s="218">
        <v>32</v>
      </c>
      <c r="AG45" s="218">
        <v>33</v>
      </c>
      <c r="AH45" s="218">
        <v>66</v>
      </c>
      <c r="AI45" s="218">
        <v>263</v>
      </c>
      <c r="AJ45" s="218">
        <v>66</v>
      </c>
      <c r="AK45" s="218">
        <v>0</v>
      </c>
      <c r="AL45" s="218">
        <v>0</v>
      </c>
      <c r="AM45" s="97">
        <v>66</v>
      </c>
      <c r="AN45" s="97">
        <v>0</v>
      </c>
      <c r="AO45" s="97">
        <f>76</f>
        <v>76</v>
      </c>
      <c r="AP45" s="97">
        <v>100</v>
      </c>
      <c r="AQ45" s="97">
        <v>0</v>
      </c>
      <c r="AR45" s="97">
        <v>0</v>
      </c>
      <c r="AS45" s="97">
        <v>0</v>
      </c>
      <c r="AT45" s="97">
        <v>0</v>
      </c>
      <c r="AU45" s="97"/>
      <c r="AV45" s="97">
        <f t="shared" si="4"/>
        <v>3285</v>
      </c>
      <c r="AW45" s="97">
        <v>0</v>
      </c>
      <c r="AX45" s="97">
        <v>0</v>
      </c>
      <c r="AY45" s="97">
        <f t="shared" si="3"/>
        <v>3285</v>
      </c>
      <c r="AZ45" s="97">
        <f t="shared" si="5"/>
        <v>0</v>
      </c>
    </row>
    <row r="46" spans="1:52" s="132" customFormat="1" x14ac:dyDescent="0.2">
      <c r="A46" s="84" t="s">
        <v>272</v>
      </c>
      <c r="B46" s="29" t="s">
        <v>130</v>
      </c>
      <c r="C46" s="19" t="s">
        <v>129</v>
      </c>
      <c r="D46" s="197">
        <v>100055</v>
      </c>
      <c r="E46" s="218">
        <f>1717+135+226</f>
        <v>2078</v>
      </c>
      <c r="F46" s="97">
        <v>274</v>
      </c>
      <c r="G46" s="97">
        <v>6</v>
      </c>
      <c r="H46" s="97">
        <f>36+2+48+1</f>
        <v>87</v>
      </c>
      <c r="I46" s="97">
        <f>58+133</f>
        <v>191</v>
      </c>
      <c r="J46" s="97">
        <v>203</v>
      </c>
      <c r="K46" s="97">
        <f t="shared" si="2"/>
        <v>2839</v>
      </c>
      <c r="L46" s="219"/>
      <c r="M46" s="218" t="s">
        <v>90</v>
      </c>
      <c r="N46" s="218">
        <v>0</v>
      </c>
      <c r="O46" s="218">
        <v>0</v>
      </c>
      <c r="P46" s="218">
        <v>28</v>
      </c>
      <c r="Q46" s="218">
        <v>29</v>
      </c>
      <c r="R46" s="218">
        <v>0</v>
      </c>
      <c r="S46" s="218">
        <v>0</v>
      </c>
      <c r="T46" s="218">
        <v>0</v>
      </c>
      <c r="U46" s="218">
        <v>0</v>
      </c>
      <c r="V46" s="218">
        <v>0</v>
      </c>
      <c r="W46" s="97">
        <v>0</v>
      </c>
      <c r="X46" s="218">
        <f>1050-167-209</f>
        <v>674</v>
      </c>
      <c r="Y46" s="218">
        <v>114</v>
      </c>
      <c r="Z46" s="218">
        <v>0</v>
      </c>
      <c r="AA46" s="218">
        <v>0</v>
      </c>
      <c r="AB46" s="218">
        <v>284</v>
      </c>
      <c r="AC46" s="218">
        <v>0</v>
      </c>
      <c r="AD46" s="218">
        <v>568</v>
      </c>
      <c r="AE46" s="218">
        <v>426</v>
      </c>
      <c r="AF46" s="218">
        <v>0</v>
      </c>
      <c r="AG46" s="218">
        <v>85</v>
      </c>
      <c r="AH46" s="218">
        <v>85</v>
      </c>
      <c r="AI46" s="218">
        <v>85</v>
      </c>
      <c r="AJ46" s="218">
        <v>85</v>
      </c>
      <c r="AK46" s="218">
        <v>0</v>
      </c>
      <c r="AL46" s="218">
        <v>0</v>
      </c>
      <c r="AM46" s="97">
        <v>0</v>
      </c>
      <c r="AN46" s="97">
        <v>0</v>
      </c>
      <c r="AO46" s="97">
        <f>167</f>
        <v>167</v>
      </c>
      <c r="AP46" s="97">
        <v>209</v>
      </c>
      <c r="AQ46" s="97">
        <v>0</v>
      </c>
      <c r="AR46" s="97">
        <v>0</v>
      </c>
      <c r="AS46" s="97">
        <v>0</v>
      </c>
      <c r="AT46" s="97">
        <v>0</v>
      </c>
      <c r="AU46" s="97"/>
      <c r="AV46" s="97">
        <f t="shared" si="4"/>
        <v>2839</v>
      </c>
      <c r="AW46" s="97">
        <v>0</v>
      </c>
      <c r="AX46" s="97">
        <v>0</v>
      </c>
      <c r="AY46" s="97">
        <f t="shared" si="3"/>
        <v>2839</v>
      </c>
      <c r="AZ46" s="97">
        <f t="shared" si="5"/>
        <v>0</v>
      </c>
    </row>
    <row r="47" spans="1:52" s="248" customFormat="1" x14ac:dyDescent="0.2">
      <c r="A47" s="243">
        <v>11</v>
      </c>
      <c r="B47" s="234" t="s">
        <v>266</v>
      </c>
      <c r="C47" s="234" t="s">
        <v>135</v>
      </c>
      <c r="D47" s="244">
        <v>100056</v>
      </c>
      <c r="E47" s="245">
        <v>0</v>
      </c>
      <c r="F47" s="246">
        <v>0</v>
      </c>
      <c r="G47" s="246">
        <v>0</v>
      </c>
      <c r="H47" s="246">
        <v>0</v>
      </c>
      <c r="I47" s="246">
        <v>0</v>
      </c>
      <c r="J47" s="246">
        <v>1195</v>
      </c>
      <c r="K47" s="97">
        <f t="shared" si="2"/>
        <v>1195</v>
      </c>
      <c r="L47" s="247"/>
      <c r="M47" s="245" t="s">
        <v>37</v>
      </c>
      <c r="N47" s="246">
        <v>19</v>
      </c>
      <c r="O47" s="246">
        <v>36</v>
      </c>
      <c r="P47" s="246">
        <v>38</v>
      </c>
      <c r="Q47" s="246">
        <v>41</v>
      </c>
      <c r="R47" s="246">
        <v>4</v>
      </c>
      <c r="S47" s="246">
        <v>0</v>
      </c>
      <c r="T47" s="246">
        <v>22</v>
      </c>
      <c r="U47" s="246">
        <v>140</v>
      </c>
      <c r="V47" s="246">
        <v>26</v>
      </c>
      <c r="W47" s="97">
        <v>11</v>
      </c>
      <c r="X47" s="246">
        <v>194</v>
      </c>
      <c r="Y47" s="246">
        <v>2</v>
      </c>
      <c r="Z47" s="246">
        <v>22</v>
      </c>
      <c r="AA47" s="246">
        <v>4</v>
      </c>
      <c r="AB47" s="246">
        <v>1</v>
      </c>
      <c r="AC47" s="246">
        <v>9</v>
      </c>
      <c r="AD47" s="246">
        <v>172</v>
      </c>
      <c r="AE47" s="246">
        <v>138</v>
      </c>
      <c r="AF47" s="246">
        <v>2</v>
      </c>
      <c r="AG47" s="246">
        <v>0</v>
      </c>
      <c r="AH47" s="246">
        <v>10</v>
      </c>
      <c r="AI47" s="246">
        <v>9</v>
      </c>
      <c r="AJ47" s="246">
        <v>4</v>
      </c>
      <c r="AK47" s="246">
        <v>11</v>
      </c>
      <c r="AL47" s="246">
        <v>4</v>
      </c>
      <c r="AM47" s="246">
        <v>89</v>
      </c>
      <c r="AN47" s="246">
        <v>0</v>
      </c>
      <c r="AO47" s="246">
        <v>52</v>
      </c>
      <c r="AP47" s="246">
        <v>14</v>
      </c>
      <c r="AQ47" s="97">
        <v>0</v>
      </c>
      <c r="AR47" s="97">
        <v>0</v>
      </c>
      <c r="AS47" s="97">
        <v>0</v>
      </c>
      <c r="AT47" s="97">
        <v>0</v>
      </c>
      <c r="AU47" s="246"/>
      <c r="AV47" s="246">
        <f t="shared" si="4"/>
        <v>1074</v>
      </c>
      <c r="AW47" s="246">
        <v>121</v>
      </c>
      <c r="AX47" s="97">
        <v>0</v>
      </c>
      <c r="AY47" s="97">
        <f t="shared" si="3"/>
        <v>1195</v>
      </c>
      <c r="AZ47" s="246">
        <f t="shared" si="5"/>
        <v>0</v>
      </c>
    </row>
    <row r="48" spans="1:52" s="248" customFormat="1" x14ac:dyDescent="0.2">
      <c r="A48" s="243">
        <v>11</v>
      </c>
      <c r="B48" s="234" t="s">
        <v>419</v>
      </c>
      <c r="C48" s="234" t="s">
        <v>462</v>
      </c>
      <c r="D48" s="244">
        <v>100058</v>
      </c>
      <c r="E48" s="245">
        <f>26+3+5</f>
        <v>34</v>
      </c>
      <c r="F48" s="246">
        <v>5</v>
      </c>
      <c r="G48" s="246">
        <v>1</v>
      </c>
      <c r="H48" s="245">
        <v>0</v>
      </c>
      <c r="I48" s="245">
        <f>1+6</f>
        <v>7</v>
      </c>
      <c r="J48" s="245">
        <v>0</v>
      </c>
      <c r="K48" s="97">
        <f t="shared" si="2"/>
        <v>47</v>
      </c>
      <c r="L48" s="247"/>
      <c r="M48" s="245" t="s">
        <v>497</v>
      </c>
      <c r="N48" s="246">
        <v>1</v>
      </c>
      <c r="O48" s="246">
        <v>1</v>
      </c>
      <c r="P48" s="246">
        <v>1</v>
      </c>
      <c r="Q48" s="246">
        <v>2</v>
      </c>
      <c r="R48" s="246">
        <v>0</v>
      </c>
      <c r="S48" s="246">
        <v>0</v>
      </c>
      <c r="T48" s="246">
        <v>1</v>
      </c>
      <c r="U48" s="246">
        <v>5</v>
      </c>
      <c r="V48" s="246">
        <v>1</v>
      </c>
      <c r="W48" s="97">
        <v>0</v>
      </c>
      <c r="X48" s="246">
        <v>9</v>
      </c>
      <c r="Y48" s="246">
        <v>0</v>
      </c>
      <c r="Z48" s="246">
        <v>1</v>
      </c>
      <c r="AA48" s="246">
        <v>0</v>
      </c>
      <c r="AB48" s="246">
        <v>0</v>
      </c>
      <c r="AC48" s="246">
        <v>0</v>
      </c>
      <c r="AD48" s="246">
        <v>8</v>
      </c>
      <c r="AE48" s="246">
        <v>6</v>
      </c>
      <c r="AF48" s="246">
        <v>0</v>
      </c>
      <c r="AG48" s="246">
        <v>0</v>
      </c>
      <c r="AH48" s="246">
        <v>0</v>
      </c>
      <c r="AI48" s="246">
        <v>0</v>
      </c>
      <c r="AJ48" s="246">
        <v>0</v>
      </c>
      <c r="AK48" s="246">
        <v>0</v>
      </c>
      <c r="AL48" s="246">
        <v>0</v>
      </c>
      <c r="AM48" s="246">
        <v>3</v>
      </c>
      <c r="AN48" s="246">
        <v>0</v>
      </c>
      <c r="AO48" s="246">
        <v>2</v>
      </c>
      <c r="AP48" s="246">
        <v>1</v>
      </c>
      <c r="AQ48" s="97">
        <v>0</v>
      </c>
      <c r="AR48" s="97">
        <v>0</v>
      </c>
      <c r="AS48" s="97">
        <v>0</v>
      </c>
      <c r="AT48" s="97">
        <v>0</v>
      </c>
      <c r="AU48" s="246"/>
      <c r="AV48" s="246">
        <f>SUM(N48:AU48)</f>
        <v>42</v>
      </c>
      <c r="AW48" s="246">
        <v>5</v>
      </c>
      <c r="AX48" s="97">
        <v>0</v>
      </c>
      <c r="AY48" s="97">
        <f t="shared" si="3"/>
        <v>47</v>
      </c>
      <c r="AZ48" s="246">
        <f t="shared" si="5"/>
        <v>0</v>
      </c>
    </row>
    <row r="49" spans="1:52" s="132" customFormat="1" x14ac:dyDescent="0.2">
      <c r="A49" s="84" t="s">
        <v>272</v>
      </c>
      <c r="B49" s="19" t="s">
        <v>52</v>
      </c>
      <c r="C49" s="19" t="s">
        <v>147</v>
      </c>
      <c r="D49" s="197">
        <v>100059</v>
      </c>
      <c r="E49" s="218">
        <v>0</v>
      </c>
      <c r="F49" s="97">
        <v>0</v>
      </c>
      <c r="G49" s="97">
        <v>0</v>
      </c>
      <c r="H49" s="97">
        <v>0</v>
      </c>
      <c r="I49" s="97">
        <v>0</v>
      </c>
      <c r="J49" s="97">
        <v>0</v>
      </c>
      <c r="K49" s="97">
        <f t="shared" si="2"/>
        <v>0</v>
      </c>
      <c r="L49" s="219"/>
      <c r="M49" s="218" t="s">
        <v>90</v>
      </c>
      <c r="N49" s="97">
        <v>0</v>
      </c>
      <c r="O49" s="97">
        <v>0</v>
      </c>
      <c r="P49" s="97">
        <v>0</v>
      </c>
      <c r="Q49" s="97">
        <v>0</v>
      </c>
      <c r="R49" s="97">
        <v>0</v>
      </c>
      <c r="S49" s="97">
        <v>0</v>
      </c>
      <c r="T49" s="97">
        <v>0</v>
      </c>
      <c r="U49" s="97">
        <v>0</v>
      </c>
      <c r="V49" s="97">
        <v>0</v>
      </c>
      <c r="W49" s="97">
        <v>0</v>
      </c>
      <c r="X49" s="97">
        <v>0</v>
      </c>
      <c r="Y49" s="97">
        <v>0</v>
      </c>
      <c r="Z49" s="97">
        <v>0</v>
      </c>
      <c r="AA49" s="97">
        <v>0</v>
      </c>
      <c r="AB49" s="97">
        <v>0</v>
      </c>
      <c r="AC49" s="97">
        <v>0</v>
      </c>
      <c r="AD49" s="97">
        <v>0</v>
      </c>
      <c r="AE49" s="97">
        <v>0</v>
      </c>
      <c r="AF49" s="97">
        <v>0</v>
      </c>
      <c r="AG49" s="97">
        <v>0</v>
      </c>
      <c r="AH49" s="97">
        <v>0</v>
      </c>
      <c r="AI49" s="97">
        <v>0</v>
      </c>
      <c r="AJ49" s="97">
        <v>0</v>
      </c>
      <c r="AK49" s="97">
        <v>0</v>
      </c>
      <c r="AL49" s="97">
        <v>0</v>
      </c>
      <c r="AM49" s="97">
        <v>0</v>
      </c>
      <c r="AN49" s="97">
        <v>0</v>
      </c>
      <c r="AO49" s="97">
        <v>0</v>
      </c>
      <c r="AP49" s="97">
        <v>0</v>
      </c>
      <c r="AQ49" s="97">
        <v>0</v>
      </c>
      <c r="AR49" s="97">
        <v>0</v>
      </c>
      <c r="AS49" s="97">
        <v>0</v>
      </c>
      <c r="AT49" s="97">
        <v>0</v>
      </c>
      <c r="AU49" s="97"/>
      <c r="AV49" s="97">
        <f t="shared" si="4"/>
        <v>0</v>
      </c>
      <c r="AW49" s="97">
        <v>0</v>
      </c>
      <c r="AX49" s="97">
        <v>0</v>
      </c>
      <c r="AY49" s="97">
        <f t="shared" si="3"/>
        <v>0</v>
      </c>
      <c r="AZ49" s="97">
        <f t="shared" si="5"/>
        <v>0</v>
      </c>
    </row>
    <row r="50" spans="1:52" s="132" customFormat="1" x14ac:dyDescent="0.2">
      <c r="A50" s="85">
        <v>11</v>
      </c>
      <c r="B50" s="19" t="s">
        <v>35</v>
      </c>
      <c r="C50" s="19" t="s">
        <v>145</v>
      </c>
      <c r="D50" s="197">
        <v>100061</v>
      </c>
      <c r="E50" s="218">
        <f>1117+95+159</f>
        <v>1371</v>
      </c>
      <c r="F50" s="97">
        <v>216</v>
      </c>
      <c r="G50" s="97">
        <v>36</v>
      </c>
      <c r="H50" s="97">
        <f>266+17</f>
        <v>283</v>
      </c>
      <c r="I50" s="97">
        <f>50+248</f>
        <v>298</v>
      </c>
      <c r="J50" s="97">
        <v>127</v>
      </c>
      <c r="K50" s="97">
        <f t="shared" si="2"/>
        <v>2331</v>
      </c>
      <c r="L50" s="219"/>
      <c r="M50" s="218" t="s">
        <v>182</v>
      </c>
      <c r="N50" s="97">
        <v>0</v>
      </c>
      <c r="O50" s="97">
        <v>0</v>
      </c>
      <c r="P50" s="97">
        <v>0</v>
      </c>
      <c r="Q50" s="97">
        <v>0</v>
      </c>
      <c r="R50" s="97">
        <v>0</v>
      </c>
      <c r="S50" s="97">
        <v>0</v>
      </c>
      <c r="T50" s="97">
        <v>0</v>
      </c>
      <c r="U50" s="97">
        <v>0</v>
      </c>
      <c r="V50" s="97">
        <v>0</v>
      </c>
      <c r="W50" s="97">
        <v>0</v>
      </c>
      <c r="X50" s="97">
        <v>0</v>
      </c>
      <c r="Y50" s="97">
        <v>0</v>
      </c>
      <c r="Z50" s="97">
        <v>0</v>
      </c>
      <c r="AA50" s="97">
        <v>0</v>
      </c>
      <c r="AB50" s="97">
        <v>0</v>
      </c>
      <c r="AC50" s="97">
        <v>0</v>
      </c>
      <c r="AD50" s="97">
        <v>0</v>
      </c>
      <c r="AE50" s="97">
        <v>0</v>
      </c>
      <c r="AF50" s="97">
        <v>0</v>
      </c>
      <c r="AG50" s="97">
        <v>0</v>
      </c>
      <c r="AH50" s="97">
        <v>0</v>
      </c>
      <c r="AI50" s="97">
        <v>0</v>
      </c>
      <c r="AJ50" s="97">
        <v>0</v>
      </c>
      <c r="AK50" s="97">
        <v>0</v>
      </c>
      <c r="AL50" s="97">
        <v>0</v>
      </c>
      <c r="AM50" s="97">
        <v>0</v>
      </c>
      <c r="AN50" s="97">
        <v>0</v>
      </c>
      <c r="AO50" s="97">
        <v>0</v>
      </c>
      <c r="AP50" s="97">
        <v>0</v>
      </c>
      <c r="AQ50" s="97">
        <v>0</v>
      </c>
      <c r="AR50" s="97">
        <v>0</v>
      </c>
      <c r="AS50" s="97">
        <v>0</v>
      </c>
      <c r="AT50" s="97">
        <v>0</v>
      </c>
      <c r="AU50" s="97"/>
      <c r="AV50" s="97">
        <f t="shared" si="4"/>
        <v>0</v>
      </c>
      <c r="AW50" s="97">
        <v>2331</v>
      </c>
      <c r="AX50" s="97">
        <v>0</v>
      </c>
      <c r="AY50" s="97">
        <f t="shared" si="3"/>
        <v>2331</v>
      </c>
      <c r="AZ50" s="97">
        <f t="shared" si="5"/>
        <v>0</v>
      </c>
    </row>
    <row r="51" spans="1:52" s="132" customFormat="1" x14ac:dyDescent="0.2">
      <c r="A51" s="84" t="s">
        <v>272</v>
      </c>
      <c r="B51" s="19" t="s">
        <v>78</v>
      </c>
      <c r="C51" s="19" t="s">
        <v>131</v>
      </c>
      <c r="D51" s="197">
        <v>100062</v>
      </c>
      <c r="E51" s="218">
        <f>8954+426+1227</f>
        <v>10607</v>
      </c>
      <c r="F51" s="97">
        <v>1173</v>
      </c>
      <c r="G51" s="97">
        <v>45</v>
      </c>
      <c r="H51" s="97">
        <f>8685+42+108</f>
        <v>8835</v>
      </c>
      <c r="I51" s="97">
        <f>150+400</f>
        <v>550</v>
      </c>
      <c r="J51" s="97">
        <v>1148</v>
      </c>
      <c r="K51" s="97">
        <f t="shared" si="2"/>
        <v>22358</v>
      </c>
      <c r="L51" s="219"/>
      <c r="M51" s="218" t="s">
        <v>90</v>
      </c>
      <c r="N51" s="97">
        <v>0</v>
      </c>
      <c r="O51" s="97">
        <v>0</v>
      </c>
      <c r="P51" s="97">
        <v>0</v>
      </c>
      <c r="Q51" s="97">
        <v>0</v>
      </c>
      <c r="R51" s="97">
        <v>0</v>
      </c>
      <c r="S51" s="97">
        <v>0</v>
      </c>
      <c r="T51" s="97">
        <v>0</v>
      </c>
      <c r="U51" s="97">
        <v>0</v>
      </c>
      <c r="V51" s="97">
        <v>0</v>
      </c>
      <c r="W51" s="97">
        <v>0</v>
      </c>
      <c r="X51" s="97">
        <f>8618-500</f>
        <v>8118</v>
      </c>
      <c r="Y51" s="97">
        <v>0</v>
      </c>
      <c r="Z51" s="97">
        <v>0</v>
      </c>
      <c r="AA51" s="97">
        <v>0</v>
      </c>
      <c r="AB51" s="97">
        <v>0</v>
      </c>
      <c r="AC51" s="97">
        <v>0</v>
      </c>
      <c r="AD51" s="97">
        <f>6123+500</f>
        <v>6623</v>
      </c>
      <c r="AE51" s="97">
        <v>2421</v>
      </c>
      <c r="AF51" s="97">
        <v>0</v>
      </c>
      <c r="AG51" s="97">
        <v>0</v>
      </c>
      <c r="AH51" s="97">
        <v>0</v>
      </c>
      <c r="AI51" s="97">
        <v>400</v>
      </c>
      <c r="AJ51" s="97">
        <v>0</v>
      </c>
      <c r="AK51" s="97">
        <v>0</v>
      </c>
      <c r="AL51" s="97">
        <v>0</v>
      </c>
      <c r="AM51" s="97">
        <v>500</v>
      </c>
      <c r="AN51" s="97">
        <v>0</v>
      </c>
      <c r="AO51" s="97">
        <v>900</v>
      </c>
      <c r="AP51" s="97">
        <v>500</v>
      </c>
      <c r="AQ51" s="97">
        <v>0</v>
      </c>
      <c r="AR51" s="97">
        <v>0</v>
      </c>
      <c r="AS51" s="97">
        <v>0</v>
      </c>
      <c r="AT51" s="97">
        <v>0</v>
      </c>
      <c r="AU51" s="97"/>
      <c r="AV51" s="97">
        <f t="shared" si="4"/>
        <v>19462</v>
      </c>
      <c r="AW51" s="97">
        <v>2896</v>
      </c>
      <c r="AX51" s="97">
        <v>0</v>
      </c>
      <c r="AY51" s="97">
        <f t="shared" si="3"/>
        <v>22358</v>
      </c>
      <c r="AZ51" s="97">
        <f t="shared" si="5"/>
        <v>0</v>
      </c>
    </row>
    <row r="52" spans="1:52" s="132" customFormat="1" x14ac:dyDescent="0.2">
      <c r="A52" s="85">
        <v>901</v>
      </c>
      <c r="B52" s="19" t="s">
        <v>87</v>
      </c>
      <c r="C52" s="19" t="s">
        <v>155</v>
      </c>
      <c r="D52" s="197">
        <v>100064</v>
      </c>
      <c r="E52" s="218">
        <v>0</v>
      </c>
      <c r="F52" s="97">
        <v>0</v>
      </c>
      <c r="G52" s="97">
        <v>0</v>
      </c>
      <c r="H52" s="97">
        <v>0</v>
      </c>
      <c r="I52" s="97">
        <v>727</v>
      </c>
      <c r="J52" s="97">
        <v>0</v>
      </c>
      <c r="K52" s="97">
        <f t="shared" si="2"/>
        <v>727</v>
      </c>
      <c r="L52" s="219"/>
      <c r="M52" s="218" t="s">
        <v>19</v>
      </c>
      <c r="N52" s="97">
        <v>0</v>
      </c>
      <c r="O52" s="97">
        <v>0</v>
      </c>
      <c r="P52" s="97">
        <v>0</v>
      </c>
      <c r="Q52" s="97">
        <v>0</v>
      </c>
      <c r="R52" s="97">
        <v>0</v>
      </c>
      <c r="S52" s="97">
        <v>0</v>
      </c>
      <c r="T52" s="97">
        <v>0</v>
      </c>
      <c r="U52" s="97">
        <v>0</v>
      </c>
      <c r="V52" s="97">
        <v>0</v>
      </c>
      <c r="W52" s="97">
        <v>0</v>
      </c>
      <c r="X52" s="97">
        <v>0</v>
      </c>
      <c r="Y52" s="97">
        <v>0</v>
      </c>
      <c r="Z52" s="97">
        <v>0</v>
      </c>
      <c r="AA52" s="97">
        <v>0</v>
      </c>
      <c r="AB52" s="97">
        <v>0</v>
      </c>
      <c r="AC52" s="97">
        <v>0</v>
      </c>
      <c r="AD52" s="97">
        <v>0</v>
      </c>
      <c r="AE52" s="97">
        <v>0</v>
      </c>
      <c r="AF52" s="97">
        <v>0</v>
      </c>
      <c r="AG52" s="97">
        <v>0</v>
      </c>
      <c r="AH52" s="97">
        <v>0</v>
      </c>
      <c r="AI52" s="97">
        <v>0</v>
      </c>
      <c r="AJ52" s="97">
        <v>0</v>
      </c>
      <c r="AK52" s="97">
        <v>0</v>
      </c>
      <c r="AL52" s="97">
        <v>0</v>
      </c>
      <c r="AM52" s="97">
        <v>0</v>
      </c>
      <c r="AN52" s="97">
        <v>0</v>
      </c>
      <c r="AO52" s="97">
        <v>0</v>
      </c>
      <c r="AP52" s="97">
        <v>0</v>
      </c>
      <c r="AQ52" s="97">
        <v>0</v>
      </c>
      <c r="AR52" s="97">
        <v>0</v>
      </c>
      <c r="AS52" s="97">
        <v>0</v>
      </c>
      <c r="AT52" s="97">
        <v>0</v>
      </c>
      <c r="AU52" s="97"/>
      <c r="AV52" s="97">
        <f t="shared" si="4"/>
        <v>0</v>
      </c>
      <c r="AW52" s="97">
        <v>727</v>
      </c>
      <c r="AX52" s="97">
        <v>0</v>
      </c>
      <c r="AY52" s="97">
        <f t="shared" si="3"/>
        <v>727</v>
      </c>
      <c r="AZ52" s="97">
        <f t="shared" si="5"/>
        <v>0</v>
      </c>
    </row>
    <row r="53" spans="1:52" s="132" customFormat="1" x14ac:dyDescent="0.2">
      <c r="A53" s="85">
        <v>11</v>
      </c>
      <c r="B53" s="19" t="s">
        <v>166</v>
      </c>
      <c r="C53" s="19" t="s">
        <v>246</v>
      </c>
      <c r="D53" s="197">
        <v>100065</v>
      </c>
      <c r="E53" s="218">
        <v>0</v>
      </c>
      <c r="F53" s="97">
        <v>0</v>
      </c>
      <c r="G53" s="97">
        <v>0</v>
      </c>
      <c r="H53" s="97">
        <v>0</v>
      </c>
      <c r="I53" s="97">
        <v>0</v>
      </c>
      <c r="J53" s="97">
        <v>0</v>
      </c>
      <c r="K53" s="97">
        <f t="shared" si="2"/>
        <v>0</v>
      </c>
      <c r="L53" s="219"/>
      <c r="M53" s="218" t="s">
        <v>19</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7">
        <v>0</v>
      </c>
      <c r="AI53" s="97">
        <v>0</v>
      </c>
      <c r="AJ53" s="97">
        <v>0</v>
      </c>
      <c r="AK53" s="97">
        <v>0</v>
      </c>
      <c r="AL53" s="97">
        <v>0</v>
      </c>
      <c r="AM53" s="97">
        <v>0</v>
      </c>
      <c r="AN53" s="97">
        <v>0</v>
      </c>
      <c r="AO53" s="97">
        <v>0</v>
      </c>
      <c r="AP53" s="97">
        <v>0</v>
      </c>
      <c r="AQ53" s="97">
        <v>0</v>
      </c>
      <c r="AR53" s="97">
        <v>0</v>
      </c>
      <c r="AS53" s="97">
        <v>0</v>
      </c>
      <c r="AT53" s="97">
        <v>0</v>
      </c>
      <c r="AU53" s="97"/>
      <c r="AV53" s="97">
        <f t="shared" si="4"/>
        <v>0</v>
      </c>
      <c r="AW53" s="97">
        <v>0</v>
      </c>
      <c r="AX53" s="97">
        <v>0</v>
      </c>
      <c r="AY53" s="97">
        <f t="shared" si="3"/>
        <v>0</v>
      </c>
      <c r="AZ53" s="97">
        <f t="shared" si="5"/>
        <v>0</v>
      </c>
    </row>
    <row r="54" spans="1:52" s="132" customFormat="1" x14ac:dyDescent="0.2">
      <c r="A54" s="85">
        <v>11</v>
      </c>
      <c r="B54" s="19" t="s">
        <v>80</v>
      </c>
      <c r="C54" s="19" t="s">
        <v>137</v>
      </c>
      <c r="D54" s="197">
        <v>100066</v>
      </c>
      <c r="E54" s="218">
        <v>0</v>
      </c>
      <c r="F54" s="97">
        <v>740</v>
      </c>
      <c r="G54" s="97">
        <v>0</v>
      </c>
      <c r="H54" s="97">
        <v>0</v>
      </c>
      <c r="I54" s="97">
        <v>20</v>
      </c>
      <c r="J54" s="97">
        <v>0</v>
      </c>
      <c r="K54" s="97">
        <f t="shared" si="2"/>
        <v>760</v>
      </c>
      <c r="L54" s="219"/>
      <c r="M54" s="218" t="s">
        <v>81</v>
      </c>
      <c r="N54" s="97">
        <v>2</v>
      </c>
      <c r="O54" s="97">
        <v>4</v>
      </c>
      <c r="P54" s="97">
        <v>30</v>
      </c>
      <c r="Q54" s="97">
        <v>0</v>
      </c>
      <c r="R54" s="97">
        <v>4</v>
      </c>
      <c r="S54" s="97">
        <v>0</v>
      </c>
      <c r="T54" s="97">
        <v>7</v>
      </c>
      <c r="U54" s="97">
        <v>7</v>
      </c>
      <c r="V54" s="97">
        <v>20</v>
      </c>
      <c r="W54" s="97">
        <v>0</v>
      </c>
      <c r="X54" s="97">
        <f>160-13-9</f>
        <v>138</v>
      </c>
      <c r="Y54" s="97">
        <v>4</v>
      </c>
      <c r="Z54" s="97">
        <v>1</v>
      </c>
      <c r="AA54" s="97">
        <v>0</v>
      </c>
      <c r="AB54" s="97">
        <v>0</v>
      </c>
      <c r="AC54" s="97">
        <v>13</v>
      </c>
      <c r="AD54" s="97">
        <v>64</v>
      </c>
      <c r="AE54" s="97">
        <v>72</v>
      </c>
      <c r="AF54" s="97">
        <v>5</v>
      </c>
      <c r="AG54" s="97">
        <v>0</v>
      </c>
      <c r="AH54" s="97">
        <v>26</v>
      </c>
      <c r="AI54" s="97">
        <v>35</v>
      </c>
      <c r="AJ54" s="97">
        <v>13</v>
      </c>
      <c r="AK54" s="97">
        <v>8</v>
      </c>
      <c r="AL54" s="97">
        <f>28-15</f>
        <v>13</v>
      </c>
      <c r="AM54" s="97">
        <v>23</v>
      </c>
      <c r="AN54" s="97">
        <v>0</v>
      </c>
      <c r="AO54" s="97">
        <f>13+15</f>
        <v>28</v>
      </c>
      <c r="AP54" s="97">
        <v>9</v>
      </c>
      <c r="AQ54" s="97">
        <v>0</v>
      </c>
      <c r="AR54" s="97">
        <v>2</v>
      </c>
      <c r="AS54" s="97">
        <v>0</v>
      </c>
      <c r="AT54" s="97">
        <v>0</v>
      </c>
      <c r="AU54" s="97"/>
      <c r="AV54" s="97">
        <f t="shared" si="4"/>
        <v>528</v>
      </c>
      <c r="AW54" s="97">
        <v>232</v>
      </c>
      <c r="AX54" s="97">
        <v>0</v>
      </c>
      <c r="AY54" s="97">
        <f t="shared" si="3"/>
        <v>760</v>
      </c>
      <c r="AZ54" s="97">
        <f t="shared" si="5"/>
        <v>0</v>
      </c>
    </row>
    <row r="55" spans="1:52" s="132" customFormat="1" x14ac:dyDescent="0.2">
      <c r="A55" s="84" t="s">
        <v>272</v>
      </c>
      <c r="B55" s="29" t="s">
        <v>159</v>
      </c>
      <c r="C55" s="19" t="s">
        <v>129</v>
      </c>
      <c r="D55" s="197">
        <v>100068</v>
      </c>
      <c r="E55" s="218">
        <f>3404+343+478</f>
        <v>4225</v>
      </c>
      <c r="F55" s="97">
        <v>950</v>
      </c>
      <c r="G55" s="97">
        <v>27</v>
      </c>
      <c r="H55" s="97">
        <f>750+10+111</f>
        <v>871</v>
      </c>
      <c r="I55" s="97">
        <f>105+320</f>
        <v>425</v>
      </c>
      <c r="J55" s="97">
        <v>471</v>
      </c>
      <c r="K55" s="97">
        <f t="shared" si="2"/>
        <v>6969</v>
      </c>
      <c r="L55" s="219"/>
      <c r="M55" s="218" t="s">
        <v>233</v>
      </c>
      <c r="N55" s="218">
        <v>0</v>
      </c>
      <c r="O55" s="218">
        <v>0</v>
      </c>
      <c r="P55" s="218">
        <v>0</v>
      </c>
      <c r="Q55" s="218">
        <v>0</v>
      </c>
      <c r="R55" s="218">
        <v>0</v>
      </c>
      <c r="S55" s="218">
        <v>35</v>
      </c>
      <c r="T55" s="218">
        <v>0</v>
      </c>
      <c r="U55" s="218">
        <v>0</v>
      </c>
      <c r="V55" s="218">
        <v>0</v>
      </c>
      <c r="W55" s="97">
        <v>0</v>
      </c>
      <c r="X55" s="218">
        <f>4132-548-73</f>
        <v>3511</v>
      </c>
      <c r="Y55" s="218">
        <v>0</v>
      </c>
      <c r="Z55" s="218">
        <v>0</v>
      </c>
      <c r="AA55" s="218">
        <v>573</v>
      </c>
      <c r="AB55" s="218">
        <v>1000</v>
      </c>
      <c r="AC55" s="218">
        <v>0</v>
      </c>
      <c r="AD55" s="218">
        <v>803</v>
      </c>
      <c r="AE55" s="218">
        <v>133</v>
      </c>
      <c r="AF55" s="218">
        <v>0</v>
      </c>
      <c r="AG55" s="218">
        <v>15</v>
      </c>
      <c r="AH55" s="218">
        <v>0</v>
      </c>
      <c r="AI55" s="218">
        <v>278</v>
      </c>
      <c r="AJ55" s="218">
        <v>0</v>
      </c>
      <c r="AK55" s="218">
        <v>0</v>
      </c>
      <c r="AL55" s="218">
        <v>0</v>
      </c>
      <c r="AM55" s="97">
        <v>0</v>
      </c>
      <c r="AN55" s="97">
        <v>0</v>
      </c>
      <c r="AO55" s="97">
        <f>548</f>
        <v>548</v>
      </c>
      <c r="AP55" s="97">
        <v>73</v>
      </c>
      <c r="AQ55" s="97">
        <v>0</v>
      </c>
      <c r="AR55" s="97">
        <v>0</v>
      </c>
      <c r="AS55" s="97">
        <v>0</v>
      </c>
      <c r="AT55" s="97">
        <v>0</v>
      </c>
      <c r="AU55" s="97"/>
      <c r="AV55" s="246">
        <f>SUM(N55:AU55)</f>
        <v>6969</v>
      </c>
      <c r="AW55" s="97">
        <v>0</v>
      </c>
      <c r="AX55" s="97">
        <v>0</v>
      </c>
      <c r="AY55" s="97">
        <f t="shared" si="3"/>
        <v>6969</v>
      </c>
      <c r="AZ55" s="97">
        <f t="shared" si="5"/>
        <v>0</v>
      </c>
    </row>
    <row r="56" spans="1:52" s="248" customFormat="1" x14ac:dyDescent="0.2">
      <c r="A56" s="243">
        <v>11</v>
      </c>
      <c r="B56" s="234" t="s">
        <v>161</v>
      </c>
      <c r="C56" s="234" t="s">
        <v>135</v>
      </c>
      <c r="D56" s="244">
        <v>100069</v>
      </c>
      <c r="E56" s="245">
        <v>0</v>
      </c>
      <c r="F56" s="246">
        <v>0</v>
      </c>
      <c r="G56" s="246">
        <v>0</v>
      </c>
      <c r="H56" s="246">
        <v>0</v>
      </c>
      <c r="I56" s="246">
        <v>0</v>
      </c>
      <c r="J56" s="246">
        <v>3000</v>
      </c>
      <c r="K56" s="97">
        <f t="shared" si="2"/>
        <v>3000</v>
      </c>
      <c r="L56" s="247"/>
      <c r="M56" s="245" t="s">
        <v>531</v>
      </c>
      <c r="N56" s="246">
        <v>48</v>
      </c>
      <c r="O56" s="246">
        <v>90</v>
      </c>
      <c r="P56" s="246">
        <v>96</v>
      </c>
      <c r="Q56" s="246">
        <v>102</v>
      </c>
      <c r="R56" s="246">
        <v>9</v>
      </c>
      <c r="S56" s="246">
        <v>0</v>
      </c>
      <c r="T56" s="246">
        <v>54</v>
      </c>
      <c r="U56" s="246">
        <v>350</v>
      </c>
      <c r="V56" s="246">
        <v>68</v>
      </c>
      <c r="W56" s="97">
        <v>27</v>
      </c>
      <c r="X56" s="246">
        <v>488</v>
      </c>
      <c r="Y56" s="246">
        <v>4</v>
      </c>
      <c r="Z56" s="246">
        <v>54</v>
      </c>
      <c r="AA56" s="246">
        <v>11</v>
      </c>
      <c r="AB56" s="246">
        <v>3</v>
      </c>
      <c r="AC56" s="246">
        <v>22</v>
      </c>
      <c r="AD56" s="246">
        <v>434</v>
      </c>
      <c r="AE56" s="246">
        <v>347</v>
      </c>
      <c r="AF56" s="246">
        <v>5</v>
      </c>
      <c r="AG56" s="246">
        <v>0</v>
      </c>
      <c r="AH56" s="246">
        <v>24</v>
      </c>
      <c r="AI56" s="246">
        <v>23</v>
      </c>
      <c r="AJ56" s="246">
        <v>11</v>
      </c>
      <c r="AK56" s="246">
        <v>28</v>
      </c>
      <c r="AL56" s="246">
        <v>10</v>
      </c>
      <c r="AM56" s="246">
        <v>223</v>
      </c>
      <c r="AN56" s="246">
        <v>0</v>
      </c>
      <c r="AO56" s="246">
        <v>130</v>
      </c>
      <c r="AP56" s="246">
        <v>35</v>
      </c>
      <c r="AQ56" s="97">
        <v>0</v>
      </c>
      <c r="AR56" s="97">
        <v>0</v>
      </c>
      <c r="AS56" s="97">
        <v>0</v>
      </c>
      <c r="AT56" s="97">
        <v>0</v>
      </c>
      <c r="AU56" s="246"/>
      <c r="AV56" s="246">
        <f t="shared" si="4"/>
        <v>2696</v>
      </c>
      <c r="AW56" s="246">
        <v>304</v>
      </c>
      <c r="AX56" s="97">
        <v>0</v>
      </c>
      <c r="AY56" s="97">
        <f t="shared" si="3"/>
        <v>3000</v>
      </c>
      <c r="AZ56" s="246">
        <f t="shared" si="5"/>
        <v>0</v>
      </c>
    </row>
    <row r="57" spans="1:52" s="248" customFormat="1" x14ac:dyDescent="0.2">
      <c r="A57" s="243">
        <v>11</v>
      </c>
      <c r="B57" s="234" t="s">
        <v>281</v>
      </c>
      <c r="C57" s="234" t="s">
        <v>135</v>
      </c>
      <c r="D57" s="244">
        <v>100070</v>
      </c>
      <c r="E57" s="245">
        <v>0</v>
      </c>
      <c r="F57" s="246">
        <v>0</v>
      </c>
      <c r="G57" s="246">
        <v>0</v>
      </c>
      <c r="H57" s="246">
        <v>0</v>
      </c>
      <c r="I57" s="246">
        <v>0</v>
      </c>
      <c r="J57" s="246">
        <v>486</v>
      </c>
      <c r="K57" s="97">
        <f t="shared" si="2"/>
        <v>486</v>
      </c>
      <c r="L57" s="247"/>
      <c r="M57" s="245" t="s">
        <v>37</v>
      </c>
      <c r="N57" s="246">
        <v>0</v>
      </c>
      <c r="O57" s="246">
        <v>0</v>
      </c>
      <c r="P57" s="246">
        <v>0</v>
      </c>
      <c r="Q57" s="246">
        <v>0</v>
      </c>
      <c r="R57" s="246">
        <v>0</v>
      </c>
      <c r="S57" s="246">
        <v>0</v>
      </c>
      <c r="T57" s="246">
        <v>0</v>
      </c>
      <c r="U57" s="246">
        <v>0</v>
      </c>
      <c r="V57" s="246">
        <v>0</v>
      </c>
      <c r="W57" s="97">
        <v>0</v>
      </c>
      <c r="X57" s="246">
        <v>0</v>
      </c>
      <c r="Y57" s="246">
        <v>0</v>
      </c>
      <c r="Z57" s="246">
        <v>0</v>
      </c>
      <c r="AA57" s="246">
        <v>0</v>
      </c>
      <c r="AB57" s="246">
        <v>0</v>
      </c>
      <c r="AC57" s="246">
        <v>0</v>
      </c>
      <c r="AD57" s="246">
        <v>0</v>
      </c>
      <c r="AE57" s="246">
        <v>0</v>
      </c>
      <c r="AF57" s="246">
        <v>0</v>
      </c>
      <c r="AG57" s="246">
        <v>0</v>
      </c>
      <c r="AH57" s="246">
        <v>0</v>
      </c>
      <c r="AI57" s="246">
        <v>0</v>
      </c>
      <c r="AJ57" s="246">
        <v>0</v>
      </c>
      <c r="AK57" s="246">
        <v>0</v>
      </c>
      <c r="AL57" s="246">
        <v>0</v>
      </c>
      <c r="AM57" s="246">
        <v>0</v>
      </c>
      <c r="AN57" s="246">
        <v>0</v>
      </c>
      <c r="AO57" s="246">
        <v>0</v>
      </c>
      <c r="AP57" s="246">
        <v>0</v>
      </c>
      <c r="AQ57" s="97">
        <v>0</v>
      </c>
      <c r="AR57" s="97">
        <v>0</v>
      </c>
      <c r="AS57" s="97">
        <v>0</v>
      </c>
      <c r="AT57" s="97">
        <v>0</v>
      </c>
      <c r="AU57" s="246"/>
      <c r="AV57" s="246">
        <f t="shared" si="4"/>
        <v>0</v>
      </c>
      <c r="AW57" s="246">
        <v>486</v>
      </c>
      <c r="AX57" s="97">
        <v>0</v>
      </c>
      <c r="AY57" s="97">
        <f t="shared" si="3"/>
        <v>486</v>
      </c>
      <c r="AZ57" s="246">
        <f t="shared" si="5"/>
        <v>0</v>
      </c>
    </row>
    <row r="58" spans="1:52" s="132" customFormat="1" x14ac:dyDescent="0.2">
      <c r="A58" s="84" t="s">
        <v>272</v>
      </c>
      <c r="B58" s="19" t="s">
        <v>237</v>
      </c>
      <c r="C58" s="19" t="s">
        <v>131</v>
      </c>
      <c r="D58" s="197">
        <v>100072</v>
      </c>
      <c r="E58" s="218">
        <v>0</v>
      </c>
      <c r="F58" s="97">
        <v>300</v>
      </c>
      <c r="G58" s="97">
        <v>46</v>
      </c>
      <c r="H58" s="97">
        <f>27+10</f>
        <v>37</v>
      </c>
      <c r="I58" s="97">
        <v>0</v>
      </c>
      <c r="J58" s="97">
        <v>0</v>
      </c>
      <c r="K58" s="97">
        <f t="shared" si="2"/>
        <v>383</v>
      </c>
      <c r="L58" s="219"/>
      <c r="M58" s="218" t="s">
        <v>90</v>
      </c>
      <c r="N58" s="97">
        <v>0</v>
      </c>
      <c r="O58" s="97">
        <v>0</v>
      </c>
      <c r="P58" s="97">
        <v>0</v>
      </c>
      <c r="Q58" s="97">
        <v>0</v>
      </c>
      <c r="R58" s="97">
        <v>0</v>
      </c>
      <c r="S58" s="97">
        <v>0</v>
      </c>
      <c r="T58" s="97">
        <v>0</v>
      </c>
      <c r="U58" s="97">
        <v>0</v>
      </c>
      <c r="V58" s="97">
        <v>0</v>
      </c>
      <c r="W58" s="97">
        <v>0</v>
      </c>
      <c r="X58" s="97">
        <v>215</v>
      </c>
      <c r="Y58" s="97">
        <v>0</v>
      </c>
      <c r="Z58" s="97">
        <v>0</v>
      </c>
      <c r="AA58" s="97">
        <v>0</v>
      </c>
      <c r="AB58" s="97">
        <v>0</v>
      </c>
      <c r="AC58" s="97">
        <v>0</v>
      </c>
      <c r="AD58" s="97">
        <v>122</v>
      </c>
      <c r="AE58" s="97">
        <v>46</v>
      </c>
      <c r="AF58" s="97">
        <v>0</v>
      </c>
      <c r="AG58" s="97">
        <v>0</v>
      </c>
      <c r="AH58" s="97">
        <v>0</v>
      </c>
      <c r="AI58" s="97">
        <v>0</v>
      </c>
      <c r="AJ58" s="97">
        <v>0</v>
      </c>
      <c r="AK58" s="97">
        <v>0</v>
      </c>
      <c r="AL58" s="97">
        <v>0</v>
      </c>
      <c r="AM58" s="97">
        <v>0</v>
      </c>
      <c r="AN58" s="97">
        <v>0</v>
      </c>
      <c r="AO58" s="97">
        <v>0</v>
      </c>
      <c r="AP58" s="97">
        <v>0</v>
      </c>
      <c r="AQ58" s="97">
        <v>0</v>
      </c>
      <c r="AR58" s="97">
        <v>0</v>
      </c>
      <c r="AS58" s="97">
        <v>0</v>
      </c>
      <c r="AT58" s="97">
        <v>0</v>
      </c>
      <c r="AU58" s="97"/>
      <c r="AV58" s="97">
        <f t="shared" si="4"/>
        <v>383</v>
      </c>
      <c r="AW58" s="97">
        <v>0</v>
      </c>
      <c r="AX58" s="97">
        <v>0</v>
      </c>
      <c r="AY58" s="97">
        <f t="shared" si="3"/>
        <v>383</v>
      </c>
      <c r="AZ58" s="97">
        <f t="shared" si="5"/>
        <v>0</v>
      </c>
    </row>
    <row r="59" spans="1:52" s="132" customFormat="1" x14ac:dyDescent="0.2">
      <c r="A59" s="84" t="s">
        <v>272</v>
      </c>
      <c r="B59" s="19" t="s">
        <v>309</v>
      </c>
      <c r="C59" s="19" t="s">
        <v>145</v>
      </c>
      <c r="D59" s="197">
        <v>100073</v>
      </c>
      <c r="E59" s="218">
        <v>0</v>
      </c>
      <c r="F59" s="97">
        <v>0</v>
      </c>
      <c r="G59" s="97">
        <v>0</v>
      </c>
      <c r="H59" s="97">
        <v>3416</v>
      </c>
      <c r="I59" s="97">
        <v>0</v>
      </c>
      <c r="J59" s="97">
        <v>0</v>
      </c>
      <c r="K59" s="97">
        <f t="shared" si="2"/>
        <v>3416</v>
      </c>
      <c r="L59" s="219"/>
      <c r="M59" s="218" t="s">
        <v>336</v>
      </c>
      <c r="N59" s="97">
        <v>0</v>
      </c>
      <c r="O59" s="97">
        <v>0</v>
      </c>
      <c r="P59" s="97">
        <v>0</v>
      </c>
      <c r="Q59" s="97">
        <v>0</v>
      </c>
      <c r="R59" s="97">
        <v>0</v>
      </c>
      <c r="S59" s="97">
        <v>0</v>
      </c>
      <c r="T59" s="97">
        <v>0</v>
      </c>
      <c r="U59" s="97">
        <v>0</v>
      </c>
      <c r="V59" s="97">
        <v>187</v>
      </c>
      <c r="W59" s="97">
        <v>0</v>
      </c>
      <c r="X59" s="97">
        <f>187-15-10</f>
        <v>162</v>
      </c>
      <c r="Y59" s="97">
        <v>0</v>
      </c>
      <c r="Z59" s="97">
        <v>0</v>
      </c>
      <c r="AA59" s="97">
        <v>0</v>
      </c>
      <c r="AB59" s="97">
        <v>187</v>
      </c>
      <c r="AC59" s="97">
        <v>0</v>
      </c>
      <c r="AD59" s="97">
        <v>1902</v>
      </c>
      <c r="AE59" s="97">
        <v>0</v>
      </c>
      <c r="AF59" s="97">
        <v>0</v>
      </c>
      <c r="AG59" s="97">
        <v>0</v>
      </c>
      <c r="AH59" s="97">
        <v>47</v>
      </c>
      <c r="AI59" s="97">
        <v>47</v>
      </c>
      <c r="AJ59" s="97">
        <v>47</v>
      </c>
      <c r="AK59" s="97">
        <v>0</v>
      </c>
      <c r="AL59" s="97">
        <f>47-26</f>
        <v>21</v>
      </c>
      <c r="AM59" s="97">
        <v>0</v>
      </c>
      <c r="AN59" s="97">
        <v>0</v>
      </c>
      <c r="AO59" s="97">
        <f>15+26</f>
        <v>41</v>
      </c>
      <c r="AP59" s="97">
        <v>10</v>
      </c>
      <c r="AQ59" s="97">
        <v>0</v>
      </c>
      <c r="AR59" s="97">
        <v>0</v>
      </c>
      <c r="AS59" s="97">
        <v>0</v>
      </c>
      <c r="AT59" s="97">
        <v>0</v>
      </c>
      <c r="AU59" s="97"/>
      <c r="AV59" s="97">
        <f t="shared" si="4"/>
        <v>2651</v>
      </c>
      <c r="AW59" s="97">
        <v>765</v>
      </c>
      <c r="AX59" s="97">
        <v>0</v>
      </c>
      <c r="AY59" s="97">
        <f t="shared" si="3"/>
        <v>3416</v>
      </c>
      <c r="AZ59" s="97">
        <f t="shared" si="5"/>
        <v>0</v>
      </c>
    </row>
    <row r="60" spans="1:52" s="132" customFormat="1" x14ac:dyDescent="0.2">
      <c r="A60" s="84" t="s">
        <v>272</v>
      </c>
      <c r="B60" s="29" t="s">
        <v>157</v>
      </c>
      <c r="C60" s="19" t="s">
        <v>136</v>
      </c>
      <c r="D60" s="197">
        <v>100075</v>
      </c>
      <c r="E60" s="218">
        <v>0</v>
      </c>
      <c r="F60" s="97">
        <v>0</v>
      </c>
      <c r="G60" s="97">
        <v>0</v>
      </c>
      <c r="H60" s="97">
        <v>0</v>
      </c>
      <c r="I60" s="97">
        <v>0</v>
      </c>
      <c r="J60" s="97">
        <v>0</v>
      </c>
      <c r="K60" s="97">
        <f t="shared" si="2"/>
        <v>0</v>
      </c>
      <c r="L60" s="219"/>
      <c r="M60" s="218" t="s">
        <v>328</v>
      </c>
      <c r="N60" s="97">
        <v>0</v>
      </c>
      <c r="O60" s="97">
        <v>0</v>
      </c>
      <c r="P60" s="97">
        <v>0</v>
      </c>
      <c r="Q60" s="97">
        <v>0</v>
      </c>
      <c r="R60" s="97">
        <v>0</v>
      </c>
      <c r="S60" s="97">
        <v>0</v>
      </c>
      <c r="T60" s="97">
        <v>0</v>
      </c>
      <c r="U60" s="97">
        <v>0</v>
      </c>
      <c r="V60" s="97">
        <v>0</v>
      </c>
      <c r="W60" s="97">
        <v>0</v>
      </c>
      <c r="X60" s="97">
        <v>0</v>
      </c>
      <c r="Y60" s="97">
        <v>0</v>
      </c>
      <c r="Z60" s="97">
        <v>0</v>
      </c>
      <c r="AA60" s="97">
        <v>0</v>
      </c>
      <c r="AB60" s="97">
        <v>0</v>
      </c>
      <c r="AC60" s="97">
        <v>0</v>
      </c>
      <c r="AD60" s="97">
        <v>0</v>
      </c>
      <c r="AE60" s="97">
        <v>0</v>
      </c>
      <c r="AF60" s="97">
        <v>0</v>
      </c>
      <c r="AG60" s="97">
        <v>0</v>
      </c>
      <c r="AH60" s="97">
        <v>0</v>
      </c>
      <c r="AI60" s="97">
        <v>0</v>
      </c>
      <c r="AJ60" s="97">
        <v>0</v>
      </c>
      <c r="AK60" s="97">
        <v>0</v>
      </c>
      <c r="AL60" s="97">
        <v>0</v>
      </c>
      <c r="AM60" s="97">
        <v>0</v>
      </c>
      <c r="AN60" s="97">
        <v>0</v>
      </c>
      <c r="AO60" s="97">
        <v>0</v>
      </c>
      <c r="AP60" s="97">
        <v>0</v>
      </c>
      <c r="AQ60" s="97">
        <v>0</v>
      </c>
      <c r="AR60" s="97">
        <v>0</v>
      </c>
      <c r="AS60" s="97">
        <v>0</v>
      </c>
      <c r="AT60" s="97">
        <v>0</v>
      </c>
      <c r="AU60" s="97"/>
      <c r="AV60" s="97">
        <f t="shared" si="4"/>
        <v>0</v>
      </c>
      <c r="AW60" s="97">
        <v>0</v>
      </c>
      <c r="AX60" s="97">
        <v>0</v>
      </c>
      <c r="AY60" s="97">
        <f t="shared" si="3"/>
        <v>0</v>
      </c>
      <c r="AZ60" s="97">
        <f t="shared" si="5"/>
        <v>0</v>
      </c>
    </row>
    <row r="61" spans="1:52" s="132" customFormat="1" x14ac:dyDescent="0.2">
      <c r="A61" s="85">
        <v>11</v>
      </c>
      <c r="B61" s="19" t="s">
        <v>167</v>
      </c>
      <c r="C61" s="19" t="s">
        <v>246</v>
      </c>
      <c r="D61" s="197">
        <v>100076</v>
      </c>
      <c r="E61" s="218">
        <v>0</v>
      </c>
      <c r="F61" s="97">
        <v>0</v>
      </c>
      <c r="G61" s="97">
        <v>0</v>
      </c>
      <c r="H61" s="97">
        <v>0</v>
      </c>
      <c r="I61" s="97">
        <v>0</v>
      </c>
      <c r="J61" s="97">
        <v>0</v>
      </c>
      <c r="K61" s="97">
        <f t="shared" si="2"/>
        <v>0</v>
      </c>
      <c r="L61" s="219"/>
      <c r="M61" s="218" t="s">
        <v>19</v>
      </c>
      <c r="N61" s="97">
        <v>0</v>
      </c>
      <c r="O61" s="97">
        <v>0</v>
      </c>
      <c r="P61" s="97">
        <v>0</v>
      </c>
      <c r="Q61" s="97">
        <v>0</v>
      </c>
      <c r="R61" s="97">
        <v>0</v>
      </c>
      <c r="S61" s="97">
        <v>0</v>
      </c>
      <c r="T61" s="97">
        <v>0</v>
      </c>
      <c r="U61" s="97">
        <v>0</v>
      </c>
      <c r="V61" s="97">
        <v>0</v>
      </c>
      <c r="W61" s="97">
        <v>0</v>
      </c>
      <c r="X61" s="97">
        <v>0</v>
      </c>
      <c r="Y61" s="97">
        <v>0</v>
      </c>
      <c r="Z61" s="97">
        <v>0</v>
      </c>
      <c r="AA61" s="97">
        <v>0</v>
      </c>
      <c r="AB61" s="97">
        <v>0</v>
      </c>
      <c r="AC61" s="97">
        <v>0</v>
      </c>
      <c r="AD61" s="97">
        <v>0</v>
      </c>
      <c r="AE61" s="97">
        <v>0</v>
      </c>
      <c r="AF61" s="97">
        <v>0</v>
      </c>
      <c r="AG61" s="97">
        <v>0</v>
      </c>
      <c r="AH61" s="97">
        <v>0</v>
      </c>
      <c r="AI61" s="97">
        <v>0</v>
      </c>
      <c r="AJ61" s="97">
        <v>0</v>
      </c>
      <c r="AK61" s="97">
        <v>0</v>
      </c>
      <c r="AL61" s="97">
        <v>0</v>
      </c>
      <c r="AM61" s="97">
        <v>0</v>
      </c>
      <c r="AN61" s="97">
        <v>0</v>
      </c>
      <c r="AO61" s="97">
        <v>0</v>
      </c>
      <c r="AP61" s="97">
        <v>0</v>
      </c>
      <c r="AQ61" s="97">
        <v>0</v>
      </c>
      <c r="AR61" s="97">
        <v>0</v>
      </c>
      <c r="AS61" s="97">
        <v>0</v>
      </c>
      <c r="AT61" s="97">
        <v>0</v>
      </c>
      <c r="AU61" s="97"/>
      <c r="AV61" s="97">
        <f t="shared" si="4"/>
        <v>0</v>
      </c>
      <c r="AW61" s="97">
        <v>0</v>
      </c>
      <c r="AX61" s="97">
        <v>0</v>
      </c>
      <c r="AY61" s="97">
        <f t="shared" si="3"/>
        <v>0</v>
      </c>
      <c r="AZ61" s="97">
        <f t="shared" si="5"/>
        <v>0</v>
      </c>
    </row>
    <row r="62" spans="1:52" s="132" customFormat="1" x14ac:dyDescent="0.2">
      <c r="A62" s="84" t="s">
        <v>272</v>
      </c>
      <c r="B62" s="29" t="s">
        <v>84</v>
      </c>
      <c r="C62" s="19" t="s">
        <v>424</v>
      </c>
      <c r="D62" s="197">
        <v>100083</v>
      </c>
      <c r="E62" s="218">
        <v>18052</v>
      </c>
      <c r="F62" s="97">
        <v>0</v>
      </c>
      <c r="G62" s="97">
        <v>0</v>
      </c>
      <c r="H62" s="97">
        <v>0</v>
      </c>
      <c r="I62" s="97">
        <v>0</v>
      </c>
      <c r="J62" s="97">
        <v>0</v>
      </c>
      <c r="K62" s="97">
        <f t="shared" si="2"/>
        <v>18052</v>
      </c>
      <c r="L62" s="219"/>
      <c r="M62" s="218" t="s">
        <v>329</v>
      </c>
      <c r="N62" s="97">
        <v>280</v>
      </c>
      <c r="O62" s="97">
        <v>476</v>
      </c>
      <c r="P62" s="97">
        <v>1302</v>
      </c>
      <c r="Q62" s="97">
        <v>0</v>
      </c>
      <c r="R62" s="97">
        <v>64</v>
      </c>
      <c r="S62" s="97">
        <v>909</v>
      </c>
      <c r="T62" s="97">
        <v>320</v>
      </c>
      <c r="U62" s="97">
        <v>1317</v>
      </c>
      <c r="V62" s="97">
        <v>598</v>
      </c>
      <c r="W62" s="97">
        <v>0</v>
      </c>
      <c r="X62" s="97">
        <v>3261</v>
      </c>
      <c r="Y62" s="97">
        <v>41</v>
      </c>
      <c r="Z62" s="97">
        <v>286</v>
      </c>
      <c r="AA62" s="97">
        <v>75</v>
      </c>
      <c r="AB62" s="97">
        <v>73</v>
      </c>
      <c r="AC62" s="97">
        <v>110</v>
      </c>
      <c r="AD62" s="97">
        <v>1963</v>
      </c>
      <c r="AE62" s="97">
        <v>2489</v>
      </c>
      <c r="AF62" s="97">
        <v>0</v>
      </c>
      <c r="AG62" s="97">
        <v>192</v>
      </c>
      <c r="AH62" s="97">
        <v>252</v>
      </c>
      <c r="AI62" s="97">
        <v>179</v>
      </c>
      <c r="AJ62" s="97">
        <v>143</v>
      </c>
      <c r="AK62" s="97">
        <v>241</v>
      </c>
      <c r="AL62" s="97">
        <v>465</v>
      </c>
      <c r="AM62" s="97">
        <v>1525</v>
      </c>
      <c r="AN62" s="97">
        <v>0</v>
      </c>
      <c r="AO62" s="97">
        <v>0</v>
      </c>
      <c r="AP62" s="97">
        <v>0</v>
      </c>
      <c r="AQ62" s="97">
        <v>0</v>
      </c>
      <c r="AR62" s="97">
        <v>0</v>
      </c>
      <c r="AS62" s="97">
        <v>0</v>
      </c>
      <c r="AT62" s="97">
        <v>0</v>
      </c>
      <c r="AU62" s="97"/>
      <c r="AV62" s="97">
        <f t="shared" ref="AV62:AV88" si="6">SUM(N62:AU62)</f>
        <v>16561</v>
      </c>
      <c r="AW62" s="97">
        <v>1491</v>
      </c>
      <c r="AX62" s="97">
        <v>0</v>
      </c>
      <c r="AY62" s="97">
        <f t="shared" si="3"/>
        <v>18052</v>
      </c>
      <c r="AZ62" s="97">
        <f t="shared" si="5"/>
        <v>0</v>
      </c>
    </row>
    <row r="63" spans="1:52" s="132" customFormat="1" x14ac:dyDescent="0.2">
      <c r="A63" s="84" t="s">
        <v>272</v>
      </c>
      <c r="B63" s="19" t="s">
        <v>298</v>
      </c>
      <c r="C63" s="19" t="s">
        <v>131</v>
      </c>
      <c r="D63" s="197">
        <v>100085</v>
      </c>
      <c r="E63" s="218">
        <v>0</v>
      </c>
      <c r="F63" s="97">
        <v>395</v>
      </c>
      <c r="G63" s="97">
        <v>95</v>
      </c>
      <c r="H63" s="97">
        <f>265+12</f>
        <v>277</v>
      </c>
      <c r="I63" s="97">
        <v>0</v>
      </c>
      <c r="J63" s="97">
        <v>0</v>
      </c>
      <c r="K63" s="97">
        <f t="shared" si="2"/>
        <v>767</v>
      </c>
      <c r="L63" s="219"/>
      <c r="M63" s="218" t="s">
        <v>90</v>
      </c>
      <c r="N63" s="97">
        <v>0</v>
      </c>
      <c r="O63" s="97">
        <v>0</v>
      </c>
      <c r="P63" s="97">
        <v>0</v>
      </c>
      <c r="Q63" s="97">
        <v>0</v>
      </c>
      <c r="R63" s="97">
        <v>0</v>
      </c>
      <c r="S63" s="97">
        <v>0</v>
      </c>
      <c r="T63" s="97">
        <v>0</v>
      </c>
      <c r="U63" s="97">
        <v>0</v>
      </c>
      <c r="V63" s="97">
        <v>0</v>
      </c>
      <c r="W63" s="97">
        <v>0</v>
      </c>
      <c r="X63" s="97">
        <v>430</v>
      </c>
      <c r="Y63" s="97">
        <v>0</v>
      </c>
      <c r="Z63" s="97">
        <v>0</v>
      </c>
      <c r="AA63" s="97">
        <v>0</v>
      </c>
      <c r="AB63" s="97">
        <v>0</v>
      </c>
      <c r="AC63" s="97">
        <v>0</v>
      </c>
      <c r="AD63" s="97">
        <v>245</v>
      </c>
      <c r="AE63" s="97">
        <v>92</v>
      </c>
      <c r="AF63" s="97">
        <v>0</v>
      </c>
      <c r="AG63" s="97">
        <v>0</v>
      </c>
      <c r="AH63" s="97">
        <v>0</v>
      </c>
      <c r="AI63" s="97">
        <v>0</v>
      </c>
      <c r="AJ63" s="97">
        <v>0</v>
      </c>
      <c r="AK63" s="97">
        <v>0</v>
      </c>
      <c r="AL63" s="97">
        <v>0</v>
      </c>
      <c r="AM63" s="97">
        <v>0</v>
      </c>
      <c r="AN63" s="97">
        <v>0</v>
      </c>
      <c r="AO63" s="97">
        <v>0</v>
      </c>
      <c r="AP63" s="97">
        <v>0</v>
      </c>
      <c r="AQ63" s="97">
        <v>0</v>
      </c>
      <c r="AR63" s="97">
        <v>0</v>
      </c>
      <c r="AS63" s="97">
        <v>0</v>
      </c>
      <c r="AT63" s="97">
        <v>0</v>
      </c>
      <c r="AU63" s="97"/>
      <c r="AV63" s="246">
        <f>SUM(N63:AU63)</f>
        <v>767</v>
      </c>
      <c r="AW63" s="97">
        <v>0</v>
      </c>
      <c r="AX63" s="97">
        <v>0</v>
      </c>
      <c r="AY63" s="97">
        <f t="shared" si="3"/>
        <v>767</v>
      </c>
      <c r="AZ63" s="97">
        <f t="shared" si="5"/>
        <v>0</v>
      </c>
    </row>
    <row r="64" spans="1:52" s="132" customFormat="1" x14ac:dyDescent="0.2">
      <c r="A64" s="84" t="s">
        <v>272</v>
      </c>
      <c r="B64" s="19" t="s">
        <v>238</v>
      </c>
      <c r="C64" s="19" t="s">
        <v>131</v>
      </c>
      <c r="D64" s="197">
        <v>100086</v>
      </c>
      <c r="E64" s="218">
        <f>349+23+50</f>
        <v>422</v>
      </c>
      <c r="F64" s="97">
        <v>86</v>
      </c>
      <c r="G64" s="97">
        <v>34</v>
      </c>
      <c r="H64" s="97">
        <f>180+60+8</f>
        <v>248</v>
      </c>
      <c r="I64" s="97">
        <v>0</v>
      </c>
      <c r="J64" s="97">
        <v>27</v>
      </c>
      <c r="K64" s="97">
        <f t="shared" si="2"/>
        <v>817</v>
      </c>
      <c r="L64" s="219"/>
      <c r="M64" s="218" t="s">
        <v>90</v>
      </c>
      <c r="N64" s="97">
        <v>0</v>
      </c>
      <c r="O64" s="97">
        <v>0</v>
      </c>
      <c r="P64" s="97">
        <v>0</v>
      </c>
      <c r="Q64" s="97">
        <v>0</v>
      </c>
      <c r="R64" s="97">
        <v>0</v>
      </c>
      <c r="S64" s="97">
        <v>0</v>
      </c>
      <c r="T64" s="97">
        <v>0</v>
      </c>
      <c r="U64" s="97">
        <v>0</v>
      </c>
      <c r="V64" s="97">
        <v>0</v>
      </c>
      <c r="W64" s="97">
        <v>0</v>
      </c>
      <c r="X64" s="97">
        <v>817</v>
      </c>
      <c r="Y64" s="97">
        <v>0</v>
      </c>
      <c r="Z64" s="97">
        <v>0</v>
      </c>
      <c r="AA64" s="97">
        <v>0</v>
      </c>
      <c r="AB64" s="97">
        <v>0</v>
      </c>
      <c r="AC64" s="97">
        <v>0</v>
      </c>
      <c r="AD64" s="97">
        <v>0</v>
      </c>
      <c r="AE64" s="97">
        <v>0</v>
      </c>
      <c r="AF64" s="97">
        <v>0</v>
      </c>
      <c r="AG64" s="97">
        <v>0</v>
      </c>
      <c r="AH64" s="97">
        <v>0</v>
      </c>
      <c r="AI64" s="97">
        <v>0</v>
      </c>
      <c r="AJ64" s="97">
        <v>0</v>
      </c>
      <c r="AK64" s="97">
        <v>0</v>
      </c>
      <c r="AL64" s="97">
        <v>0</v>
      </c>
      <c r="AM64" s="97">
        <v>0</v>
      </c>
      <c r="AN64" s="97">
        <v>0</v>
      </c>
      <c r="AO64" s="97">
        <v>0</v>
      </c>
      <c r="AP64" s="97">
        <v>0</v>
      </c>
      <c r="AQ64" s="97">
        <v>0</v>
      </c>
      <c r="AR64" s="97">
        <v>0</v>
      </c>
      <c r="AS64" s="97">
        <v>0</v>
      </c>
      <c r="AT64" s="97">
        <v>0</v>
      </c>
      <c r="AU64" s="97"/>
      <c r="AV64" s="246">
        <f>SUM(N64:AU64)</f>
        <v>817</v>
      </c>
      <c r="AW64" s="97">
        <v>0</v>
      </c>
      <c r="AX64" s="97">
        <v>0</v>
      </c>
      <c r="AY64" s="97">
        <f t="shared" si="3"/>
        <v>817</v>
      </c>
      <c r="AZ64" s="97">
        <f t="shared" si="5"/>
        <v>0</v>
      </c>
    </row>
    <row r="65" spans="1:53" s="132" customFormat="1" x14ac:dyDescent="0.2">
      <c r="A65" s="84" t="s">
        <v>272</v>
      </c>
      <c r="B65" s="19" t="s">
        <v>299</v>
      </c>
      <c r="C65" s="19" t="s">
        <v>131</v>
      </c>
      <c r="D65" s="197">
        <v>100087</v>
      </c>
      <c r="E65" s="218">
        <v>0</v>
      </c>
      <c r="F65" s="97">
        <v>400</v>
      </c>
      <c r="G65" s="97">
        <v>250</v>
      </c>
      <c r="H65" s="97">
        <f>90+20</f>
        <v>110</v>
      </c>
      <c r="I65" s="97">
        <v>0</v>
      </c>
      <c r="J65" s="97">
        <v>0</v>
      </c>
      <c r="K65" s="97">
        <f t="shared" si="2"/>
        <v>760</v>
      </c>
      <c r="L65" s="219"/>
      <c r="M65" s="218" t="s">
        <v>90</v>
      </c>
      <c r="N65" s="97">
        <v>0</v>
      </c>
      <c r="O65" s="97">
        <v>0</v>
      </c>
      <c r="P65" s="97">
        <v>0</v>
      </c>
      <c r="Q65" s="97">
        <v>0</v>
      </c>
      <c r="R65" s="97">
        <v>0</v>
      </c>
      <c r="S65" s="97">
        <v>0</v>
      </c>
      <c r="T65" s="97">
        <v>0</v>
      </c>
      <c r="U65" s="97">
        <v>0</v>
      </c>
      <c r="V65" s="97">
        <v>0</v>
      </c>
      <c r="W65" s="97">
        <v>0</v>
      </c>
      <c r="X65" s="97">
        <v>426</v>
      </c>
      <c r="Y65" s="97">
        <v>0</v>
      </c>
      <c r="Z65" s="97">
        <v>0</v>
      </c>
      <c r="AA65" s="97">
        <v>0</v>
      </c>
      <c r="AB65" s="97">
        <v>0</v>
      </c>
      <c r="AC65" s="97">
        <v>0</v>
      </c>
      <c r="AD65" s="97">
        <v>243</v>
      </c>
      <c r="AE65" s="97">
        <v>91</v>
      </c>
      <c r="AF65" s="97">
        <v>0</v>
      </c>
      <c r="AG65" s="97">
        <v>0</v>
      </c>
      <c r="AH65" s="97">
        <v>0</v>
      </c>
      <c r="AI65" s="97">
        <v>0</v>
      </c>
      <c r="AJ65" s="97">
        <v>0</v>
      </c>
      <c r="AK65" s="97">
        <v>0</v>
      </c>
      <c r="AL65" s="97">
        <v>0</v>
      </c>
      <c r="AM65" s="97">
        <v>0</v>
      </c>
      <c r="AN65" s="97">
        <v>0</v>
      </c>
      <c r="AO65" s="97">
        <v>0</v>
      </c>
      <c r="AP65" s="97">
        <v>0</v>
      </c>
      <c r="AQ65" s="97">
        <v>0</v>
      </c>
      <c r="AR65" s="97">
        <v>0</v>
      </c>
      <c r="AS65" s="97">
        <v>0</v>
      </c>
      <c r="AT65" s="97">
        <v>0</v>
      </c>
      <c r="AU65" s="97"/>
      <c r="AV65" s="97">
        <f t="shared" si="6"/>
        <v>760</v>
      </c>
      <c r="AW65" s="97">
        <v>0</v>
      </c>
      <c r="AX65" s="97">
        <v>0</v>
      </c>
      <c r="AY65" s="97">
        <f t="shared" si="3"/>
        <v>760</v>
      </c>
      <c r="AZ65" s="97">
        <f t="shared" si="5"/>
        <v>0</v>
      </c>
    </row>
    <row r="66" spans="1:53" s="132" customFormat="1" x14ac:dyDescent="0.2">
      <c r="A66" s="84" t="s">
        <v>272</v>
      </c>
      <c r="B66" s="19" t="s">
        <v>300</v>
      </c>
      <c r="C66" s="19" t="s">
        <v>131</v>
      </c>
      <c r="D66" s="197">
        <v>100088</v>
      </c>
      <c r="E66" s="218">
        <v>0</v>
      </c>
      <c r="F66" s="97">
        <v>480</v>
      </c>
      <c r="G66" s="97">
        <v>15</v>
      </c>
      <c r="H66" s="97">
        <f>130+10</f>
        <v>140</v>
      </c>
      <c r="I66" s="97">
        <v>0</v>
      </c>
      <c r="J66" s="97">
        <v>0</v>
      </c>
      <c r="K66" s="97">
        <f t="shared" si="2"/>
        <v>635</v>
      </c>
      <c r="L66" s="219"/>
      <c r="M66" s="218" t="s">
        <v>90</v>
      </c>
      <c r="N66" s="97">
        <v>0</v>
      </c>
      <c r="O66" s="97">
        <v>0</v>
      </c>
      <c r="P66" s="97">
        <v>0</v>
      </c>
      <c r="Q66" s="97">
        <v>0</v>
      </c>
      <c r="R66" s="97">
        <v>0</v>
      </c>
      <c r="S66" s="97">
        <v>0</v>
      </c>
      <c r="T66" s="97">
        <v>0</v>
      </c>
      <c r="U66" s="97">
        <v>0</v>
      </c>
      <c r="V66" s="97">
        <v>0</v>
      </c>
      <c r="W66" s="97">
        <v>0</v>
      </c>
      <c r="X66" s="97">
        <v>356</v>
      </c>
      <c r="Y66" s="97">
        <v>0</v>
      </c>
      <c r="Z66" s="97">
        <v>0</v>
      </c>
      <c r="AA66" s="97">
        <v>0</v>
      </c>
      <c r="AB66" s="97">
        <v>0</v>
      </c>
      <c r="AC66" s="97">
        <v>0</v>
      </c>
      <c r="AD66" s="97">
        <v>203</v>
      </c>
      <c r="AE66" s="97">
        <v>76</v>
      </c>
      <c r="AF66" s="97">
        <v>0</v>
      </c>
      <c r="AG66" s="97">
        <v>0</v>
      </c>
      <c r="AH66" s="97">
        <v>0</v>
      </c>
      <c r="AI66" s="97">
        <v>0</v>
      </c>
      <c r="AJ66" s="97">
        <v>0</v>
      </c>
      <c r="AK66" s="97">
        <v>0</v>
      </c>
      <c r="AL66" s="97">
        <v>0</v>
      </c>
      <c r="AM66" s="97">
        <v>0</v>
      </c>
      <c r="AN66" s="97">
        <v>0</v>
      </c>
      <c r="AO66" s="97">
        <v>0</v>
      </c>
      <c r="AP66" s="97">
        <v>0</v>
      </c>
      <c r="AQ66" s="97">
        <v>0</v>
      </c>
      <c r="AR66" s="97">
        <v>0</v>
      </c>
      <c r="AS66" s="97">
        <v>0</v>
      </c>
      <c r="AT66" s="97">
        <v>0</v>
      </c>
      <c r="AU66" s="97"/>
      <c r="AV66" s="97">
        <f t="shared" si="6"/>
        <v>635</v>
      </c>
      <c r="AW66" s="97">
        <v>0</v>
      </c>
      <c r="AX66" s="97">
        <v>0</v>
      </c>
      <c r="AY66" s="97">
        <f t="shared" si="3"/>
        <v>635</v>
      </c>
      <c r="AZ66" s="97">
        <f t="shared" si="5"/>
        <v>0</v>
      </c>
    </row>
    <row r="67" spans="1:53" s="132" customFormat="1" x14ac:dyDescent="0.2">
      <c r="A67" s="84" t="s">
        <v>272</v>
      </c>
      <c r="B67" s="19" t="s">
        <v>160</v>
      </c>
      <c r="C67" s="19" t="s">
        <v>134</v>
      </c>
      <c r="D67" s="197">
        <v>100092</v>
      </c>
      <c r="E67" s="218">
        <f>94+12+13</f>
        <v>119</v>
      </c>
      <c r="F67" s="97">
        <v>43</v>
      </c>
      <c r="G67" s="97">
        <v>3</v>
      </c>
      <c r="H67" s="97">
        <v>11</v>
      </c>
      <c r="I67" s="97">
        <f>3+18</f>
        <v>21</v>
      </c>
      <c r="J67" s="97">
        <v>8</v>
      </c>
      <c r="K67" s="97">
        <f t="shared" si="2"/>
        <v>205</v>
      </c>
      <c r="L67" s="219"/>
      <c r="M67" s="218" t="s">
        <v>497</v>
      </c>
      <c r="N67" s="97">
        <v>3</v>
      </c>
      <c r="O67" s="97">
        <v>6</v>
      </c>
      <c r="P67" s="97">
        <v>7</v>
      </c>
      <c r="Q67" s="97">
        <v>7</v>
      </c>
      <c r="R67" s="97">
        <v>1</v>
      </c>
      <c r="S67" s="97">
        <v>0</v>
      </c>
      <c r="T67" s="97">
        <v>4</v>
      </c>
      <c r="U67" s="97">
        <v>24</v>
      </c>
      <c r="V67" s="97">
        <v>5</v>
      </c>
      <c r="W67" s="97">
        <v>0</v>
      </c>
      <c r="X67" s="97">
        <v>34</v>
      </c>
      <c r="Y67" s="97">
        <v>0</v>
      </c>
      <c r="Z67" s="97">
        <v>4</v>
      </c>
      <c r="AA67" s="97">
        <v>1</v>
      </c>
      <c r="AB67" s="97">
        <v>0</v>
      </c>
      <c r="AC67" s="97">
        <v>1</v>
      </c>
      <c r="AD67" s="97">
        <v>29</v>
      </c>
      <c r="AE67" s="97">
        <v>24</v>
      </c>
      <c r="AF67" s="97">
        <v>0</v>
      </c>
      <c r="AG67" s="97">
        <v>0</v>
      </c>
      <c r="AH67" s="97">
        <v>2</v>
      </c>
      <c r="AI67" s="97">
        <v>2</v>
      </c>
      <c r="AJ67" s="97">
        <v>1</v>
      </c>
      <c r="AK67" s="97">
        <v>2</v>
      </c>
      <c r="AL67" s="97">
        <v>1</v>
      </c>
      <c r="AM67" s="97">
        <v>15</v>
      </c>
      <c r="AN67" s="97">
        <v>0</v>
      </c>
      <c r="AO67" s="97">
        <v>9</v>
      </c>
      <c r="AP67" s="97">
        <v>2</v>
      </c>
      <c r="AQ67" s="97">
        <v>0</v>
      </c>
      <c r="AR67" s="97">
        <v>0</v>
      </c>
      <c r="AS67" s="97">
        <v>0</v>
      </c>
      <c r="AT67" s="97">
        <v>0</v>
      </c>
      <c r="AU67" s="97"/>
      <c r="AV67" s="246">
        <f>SUM(N67:AU67)</f>
        <v>184</v>
      </c>
      <c r="AW67" s="97">
        <v>21</v>
      </c>
      <c r="AX67" s="97">
        <v>0</v>
      </c>
      <c r="AY67" s="97">
        <f t="shared" si="3"/>
        <v>205</v>
      </c>
      <c r="AZ67" s="97">
        <f t="shared" si="5"/>
        <v>0</v>
      </c>
    </row>
    <row r="68" spans="1:53" s="132" customFormat="1" x14ac:dyDescent="0.2">
      <c r="A68" s="85">
        <v>11</v>
      </c>
      <c r="B68" s="19" t="s">
        <v>183</v>
      </c>
      <c r="C68" s="19" t="s">
        <v>145</v>
      </c>
      <c r="D68" s="197">
        <v>100100</v>
      </c>
      <c r="E68" s="218">
        <f>193+17+28</f>
        <v>238</v>
      </c>
      <c r="F68" s="97">
        <v>70</v>
      </c>
      <c r="G68" s="97">
        <v>6</v>
      </c>
      <c r="H68" s="97">
        <f>135+30+4</f>
        <v>169</v>
      </c>
      <c r="I68" s="97">
        <v>0</v>
      </c>
      <c r="J68" s="97">
        <v>24</v>
      </c>
      <c r="K68" s="97">
        <f t="shared" si="2"/>
        <v>507</v>
      </c>
      <c r="L68" s="219"/>
      <c r="M68" s="218" t="s">
        <v>90</v>
      </c>
      <c r="N68" s="97">
        <v>0</v>
      </c>
      <c r="O68" s="97">
        <v>0</v>
      </c>
      <c r="P68" s="97">
        <v>0</v>
      </c>
      <c r="Q68" s="97">
        <v>0</v>
      </c>
      <c r="R68" s="97">
        <v>0</v>
      </c>
      <c r="S68" s="97">
        <v>0</v>
      </c>
      <c r="T68" s="97">
        <v>0</v>
      </c>
      <c r="U68" s="97">
        <v>0</v>
      </c>
      <c r="V68" s="97">
        <v>0</v>
      </c>
      <c r="W68" s="97">
        <v>0</v>
      </c>
      <c r="X68" s="97">
        <v>507</v>
      </c>
      <c r="Y68" s="97">
        <v>0</v>
      </c>
      <c r="Z68" s="97">
        <v>0</v>
      </c>
      <c r="AA68" s="97">
        <v>0</v>
      </c>
      <c r="AB68" s="97">
        <v>0</v>
      </c>
      <c r="AC68" s="97">
        <v>0</v>
      </c>
      <c r="AD68" s="97">
        <v>0</v>
      </c>
      <c r="AE68" s="97">
        <v>0</v>
      </c>
      <c r="AF68" s="97">
        <v>0</v>
      </c>
      <c r="AG68" s="97">
        <v>0</v>
      </c>
      <c r="AH68" s="97">
        <v>0</v>
      </c>
      <c r="AI68" s="97">
        <v>0</v>
      </c>
      <c r="AJ68" s="97">
        <v>0</v>
      </c>
      <c r="AK68" s="97">
        <v>0</v>
      </c>
      <c r="AL68" s="97">
        <v>0</v>
      </c>
      <c r="AM68" s="97">
        <v>0</v>
      </c>
      <c r="AN68" s="97">
        <v>0</v>
      </c>
      <c r="AO68" s="97">
        <v>0</v>
      </c>
      <c r="AP68" s="97">
        <v>0</v>
      </c>
      <c r="AQ68" s="97">
        <v>0</v>
      </c>
      <c r="AR68" s="97">
        <v>0</v>
      </c>
      <c r="AS68" s="97">
        <v>0</v>
      </c>
      <c r="AT68" s="97">
        <v>0</v>
      </c>
      <c r="AU68" s="97"/>
      <c r="AV68" s="246">
        <f>SUM(N68:AU68)</f>
        <v>507</v>
      </c>
      <c r="AW68" s="97">
        <v>0</v>
      </c>
      <c r="AX68" s="97">
        <v>0</v>
      </c>
      <c r="AY68" s="97">
        <f t="shared" si="3"/>
        <v>507</v>
      </c>
      <c r="AZ68" s="97">
        <f t="shared" si="5"/>
        <v>0</v>
      </c>
    </row>
    <row r="69" spans="1:53" s="132" customFormat="1" x14ac:dyDescent="0.2">
      <c r="A69" s="85">
        <v>11</v>
      </c>
      <c r="B69" s="19" t="s">
        <v>537</v>
      </c>
      <c r="C69" s="19" t="s">
        <v>145</v>
      </c>
      <c r="D69" s="197">
        <v>100102</v>
      </c>
      <c r="E69" s="218">
        <f>643+65+100</f>
        <v>808</v>
      </c>
      <c r="F69" s="97">
        <v>187</v>
      </c>
      <c r="G69" s="97">
        <v>17</v>
      </c>
      <c r="H69" s="97">
        <f>600+95</f>
        <v>695</v>
      </c>
      <c r="I69" s="97">
        <v>0</v>
      </c>
      <c r="J69" s="97">
        <v>31</v>
      </c>
      <c r="K69" s="97">
        <f t="shared" si="2"/>
        <v>1738</v>
      </c>
      <c r="L69" s="219"/>
      <c r="M69" s="218" t="s">
        <v>19</v>
      </c>
      <c r="N69" s="97">
        <v>0</v>
      </c>
      <c r="O69" s="97">
        <v>0</v>
      </c>
      <c r="P69" s="97">
        <v>0</v>
      </c>
      <c r="Q69" s="97">
        <v>0</v>
      </c>
      <c r="R69" s="97">
        <v>0</v>
      </c>
      <c r="S69" s="97">
        <v>0</v>
      </c>
      <c r="T69" s="97">
        <v>0</v>
      </c>
      <c r="U69" s="97">
        <v>0</v>
      </c>
      <c r="V69" s="97">
        <v>0</v>
      </c>
      <c r="W69" s="97">
        <v>0</v>
      </c>
      <c r="X69" s="97">
        <v>0</v>
      </c>
      <c r="Y69" s="97">
        <v>0</v>
      </c>
      <c r="Z69" s="97">
        <v>0</v>
      </c>
      <c r="AA69" s="97">
        <v>0</v>
      </c>
      <c r="AB69" s="97">
        <v>0</v>
      </c>
      <c r="AC69" s="97">
        <v>0</v>
      </c>
      <c r="AD69" s="97">
        <v>0</v>
      </c>
      <c r="AE69" s="97">
        <v>0</v>
      </c>
      <c r="AF69" s="97">
        <v>0</v>
      </c>
      <c r="AG69" s="97">
        <v>0</v>
      </c>
      <c r="AH69" s="97">
        <v>0</v>
      </c>
      <c r="AI69" s="97">
        <v>0</v>
      </c>
      <c r="AJ69" s="97">
        <v>0</v>
      </c>
      <c r="AK69" s="97">
        <v>0</v>
      </c>
      <c r="AL69" s="97">
        <v>0</v>
      </c>
      <c r="AM69" s="97">
        <v>0</v>
      </c>
      <c r="AN69" s="97">
        <v>0</v>
      </c>
      <c r="AO69" s="97">
        <v>0</v>
      </c>
      <c r="AP69" s="97">
        <v>0</v>
      </c>
      <c r="AQ69" s="97">
        <v>0</v>
      </c>
      <c r="AR69" s="97">
        <v>0</v>
      </c>
      <c r="AS69" s="97">
        <v>0</v>
      </c>
      <c r="AT69" s="97">
        <v>0</v>
      </c>
      <c r="AU69" s="97"/>
      <c r="AV69" s="97">
        <f t="shared" si="6"/>
        <v>0</v>
      </c>
      <c r="AW69" s="97">
        <v>1738</v>
      </c>
      <c r="AX69" s="97">
        <v>0</v>
      </c>
      <c r="AY69" s="97">
        <f t="shared" si="3"/>
        <v>1738</v>
      </c>
      <c r="AZ69" s="97">
        <f t="shared" si="5"/>
        <v>0</v>
      </c>
    </row>
    <row r="70" spans="1:53" s="248" customFormat="1" x14ac:dyDescent="0.2">
      <c r="A70" s="243">
        <v>11</v>
      </c>
      <c r="B70" s="234" t="s">
        <v>236</v>
      </c>
      <c r="C70" s="234" t="s">
        <v>145</v>
      </c>
      <c r="D70" s="244">
        <v>100105</v>
      </c>
      <c r="E70" s="245">
        <v>0</v>
      </c>
      <c r="F70" s="246">
        <v>0</v>
      </c>
      <c r="G70" s="246">
        <v>0</v>
      </c>
      <c r="H70" s="246">
        <v>0</v>
      </c>
      <c r="I70" s="246">
        <v>0</v>
      </c>
      <c r="J70" s="246">
        <v>0</v>
      </c>
      <c r="K70" s="97">
        <f t="shared" si="2"/>
        <v>0</v>
      </c>
      <c r="L70" s="247"/>
      <c r="M70" s="245" t="s">
        <v>182</v>
      </c>
      <c r="N70" s="246">
        <v>0</v>
      </c>
      <c r="O70" s="246">
        <v>0</v>
      </c>
      <c r="P70" s="246">
        <v>0</v>
      </c>
      <c r="Q70" s="246">
        <v>0</v>
      </c>
      <c r="R70" s="246">
        <v>0</v>
      </c>
      <c r="S70" s="246">
        <v>0</v>
      </c>
      <c r="T70" s="246">
        <v>0</v>
      </c>
      <c r="U70" s="246">
        <v>0</v>
      </c>
      <c r="V70" s="246">
        <v>0</v>
      </c>
      <c r="W70" s="97">
        <v>0</v>
      </c>
      <c r="X70" s="246">
        <v>0</v>
      </c>
      <c r="Y70" s="246">
        <v>0</v>
      </c>
      <c r="Z70" s="246">
        <v>0</v>
      </c>
      <c r="AA70" s="246">
        <v>0</v>
      </c>
      <c r="AB70" s="246">
        <v>0</v>
      </c>
      <c r="AC70" s="246">
        <v>0</v>
      </c>
      <c r="AD70" s="246">
        <v>0</v>
      </c>
      <c r="AE70" s="246">
        <v>0</v>
      </c>
      <c r="AF70" s="246">
        <v>0</v>
      </c>
      <c r="AG70" s="246">
        <v>0</v>
      </c>
      <c r="AH70" s="246">
        <v>0</v>
      </c>
      <c r="AI70" s="246">
        <v>0</v>
      </c>
      <c r="AJ70" s="246">
        <v>0</v>
      </c>
      <c r="AK70" s="246">
        <v>0</v>
      </c>
      <c r="AL70" s="246">
        <v>0</v>
      </c>
      <c r="AM70" s="97">
        <v>0</v>
      </c>
      <c r="AN70" s="97">
        <v>0</v>
      </c>
      <c r="AO70" s="97">
        <v>0</v>
      </c>
      <c r="AP70" s="97">
        <v>0</v>
      </c>
      <c r="AQ70" s="97">
        <v>0</v>
      </c>
      <c r="AR70" s="97">
        <v>0</v>
      </c>
      <c r="AS70" s="97">
        <v>0</v>
      </c>
      <c r="AT70" s="97">
        <v>0</v>
      </c>
      <c r="AU70" s="246"/>
      <c r="AV70" s="246">
        <f t="shared" si="6"/>
        <v>0</v>
      </c>
      <c r="AW70" s="246">
        <v>0</v>
      </c>
      <c r="AX70" s="97">
        <v>0</v>
      </c>
      <c r="AY70" s="97">
        <f t="shared" si="3"/>
        <v>0</v>
      </c>
      <c r="AZ70" s="246">
        <f t="shared" si="5"/>
        <v>0</v>
      </c>
    </row>
    <row r="71" spans="1:53" s="132" customFormat="1" x14ac:dyDescent="0.2">
      <c r="A71" s="85">
        <v>11</v>
      </c>
      <c r="B71" s="19" t="s">
        <v>301</v>
      </c>
      <c r="C71" s="19" t="s">
        <v>429</v>
      </c>
      <c r="D71" s="197">
        <v>100108</v>
      </c>
      <c r="E71" s="218">
        <v>0</v>
      </c>
      <c r="F71" s="97">
        <v>311</v>
      </c>
      <c r="G71" s="97">
        <v>5</v>
      </c>
      <c r="H71" s="97">
        <f>5+9</f>
        <v>14</v>
      </c>
      <c r="I71" s="97">
        <v>0</v>
      </c>
      <c r="J71" s="97">
        <v>0</v>
      </c>
      <c r="K71" s="97">
        <f t="shared" si="2"/>
        <v>330</v>
      </c>
      <c r="L71" s="219"/>
      <c r="M71" s="218" t="s">
        <v>90</v>
      </c>
      <c r="N71" s="97">
        <v>0</v>
      </c>
      <c r="O71" s="97">
        <v>0</v>
      </c>
      <c r="P71" s="97">
        <v>0</v>
      </c>
      <c r="Q71" s="97">
        <v>0</v>
      </c>
      <c r="R71" s="97">
        <v>0</v>
      </c>
      <c r="S71" s="97">
        <v>0</v>
      </c>
      <c r="T71" s="97">
        <v>0</v>
      </c>
      <c r="U71" s="97">
        <v>0</v>
      </c>
      <c r="V71" s="97">
        <v>0</v>
      </c>
      <c r="W71" s="97">
        <v>0</v>
      </c>
      <c r="X71" s="97">
        <v>185</v>
      </c>
      <c r="Y71" s="97">
        <v>0</v>
      </c>
      <c r="Z71" s="97">
        <v>0</v>
      </c>
      <c r="AA71" s="97">
        <v>0</v>
      </c>
      <c r="AB71" s="97">
        <v>0</v>
      </c>
      <c r="AC71" s="97">
        <v>0</v>
      </c>
      <c r="AD71" s="97">
        <v>105</v>
      </c>
      <c r="AE71" s="97">
        <v>40</v>
      </c>
      <c r="AF71" s="97">
        <v>0</v>
      </c>
      <c r="AG71" s="97">
        <v>0</v>
      </c>
      <c r="AH71" s="97">
        <v>0</v>
      </c>
      <c r="AI71" s="97">
        <v>0</v>
      </c>
      <c r="AJ71" s="97">
        <v>0</v>
      </c>
      <c r="AK71" s="97">
        <v>0</v>
      </c>
      <c r="AL71" s="97">
        <v>0</v>
      </c>
      <c r="AM71" s="97">
        <v>0</v>
      </c>
      <c r="AN71" s="97">
        <v>0</v>
      </c>
      <c r="AO71" s="97">
        <v>0</v>
      </c>
      <c r="AP71" s="97">
        <v>0</v>
      </c>
      <c r="AQ71" s="97">
        <v>0</v>
      </c>
      <c r="AR71" s="97">
        <v>0</v>
      </c>
      <c r="AS71" s="97">
        <v>0</v>
      </c>
      <c r="AT71" s="97">
        <v>0</v>
      </c>
      <c r="AU71" s="97"/>
      <c r="AV71" s="97">
        <f t="shared" si="6"/>
        <v>330</v>
      </c>
      <c r="AW71" s="97">
        <v>0</v>
      </c>
      <c r="AX71" s="97">
        <v>0</v>
      </c>
      <c r="AY71" s="97">
        <f t="shared" si="3"/>
        <v>330</v>
      </c>
      <c r="AZ71" s="97">
        <f t="shared" si="5"/>
        <v>0</v>
      </c>
    </row>
    <row r="72" spans="1:53" s="132" customFormat="1" x14ac:dyDescent="0.2">
      <c r="A72" s="85">
        <v>11</v>
      </c>
      <c r="B72" s="19" t="s">
        <v>333</v>
      </c>
      <c r="C72" s="19" t="s">
        <v>246</v>
      </c>
      <c r="D72" s="197">
        <v>100109</v>
      </c>
      <c r="E72" s="218">
        <v>0</v>
      </c>
      <c r="F72" s="97">
        <v>0</v>
      </c>
      <c r="G72" s="97">
        <v>0</v>
      </c>
      <c r="H72" s="97">
        <v>0</v>
      </c>
      <c r="I72" s="97">
        <v>0</v>
      </c>
      <c r="J72" s="97">
        <v>0</v>
      </c>
      <c r="K72" s="97">
        <f t="shared" si="2"/>
        <v>0</v>
      </c>
      <c r="L72" s="219"/>
      <c r="M72" s="218" t="s">
        <v>182</v>
      </c>
      <c r="N72" s="97">
        <v>0</v>
      </c>
      <c r="O72" s="97">
        <v>0</v>
      </c>
      <c r="P72" s="97">
        <v>0</v>
      </c>
      <c r="Q72" s="97">
        <v>0</v>
      </c>
      <c r="R72" s="97">
        <v>0</v>
      </c>
      <c r="S72" s="97">
        <v>0</v>
      </c>
      <c r="T72" s="97">
        <v>0</v>
      </c>
      <c r="U72" s="97">
        <v>0</v>
      </c>
      <c r="V72" s="97">
        <v>0</v>
      </c>
      <c r="W72" s="97">
        <v>0</v>
      </c>
      <c r="X72" s="97">
        <v>0</v>
      </c>
      <c r="Y72" s="97">
        <v>0</v>
      </c>
      <c r="Z72" s="97">
        <v>0</v>
      </c>
      <c r="AA72" s="97">
        <v>0</v>
      </c>
      <c r="AB72" s="97">
        <v>0</v>
      </c>
      <c r="AC72" s="97">
        <v>0</v>
      </c>
      <c r="AD72" s="97">
        <v>0</v>
      </c>
      <c r="AE72" s="97">
        <v>0</v>
      </c>
      <c r="AF72" s="97">
        <v>0</v>
      </c>
      <c r="AG72" s="97">
        <v>0</v>
      </c>
      <c r="AH72" s="97">
        <v>0</v>
      </c>
      <c r="AI72" s="97">
        <v>0</v>
      </c>
      <c r="AJ72" s="97">
        <v>0</v>
      </c>
      <c r="AK72" s="97">
        <v>0</v>
      </c>
      <c r="AL72" s="97">
        <v>0</v>
      </c>
      <c r="AM72" s="97">
        <v>0</v>
      </c>
      <c r="AN72" s="97">
        <v>0</v>
      </c>
      <c r="AO72" s="97">
        <v>0</v>
      </c>
      <c r="AP72" s="97">
        <v>0</v>
      </c>
      <c r="AQ72" s="97">
        <v>0</v>
      </c>
      <c r="AR72" s="97">
        <v>0</v>
      </c>
      <c r="AS72" s="97">
        <v>0</v>
      </c>
      <c r="AT72" s="97">
        <v>0</v>
      </c>
      <c r="AU72" s="97"/>
      <c r="AV72" s="97">
        <f t="shared" si="6"/>
        <v>0</v>
      </c>
      <c r="AW72" s="97">
        <v>0</v>
      </c>
      <c r="AX72" s="97">
        <v>0</v>
      </c>
      <c r="AY72" s="97">
        <f t="shared" si="3"/>
        <v>0</v>
      </c>
      <c r="AZ72" s="97">
        <f t="shared" si="5"/>
        <v>0</v>
      </c>
    </row>
    <row r="73" spans="1:53" s="132" customFormat="1" x14ac:dyDescent="0.2">
      <c r="A73" s="84" t="s">
        <v>272</v>
      </c>
      <c r="B73" s="29" t="s">
        <v>484</v>
      </c>
      <c r="C73" s="19" t="s">
        <v>485</v>
      </c>
      <c r="D73" s="197">
        <v>100110</v>
      </c>
      <c r="E73" s="218">
        <f>164+20+25</f>
        <v>209</v>
      </c>
      <c r="F73" s="97">
        <v>62</v>
      </c>
      <c r="G73" s="97">
        <v>2</v>
      </c>
      <c r="H73" s="97">
        <f>28+20</f>
        <v>48</v>
      </c>
      <c r="I73" s="97">
        <f>6+36</f>
        <v>42</v>
      </c>
      <c r="J73" s="97">
        <v>8</v>
      </c>
      <c r="K73" s="97">
        <f t="shared" si="2"/>
        <v>371</v>
      </c>
      <c r="L73" s="219"/>
      <c r="M73" s="218" t="s">
        <v>497</v>
      </c>
      <c r="N73" s="97">
        <v>6</v>
      </c>
      <c r="O73" s="97">
        <v>11</v>
      </c>
      <c r="P73" s="97">
        <v>12</v>
      </c>
      <c r="Q73" s="97">
        <v>13</v>
      </c>
      <c r="R73" s="97">
        <v>1</v>
      </c>
      <c r="S73" s="97">
        <v>0</v>
      </c>
      <c r="T73" s="97">
        <v>7</v>
      </c>
      <c r="U73" s="97">
        <v>43</v>
      </c>
      <c r="V73" s="97">
        <v>10</v>
      </c>
      <c r="W73" s="97">
        <v>0</v>
      </c>
      <c r="X73" s="97">
        <v>63</v>
      </c>
      <c r="Y73" s="97">
        <v>1</v>
      </c>
      <c r="Z73" s="97">
        <v>7</v>
      </c>
      <c r="AA73" s="97">
        <v>1</v>
      </c>
      <c r="AB73" s="97">
        <v>0</v>
      </c>
      <c r="AC73" s="97">
        <v>3</v>
      </c>
      <c r="AD73" s="97">
        <v>53</v>
      </c>
      <c r="AE73" s="97">
        <v>43</v>
      </c>
      <c r="AF73" s="97">
        <v>1</v>
      </c>
      <c r="AG73" s="97">
        <v>0</v>
      </c>
      <c r="AH73" s="97">
        <v>3</v>
      </c>
      <c r="AI73" s="97">
        <v>3</v>
      </c>
      <c r="AJ73" s="97">
        <v>1</v>
      </c>
      <c r="AK73" s="97">
        <v>4</v>
      </c>
      <c r="AL73" s="97">
        <v>1</v>
      </c>
      <c r="AM73" s="97">
        <v>26</v>
      </c>
      <c r="AN73" s="97">
        <v>0</v>
      </c>
      <c r="AO73" s="97">
        <v>16</v>
      </c>
      <c r="AP73" s="97">
        <v>4</v>
      </c>
      <c r="AQ73" s="97">
        <v>0</v>
      </c>
      <c r="AR73" s="97">
        <v>0</v>
      </c>
      <c r="AS73" s="97">
        <v>0</v>
      </c>
      <c r="AT73" s="97">
        <v>0</v>
      </c>
      <c r="AU73" s="97"/>
      <c r="AV73" s="246">
        <f>SUM(N73:AU73)</f>
        <v>333</v>
      </c>
      <c r="AW73" s="97">
        <v>38</v>
      </c>
      <c r="AX73" s="97">
        <v>0</v>
      </c>
      <c r="AY73" s="97">
        <f t="shared" si="3"/>
        <v>371</v>
      </c>
      <c r="AZ73" s="97">
        <f t="shared" si="5"/>
        <v>0</v>
      </c>
    </row>
    <row r="74" spans="1:53" s="132" customFormat="1" x14ac:dyDescent="0.2">
      <c r="A74" s="85">
        <v>11</v>
      </c>
      <c r="B74" s="19" t="s">
        <v>45</v>
      </c>
      <c r="C74" s="19" t="s">
        <v>424</v>
      </c>
      <c r="D74" s="197">
        <v>100111</v>
      </c>
      <c r="E74" s="218">
        <v>0</v>
      </c>
      <c r="F74" s="97">
        <v>0</v>
      </c>
      <c r="G74" s="97">
        <v>0</v>
      </c>
      <c r="H74" s="97">
        <v>0</v>
      </c>
      <c r="I74" s="97">
        <v>0</v>
      </c>
      <c r="J74" s="97">
        <v>110</v>
      </c>
      <c r="K74" s="97">
        <f t="shared" si="2"/>
        <v>110</v>
      </c>
      <c r="L74" s="219"/>
      <c r="M74" s="218" t="s">
        <v>182</v>
      </c>
      <c r="N74" s="97">
        <v>0</v>
      </c>
      <c r="O74" s="97">
        <v>0</v>
      </c>
      <c r="P74" s="97">
        <v>0</v>
      </c>
      <c r="Q74" s="97">
        <v>0</v>
      </c>
      <c r="R74" s="97">
        <v>0</v>
      </c>
      <c r="S74" s="97">
        <v>0</v>
      </c>
      <c r="T74" s="97">
        <v>0</v>
      </c>
      <c r="U74" s="97">
        <v>0</v>
      </c>
      <c r="V74" s="97">
        <v>0</v>
      </c>
      <c r="W74" s="97">
        <v>0</v>
      </c>
      <c r="X74" s="97">
        <v>0</v>
      </c>
      <c r="Y74" s="97">
        <v>0</v>
      </c>
      <c r="Z74" s="97">
        <v>0</v>
      </c>
      <c r="AA74" s="97">
        <v>0</v>
      </c>
      <c r="AB74" s="97">
        <v>0</v>
      </c>
      <c r="AC74" s="97">
        <v>0</v>
      </c>
      <c r="AD74" s="97">
        <v>0</v>
      </c>
      <c r="AE74" s="97">
        <v>0</v>
      </c>
      <c r="AF74" s="97">
        <v>0</v>
      </c>
      <c r="AG74" s="97">
        <v>0</v>
      </c>
      <c r="AH74" s="97">
        <v>0</v>
      </c>
      <c r="AI74" s="97">
        <v>0</v>
      </c>
      <c r="AJ74" s="97">
        <v>0</v>
      </c>
      <c r="AK74" s="97">
        <v>0</v>
      </c>
      <c r="AL74" s="97">
        <v>0</v>
      </c>
      <c r="AM74" s="97">
        <v>0</v>
      </c>
      <c r="AN74" s="97">
        <v>0</v>
      </c>
      <c r="AO74" s="97">
        <v>0</v>
      </c>
      <c r="AP74" s="97">
        <v>0</v>
      </c>
      <c r="AQ74" s="97">
        <v>0</v>
      </c>
      <c r="AR74" s="97">
        <v>0</v>
      </c>
      <c r="AS74" s="97">
        <v>0</v>
      </c>
      <c r="AT74" s="97">
        <v>0</v>
      </c>
      <c r="AU74" s="97"/>
      <c r="AV74" s="97">
        <f t="shared" si="6"/>
        <v>0</v>
      </c>
      <c r="AW74" s="97">
        <v>110</v>
      </c>
      <c r="AX74" s="97">
        <v>0</v>
      </c>
      <c r="AY74" s="97">
        <f t="shared" si="3"/>
        <v>110</v>
      </c>
      <c r="AZ74" s="97">
        <f t="shared" ref="AZ74:AZ105" si="7">+K74-AY74</f>
        <v>0</v>
      </c>
    </row>
    <row r="75" spans="1:53" s="132" customFormat="1" x14ac:dyDescent="0.2">
      <c r="A75" s="84" t="s">
        <v>272</v>
      </c>
      <c r="B75" s="29" t="s">
        <v>67</v>
      </c>
      <c r="C75" s="19" t="s">
        <v>136</v>
      </c>
      <c r="D75" s="197">
        <v>100112</v>
      </c>
      <c r="E75" s="218">
        <v>0</v>
      </c>
      <c r="F75" s="97">
        <v>0</v>
      </c>
      <c r="G75" s="97">
        <v>0</v>
      </c>
      <c r="H75" s="97">
        <v>0</v>
      </c>
      <c r="I75" s="97">
        <v>0</v>
      </c>
      <c r="J75" s="97">
        <v>78748</v>
      </c>
      <c r="K75" s="97">
        <f t="shared" ref="K75:K140" si="8">SUM(E75:J75)</f>
        <v>78748</v>
      </c>
      <c r="L75" s="219"/>
      <c r="M75" s="218" t="s">
        <v>66</v>
      </c>
      <c r="N75" s="97">
        <v>65</v>
      </c>
      <c r="O75" s="97">
        <v>168</v>
      </c>
      <c r="P75" s="97">
        <v>955</v>
      </c>
      <c r="Q75" s="97">
        <v>0</v>
      </c>
      <c r="R75" s="97">
        <v>110</v>
      </c>
      <c r="S75" s="97">
        <v>0</v>
      </c>
      <c r="T75" s="97">
        <v>367</v>
      </c>
      <c r="U75" s="97">
        <v>472</v>
      </c>
      <c r="V75" s="97">
        <f>1309+49+20+10</f>
        <v>1388</v>
      </c>
      <c r="W75" s="97">
        <v>4</v>
      </c>
      <c r="X75" s="97">
        <f>12844-1518-1067</f>
        <v>10259</v>
      </c>
      <c r="Y75" s="97">
        <v>0</v>
      </c>
      <c r="Z75" s="97">
        <v>85</v>
      </c>
      <c r="AA75" s="97">
        <v>0</v>
      </c>
      <c r="AB75" s="97">
        <v>8564</v>
      </c>
      <c r="AC75" s="97">
        <v>985</v>
      </c>
      <c r="AD75" s="97">
        <v>10441</v>
      </c>
      <c r="AE75" s="97">
        <v>16751</v>
      </c>
      <c r="AF75" s="97">
        <v>134</v>
      </c>
      <c r="AG75" s="97">
        <v>296</v>
      </c>
      <c r="AH75" s="97">
        <f>1336-225</f>
        <v>1111</v>
      </c>
      <c r="AI75" s="97">
        <v>2097</v>
      </c>
      <c r="AJ75" s="97">
        <v>825</v>
      </c>
      <c r="AK75" s="97">
        <v>375</v>
      </c>
      <c r="AL75" s="97">
        <f>1350-743-63</f>
        <v>544</v>
      </c>
      <c r="AM75" s="97">
        <v>1573</v>
      </c>
      <c r="AN75" s="97">
        <v>0</v>
      </c>
      <c r="AO75" s="97">
        <f>1518+743</f>
        <v>2261</v>
      </c>
      <c r="AP75" s="97">
        <v>1067</v>
      </c>
      <c r="AQ75" s="97">
        <v>0</v>
      </c>
      <c r="AR75" s="97">
        <v>0</v>
      </c>
      <c r="AS75" s="97">
        <v>0</v>
      </c>
      <c r="AT75" s="97">
        <v>0</v>
      </c>
      <c r="AU75" s="97"/>
      <c r="AV75" s="97">
        <f t="shared" si="6"/>
        <v>60897</v>
      </c>
      <c r="AW75" s="97">
        <f>17563+225+63</f>
        <v>17851</v>
      </c>
      <c r="AX75" s="97">
        <v>0</v>
      </c>
      <c r="AY75" s="97">
        <f t="shared" ref="AY75:AY141" si="9">+AV75+AW75+AX75</f>
        <v>78748</v>
      </c>
      <c r="AZ75" s="97">
        <f t="shared" si="7"/>
        <v>0</v>
      </c>
    </row>
    <row r="76" spans="1:53" s="132" customFormat="1" x14ac:dyDescent="0.2">
      <c r="A76" s="85">
        <v>11</v>
      </c>
      <c r="B76" s="19" t="s">
        <v>47</v>
      </c>
      <c r="C76" s="19" t="s">
        <v>136</v>
      </c>
      <c r="D76" s="197">
        <v>100113</v>
      </c>
      <c r="E76" s="218">
        <v>0</v>
      </c>
      <c r="F76" s="97">
        <v>0</v>
      </c>
      <c r="G76" s="97">
        <v>0</v>
      </c>
      <c r="H76" s="97">
        <v>0</v>
      </c>
      <c r="I76" s="97">
        <v>0</v>
      </c>
      <c r="J76" s="97">
        <v>106857</v>
      </c>
      <c r="K76" s="97">
        <f t="shared" si="8"/>
        <v>106857</v>
      </c>
      <c r="L76" s="219"/>
      <c r="M76" s="218" t="s">
        <v>315</v>
      </c>
      <c r="N76" s="97">
        <v>165</v>
      </c>
      <c r="O76" s="97">
        <v>427</v>
      </c>
      <c r="P76" s="97">
        <v>2069</v>
      </c>
      <c r="Q76" s="97">
        <v>0</v>
      </c>
      <c r="R76" s="97">
        <v>165</v>
      </c>
      <c r="S76" s="97">
        <v>99</v>
      </c>
      <c r="T76" s="97">
        <v>471</v>
      </c>
      <c r="U76" s="97">
        <v>778</v>
      </c>
      <c r="V76" s="97">
        <f>1661</f>
        <v>1661</v>
      </c>
      <c r="W76" s="97">
        <v>78</v>
      </c>
      <c r="X76" s="97">
        <f>18261-2158-1517</f>
        <v>14586</v>
      </c>
      <c r="Y76" s="97">
        <v>0</v>
      </c>
      <c r="Z76" s="97">
        <f>21+115</f>
        <v>136</v>
      </c>
      <c r="AA76" s="97">
        <v>0</v>
      </c>
      <c r="AB76" s="97">
        <v>6622</v>
      </c>
      <c r="AC76" s="97">
        <v>1706</v>
      </c>
      <c r="AD76" s="97">
        <v>11615</v>
      </c>
      <c r="AE76" s="97">
        <v>17944</v>
      </c>
      <c r="AF76" s="97">
        <v>937</v>
      </c>
      <c r="AG76" s="97">
        <v>145</v>
      </c>
      <c r="AH76" s="97">
        <f>2160-526</f>
        <v>1634</v>
      </c>
      <c r="AI76" s="97">
        <v>4992</v>
      </c>
      <c r="AJ76" s="97">
        <v>2280</v>
      </c>
      <c r="AK76" s="97">
        <v>1183</v>
      </c>
      <c r="AL76" s="97">
        <f>2776-1527-466</f>
        <v>783</v>
      </c>
      <c r="AM76" s="97">
        <v>0</v>
      </c>
      <c r="AN76" s="97">
        <v>0</v>
      </c>
      <c r="AO76" s="97">
        <f>2158+1527</f>
        <v>3685</v>
      </c>
      <c r="AP76" s="97">
        <v>1517</v>
      </c>
      <c r="AQ76" s="97">
        <v>0</v>
      </c>
      <c r="AR76" s="97">
        <v>0</v>
      </c>
      <c r="AS76" s="97">
        <v>0</v>
      </c>
      <c r="AT76" s="97">
        <v>0</v>
      </c>
      <c r="AU76" s="97"/>
      <c r="AV76" s="97">
        <f t="shared" si="6"/>
        <v>75678</v>
      </c>
      <c r="AW76" s="97">
        <f>30187+466+526</f>
        <v>31179</v>
      </c>
      <c r="AX76" s="97">
        <v>0</v>
      </c>
      <c r="AY76" s="97">
        <f t="shared" si="9"/>
        <v>106857</v>
      </c>
      <c r="AZ76" s="97">
        <f t="shared" si="7"/>
        <v>0</v>
      </c>
      <c r="BA76" s="214"/>
    </row>
    <row r="77" spans="1:53" s="132" customFormat="1" x14ac:dyDescent="0.2">
      <c r="A77" s="85">
        <v>11</v>
      </c>
      <c r="B77" s="19" t="s">
        <v>48</v>
      </c>
      <c r="C77" s="19" t="s">
        <v>136</v>
      </c>
      <c r="D77" s="197">
        <v>100115</v>
      </c>
      <c r="E77" s="218">
        <v>0</v>
      </c>
      <c r="F77" s="97">
        <v>0</v>
      </c>
      <c r="G77" s="97">
        <v>0</v>
      </c>
      <c r="H77" s="97">
        <v>0</v>
      </c>
      <c r="I77" s="97">
        <v>0</v>
      </c>
      <c r="J77" s="97">
        <v>210</v>
      </c>
      <c r="K77" s="97">
        <f t="shared" si="8"/>
        <v>210</v>
      </c>
      <c r="L77" s="219"/>
      <c r="M77" s="218" t="s">
        <v>19</v>
      </c>
      <c r="N77" s="97">
        <v>0</v>
      </c>
      <c r="O77" s="97">
        <v>0</v>
      </c>
      <c r="P77" s="97">
        <v>0</v>
      </c>
      <c r="Q77" s="97">
        <v>0</v>
      </c>
      <c r="R77" s="97">
        <v>0</v>
      </c>
      <c r="S77" s="97">
        <v>0</v>
      </c>
      <c r="T77" s="97">
        <v>0</v>
      </c>
      <c r="U77" s="97">
        <v>0</v>
      </c>
      <c r="V77" s="97">
        <v>0</v>
      </c>
      <c r="W77" s="97">
        <v>0</v>
      </c>
      <c r="X77" s="97">
        <v>0</v>
      </c>
      <c r="Y77" s="97">
        <v>0</v>
      </c>
      <c r="Z77" s="97">
        <v>0</v>
      </c>
      <c r="AA77" s="97">
        <v>0</v>
      </c>
      <c r="AB77" s="97">
        <v>0</v>
      </c>
      <c r="AC77" s="97">
        <v>0</v>
      </c>
      <c r="AD77" s="97">
        <v>0</v>
      </c>
      <c r="AE77" s="97">
        <v>0</v>
      </c>
      <c r="AF77" s="97">
        <v>0</v>
      </c>
      <c r="AG77" s="97">
        <v>0</v>
      </c>
      <c r="AH77" s="97">
        <v>0</v>
      </c>
      <c r="AI77" s="97">
        <v>0</v>
      </c>
      <c r="AJ77" s="97">
        <v>0</v>
      </c>
      <c r="AK77" s="97">
        <v>0</v>
      </c>
      <c r="AL77" s="97">
        <v>0</v>
      </c>
      <c r="AM77" s="97">
        <v>0</v>
      </c>
      <c r="AN77" s="97">
        <v>0</v>
      </c>
      <c r="AO77" s="97">
        <v>0</v>
      </c>
      <c r="AP77" s="97">
        <v>0</v>
      </c>
      <c r="AQ77" s="97">
        <v>0</v>
      </c>
      <c r="AR77" s="97">
        <v>0</v>
      </c>
      <c r="AS77" s="97">
        <v>0</v>
      </c>
      <c r="AT77" s="97">
        <v>0</v>
      </c>
      <c r="AU77" s="97"/>
      <c r="AV77" s="97">
        <f t="shared" si="6"/>
        <v>0</v>
      </c>
      <c r="AW77" s="97">
        <v>210</v>
      </c>
      <c r="AX77" s="97">
        <v>0</v>
      </c>
      <c r="AY77" s="97">
        <f t="shared" si="9"/>
        <v>210</v>
      </c>
      <c r="AZ77" s="97">
        <f t="shared" si="7"/>
        <v>0</v>
      </c>
    </row>
    <row r="78" spans="1:53" s="132" customFormat="1" x14ac:dyDescent="0.2">
      <c r="A78" s="85">
        <v>11</v>
      </c>
      <c r="B78" s="19" t="s">
        <v>49</v>
      </c>
      <c r="C78" s="19" t="s">
        <v>136</v>
      </c>
      <c r="D78" s="197">
        <v>100116</v>
      </c>
      <c r="E78" s="218">
        <v>0</v>
      </c>
      <c r="F78" s="97">
        <v>0</v>
      </c>
      <c r="G78" s="97">
        <v>0</v>
      </c>
      <c r="H78" s="97">
        <v>0</v>
      </c>
      <c r="I78" s="97">
        <v>0</v>
      </c>
      <c r="J78" s="97">
        <v>215</v>
      </c>
      <c r="K78" s="97">
        <f t="shared" si="8"/>
        <v>215</v>
      </c>
      <c r="L78" s="219"/>
      <c r="M78" s="218" t="s">
        <v>19</v>
      </c>
      <c r="N78" s="97">
        <v>0</v>
      </c>
      <c r="O78" s="97">
        <v>0</v>
      </c>
      <c r="P78" s="97">
        <v>0</v>
      </c>
      <c r="Q78" s="97">
        <v>0</v>
      </c>
      <c r="R78" s="97">
        <v>0</v>
      </c>
      <c r="S78" s="97">
        <v>0</v>
      </c>
      <c r="T78" s="97">
        <v>0</v>
      </c>
      <c r="U78" s="97">
        <v>0</v>
      </c>
      <c r="V78" s="97">
        <v>0</v>
      </c>
      <c r="W78" s="97">
        <v>0</v>
      </c>
      <c r="X78" s="97">
        <v>0</v>
      </c>
      <c r="Y78" s="97">
        <v>0</v>
      </c>
      <c r="Z78" s="97">
        <v>0</v>
      </c>
      <c r="AA78" s="97">
        <v>0</v>
      </c>
      <c r="AB78" s="97">
        <v>0</v>
      </c>
      <c r="AC78" s="97">
        <v>0</v>
      </c>
      <c r="AD78" s="97">
        <v>0</v>
      </c>
      <c r="AE78" s="97">
        <v>0</v>
      </c>
      <c r="AF78" s="97">
        <v>0</v>
      </c>
      <c r="AG78" s="97">
        <v>0</v>
      </c>
      <c r="AH78" s="97">
        <v>0</v>
      </c>
      <c r="AI78" s="97">
        <v>0</v>
      </c>
      <c r="AJ78" s="97">
        <v>0</v>
      </c>
      <c r="AK78" s="97">
        <v>0</v>
      </c>
      <c r="AL78" s="97">
        <v>0</v>
      </c>
      <c r="AM78" s="97">
        <v>0</v>
      </c>
      <c r="AN78" s="97">
        <v>0</v>
      </c>
      <c r="AO78" s="97">
        <v>0</v>
      </c>
      <c r="AP78" s="97">
        <v>0</v>
      </c>
      <c r="AQ78" s="97">
        <v>0</v>
      </c>
      <c r="AR78" s="97">
        <v>0</v>
      </c>
      <c r="AS78" s="97">
        <v>0</v>
      </c>
      <c r="AT78" s="97">
        <v>0</v>
      </c>
      <c r="AU78" s="97"/>
      <c r="AV78" s="97">
        <f t="shared" si="6"/>
        <v>0</v>
      </c>
      <c r="AW78" s="97">
        <v>215</v>
      </c>
      <c r="AX78" s="97">
        <v>0</v>
      </c>
      <c r="AY78" s="97">
        <f t="shared" si="9"/>
        <v>215</v>
      </c>
      <c r="AZ78" s="97">
        <f t="shared" si="7"/>
        <v>0</v>
      </c>
    </row>
    <row r="79" spans="1:53" s="132" customFormat="1" x14ac:dyDescent="0.2">
      <c r="A79" s="85">
        <v>11</v>
      </c>
      <c r="B79" s="19" t="s">
        <v>50</v>
      </c>
      <c r="C79" s="19" t="s">
        <v>136</v>
      </c>
      <c r="D79" s="197">
        <v>100117</v>
      </c>
      <c r="E79" s="218">
        <v>0</v>
      </c>
      <c r="F79" s="97">
        <v>0</v>
      </c>
      <c r="G79" s="97">
        <v>0</v>
      </c>
      <c r="H79" s="97">
        <v>0</v>
      </c>
      <c r="I79" s="97">
        <v>0</v>
      </c>
      <c r="J79" s="97">
        <v>5000</v>
      </c>
      <c r="K79" s="97">
        <f t="shared" si="8"/>
        <v>5000</v>
      </c>
      <c r="L79" s="219"/>
      <c r="M79" s="218" t="s">
        <v>182</v>
      </c>
      <c r="N79" s="97">
        <v>0</v>
      </c>
      <c r="O79" s="97">
        <v>0</v>
      </c>
      <c r="P79" s="97">
        <v>0</v>
      </c>
      <c r="Q79" s="97">
        <v>0</v>
      </c>
      <c r="R79" s="97">
        <v>0</v>
      </c>
      <c r="S79" s="97">
        <v>0</v>
      </c>
      <c r="T79" s="97">
        <v>0</v>
      </c>
      <c r="U79" s="97">
        <v>0</v>
      </c>
      <c r="V79" s="97">
        <v>0</v>
      </c>
      <c r="W79" s="97">
        <v>0</v>
      </c>
      <c r="X79" s="97">
        <v>0</v>
      </c>
      <c r="Y79" s="97">
        <v>0</v>
      </c>
      <c r="Z79" s="97">
        <v>0</v>
      </c>
      <c r="AA79" s="97">
        <v>0</v>
      </c>
      <c r="AB79" s="97">
        <v>0</v>
      </c>
      <c r="AC79" s="97">
        <v>0</v>
      </c>
      <c r="AD79" s="97">
        <v>0</v>
      </c>
      <c r="AE79" s="97">
        <v>0</v>
      </c>
      <c r="AF79" s="97">
        <v>0</v>
      </c>
      <c r="AG79" s="97">
        <v>0</v>
      </c>
      <c r="AH79" s="97">
        <v>0</v>
      </c>
      <c r="AI79" s="97">
        <v>0</v>
      </c>
      <c r="AJ79" s="97">
        <v>0</v>
      </c>
      <c r="AK79" s="97">
        <v>0</v>
      </c>
      <c r="AL79" s="97">
        <v>0</v>
      </c>
      <c r="AM79" s="97">
        <v>0</v>
      </c>
      <c r="AN79" s="97">
        <v>0</v>
      </c>
      <c r="AO79" s="97">
        <v>0</v>
      </c>
      <c r="AP79" s="97">
        <v>0</v>
      </c>
      <c r="AQ79" s="97">
        <v>0</v>
      </c>
      <c r="AR79" s="97">
        <v>0</v>
      </c>
      <c r="AS79" s="97">
        <v>0</v>
      </c>
      <c r="AT79" s="97">
        <v>0</v>
      </c>
      <c r="AU79" s="97"/>
      <c r="AV79" s="97">
        <f t="shared" si="6"/>
        <v>0</v>
      </c>
      <c r="AW79" s="97">
        <v>5000</v>
      </c>
      <c r="AX79" s="97">
        <v>0</v>
      </c>
      <c r="AY79" s="97">
        <f t="shared" si="9"/>
        <v>5000</v>
      </c>
      <c r="AZ79" s="97">
        <f t="shared" si="7"/>
        <v>0</v>
      </c>
    </row>
    <row r="80" spans="1:53" s="132" customFormat="1" x14ac:dyDescent="0.2">
      <c r="A80" s="84" t="s">
        <v>272</v>
      </c>
      <c r="B80" s="29" t="s">
        <v>68</v>
      </c>
      <c r="C80" s="19" t="s">
        <v>136</v>
      </c>
      <c r="D80" s="197">
        <v>100118</v>
      </c>
      <c r="E80" s="218">
        <v>36258</v>
      </c>
      <c r="F80" s="97">
        <v>0</v>
      </c>
      <c r="G80" s="97">
        <v>0</v>
      </c>
      <c r="H80" s="97">
        <v>0</v>
      </c>
      <c r="I80" s="97">
        <v>0</v>
      </c>
      <c r="J80" s="97">
        <v>0</v>
      </c>
      <c r="K80" s="97">
        <f t="shared" si="8"/>
        <v>36258</v>
      </c>
      <c r="L80" s="219"/>
      <c r="M80" s="218" t="s">
        <v>94</v>
      </c>
      <c r="N80" s="97">
        <v>583</v>
      </c>
      <c r="O80" s="97">
        <v>992</v>
      </c>
      <c r="P80" s="97">
        <v>2714</v>
      </c>
      <c r="Q80" s="97">
        <v>0</v>
      </c>
      <c r="R80" s="97">
        <v>133</v>
      </c>
      <c r="S80" s="97">
        <v>0</v>
      </c>
      <c r="T80" s="97">
        <v>668</v>
      </c>
      <c r="U80" s="97">
        <v>2744</v>
      </c>
      <c r="V80" s="97">
        <f>1245-485</f>
        <v>760</v>
      </c>
      <c r="W80" s="97">
        <v>485</v>
      </c>
      <c r="X80" s="97">
        <f>6794-680-367</f>
        <v>5747</v>
      </c>
      <c r="Y80" s="97">
        <v>85</v>
      </c>
      <c r="Z80" s="97">
        <v>596</v>
      </c>
      <c r="AA80" s="97">
        <v>156</v>
      </c>
      <c r="AB80" s="97">
        <v>1094</v>
      </c>
      <c r="AC80" s="97">
        <v>229</v>
      </c>
      <c r="AD80" s="97">
        <v>4089</v>
      </c>
      <c r="AE80" s="97">
        <v>5186</v>
      </c>
      <c r="AF80" s="97">
        <v>0</v>
      </c>
      <c r="AG80" s="97">
        <v>0</v>
      </c>
      <c r="AH80" s="97">
        <v>524</v>
      </c>
      <c r="AI80" s="97">
        <v>374</v>
      </c>
      <c r="AJ80" s="97">
        <v>298</v>
      </c>
      <c r="AK80" s="97">
        <v>502</v>
      </c>
      <c r="AL80" s="97">
        <v>969</v>
      </c>
      <c r="AM80" s="97">
        <v>3177</v>
      </c>
      <c r="AN80" s="97">
        <v>0</v>
      </c>
      <c r="AO80" s="97">
        <f>680</f>
        <v>680</v>
      </c>
      <c r="AP80" s="97">
        <v>367</v>
      </c>
      <c r="AQ80" s="97">
        <v>0</v>
      </c>
      <c r="AR80" s="97">
        <v>0</v>
      </c>
      <c r="AS80" s="97">
        <v>0</v>
      </c>
      <c r="AT80" s="97">
        <v>0</v>
      </c>
      <c r="AU80" s="97"/>
      <c r="AV80" s="97">
        <f t="shared" si="6"/>
        <v>33152</v>
      </c>
      <c r="AW80" s="97">
        <v>3106</v>
      </c>
      <c r="AX80" s="97">
        <v>0</v>
      </c>
      <c r="AY80" s="97">
        <f t="shared" si="9"/>
        <v>36258</v>
      </c>
      <c r="AZ80" s="97">
        <f t="shared" si="7"/>
        <v>0</v>
      </c>
    </row>
    <row r="81" spans="1:52" s="132" customFormat="1" x14ac:dyDescent="0.2">
      <c r="A81" s="84" t="s">
        <v>272</v>
      </c>
      <c r="B81" s="29" t="s">
        <v>58</v>
      </c>
      <c r="C81" s="19" t="s">
        <v>136</v>
      </c>
      <c r="D81" s="197">
        <v>100119</v>
      </c>
      <c r="E81" s="218">
        <v>22850</v>
      </c>
      <c r="F81" s="97">
        <v>0</v>
      </c>
      <c r="G81" s="97">
        <v>0</v>
      </c>
      <c r="H81" s="97">
        <v>0</v>
      </c>
      <c r="I81" s="97">
        <v>0</v>
      </c>
      <c r="J81" s="97">
        <v>0</v>
      </c>
      <c r="K81" s="97">
        <f t="shared" si="8"/>
        <v>22850</v>
      </c>
      <c r="L81" s="219"/>
      <c r="M81" s="218" t="s">
        <v>329</v>
      </c>
      <c r="N81" s="97">
        <v>-117</v>
      </c>
      <c r="O81" s="97">
        <v>615</v>
      </c>
      <c r="P81" s="97">
        <v>1764</v>
      </c>
      <c r="Q81" s="97">
        <v>0</v>
      </c>
      <c r="R81" s="97">
        <v>79</v>
      </c>
      <c r="S81" s="97">
        <v>1326</v>
      </c>
      <c r="T81" s="97">
        <v>374</v>
      </c>
      <c r="U81" s="97">
        <v>4007</v>
      </c>
      <c r="V81" s="97">
        <v>-245</v>
      </c>
      <c r="W81" s="97">
        <v>0</v>
      </c>
      <c r="X81" s="97">
        <v>4428</v>
      </c>
      <c r="Y81" s="97">
        <v>56</v>
      </c>
      <c r="Z81" s="97">
        <v>388</v>
      </c>
      <c r="AA81" s="97">
        <v>101</v>
      </c>
      <c r="AB81" s="97">
        <v>99</v>
      </c>
      <c r="AC81" s="97">
        <v>149</v>
      </c>
      <c r="AD81" s="97">
        <v>2657</v>
      </c>
      <c r="AE81" s="97">
        <v>3370</v>
      </c>
      <c r="AF81" s="97">
        <v>0</v>
      </c>
      <c r="AG81" s="97">
        <v>0</v>
      </c>
      <c r="AH81" s="97">
        <v>341</v>
      </c>
      <c r="AI81" s="97">
        <v>243</v>
      </c>
      <c r="AJ81" s="97">
        <v>194</v>
      </c>
      <c r="AK81" s="97">
        <v>326</v>
      </c>
      <c r="AL81" s="97">
        <v>630</v>
      </c>
      <c r="AM81" s="97">
        <v>2065</v>
      </c>
      <c r="AN81" s="97">
        <v>0</v>
      </c>
      <c r="AO81" s="97">
        <v>0</v>
      </c>
      <c r="AP81" s="97">
        <v>0</v>
      </c>
      <c r="AQ81" s="97">
        <v>0</v>
      </c>
      <c r="AR81" s="97">
        <v>0</v>
      </c>
      <c r="AS81" s="97">
        <v>0</v>
      </c>
      <c r="AT81" s="97">
        <v>0</v>
      </c>
      <c r="AU81" s="97"/>
      <c r="AV81" s="97">
        <f t="shared" si="6"/>
        <v>22850</v>
      </c>
      <c r="AW81" s="97">
        <v>0</v>
      </c>
      <c r="AX81" s="97">
        <v>0</v>
      </c>
      <c r="AY81" s="97">
        <f t="shared" si="9"/>
        <v>22850</v>
      </c>
      <c r="AZ81" s="97">
        <f t="shared" si="7"/>
        <v>0</v>
      </c>
    </row>
    <row r="82" spans="1:52" s="132" customFormat="1" x14ac:dyDescent="0.2">
      <c r="A82" s="84" t="s">
        <v>272</v>
      </c>
      <c r="B82" s="29" t="s">
        <v>55</v>
      </c>
      <c r="C82" s="19" t="s">
        <v>136</v>
      </c>
      <c r="D82" s="197">
        <v>100120</v>
      </c>
      <c r="E82" s="218">
        <v>3839</v>
      </c>
      <c r="F82" s="97">
        <v>0</v>
      </c>
      <c r="G82" s="97">
        <v>0</v>
      </c>
      <c r="H82" s="97">
        <v>0</v>
      </c>
      <c r="I82" s="97">
        <v>0</v>
      </c>
      <c r="J82" s="97">
        <v>0</v>
      </c>
      <c r="K82" s="97">
        <f t="shared" si="8"/>
        <v>3839</v>
      </c>
      <c r="L82" s="219"/>
      <c r="M82" s="218" t="s">
        <v>329</v>
      </c>
      <c r="N82" s="97">
        <v>71</v>
      </c>
      <c r="O82" s="97">
        <v>136</v>
      </c>
      <c r="P82" s="97">
        <v>297</v>
      </c>
      <c r="Q82" s="97">
        <v>0</v>
      </c>
      <c r="R82" s="97">
        <v>14</v>
      </c>
      <c r="S82" s="97">
        <v>0</v>
      </c>
      <c r="T82" s="97">
        <v>81</v>
      </c>
      <c r="U82" s="97">
        <v>382</v>
      </c>
      <c r="V82" s="97">
        <v>142</v>
      </c>
      <c r="W82" s="97">
        <v>0</v>
      </c>
      <c r="X82" s="97">
        <v>620</v>
      </c>
      <c r="Y82" s="97">
        <v>7</v>
      </c>
      <c r="Z82" s="97">
        <v>82</v>
      </c>
      <c r="AA82" s="97">
        <v>17</v>
      </c>
      <c r="AB82" s="97">
        <v>16</v>
      </c>
      <c r="AC82" s="97">
        <v>33</v>
      </c>
      <c r="AD82" s="97">
        <v>401</v>
      </c>
      <c r="AE82" s="97">
        <v>518</v>
      </c>
      <c r="AF82" s="97">
        <v>0</v>
      </c>
      <c r="AG82" s="97">
        <v>27</v>
      </c>
      <c r="AH82" s="97">
        <v>36</v>
      </c>
      <c r="AI82" s="97">
        <v>25</v>
      </c>
      <c r="AJ82" s="97">
        <v>21</v>
      </c>
      <c r="AK82" s="97">
        <v>43</v>
      </c>
      <c r="AL82" s="97">
        <v>81</v>
      </c>
      <c r="AM82" s="97">
        <v>335</v>
      </c>
      <c r="AN82" s="97">
        <v>0</v>
      </c>
      <c r="AO82" s="97">
        <v>0</v>
      </c>
      <c r="AP82" s="97">
        <v>0</v>
      </c>
      <c r="AQ82" s="97">
        <v>0</v>
      </c>
      <c r="AR82" s="97">
        <v>0</v>
      </c>
      <c r="AS82" s="97">
        <v>0</v>
      </c>
      <c r="AT82" s="97">
        <v>0</v>
      </c>
      <c r="AU82" s="97"/>
      <c r="AV82" s="246">
        <f>SUM(N82:AU82)</f>
        <v>3385</v>
      </c>
      <c r="AW82" s="97">
        <v>454</v>
      </c>
      <c r="AX82" s="97">
        <v>0</v>
      </c>
      <c r="AY82" s="97">
        <f t="shared" si="9"/>
        <v>3839</v>
      </c>
      <c r="AZ82" s="97">
        <f t="shared" si="7"/>
        <v>0</v>
      </c>
    </row>
    <row r="83" spans="1:52" s="132" customFormat="1" x14ac:dyDescent="0.2">
      <c r="A83" s="84" t="s">
        <v>272</v>
      </c>
      <c r="B83" s="29" t="s">
        <v>56</v>
      </c>
      <c r="C83" s="19" t="s">
        <v>136</v>
      </c>
      <c r="D83" s="197">
        <v>100121</v>
      </c>
      <c r="E83" s="218">
        <v>2400</v>
      </c>
      <c r="F83" s="97">
        <v>0</v>
      </c>
      <c r="G83" s="97">
        <v>0</v>
      </c>
      <c r="H83" s="97">
        <v>0</v>
      </c>
      <c r="I83" s="97">
        <v>0</v>
      </c>
      <c r="J83" s="97">
        <v>0</v>
      </c>
      <c r="K83" s="97">
        <f t="shared" si="8"/>
        <v>2400</v>
      </c>
      <c r="L83" s="219"/>
      <c r="M83" s="218" t="s">
        <v>329</v>
      </c>
      <c r="N83" s="97">
        <v>45</v>
      </c>
      <c r="O83" s="97">
        <v>85</v>
      </c>
      <c r="P83" s="97">
        <v>186</v>
      </c>
      <c r="Q83" s="97">
        <v>0</v>
      </c>
      <c r="R83" s="97">
        <v>9</v>
      </c>
      <c r="S83" s="97">
        <v>0</v>
      </c>
      <c r="T83" s="97">
        <v>51</v>
      </c>
      <c r="U83" s="97">
        <v>239</v>
      </c>
      <c r="V83" s="97">
        <v>89</v>
      </c>
      <c r="W83" s="97">
        <v>0</v>
      </c>
      <c r="X83" s="97">
        <v>387</v>
      </c>
      <c r="Y83" s="97">
        <v>4</v>
      </c>
      <c r="Z83" s="97">
        <v>51</v>
      </c>
      <c r="AA83" s="97">
        <v>10</v>
      </c>
      <c r="AB83" s="97">
        <v>10</v>
      </c>
      <c r="AC83" s="97">
        <v>21</v>
      </c>
      <c r="AD83" s="97">
        <v>249</v>
      </c>
      <c r="AE83" s="97">
        <v>323</v>
      </c>
      <c r="AF83" s="97">
        <v>0</v>
      </c>
      <c r="AG83" s="97">
        <v>17</v>
      </c>
      <c r="AH83" s="97">
        <v>23</v>
      </c>
      <c r="AI83" s="97">
        <v>16</v>
      </c>
      <c r="AJ83" s="97">
        <v>13</v>
      </c>
      <c r="AK83" s="97">
        <v>27</v>
      </c>
      <c r="AL83" s="97">
        <v>51</v>
      </c>
      <c r="AM83" s="97">
        <v>210</v>
      </c>
      <c r="AN83" s="97">
        <v>0</v>
      </c>
      <c r="AO83" s="97">
        <v>0</v>
      </c>
      <c r="AP83" s="97">
        <v>0</v>
      </c>
      <c r="AQ83" s="97">
        <v>0</v>
      </c>
      <c r="AR83" s="97">
        <v>0</v>
      </c>
      <c r="AS83" s="97">
        <v>0</v>
      </c>
      <c r="AT83" s="97">
        <v>0</v>
      </c>
      <c r="AU83" s="97"/>
      <c r="AV83" s="97">
        <f t="shared" si="6"/>
        <v>2116</v>
      </c>
      <c r="AW83" s="97">
        <v>284</v>
      </c>
      <c r="AX83" s="97">
        <v>0</v>
      </c>
      <c r="AY83" s="97">
        <f t="shared" si="9"/>
        <v>2400</v>
      </c>
      <c r="AZ83" s="97">
        <f t="shared" si="7"/>
        <v>0</v>
      </c>
    </row>
    <row r="84" spans="1:52" s="132" customFormat="1" x14ac:dyDescent="0.2">
      <c r="A84" s="84" t="s">
        <v>272</v>
      </c>
      <c r="B84" s="29" t="s">
        <v>57</v>
      </c>
      <c r="C84" s="19" t="s">
        <v>136</v>
      </c>
      <c r="D84" s="197">
        <v>100122</v>
      </c>
      <c r="E84" s="218">
        <v>235</v>
      </c>
      <c r="F84" s="97">
        <v>0</v>
      </c>
      <c r="G84" s="97">
        <v>0</v>
      </c>
      <c r="H84" s="97">
        <v>0</v>
      </c>
      <c r="I84" s="97">
        <v>0</v>
      </c>
      <c r="J84" s="97">
        <v>0</v>
      </c>
      <c r="K84" s="97">
        <f t="shared" si="8"/>
        <v>235</v>
      </c>
      <c r="L84" s="219"/>
      <c r="M84" s="218" t="s">
        <v>329</v>
      </c>
      <c r="N84" s="97">
        <v>4</v>
      </c>
      <c r="O84" s="97">
        <v>7</v>
      </c>
      <c r="P84" s="97">
        <v>16</v>
      </c>
      <c r="Q84" s="97">
        <v>0</v>
      </c>
      <c r="R84" s="97">
        <v>1</v>
      </c>
      <c r="S84" s="97">
        <v>25</v>
      </c>
      <c r="T84" s="97">
        <v>4</v>
      </c>
      <c r="U84" s="97">
        <v>20</v>
      </c>
      <c r="V84" s="97">
        <v>8</v>
      </c>
      <c r="W84" s="97">
        <v>0</v>
      </c>
      <c r="X84" s="97">
        <f>40-2</f>
        <v>38</v>
      </c>
      <c r="Y84" s="97">
        <v>0</v>
      </c>
      <c r="Z84" s="97">
        <v>4</v>
      </c>
      <c r="AA84" s="97">
        <v>1</v>
      </c>
      <c r="AB84" s="97">
        <v>1</v>
      </c>
      <c r="AC84" s="97">
        <v>2</v>
      </c>
      <c r="AD84" s="97">
        <v>22</v>
      </c>
      <c r="AE84" s="97">
        <v>29</v>
      </c>
      <c r="AF84" s="97">
        <v>0</v>
      </c>
      <c r="AG84" s="97">
        <v>1</v>
      </c>
      <c r="AH84" s="97">
        <v>2</v>
      </c>
      <c r="AI84" s="97">
        <v>1</v>
      </c>
      <c r="AJ84" s="97">
        <v>1</v>
      </c>
      <c r="AK84" s="97">
        <v>2</v>
      </c>
      <c r="AL84" s="97">
        <v>4</v>
      </c>
      <c r="AM84" s="97">
        <v>18</v>
      </c>
      <c r="AN84" s="97">
        <v>0</v>
      </c>
      <c r="AO84" s="97">
        <v>0</v>
      </c>
      <c r="AP84" s="97">
        <v>0</v>
      </c>
      <c r="AQ84" s="97">
        <v>0</v>
      </c>
      <c r="AR84" s="97">
        <v>0</v>
      </c>
      <c r="AS84" s="97">
        <v>0</v>
      </c>
      <c r="AT84" s="97">
        <v>0</v>
      </c>
      <c r="AU84" s="97"/>
      <c r="AV84" s="97">
        <f t="shared" si="6"/>
        <v>211</v>
      </c>
      <c r="AW84" s="97">
        <v>24</v>
      </c>
      <c r="AX84" s="97">
        <v>0</v>
      </c>
      <c r="AY84" s="97">
        <f t="shared" si="9"/>
        <v>235</v>
      </c>
      <c r="AZ84" s="97">
        <f t="shared" si="7"/>
        <v>0</v>
      </c>
    </row>
    <row r="85" spans="1:52" s="132" customFormat="1" x14ac:dyDescent="0.2">
      <c r="A85" s="84" t="s">
        <v>272</v>
      </c>
      <c r="B85" s="29" t="s">
        <v>60</v>
      </c>
      <c r="C85" s="19" t="s">
        <v>136</v>
      </c>
      <c r="D85" s="197">
        <v>100123</v>
      </c>
      <c r="E85" s="218">
        <v>14086</v>
      </c>
      <c r="F85" s="97">
        <v>0</v>
      </c>
      <c r="G85" s="97">
        <v>0</v>
      </c>
      <c r="H85" s="97">
        <v>0</v>
      </c>
      <c r="I85" s="97">
        <v>0</v>
      </c>
      <c r="J85" s="97">
        <v>0</v>
      </c>
      <c r="K85" s="97">
        <f t="shared" si="8"/>
        <v>14086</v>
      </c>
      <c r="L85" s="219"/>
      <c r="M85" s="218" t="s">
        <v>329</v>
      </c>
      <c r="N85" s="97">
        <v>525</v>
      </c>
      <c r="O85" s="97">
        <v>1191</v>
      </c>
      <c r="P85" s="97">
        <v>678</v>
      </c>
      <c r="Q85" s="97">
        <v>0</v>
      </c>
      <c r="R85" s="97">
        <v>26</v>
      </c>
      <c r="S85" s="97">
        <v>0</v>
      </c>
      <c r="T85" s="97">
        <v>267</v>
      </c>
      <c r="U85" s="97">
        <v>4391</v>
      </c>
      <c r="V85" s="97">
        <v>344</v>
      </c>
      <c r="W85" s="97">
        <v>0</v>
      </c>
      <c r="X85" s="97">
        <v>1699</v>
      </c>
      <c r="Y85" s="97">
        <v>21</v>
      </c>
      <c r="Z85" s="97">
        <v>149</v>
      </c>
      <c r="AA85" s="97">
        <v>39</v>
      </c>
      <c r="AB85" s="97">
        <v>38</v>
      </c>
      <c r="AC85" s="97">
        <v>57</v>
      </c>
      <c r="AD85" s="97">
        <v>1023</v>
      </c>
      <c r="AE85" s="97">
        <v>1298</v>
      </c>
      <c r="AF85" s="97">
        <v>0</v>
      </c>
      <c r="AG85" s="97">
        <v>100</v>
      </c>
      <c r="AH85" s="97">
        <v>131</v>
      </c>
      <c r="AI85" s="97">
        <v>93</v>
      </c>
      <c r="AJ85" s="97">
        <v>74</v>
      </c>
      <c r="AK85" s="97">
        <v>125</v>
      </c>
      <c r="AL85" s="97">
        <v>242</v>
      </c>
      <c r="AM85" s="97">
        <v>794</v>
      </c>
      <c r="AN85" s="97">
        <v>0</v>
      </c>
      <c r="AO85" s="97">
        <v>0</v>
      </c>
      <c r="AP85" s="97">
        <v>0</v>
      </c>
      <c r="AQ85" s="97">
        <v>0</v>
      </c>
      <c r="AR85" s="97">
        <v>0</v>
      </c>
      <c r="AS85" s="97">
        <v>0</v>
      </c>
      <c r="AT85" s="97">
        <v>0</v>
      </c>
      <c r="AU85" s="97"/>
      <c r="AV85" s="97">
        <f t="shared" si="6"/>
        <v>13305</v>
      </c>
      <c r="AW85" s="97">
        <v>781</v>
      </c>
      <c r="AX85" s="97">
        <v>0</v>
      </c>
      <c r="AY85" s="97">
        <f t="shared" si="9"/>
        <v>14086</v>
      </c>
      <c r="AZ85" s="97">
        <f t="shared" si="7"/>
        <v>0</v>
      </c>
    </row>
    <row r="86" spans="1:52" s="132" customFormat="1" x14ac:dyDescent="0.2">
      <c r="A86" s="84" t="s">
        <v>272</v>
      </c>
      <c r="B86" s="29" t="s">
        <v>61</v>
      </c>
      <c r="C86" s="19" t="s">
        <v>136</v>
      </c>
      <c r="D86" s="197">
        <v>100124</v>
      </c>
      <c r="E86" s="218">
        <v>41752</v>
      </c>
      <c r="F86" s="97">
        <v>0</v>
      </c>
      <c r="G86" s="97">
        <v>0</v>
      </c>
      <c r="H86" s="97">
        <v>0</v>
      </c>
      <c r="I86" s="97">
        <v>0</v>
      </c>
      <c r="J86" s="97">
        <v>0</v>
      </c>
      <c r="K86" s="97">
        <f t="shared" si="8"/>
        <v>41752</v>
      </c>
      <c r="L86" s="219"/>
      <c r="M86" s="218" t="s">
        <v>329</v>
      </c>
      <c r="N86" s="97">
        <v>777</v>
      </c>
      <c r="O86" s="97">
        <v>1474</v>
      </c>
      <c r="P86" s="97">
        <v>3232</v>
      </c>
      <c r="Q86" s="97">
        <v>0</v>
      </c>
      <c r="R86" s="97">
        <v>150</v>
      </c>
      <c r="S86" s="97">
        <v>0</v>
      </c>
      <c r="T86" s="97">
        <v>885</v>
      </c>
      <c r="U86" s="97">
        <v>4151</v>
      </c>
      <c r="V86" s="97">
        <v>1545</v>
      </c>
      <c r="W86" s="97">
        <v>0</v>
      </c>
      <c r="X86" s="97">
        <v>6745</v>
      </c>
      <c r="Y86" s="97">
        <v>71</v>
      </c>
      <c r="Z86" s="97">
        <v>889</v>
      </c>
      <c r="AA86" s="97">
        <v>180</v>
      </c>
      <c r="AB86" s="97">
        <v>175</v>
      </c>
      <c r="AC86" s="97">
        <v>359</v>
      </c>
      <c r="AD86" s="97">
        <v>4356</v>
      </c>
      <c r="AE86" s="97">
        <v>5638</v>
      </c>
      <c r="AF86" s="97">
        <v>0</v>
      </c>
      <c r="AG86" s="97">
        <v>292</v>
      </c>
      <c r="AH86" s="97">
        <v>393</v>
      </c>
      <c r="AI86" s="97">
        <v>271</v>
      </c>
      <c r="AJ86" s="97">
        <v>230</v>
      </c>
      <c r="AK86" s="97">
        <v>472</v>
      </c>
      <c r="AL86" s="97">
        <v>881</v>
      </c>
      <c r="AM86" s="97">
        <v>3646</v>
      </c>
      <c r="AN86" s="97">
        <v>0</v>
      </c>
      <c r="AO86" s="97">
        <v>0</v>
      </c>
      <c r="AP86" s="97">
        <v>0</v>
      </c>
      <c r="AQ86" s="97">
        <v>0</v>
      </c>
      <c r="AR86" s="97">
        <v>0</v>
      </c>
      <c r="AS86" s="97">
        <v>0</v>
      </c>
      <c r="AT86" s="97">
        <v>0</v>
      </c>
      <c r="AU86" s="97"/>
      <c r="AV86" s="246">
        <f>SUM(N86:AU86)</f>
        <v>36812</v>
      </c>
      <c r="AW86" s="97">
        <v>4940</v>
      </c>
      <c r="AX86" s="97">
        <v>0</v>
      </c>
      <c r="AY86" s="97">
        <f t="shared" si="9"/>
        <v>41752</v>
      </c>
      <c r="AZ86" s="97">
        <f t="shared" si="7"/>
        <v>0</v>
      </c>
    </row>
    <row r="87" spans="1:52" s="132" customFormat="1" x14ac:dyDescent="0.2">
      <c r="A87" s="84" t="s">
        <v>272</v>
      </c>
      <c r="B87" s="29" t="s">
        <v>62</v>
      </c>
      <c r="C87" s="19" t="s">
        <v>136</v>
      </c>
      <c r="D87" s="197">
        <v>100125</v>
      </c>
      <c r="E87" s="218">
        <v>4107</v>
      </c>
      <c r="F87" s="97">
        <v>0</v>
      </c>
      <c r="G87" s="97">
        <v>0</v>
      </c>
      <c r="H87" s="97">
        <v>0</v>
      </c>
      <c r="I87" s="97">
        <v>0</v>
      </c>
      <c r="J87" s="97">
        <v>0</v>
      </c>
      <c r="K87" s="97">
        <f t="shared" si="8"/>
        <v>4107</v>
      </c>
      <c r="L87" s="219"/>
      <c r="M87" s="218" t="s">
        <v>329</v>
      </c>
      <c r="N87" s="97">
        <v>75</v>
      </c>
      <c r="O87" s="97">
        <v>142</v>
      </c>
      <c r="P87" s="97">
        <v>311</v>
      </c>
      <c r="Q87" s="97">
        <v>0</v>
      </c>
      <c r="R87" s="97">
        <v>14</v>
      </c>
      <c r="S87" s="97">
        <v>0</v>
      </c>
      <c r="T87" s="97">
        <v>85</v>
      </c>
      <c r="U87" s="97">
        <v>400</v>
      </c>
      <c r="V87" s="97">
        <v>149</v>
      </c>
      <c r="W87" s="97">
        <v>0</v>
      </c>
      <c r="X87" s="97">
        <v>736</v>
      </c>
      <c r="Y87" s="97">
        <v>7</v>
      </c>
      <c r="Z87" s="97">
        <v>86</v>
      </c>
      <c r="AA87" s="97">
        <v>17</v>
      </c>
      <c r="AB87" s="97">
        <v>17</v>
      </c>
      <c r="AC87" s="97">
        <v>35</v>
      </c>
      <c r="AD87" s="97">
        <v>419</v>
      </c>
      <c r="AE87" s="97">
        <v>543</v>
      </c>
      <c r="AF87" s="97">
        <v>0</v>
      </c>
      <c r="AG87" s="97">
        <v>14</v>
      </c>
      <c r="AH87" s="97">
        <v>38</v>
      </c>
      <c r="AI87" s="97">
        <v>26</v>
      </c>
      <c r="AJ87" s="97">
        <v>22</v>
      </c>
      <c r="AK87" s="97">
        <v>45</v>
      </c>
      <c r="AL87" s="97">
        <v>85</v>
      </c>
      <c r="AM87" s="97">
        <v>351</v>
      </c>
      <c r="AN87" s="97">
        <v>0</v>
      </c>
      <c r="AO87" s="97">
        <v>0</v>
      </c>
      <c r="AP87" s="97">
        <v>0</v>
      </c>
      <c r="AQ87" s="97">
        <v>0</v>
      </c>
      <c r="AR87" s="97">
        <v>0</v>
      </c>
      <c r="AS87" s="97">
        <v>0</v>
      </c>
      <c r="AT87" s="97">
        <v>0</v>
      </c>
      <c r="AU87" s="97"/>
      <c r="AV87" s="97">
        <f t="shared" si="6"/>
        <v>3617</v>
      </c>
      <c r="AW87" s="97">
        <v>490</v>
      </c>
      <c r="AX87" s="97">
        <v>0</v>
      </c>
      <c r="AY87" s="97">
        <f t="shared" si="9"/>
        <v>4107</v>
      </c>
      <c r="AZ87" s="97">
        <f t="shared" si="7"/>
        <v>0</v>
      </c>
    </row>
    <row r="88" spans="1:52" s="132" customFormat="1" x14ac:dyDescent="0.2">
      <c r="A88" s="85">
        <v>11</v>
      </c>
      <c r="B88" s="19" t="s">
        <v>63</v>
      </c>
      <c r="C88" s="19" t="s">
        <v>136</v>
      </c>
      <c r="D88" s="197">
        <v>100126</v>
      </c>
      <c r="E88" s="218">
        <v>0</v>
      </c>
      <c r="F88" s="97">
        <v>0</v>
      </c>
      <c r="G88" s="97">
        <v>0</v>
      </c>
      <c r="H88" s="97">
        <v>0</v>
      </c>
      <c r="I88" s="97">
        <v>0</v>
      </c>
      <c r="J88" s="97">
        <v>0</v>
      </c>
      <c r="K88" s="97">
        <f t="shared" si="8"/>
        <v>0</v>
      </c>
      <c r="L88" s="219"/>
      <c r="M88" s="218" t="s">
        <v>182</v>
      </c>
      <c r="N88" s="97">
        <v>0</v>
      </c>
      <c r="O88" s="97">
        <v>0</v>
      </c>
      <c r="P88" s="97">
        <v>0</v>
      </c>
      <c r="Q88" s="97">
        <v>0</v>
      </c>
      <c r="R88" s="97">
        <v>0</v>
      </c>
      <c r="S88" s="97">
        <v>0</v>
      </c>
      <c r="T88" s="97">
        <v>0</v>
      </c>
      <c r="U88" s="97">
        <v>0</v>
      </c>
      <c r="V88" s="97">
        <v>0</v>
      </c>
      <c r="W88" s="97">
        <v>0</v>
      </c>
      <c r="X88" s="97">
        <v>0</v>
      </c>
      <c r="Y88" s="97">
        <v>0</v>
      </c>
      <c r="Z88" s="97">
        <v>0</v>
      </c>
      <c r="AA88" s="97">
        <v>0</v>
      </c>
      <c r="AB88" s="97">
        <v>0</v>
      </c>
      <c r="AC88" s="97">
        <v>0</v>
      </c>
      <c r="AD88" s="97">
        <v>0</v>
      </c>
      <c r="AE88" s="97">
        <v>0</v>
      </c>
      <c r="AF88" s="97">
        <v>0</v>
      </c>
      <c r="AG88" s="97">
        <v>0</v>
      </c>
      <c r="AH88" s="97">
        <v>0</v>
      </c>
      <c r="AI88" s="97">
        <v>0</v>
      </c>
      <c r="AJ88" s="97">
        <v>0</v>
      </c>
      <c r="AK88" s="97">
        <v>0</v>
      </c>
      <c r="AL88" s="97">
        <v>0</v>
      </c>
      <c r="AM88" s="97">
        <v>0</v>
      </c>
      <c r="AN88" s="97">
        <v>0</v>
      </c>
      <c r="AO88" s="97">
        <v>0</v>
      </c>
      <c r="AP88" s="97">
        <v>0</v>
      </c>
      <c r="AQ88" s="97">
        <v>0</v>
      </c>
      <c r="AR88" s="97">
        <v>0</v>
      </c>
      <c r="AS88" s="97">
        <v>0</v>
      </c>
      <c r="AT88" s="97">
        <v>0</v>
      </c>
      <c r="AU88" s="97"/>
      <c r="AV88" s="97">
        <f t="shared" si="6"/>
        <v>0</v>
      </c>
      <c r="AW88" s="97">
        <v>0</v>
      </c>
      <c r="AX88" s="97">
        <v>0</v>
      </c>
      <c r="AY88" s="97">
        <f t="shared" si="9"/>
        <v>0</v>
      </c>
      <c r="AZ88" s="97">
        <f t="shared" si="7"/>
        <v>0</v>
      </c>
    </row>
    <row r="89" spans="1:52" s="132" customFormat="1" x14ac:dyDescent="0.2">
      <c r="A89" s="84" t="s">
        <v>272</v>
      </c>
      <c r="B89" s="29" t="s">
        <v>79</v>
      </c>
      <c r="C89" s="19" t="s">
        <v>132</v>
      </c>
      <c r="D89" s="197">
        <v>100127</v>
      </c>
      <c r="E89" s="218">
        <f>720+59+102</f>
        <v>881</v>
      </c>
      <c r="F89" s="97">
        <v>81</v>
      </c>
      <c r="G89" s="97">
        <v>2</v>
      </c>
      <c r="H89" s="97">
        <f>11574+360+30</f>
        <v>11964</v>
      </c>
      <c r="I89" s="97">
        <f>12+120</f>
        <v>132</v>
      </c>
      <c r="J89" s="97">
        <v>3</v>
      </c>
      <c r="K89" s="97">
        <f t="shared" si="8"/>
        <v>13063</v>
      </c>
      <c r="L89" s="219"/>
      <c r="M89" s="218" t="s">
        <v>235</v>
      </c>
      <c r="N89" s="97">
        <v>0</v>
      </c>
      <c r="O89" s="97">
        <v>0</v>
      </c>
      <c r="P89" s="97">
        <v>97</v>
      </c>
      <c r="Q89" s="97">
        <v>103</v>
      </c>
      <c r="R89" s="97">
        <v>0</v>
      </c>
      <c r="S89" s="97">
        <v>0</v>
      </c>
      <c r="T89" s="97">
        <v>0</v>
      </c>
      <c r="U89" s="97">
        <v>785</v>
      </c>
      <c r="V89" s="97">
        <v>0</v>
      </c>
      <c r="W89" s="97">
        <v>0</v>
      </c>
      <c r="X89" s="97">
        <v>3000</v>
      </c>
      <c r="Y89" s="97">
        <v>0</v>
      </c>
      <c r="Z89" s="97">
        <v>42</v>
      </c>
      <c r="AA89" s="97">
        <v>0</v>
      </c>
      <c r="AB89" s="97">
        <v>0</v>
      </c>
      <c r="AC89" s="97">
        <v>215</v>
      </c>
      <c r="AD89" s="97">
        <v>1300</v>
      </c>
      <c r="AE89" s="97">
        <v>1000</v>
      </c>
      <c r="AF89" s="97">
        <v>0</v>
      </c>
      <c r="AG89" s="97">
        <v>0</v>
      </c>
      <c r="AH89" s="97">
        <v>150</v>
      </c>
      <c r="AI89" s="97">
        <v>275</v>
      </c>
      <c r="AJ89" s="97">
        <v>200</v>
      </c>
      <c r="AK89" s="97">
        <v>60</v>
      </c>
      <c r="AL89" s="97">
        <v>0</v>
      </c>
      <c r="AM89" s="97">
        <v>49</v>
      </c>
      <c r="AN89" s="97">
        <v>0</v>
      </c>
      <c r="AO89" s="97">
        <f>1500</f>
        <v>1500</v>
      </c>
      <c r="AP89" s="97">
        <v>318</v>
      </c>
      <c r="AQ89" s="97">
        <v>0</v>
      </c>
      <c r="AR89" s="97">
        <v>0</v>
      </c>
      <c r="AS89" s="97">
        <v>0</v>
      </c>
      <c r="AT89" s="97">
        <v>0</v>
      </c>
      <c r="AU89" s="97"/>
      <c r="AV89" s="97">
        <f t="shared" ref="AV89:AV111" si="10">SUM(N89:AU89)</f>
        <v>9094</v>
      </c>
      <c r="AW89" s="97">
        <v>3969</v>
      </c>
      <c r="AX89" s="97">
        <v>0</v>
      </c>
      <c r="AY89" s="97">
        <f t="shared" si="9"/>
        <v>13063</v>
      </c>
      <c r="AZ89" s="97">
        <f t="shared" si="7"/>
        <v>0</v>
      </c>
    </row>
    <row r="90" spans="1:52" s="132" customFormat="1" x14ac:dyDescent="0.2">
      <c r="A90" s="84" t="s">
        <v>272</v>
      </c>
      <c r="B90" s="29" t="s">
        <v>64</v>
      </c>
      <c r="C90" s="19" t="s">
        <v>424</v>
      </c>
      <c r="D90" s="197">
        <v>100128</v>
      </c>
      <c r="E90" s="218">
        <v>4715</v>
      </c>
      <c r="F90" s="97">
        <v>0</v>
      </c>
      <c r="G90" s="97">
        <v>0</v>
      </c>
      <c r="H90" s="97">
        <v>0</v>
      </c>
      <c r="I90" s="97">
        <v>0</v>
      </c>
      <c r="J90" s="97">
        <v>0</v>
      </c>
      <c r="K90" s="97">
        <f t="shared" si="8"/>
        <v>4715</v>
      </c>
      <c r="L90" s="219"/>
      <c r="M90" s="218" t="s">
        <v>329</v>
      </c>
      <c r="N90" s="97">
        <v>86</v>
      </c>
      <c r="O90" s="97">
        <v>163</v>
      </c>
      <c r="P90" s="97">
        <v>357</v>
      </c>
      <c r="Q90" s="97">
        <v>0</v>
      </c>
      <c r="R90" s="97">
        <v>17</v>
      </c>
      <c r="S90" s="97">
        <v>0</v>
      </c>
      <c r="T90" s="97">
        <v>98</v>
      </c>
      <c r="U90" s="97">
        <v>459</v>
      </c>
      <c r="V90" s="97">
        <v>171</v>
      </c>
      <c r="W90" s="97">
        <v>0</v>
      </c>
      <c r="X90" s="97">
        <v>847</v>
      </c>
      <c r="Y90" s="97">
        <v>8</v>
      </c>
      <c r="Z90" s="97">
        <v>98</v>
      </c>
      <c r="AA90" s="97">
        <v>20</v>
      </c>
      <c r="AB90" s="97">
        <v>19</v>
      </c>
      <c r="AC90" s="97">
        <v>40</v>
      </c>
      <c r="AD90" s="97">
        <v>481</v>
      </c>
      <c r="AE90" s="97">
        <v>623</v>
      </c>
      <c r="AF90" s="97">
        <v>0</v>
      </c>
      <c r="AG90" s="97">
        <v>32</v>
      </c>
      <c r="AH90" s="97">
        <v>43</v>
      </c>
      <c r="AI90" s="97">
        <v>30</v>
      </c>
      <c r="AJ90" s="97">
        <v>25</v>
      </c>
      <c r="AK90" s="97">
        <v>52</v>
      </c>
      <c r="AL90" s="97">
        <v>97</v>
      </c>
      <c r="AM90" s="97">
        <v>403</v>
      </c>
      <c r="AN90" s="97">
        <v>0</v>
      </c>
      <c r="AO90" s="97">
        <v>0</v>
      </c>
      <c r="AP90" s="97">
        <v>0</v>
      </c>
      <c r="AQ90" s="97">
        <v>0</v>
      </c>
      <c r="AR90" s="97">
        <v>0</v>
      </c>
      <c r="AS90" s="97">
        <v>0</v>
      </c>
      <c r="AT90" s="97">
        <v>0</v>
      </c>
      <c r="AU90" s="97"/>
      <c r="AV90" s="97">
        <f t="shared" si="10"/>
        <v>4169</v>
      </c>
      <c r="AW90" s="97">
        <v>546</v>
      </c>
      <c r="AX90" s="97">
        <v>0</v>
      </c>
      <c r="AY90" s="97">
        <f t="shared" si="9"/>
        <v>4715</v>
      </c>
      <c r="AZ90" s="97">
        <f t="shared" si="7"/>
        <v>0</v>
      </c>
    </row>
    <row r="91" spans="1:52" s="248" customFormat="1" x14ac:dyDescent="0.2">
      <c r="A91" s="243">
        <v>11</v>
      </c>
      <c r="B91" s="234" t="s">
        <v>540</v>
      </c>
      <c r="C91" s="234" t="s">
        <v>135</v>
      </c>
      <c r="D91" s="244">
        <v>100133</v>
      </c>
      <c r="E91" s="245">
        <v>0</v>
      </c>
      <c r="F91" s="246">
        <v>0</v>
      </c>
      <c r="G91" s="246">
        <v>0</v>
      </c>
      <c r="H91" s="246">
        <v>0</v>
      </c>
      <c r="I91" s="246">
        <v>0</v>
      </c>
      <c r="J91" s="246">
        <v>4265</v>
      </c>
      <c r="K91" s="97">
        <f t="shared" si="8"/>
        <v>4265</v>
      </c>
      <c r="L91" s="247"/>
      <c r="M91" s="245" t="s">
        <v>182</v>
      </c>
      <c r="N91" s="246">
        <v>0</v>
      </c>
      <c r="O91" s="246">
        <v>0</v>
      </c>
      <c r="P91" s="246">
        <v>0</v>
      </c>
      <c r="Q91" s="246">
        <v>0</v>
      </c>
      <c r="R91" s="246">
        <v>0</v>
      </c>
      <c r="S91" s="246">
        <v>0</v>
      </c>
      <c r="T91" s="246">
        <v>0</v>
      </c>
      <c r="U91" s="246">
        <v>0</v>
      </c>
      <c r="V91" s="246">
        <v>0</v>
      </c>
      <c r="W91" s="97">
        <v>0</v>
      </c>
      <c r="X91" s="246">
        <v>0</v>
      </c>
      <c r="Y91" s="246">
        <v>0</v>
      </c>
      <c r="Z91" s="246">
        <v>0</v>
      </c>
      <c r="AA91" s="246">
        <v>0</v>
      </c>
      <c r="AB91" s="246">
        <v>0</v>
      </c>
      <c r="AC91" s="246">
        <v>0</v>
      </c>
      <c r="AD91" s="246">
        <v>0</v>
      </c>
      <c r="AE91" s="246">
        <v>0</v>
      </c>
      <c r="AF91" s="246">
        <v>0</v>
      </c>
      <c r="AG91" s="246">
        <v>0</v>
      </c>
      <c r="AH91" s="246">
        <v>0</v>
      </c>
      <c r="AI91" s="246">
        <v>0</v>
      </c>
      <c r="AJ91" s="246">
        <v>0</v>
      </c>
      <c r="AK91" s="246">
        <v>0</v>
      </c>
      <c r="AL91" s="246">
        <v>0</v>
      </c>
      <c r="AM91" s="246">
        <v>0</v>
      </c>
      <c r="AN91" s="246">
        <v>0</v>
      </c>
      <c r="AO91" s="246">
        <v>0</v>
      </c>
      <c r="AP91" s="246">
        <v>0</v>
      </c>
      <c r="AQ91" s="97">
        <v>0</v>
      </c>
      <c r="AR91" s="97">
        <v>0</v>
      </c>
      <c r="AS91" s="97">
        <v>0</v>
      </c>
      <c r="AT91" s="97">
        <v>0</v>
      </c>
      <c r="AU91" s="246"/>
      <c r="AV91" s="246">
        <f t="shared" si="10"/>
        <v>0</v>
      </c>
      <c r="AW91" s="246">
        <v>4265</v>
      </c>
      <c r="AX91" s="97">
        <v>0</v>
      </c>
      <c r="AY91" s="97">
        <f t="shared" si="9"/>
        <v>4265</v>
      </c>
      <c r="AZ91" s="246">
        <f t="shared" si="7"/>
        <v>0</v>
      </c>
    </row>
    <row r="92" spans="1:52" s="248" customFormat="1" x14ac:dyDescent="0.2">
      <c r="A92" s="243">
        <v>11</v>
      </c>
      <c r="B92" s="234" t="s">
        <v>38</v>
      </c>
      <c r="C92" s="234" t="s">
        <v>135</v>
      </c>
      <c r="D92" s="244">
        <v>100134</v>
      </c>
      <c r="E92" s="245">
        <v>0</v>
      </c>
      <c r="F92" s="246">
        <v>0</v>
      </c>
      <c r="G92" s="246">
        <v>0</v>
      </c>
      <c r="H92" s="246">
        <v>0</v>
      </c>
      <c r="I92" s="246">
        <v>0</v>
      </c>
      <c r="J92" s="246">
        <v>600</v>
      </c>
      <c r="K92" s="97">
        <f t="shared" si="8"/>
        <v>600</v>
      </c>
      <c r="L92" s="247"/>
      <c r="M92" s="245" t="s">
        <v>497</v>
      </c>
      <c r="N92" s="246">
        <v>0</v>
      </c>
      <c r="O92" s="246">
        <v>0</v>
      </c>
      <c r="P92" s="246">
        <v>0</v>
      </c>
      <c r="Q92" s="246">
        <v>0</v>
      </c>
      <c r="R92" s="246">
        <v>0</v>
      </c>
      <c r="S92" s="246">
        <v>0</v>
      </c>
      <c r="T92" s="246">
        <v>0</v>
      </c>
      <c r="U92" s="246">
        <v>0</v>
      </c>
      <c r="V92" s="246">
        <v>0</v>
      </c>
      <c r="W92" s="97">
        <v>0</v>
      </c>
      <c r="X92" s="246">
        <v>0</v>
      </c>
      <c r="Y92" s="246">
        <v>0</v>
      </c>
      <c r="Z92" s="246">
        <v>0</v>
      </c>
      <c r="AA92" s="246">
        <v>0</v>
      </c>
      <c r="AB92" s="246">
        <v>0</v>
      </c>
      <c r="AC92" s="246">
        <v>0</v>
      </c>
      <c r="AD92" s="246">
        <v>0</v>
      </c>
      <c r="AE92" s="246">
        <v>0</v>
      </c>
      <c r="AF92" s="246">
        <v>0</v>
      </c>
      <c r="AG92" s="246">
        <v>0</v>
      </c>
      <c r="AH92" s="246">
        <v>0</v>
      </c>
      <c r="AI92" s="246">
        <v>0</v>
      </c>
      <c r="AJ92" s="246">
        <v>0</v>
      </c>
      <c r="AK92" s="246">
        <v>0</v>
      </c>
      <c r="AL92" s="246">
        <v>0</v>
      </c>
      <c r="AM92" s="246">
        <v>0</v>
      </c>
      <c r="AN92" s="246">
        <v>0</v>
      </c>
      <c r="AO92" s="246">
        <v>0</v>
      </c>
      <c r="AP92" s="246">
        <v>0</v>
      </c>
      <c r="AQ92" s="97">
        <v>0</v>
      </c>
      <c r="AR92" s="97">
        <v>0</v>
      </c>
      <c r="AS92" s="97">
        <v>0</v>
      </c>
      <c r="AT92" s="97">
        <v>0</v>
      </c>
      <c r="AU92" s="246"/>
      <c r="AV92" s="246">
        <f t="shared" si="10"/>
        <v>0</v>
      </c>
      <c r="AW92" s="246">
        <v>600</v>
      </c>
      <c r="AX92" s="97">
        <v>0</v>
      </c>
      <c r="AY92" s="97">
        <f t="shared" si="9"/>
        <v>600</v>
      </c>
      <c r="AZ92" s="246">
        <f t="shared" si="7"/>
        <v>0</v>
      </c>
    </row>
    <row r="93" spans="1:52" s="132" customFormat="1" x14ac:dyDescent="0.2">
      <c r="A93" s="85">
        <v>11</v>
      </c>
      <c r="B93" s="19" t="s">
        <v>354</v>
      </c>
      <c r="C93" s="19" t="s">
        <v>261</v>
      </c>
      <c r="D93" s="197">
        <v>100135</v>
      </c>
      <c r="E93" s="218">
        <v>0</v>
      </c>
      <c r="F93" s="97">
        <v>90</v>
      </c>
      <c r="G93" s="97">
        <v>10</v>
      </c>
      <c r="H93" s="97">
        <f>806+12</f>
        <v>818</v>
      </c>
      <c r="I93" s="97">
        <v>3</v>
      </c>
      <c r="J93" s="97">
        <v>28</v>
      </c>
      <c r="K93" s="97">
        <f t="shared" si="8"/>
        <v>949</v>
      </c>
      <c r="L93" s="219"/>
      <c r="M93" s="218" t="s">
        <v>39</v>
      </c>
      <c r="N93" s="97">
        <v>1</v>
      </c>
      <c r="O93" s="97">
        <v>20</v>
      </c>
      <c r="P93" s="97">
        <v>30</v>
      </c>
      <c r="Q93" s="97">
        <v>30</v>
      </c>
      <c r="R93" s="97">
        <v>2</v>
      </c>
      <c r="S93" s="97">
        <v>0</v>
      </c>
      <c r="T93" s="97">
        <v>10</v>
      </c>
      <c r="U93" s="97">
        <v>52</v>
      </c>
      <c r="V93" s="97">
        <v>20</v>
      </c>
      <c r="W93" s="97">
        <v>0</v>
      </c>
      <c r="X93" s="97">
        <v>105</v>
      </c>
      <c r="Y93" s="97">
        <v>1</v>
      </c>
      <c r="Z93" s="97">
        <v>10</v>
      </c>
      <c r="AA93" s="97">
        <v>2</v>
      </c>
      <c r="AB93" s="97">
        <v>105</v>
      </c>
      <c r="AC93" s="97">
        <v>4</v>
      </c>
      <c r="AD93" s="97">
        <v>71</v>
      </c>
      <c r="AE93" s="97">
        <v>81</v>
      </c>
      <c r="AF93" s="97">
        <v>51</v>
      </c>
      <c r="AG93" s="97">
        <v>220</v>
      </c>
      <c r="AH93" s="97">
        <v>4</v>
      </c>
      <c r="AI93" s="97">
        <v>10</v>
      </c>
      <c r="AJ93" s="97">
        <v>10</v>
      </c>
      <c r="AK93" s="97">
        <v>10</v>
      </c>
      <c r="AL93" s="97">
        <v>0</v>
      </c>
      <c r="AM93" s="97">
        <v>60</v>
      </c>
      <c r="AN93" s="97">
        <v>0</v>
      </c>
      <c r="AO93" s="97">
        <v>30</v>
      </c>
      <c r="AP93" s="97">
        <v>10</v>
      </c>
      <c r="AQ93" s="97">
        <v>0</v>
      </c>
      <c r="AR93" s="97">
        <v>0</v>
      </c>
      <c r="AS93" s="97">
        <v>0</v>
      </c>
      <c r="AT93" s="97">
        <v>0</v>
      </c>
      <c r="AU93" s="97">
        <v>0</v>
      </c>
      <c r="AV93" s="97">
        <f t="shared" si="10"/>
        <v>949</v>
      </c>
      <c r="AW93" s="97">
        <v>0</v>
      </c>
      <c r="AX93" s="97">
        <v>0</v>
      </c>
      <c r="AY93" s="97">
        <f t="shared" si="9"/>
        <v>949</v>
      </c>
      <c r="AZ93" s="97">
        <f t="shared" si="7"/>
        <v>0</v>
      </c>
    </row>
    <row r="94" spans="1:52" s="132" customFormat="1" x14ac:dyDescent="0.2">
      <c r="A94" s="85">
        <v>11</v>
      </c>
      <c r="B94" s="19" t="s">
        <v>310</v>
      </c>
      <c r="C94" s="19" t="s">
        <v>261</v>
      </c>
      <c r="D94" s="197">
        <v>100136</v>
      </c>
      <c r="E94" s="218">
        <v>0</v>
      </c>
      <c r="F94" s="97">
        <v>33</v>
      </c>
      <c r="G94" s="97">
        <v>0</v>
      </c>
      <c r="H94" s="97">
        <v>1380</v>
      </c>
      <c r="I94" s="97">
        <v>0</v>
      </c>
      <c r="J94" s="97">
        <v>2</v>
      </c>
      <c r="K94" s="97">
        <f t="shared" si="8"/>
        <v>1415</v>
      </c>
      <c r="L94" s="219"/>
      <c r="M94" s="218" t="s">
        <v>19</v>
      </c>
      <c r="N94" s="97">
        <v>0</v>
      </c>
      <c r="O94" s="97">
        <v>0</v>
      </c>
      <c r="P94" s="97">
        <v>0</v>
      </c>
      <c r="Q94" s="97">
        <v>0</v>
      </c>
      <c r="R94" s="97">
        <v>0</v>
      </c>
      <c r="S94" s="97">
        <v>0</v>
      </c>
      <c r="T94" s="97">
        <v>0</v>
      </c>
      <c r="U94" s="97">
        <v>0</v>
      </c>
      <c r="V94" s="97">
        <v>0</v>
      </c>
      <c r="W94" s="97">
        <v>0</v>
      </c>
      <c r="X94" s="97">
        <v>0</v>
      </c>
      <c r="Y94" s="97">
        <v>0</v>
      </c>
      <c r="Z94" s="97">
        <v>0</v>
      </c>
      <c r="AA94" s="97">
        <v>0</v>
      </c>
      <c r="AB94" s="97">
        <v>0</v>
      </c>
      <c r="AC94" s="97">
        <v>0</v>
      </c>
      <c r="AD94" s="97">
        <v>0</v>
      </c>
      <c r="AE94" s="97">
        <v>0</v>
      </c>
      <c r="AF94" s="97">
        <v>0</v>
      </c>
      <c r="AG94" s="97">
        <v>0</v>
      </c>
      <c r="AH94" s="97">
        <v>0</v>
      </c>
      <c r="AI94" s="97">
        <v>0</v>
      </c>
      <c r="AJ94" s="97">
        <v>0</v>
      </c>
      <c r="AK94" s="97">
        <v>0</v>
      </c>
      <c r="AL94" s="97">
        <v>0</v>
      </c>
      <c r="AM94" s="97">
        <v>0</v>
      </c>
      <c r="AN94" s="97">
        <v>0</v>
      </c>
      <c r="AO94" s="97">
        <v>0</v>
      </c>
      <c r="AP94" s="97">
        <v>0</v>
      </c>
      <c r="AQ94" s="97">
        <v>0</v>
      </c>
      <c r="AR94" s="97">
        <v>0</v>
      </c>
      <c r="AS94" s="97">
        <v>0</v>
      </c>
      <c r="AT94" s="97">
        <v>0</v>
      </c>
      <c r="AU94" s="97"/>
      <c r="AV94" s="97">
        <f t="shared" si="10"/>
        <v>0</v>
      </c>
      <c r="AW94" s="97">
        <v>1415</v>
      </c>
      <c r="AX94" s="97">
        <v>0</v>
      </c>
      <c r="AY94" s="97">
        <f t="shared" si="9"/>
        <v>1415</v>
      </c>
      <c r="AZ94" s="97">
        <f t="shared" si="7"/>
        <v>0</v>
      </c>
    </row>
    <row r="95" spans="1:52" s="132" customFormat="1" x14ac:dyDescent="0.2">
      <c r="A95" s="85">
        <v>11</v>
      </c>
      <c r="B95" s="19" t="s">
        <v>548</v>
      </c>
      <c r="C95" s="19" t="s">
        <v>261</v>
      </c>
      <c r="D95" s="197">
        <v>100137</v>
      </c>
      <c r="E95" s="218">
        <f>1555+129+211</f>
        <v>1895</v>
      </c>
      <c r="F95" s="97">
        <v>249</v>
      </c>
      <c r="G95" s="97">
        <v>30</v>
      </c>
      <c r="H95" s="97">
        <f>340+2+45</f>
        <v>387</v>
      </c>
      <c r="I95" s="97">
        <f>80+420</f>
        <v>500</v>
      </c>
      <c r="J95" s="97">
        <v>119</v>
      </c>
      <c r="K95" s="97">
        <f t="shared" si="8"/>
        <v>3180</v>
      </c>
      <c r="L95" s="219"/>
      <c r="M95" s="218" t="s">
        <v>19</v>
      </c>
      <c r="N95" s="97">
        <v>0</v>
      </c>
      <c r="O95" s="97">
        <v>0</v>
      </c>
      <c r="P95" s="97">
        <v>0</v>
      </c>
      <c r="Q95" s="97">
        <v>0</v>
      </c>
      <c r="R95" s="97">
        <v>0</v>
      </c>
      <c r="S95" s="97">
        <v>0</v>
      </c>
      <c r="T95" s="97">
        <v>0</v>
      </c>
      <c r="U95" s="97">
        <v>0</v>
      </c>
      <c r="V95" s="97">
        <v>0</v>
      </c>
      <c r="W95" s="97">
        <v>0</v>
      </c>
      <c r="X95" s="97">
        <v>0</v>
      </c>
      <c r="Y95" s="97">
        <v>0</v>
      </c>
      <c r="Z95" s="97">
        <v>0</v>
      </c>
      <c r="AA95" s="97">
        <v>0</v>
      </c>
      <c r="AB95" s="97">
        <v>0</v>
      </c>
      <c r="AC95" s="97">
        <v>0</v>
      </c>
      <c r="AD95" s="97">
        <v>0</v>
      </c>
      <c r="AE95" s="97">
        <v>0</v>
      </c>
      <c r="AF95" s="97">
        <v>0</v>
      </c>
      <c r="AG95" s="97">
        <v>0</v>
      </c>
      <c r="AH95" s="97">
        <v>0</v>
      </c>
      <c r="AI95" s="97">
        <v>0</v>
      </c>
      <c r="AJ95" s="97">
        <v>0</v>
      </c>
      <c r="AK95" s="97">
        <v>0</v>
      </c>
      <c r="AL95" s="97">
        <v>0</v>
      </c>
      <c r="AM95" s="97">
        <v>0</v>
      </c>
      <c r="AN95" s="97">
        <v>0</v>
      </c>
      <c r="AO95" s="97">
        <v>0</v>
      </c>
      <c r="AP95" s="97">
        <v>0</v>
      </c>
      <c r="AQ95" s="97">
        <v>0</v>
      </c>
      <c r="AR95" s="97">
        <v>0</v>
      </c>
      <c r="AS95" s="97">
        <v>0</v>
      </c>
      <c r="AT95" s="97">
        <v>0</v>
      </c>
      <c r="AU95" s="97"/>
      <c r="AV95" s="97">
        <f t="shared" si="10"/>
        <v>0</v>
      </c>
      <c r="AW95" s="97">
        <v>3180</v>
      </c>
      <c r="AX95" s="97">
        <v>0</v>
      </c>
      <c r="AY95" s="97">
        <f t="shared" si="9"/>
        <v>3180</v>
      </c>
      <c r="AZ95" s="97">
        <f t="shared" si="7"/>
        <v>0</v>
      </c>
    </row>
    <row r="96" spans="1:52" s="248" customFormat="1" x14ac:dyDescent="0.2">
      <c r="A96" s="243">
        <v>11</v>
      </c>
      <c r="B96" s="234" t="s">
        <v>285</v>
      </c>
      <c r="C96" s="234" t="s">
        <v>135</v>
      </c>
      <c r="D96" s="244">
        <v>100138</v>
      </c>
      <c r="E96" s="245">
        <v>0</v>
      </c>
      <c r="F96" s="246">
        <v>0</v>
      </c>
      <c r="G96" s="246">
        <v>0</v>
      </c>
      <c r="H96" s="246">
        <v>0</v>
      </c>
      <c r="I96" s="246">
        <v>0</v>
      </c>
      <c r="J96" s="246">
        <v>2600</v>
      </c>
      <c r="K96" s="97">
        <f t="shared" si="8"/>
        <v>2600</v>
      </c>
      <c r="L96" s="247"/>
      <c r="M96" s="245" t="s">
        <v>171</v>
      </c>
      <c r="N96" s="246">
        <v>41</v>
      </c>
      <c r="O96" s="246">
        <v>78</v>
      </c>
      <c r="P96" s="246">
        <v>83</v>
      </c>
      <c r="Q96" s="246">
        <v>88</v>
      </c>
      <c r="R96" s="246">
        <v>8</v>
      </c>
      <c r="S96" s="246">
        <v>0</v>
      </c>
      <c r="T96" s="246">
        <v>47</v>
      </c>
      <c r="U96" s="246">
        <v>304</v>
      </c>
      <c r="V96" s="246">
        <v>59</v>
      </c>
      <c r="W96" s="97">
        <v>23</v>
      </c>
      <c r="X96" s="246">
        <v>422</v>
      </c>
      <c r="Y96" s="246">
        <v>4</v>
      </c>
      <c r="Z96" s="246">
        <v>47</v>
      </c>
      <c r="AA96" s="246">
        <v>10</v>
      </c>
      <c r="AB96" s="246">
        <v>2</v>
      </c>
      <c r="AC96" s="246">
        <v>19</v>
      </c>
      <c r="AD96" s="246">
        <v>375</v>
      </c>
      <c r="AE96" s="246">
        <v>301</v>
      </c>
      <c r="AF96" s="246">
        <v>4</v>
      </c>
      <c r="AG96" s="246">
        <v>0</v>
      </c>
      <c r="AH96" s="246">
        <v>21</v>
      </c>
      <c r="AI96" s="246">
        <v>20</v>
      </c>
      <c r="AJ96" s="246">
        <v>10</v>
      </c>
      <c r="AK96" s="246">
        <v>25</v>
      </c>
      <c r="AL96" s="246">
        <v>9</v>
      </c>
      <c r="AM96" s="246">
        <v>193</v>
      </c>
      <c r="AN96" s="246">
        <v>0</v>
      </c>
      <c r="AO96" s="246">
        <v>113</v>
      </c>
      <c r="AP96" s="246">
        <v>30</v>
      </c>
      <c r="AQ96" s="97">
        <v>0</v>
      </c>
      <c r="AR96" s="97">
        <v>0</v>
      </c>
      <c r="AS96" s="97">
        <v>0</v>
      </c>
      <c r="AT96" s="97">
        <v>0</v>
      </c>
      <c r="AU96" s="246"/>
      <c r="AV96" s="246">
        <f t="shared" si="10"/>
        <v>2336</v>
      </c>
      <c r="AW96" s="246">
        <v>264</v>
      </c>
      <c r="AX96" s="97">
        <v>0</v>
      </c>
      <c r="AY96" s="97">
        <f t="shared" si="9"/>
        <v>2600</v>
      </c>
      <c r="AZ96" s="246">
        <f t="shared" si="7"/>
        <v>0</v>
      </c>
    </row>
    <row r="97" spans="1:52" s="132" customFormat="1" x14ac:dyDescent="0.2">
      <c r="A97" s="84" t="s">
        <v>272</v>
      </c>
      <c r="B97" s="29" t="s">
        <v>76</v>
      </c>
      <c r="C97" s="19" t="s">
        <v>247</v>
      </c>
      <c r="D97" s="197">
        <v>100139</v>
      </c>
      <c r="E97" s="218">
        <f>132+13+31</f>
        <v>176</v>
      </c>
      <c r="F97" s="97">
        <v>8</v>
      </c>
      <c r="G97" s="97">
        <v>26</v>
      </c>
      <c r="H97" s="97">
        <f>48+5</f>
        <v>53</v>
      </c>
      <c r="I97" s="97">
        <f>19+199</f>
        <v>218</v>
      </c>
      <c r="J97" s="97">
        <v>234</v>
      </c>
      <c r="K97" s="97">
        <f t="shared" si="8"/>
        <v>715</v>
      </c>
      <c r="L97" s="219"/>
      <c r="M97" s="218" t="s">
        <v>83</v>
      </c>
      <c r="N97" s="97">
        <v>0</v>
      </c>
      <c r="O97" s="97">
        <v>0</v>
      </c>
      <c r="P97" s="97">
        <v>14</v>
      </c>
      <c r="Q97" s="97">
        <v>0</v>
      </c>
      <c r="R97" s="97">
        <v>0</v>
      </c>
      <c r="S97" s="97">
        <v>0</v>
      </c>
      <c r="T97" s="97">
        <v>14</v>
      </c>
      <c r="U97" s="97">
        <v>14</v>
      </c>
      <c r="V97" s="97">
        <v>57</v>
      </c>
      <c r="W97" s="97">
        <v>0</v>
      </c>
      <c r="X97" s="97">
        <f>237-20</f>
        <v>217</v>
      </c>
      <c r="Y97" s="97">
        <v>0</v>
      </c>
      <c r="Z97" s="97">
        <v>0</v>
      </c>
      <c r="AA97" s="97">
        <v>0</v>
      </c>
      <c r="AB97" s="97">
        <v>0</v>
      </c>
      <c r="AC97" s="97">
        <v>29</v>
      </c>
      <c r="AD97" s="97">
        <v>65</v>
      </c>
      <c r="AE97" s="97">
        <v>36</v>
      </c>
      <c r="AF97" s="97">
        <v>0</v>
      </c>
      <c r="AG97" s="97">
        <v>14</v>
      </c>
      <c r="AH97" s="97">
        <v>29</v>
      </c>
      <c r="AI97" s="97">
        <v>21</v>
      </c>
      <c r="AJ97" s="97">
        <v>14</v>
      </c>
      <c r="AK97" s="97">
        <v>21</v>
      </c>
      <c r="AL97" s="97">
        <f>21-12</f>
        <v>9</v>
      </c>
      <c r="AM97" s="97">
        <v>0</v>
      </c>
      <c r="AN97" s="97">
        <v>0</v>
      </c>
      <c r="AO97" s="97">
        <v>12</v>
      </c>
      <c r="AP97" s="97">
        <v>20</v>
      </c>
      <c r="AQ97" s="97">
        <v>0</v>
      </c>
      <c r="AR97" s="97">
        <v>0</v>
      </c>
      <c r="AS97" s="97">
        <v>0</v>
      </c>
      <c r="AT97" s="97">
        <v>0</v>
      </c>
      <c r="AU97" s="97"/>
      <c r="AV97" s="97">
        <f t="shared" si="10"/>
        <v>586</v>
      </c>
      <c r="AW97" s="97">
        <v>129</v>
      </c>
      <c r="AX97" s="97">
        <v>0</v>
      </c>
      <c r="AY97" s="97">
        <f t="shared" si="9"/>
        <v>715</v>
      </c>
      <c r="AZ97" s="97">
        <f t="shared" si="7"/>
        <v>0</v>
      </c>
    </row>
    <row r="98" spans="1:52" s="132" customFormat="1" x14ac:dyDescent="0.2">
      <c r="A98" s="85">
        <v>11</v>
      </c>
      <c r="B98" s="19" t="s">
        <v>44</v>
      </c>
      <c r="C98" s="19" t="s">
        <v>427</v>
      </c>
      <c r="D98" s="197">
        <v>100140</v>
      </c>
      <c r="E98" s="218">
        <v>0</v>
      </c>
      <c r="F98" s="97">
        <v>35</v>
      </c>
      <c r="G98" s="97">
        <v>0</v>
      </c>
      <c r="H98" s="97">
        <v>2300</v>
      </c>
      <c r="I98" s="97">
        <v>10</v>
      </c>
      <c r="J98" s="97">
        <v>0</v>
      </c>
      <c r="K98" s="97">
        <f t="shared" si="8"/>
        <v>2345</v>
      </c>
      <c r="L98" s="219"/>
      <c r="M98" s="218" t="s">
        <v>19</v>
      </c>
      <c r="N98" s="97">
        <v>0</v>
      </c>
      <c r="O98" s="97">
        <v>0</v>
      </c>
      <c r="P98" s="97">
        <v>0</v>
      </c>
      <c r="Q98" s="97">
        <v>0</v>
      </c>
      <c r="R98" s="97">
        <v>0</v>
      </c>
      <c r="S98" s="97">
        <v>0</v>
      </c>
      <c r="T98" s="97">
        <v>0</v>
      </c>
      <c r="U98" s="97">
        <v>0</v>
      </c>
      <c r="V98" s="97">
        <v>0</v>
      </c>
      <c r="W98" s="97">
        <v>0</v>
      </c>
      <c r="X98" s="97">
        <v>0</v>
      </c>
      <c r="Y98" s="97">
        <v>0</v>
      </c>
      <c r="Z98" s="97">
        <v>0</v>
      </c>
      <c r="AA98" s="97">
        <v>0</v>
      </c>
      <c r="AB98" s="97">
        <v>0</v>
      </c>
      <c r="AC98" s="97">
        <v>0</v>
      </c>
      <c r="AD98" s="97">
        <v>0</v>
      </c>
      <c r="AE98" s="97">
        <v>0</v>
      </c>
      <c r="AF98" s="97">
        <v>0</v>
      </c>
      <c r="AG98" s="97">
        <v>0</v>
      </c>
      <c r="AH98" s="97">
        <v>0</v>
      </c>
      <c r="AI98" s="97">
        <v>0</v>
      </c>
      <c r="AJ98" s="97">
        <v>0</v>
      </c>
      <c r="AK98" s="97">
        <v>0</v>
      </c>
      <c r="AL98" s="97">
        <v>0</v>
      </c>
      <c r="AM98" s="97">
        <v>0</v>
      </c>
      <c r="AN98" s="97">
        <v>0</v>
      </c>
      <c r="AO98" s="97">
        <v>0</v>
      </c>
      <c r="AP98" s="97">
        <v>0</v>
      </c>
      <c r="AQ98" s="97">
        <v>0</v>
      </c>
      <c r="AR98" s="97">
        <v>0</v>
      </c>
      <c r="AS98" s="97">
        <v>0</v>
      </c>
      <c r="AT98" s="97">
        <v>0</v>
      </c>
      <c r="AU98" s="97"/>
      <c r="AV98" s="97">
        <f t="shared" si="10"/>
        <v>0</v>
      </c>
      <c r="AW98" s="97">
        <v>2345</v>
      </c>
      <c r="AX98" s="97">
        <v>0</v>
      </c>
      <c r="AY98" s="97">
        <f t="shared" si="9"/>
        <v>2345</v>
      </c>
      <c r="AZ98" s="97">
        <f t="shared" si="7"/>
        <v>0</v>
      </c>
    </row>
    <row r="99" spans="1:52" s="132" customFormat="1" x14ac:dyDescent="0.2">
      <c r="A99" s="84" t="s">
        <v>272</v>
      </c>
      <c r="B99" s="29" t="s">
        <v>286</v>
      </c>
      <c r="C99" s="19" t="s">
        <v>424</v>
      </c>
      <c r="D99" s="197">
        <v>100141</v>
      </c>
      <c r="E99" s="218">
        <v>0</v>
      </c>
      <c r="F99" s="97">
        <v>592</v>
      </c>
      <c r="G99" s="97">
        <v>24</v>
      </c>
      <c r="H99" s="97">
        <f>70+14</f>
        <v>84</v>
      </c>
      <c r="I99" s="97">
        <f>20+852</f>
        <v>872</v>
      </c>
      <c r="J99" s="97">
        <v>-524</v>
      </c>
      <c r="K99" s="97">
        <f t="shared" si="8"/>
        <v>1048</v>
      </c>
      <c r="L99" s="219"/>
      <c r="M99" s="218" t="s">
        <v>37</v>
      </c>
      <c r="N99" s="97">
        <v>8</v>
      </c>
      <c r="O99" s="97">
        <v>11</v>
      </c>
      <c r="P99" s="97">
        <v>55</v>
      </c>
      <c r="Q99" s="97">
        <v>0</v>
      </c>
      <c r="R99" s="97">
        <v>7</v>
      </c>
      <c r="S99" s="97">
        <v>0</v>
      </c>
      <c r="T99" s="97">
        <v>0</v>
      </c>
      <c r="U99" s="97">
        <v>22</v>
      </c>
      <c r="V99" s="97">
        <v>39</v>
      </c>
      <c r="W99" s="97">
        <v>0</v>
      </c>
      <c r="X99" s="97">
        <v>246</v>
      </c>
      <c r="Y99" s="97">
        <v>2</v>
      </c>
      <c r="Z99" s="97">
        <v>2</v>
      </c>
      <c r="AA99" s="97">
        <v>6</v>
      </c>
      <c r="AB99" s="97">
        <v>17</v>
      </c>
      <c r="AC99" s="97">
        <v>12</v>
      </c>
      <c r="AD99" s="97">
        <v>117</v>
      </c>
      <c r="AE99" s="97">
        <v>108</v>
      </c>
      <c r="AF99" s="97">
        <v>3</v>
      </c>
      <c r="AG99" s="97">
        <v>24</v>
      </c>
      <c r="AH99" s="97">
        <v>13</v>
      </c>
      <c r="AI99" s="97">
        <v>9</v>
      </c>
      <c r="AJ99" s="97">
        <v>6</v>
      </c>
      <c r="AK99" s="97">
        <v>17</v>
      </c>
      <c r="AL99" s="97">
        <v>29</v>
      </c>
      <c r="AM99" s="97">
        <v>161</v>
      </c>
      <c r="AN99" s="97">
        <v>0</v>
      </c>
      <c r="AO99" s="97">
        <v>0</v>
      </c>
      <c r="AP99" s="97">
        <v>0</v>
      </c>
      <c r="AQ99" s="97">
        <v>0</v>
      </c>
      <c r="AR99" s="97">
        <v>0</v>
      </c>
      <c r="AS99" s="97">
        <v>0</v>
      </c>
      <c r="AT99" s="97">
        <v>0</v>
      </c>
      <c r="AU99" s="97"/>
      <c r="AV99" s="246">
        <f>SUM(N99:AU99)</f>
        <v>914</v>
      </c>
      <c r="AW99" s="97">
        <v>134</v>
      </c>
      <c r="AX99" s="97">
        <v>0</v>
      </c>
      <c r="AY99" s="97">
        <f t="shared" si="9"/>
        <v>1048</v>
      </c>
      <c r="AZ99" s="97">
        <f t="shared" si="7"/>
        <v>0</v>
      </c>
    </row>
    <row r="100" spans="1:52" s="132" customFormat="1" x14ac:dyDescent="0.2">
      <c r="A100" s="84" t="s">
        <v>272</v>
      </c>
      <c r="B100" s="29" t="s">
        <v>287</v>
      </c>
      <c r="C100" s="19" t="s">
        <v>424</v>
      </c>
      <c r="D100" s="197">
        <v>100142</v>
      </c>
      <c r="E100" s="218">
        <v>0</v>
      </c>
      <c r="F100" s="97">
        <v>2</v>
      </c>
      <c r="G100" s="97">
        <v>0</v>
      </c>
      <c r="H100" s="97">
        <v>0</v>
      </c>
      <c r="I100" s="97">
        <v>0</v>
      </c>
      <c r="J100" s="97">
        <v>179</v>
      </c>
      <c r="K100" s="97">
        <f t="shared" si="8"/>
        <v>181</v>
      </c>
      <c r="L100" s="219"/>
      <c r="M100" s="218" t="s">
        <v>37</v>
      </c>
      <c r="N100" s="97">
        <v>1</v>
      </c>
      <c r="O100" s="97">
        <v>2</v>
      </c>
      <c r="P100" s="97">
        <v>10</v>
      </c>
      <c r="Q100" s="97">
        <v>0</v>
      </c>
      <c r="R100" s="97">
        <v>1</v>
      </c>
      <c r="S100" s="97">
        <v>0</v>
      </c>
      <c r="T100" s="97">
        <v>0</v>
      </c>
      <c r="U100" s="97">
        <v>4</v>
      </c>
      <c r="V100" s="97">
        <v>7</v>
      </c>
      <c r="W100" s="97">
        <v>0</v>
      </c>
      <c r="X100" s="97">
        <v>43</v>
      </c>
      <c r="Y100" s="97">
        <v>0</v>
      </c>
      <c r="Z100" s="97">
        <v>0</v>
      </c>
      <c r="AA100" s="97">
        <v>1</v>
      </c>
      <c r="AB100" s="97">
        <v>3</v>
      </c>
      <c r="AC100" s="97">
        <v>2</v>
      </c>
      <c r="AD100" s="97">
        <v>20</v>
      </c>
      <c r="AE100" s="97">
        <v>18</v>
      </c>
      <c r="AF100" s="97">
        <v>1</v>
      </c>
      <c r="AG100" s="97">
        <v>4</v>
      </c>
      <c r="AH100" s="97">
        <v>2</v>
      </c>
      <c r="AI100" s="97">
        <v>1</v>
      </c>
      <c r="AJ100" s="97">
        <v>1</v>
      </c>
      <c r="AK100" s="97">
        <v>3</v>
      </c>
      <c r="AL100" s="97">
        <v>5</v>
      </c>
      <c r="AM100" s="97">
        <v>28</v>
      </c>
      <c r="AN100" s="97">
        <v>0</v>
      </c>
      <c r="AO100" s="97">
        <v>0</v>
      </c>
      <c r="AP100" s="97">
        <v>0</v>
      </c>
      <c r="AQ100" s="97">
        <v>0</v>
      </c>
      <c r="AR100" s="97">
        <v>0</v>
      </c>
      <c r="AS100" s="97">
        <v>0</v>
      </c>
      <c r="AT100" s="97">
        <v>0</v>
      </c>
      <c r="AU100" s="97"/>
      <c r="AV100" s="97">
        <f t="shared" si="10"/>
        <v>157</v>
      </c>
      <c r="AW100" s="97">
        <v>24</v>
      </c>
      <c r="AX100" s="97">
        <v>0</v>
      </c>
      <c r="AY100" s="97">
        <f t="shared" si="9"/>
        <v>181</v>
      </c>
      <c r="AZ100" s="97">
        <f t="shared" si="7"/>
        <v>0</v>
      </c>
    </row>
    <row r="101" spans="1:52" s="132" customFormat="1" x14ac:dyDescent="0.2">
      <c r="A101" s="85">
        <v>11</v>
      </c>
      <c r="B101" s="19" t="s">
        <v>185</v>
      </c>
      <c r="C101" s="19" t="s">
        <v>246</v>
      </c>
      <c r="D101" s="197">
        <v>100143</v>
      </c>
      <c r="E101" s="218">
        <v>0</v>
      </c>
      <c r="F101" s="97">
        <v>0</v>
      </c>
      <c r="G101" s="97">
        <v>0</v>
      </c>
      <c r="H101" s="97">
        <v>0</v>
      </c>
      <c r="I101" s="97">
        <v>0</v>
      </c>
      <c r="J101" s="97">
        <v>7835</v>
      </c>
      <c r="K101" s="97">
        <f t="shared" si="8"/>
        <v>7835</v>
      </c>
      <c r="L101" s="219"/>
      <c r="M101" s="218" t="s">
        <v>245</v>
      </c>
      <c r="N101" s="97">
        <v>0</v>
      </c>
      <c r="O101" s="97">
        <v>0</v>
      </c>
      <c r="P101" s="97">
        <v>0</v>
      </c>
      <c r="Q101" s="97">
        <v>0</v>
      </c>
      <c r="R101" s="97">
        <v>0</v>
      </c>
      <c r="S101" s="97">
        <v>0</v>
      </c>
      <c r="T101" s="97">
        <v>0</v>
      </c>
      <c r="U101" s="97">
        <v>0</v>
      </c>
      <c r="V101" s="97">
        <v>0</v>
      </c>
      <c r="W101" s="97">
        <v>0</v>
      </c>
      <c r="X101" s="97">
        <v>0</v>
      </c>
      <c r="Y101" s="97">
        <v>0</v>
      </c>
      <c r="Z101" s="97">
        <v>0</v>
      </c>
      <c r="AA101" s="97">
        <v>0</v>
      </c>
      <c r="AB101" s="97">
        <v>0</v>
      </c>
      <c r="AC101" s="97">
        <v>0</v>
      </c>
      <c r="AD101" s="97">
        <v>0</v>
      </c>
      <c r="AE101" s="97">
        <v>0</v>
      </c>
      <c r="AF101" s="97">
        <v>0</v>
      </c>
      <c r="AG101" s="97">
        <v>0</v>
      </c>
      <c r="AH101" s="97">
        <v>0</v>
      </c>
      <c r="AI101" s="97">
        <v>0</v>
      </c>
      <c r="AJ101" s="97">
        <v>0</v>
      </c>
      <c r="AK101" s="97">
        <v>0</v>
      </c>
      <c r="AL101" s="97">
        <v>0</v>
      </c>
      <c r="AM101" s="97">
        <v>0</v>
      </c>
      <c r="AN101" s="97">
        <v>0</v>
      </c>
      <c r="AO101" s="97">
        <v>0</v>
      </c>
      <c r="AP101" s="97">
        <v>0</v>
      </c>
      <c r="AQ101" s="97">
        <v>0</v>
      </c>
      <c r="AR101" s="97">
        <v>0</v>
      </c>
      <c r="AS101" s="97">
        <v>0</v>
      </c>
      <c r="AT101" s="97">
        <v>0</v>
      </c>
      <c r="AU101" s="97"/>
      <c r="AV101" s="97">
        <f t="shared" si="10"/>
        <v>0</v>
      </c>
      <c r="AW101" s="97">
        <v>7835</v>
      </c>
      <c r="AX101" s="97">
        <v>0</v>
      </c>
      <c r="AY101" s="97">
        <f t="shared" si="9"/>
        <v>7835</v>
      </c>
      <c r="AZ101" s="97">
        <f t="shared" si="7"/>
        <v>0</v>
      </c>
    </row>
    <row r="102" spans="1:52" s="132" customFormat="1" x14ac:dyDescent="0.2">
      <c r="A102" s="85">
        <v>11</v>
      </c>
      <c r="B102" s="19" t="s">
        <v>353</v>
      </c>
      <c r="C102" s="19" t="s">
        <v>307</v>
      </c>
      <c r="D102" s="197">
        <v>100145</v>
      </c>
      <c r="E102" s="218">
        <f>741+74+110</f>
        <v>925</v>
      </c>
      <c r="F102" s="97">
        <v>509</v>
      </c>
      <c r="G102" s="97">
        <v>29</v>
      </c>
      <c r="H102" s="97">
        <f>595+62+7+460</f>
        <v>1124</v>
      </c>
      <c r="I102" s="97">
        <f>24+53</f>
        <v>77</v>
      </c>
      <c r="J102" s="97">
        <v>139</v>
      </c>
      <c r="K102" s="97">
        <f t="shared" si="8"/>
        <v>2803</v>
      </c>
      <c r="L102" s="219"/>
      <c r="M102" s="218" t="s">
        <v>295</v>
      </c>
      <c r="N102" s="97">
        <v>0</v>
      </c>
      <c r="O102" s="97">
        <v>0</v>
      </c>
      <c r="P102" s="97">
        <v>0</v>
      </c>
      <c r="Q102" s="97">
        <v>0</v>
      </c>
      <c r="R102" s="97">
        <v>0</v>
      </c>
      <c r="S102" s="97">
        <v>0</v>
      </c>
      <c r="T102" s="97">
        <v>0</v>
      </c>
      <c r="U102" s="97">
        <v>0</v>
      </c>
      <c r="V102" s="97">
        <v>0</v>
      </c>
      <c r="W102" s="97">
        <v>0</v>
      </c>
      <c r="X102" s="97">
        <v>0</v>
      </c>
      <c r="Y102" s="97">
        <v>0</v>
      </c>
      <c r="Z102" s="97">
        <v>0</v>
      </c>
      <c r="AA102" s="97">
        <v>0</v>
      </c>
      <c r="AB102" s="97">
        <v>0</v>
      </c>
      <c r="AC102" s="97">
        <v>0</v>
      </c>
      <c r="AD102" s="97">
        <v>0</v>
      </c>
      <c r="AE102" s="97">
        <v>0</v>
      </c>
      <c r="AF102" s="97">
        <v>62</v>
      </c>
      <c r="AG102" s="97">
        <v>0</v>
      </c>
      <c r="AH102" s="97">
        <v>372</v>
      </c>
      <c r="AI102" s="97">
        <v>776</v>
      </c>
      <c r="AJ102" s="97">
        <v>217</v>
      </c>
      <c r="AK102" s="97">
        <v>124</v>
      </c>
      <c r="AL102" s="97">
        <v>217</v>
      </c>
      <c r="AM102" s="97">
        <v>0</v>
      </c>
      <c r="AN102" s="97">
        <v>0</v>
      </c>
      <c r="AO102" s="97">
        <v>621</v>
      </c>
      <c r="AP102" s="97">
        <v>0</v>
      </c>
      <c r="AQ102" s="97">
        <v>0</v>
      </c>
      <c r="AR102" s="97">
        <v>0</v>
      </c>
      <c r="AS102" s="97">
        <v>0</v>
      </c>
      <c r="AT102" s="97">
        <v>0</v>
      </c>
      <c r="AU102" s="97"/>
      <c r="AV102" s="246">
        <f>SUM(N102:AU102)</f>
        <v>2389</v>
      </c>
      <c r="AW102" s="97">
        <v>414</v>
      </c>
      <c r="AX102" s="97">
        <v>0</v>
      </c>
      <c r="AY102" s="97">
        <f t="shared" si="9"/>
        <v>2803</v>
      </c>
      <c r="AZ102" s="97">
        <f t="shared" si="7"/>
        <v>0</v>
      </c>
    </row>
    <row r="103" spans="1:52" s="132" customFormat="1" x14ac:dyDescent="0.2">
      <c r="A103" s="85">
        <v>11</v>
      </c>
      <c r="B103" s="19" t="s">
        <v>296</v>
      </c>
      <c r="C103" s="19" t="s">
        <v>430</v>
      </c>
      <c r="D103" s="197">
        <v>100178</v>
      </c>
      <c r="E103" s="218">
        <v>0</v>
      </c>
      <c r="F103" s="97">
        <v>595</v>
      </c>
      <c r="G103" s="97">
        <v>0</v>
      </c>
      <c r="H103" s="97">
        <v>20</v>
      </c>
      <c r="I103" s="97">
        <v>0</v>
      </c>
      <c r="J103" s="97">
        <v>0</v>
      </c>
      <c r="K103" s="97">
        <f t="shared" si="8"/>
        <v>615</v>
      </c>
      <c r="L103" s="219"/>
      <c r="M103" s="218" t="s">
        <v>297</v>
      </c>
      <c r="N103" s="97">
        <v>0</v>
      </c>
      <c r="O103" s="97">
        <v>0</v>
      </c>
      <c r="P103" s="97">
        <v>0</v>
      </c>
      <c r="Q103" s="97">
        <v>0</v>
      </c>
      <c r="R103" s="97">
        <v>0</v>
      </c>
      <c r="S103" s="97">
        <v>0</v>
      </c>
      <c r="T103" s="97">
        <v>0</v>
      </c>
      <c r="U103" s="97">
        <v>0</v>
      </c>
      <c r="V103" s="97">
        <v>0</v>
      </c>
      <c r="W103" s="97">
        <v>0</v>
      </c>
      <c r="X103" s="97">
        <v>0</v>
      </c>
      <c r="Y103" s="97">
        <v>0</v>
      </c>
      <c r="Z103" s="97">
        <v>0</v>
      </c>
      <c r="AA103" s="97">
        <v>0</v>
      </c>
      <c r="AB103" s="97">
        <v>0</v>
      </c>
      <c r="AC103" s="97">
        <v>0</v>
      </c>
      <c r="AD103" s="97">
        <v>0</v>
      </c>
      <c r="AE103" s="97">
        <v>0</v>
      </c>
      <c r="AF103" s="97">
        <v>0</v>
      </c>
      <c r="AG103" s="97">
        <v>0</v>
      </c>
      <c r="AH103" s="97">
        <v>0</v>
      </c>
      <c r="AI103" s="97">
        <v>0</v>
      </c>
      <c r="AJ103" s="97">
        <v>0</v>
      </c>
      <c r="AK103" s="97">
        <v>0</v>
      </c>
      <c r="AL103" s="97">
        <v>0</v>
      </c>
      <c r="AM103" s="97">
        <v>0</v>
      </c>
      <c r="AN103" s="97">
        <v>0</v>
      </c>
      <c r="AO103" s="97">
        <v>0</v>
      </c>
      <c r="AP103" s="97">
        <v>0</v>
      </c>
      <c r="AQ103" s="97">
        <v>0</v>
      </c>
      <c r="AR103" s="97">
        <v>0</v>
      </c>
      <c r="AS103" s="97">
        <v>0</v>
      </c>
      <c r="AT103" s="97">
        <v>0</v>
      </c>
      <c r="AU103" s="97"/>
      <c r="AV103" s="97">
        <f t="shared" si="10"/>
        <v>0</v>
      </c>
      <c r="AW103" s="97">
        <v>615</v>
      </c>
      <c r="AX103" s="97">
        <v>0</v>
      </c>
      <c r="AY103" s="97">
        <f t="shared" si="9"/>
        <v>615</v>
      </c>
      <c r="AZ103" s="97">
        <f t="shared" si="7"/>
        <v>0</v>
      </c>
    </row>
    <row r="104" spans="1:52" s="132" customFormat="1" x14ac:dyDescent="0.2">
      <c r="A104" s="85">
        <v>11</v>
      </c>
      <c r="B104" s="19" t="s">
        <v>43</v>
      </c>
      <c r="C104" s="19" t="s">
        <v>137</v>
      </c>
      <c r="D104" s="197">
        <v>100207</v>
      </c>
      <c r="E104" s="218">
        <v>0</v>
      </c>
      <c r="F104" s="97">
        <v>136</v>
      </c>
      <c r="G104" s="97">
        <v>0</v>
      </c>
      <c r="H104" s="97">
        <v>16</v>
      </c>
      <c r="I104" s="97">
        <v>0</v>
      </c>
      <c r="J104" s="97">
        <f>8150-3302</f>
        <v>4848</v>
      </c>
      <c r="K104" s="97">
        <f t="shared" si="8"/>
        <v>5000</v>
      </c>
      <c r="L104" s="219"/>
      <c r="M104" s="218" t="s">
        <v>19</v>
      </c>
      <c r="N104" s="97">
        <v>0</v>
      </c>
      <c r="O104" s="97">
        <v>0</v>
      </c>
      <c r="P104" s="97">
        <v>0</v>
      </c>
      <c r="Q104" s="97">
        <v>0</v>
      </c>
      <c r="R104" s="97">
        <v>0</v>
      </c>
      <c r="S104" s="97">
        <v>0</v>
      </c>
      <c r="T104" s="97">
        <v>0</v>
      </c>
      <c r="U104" s="97">
        <v>0</v>
      </c>
      <c r="V104" s="97">
        <v>0</v>
      </c>
      <c r="W104" s="97">
        <v>0</v>
      </c>
      <c r="X104" s="97">
        <v>0</v>
      </c>
      <c r="Y104" s="97">
        <v>0</v>
      </c>
      <c r="Z104" s="97">
        <v>0</v>
      </c>
      <c r="AA104" s="97">
        <v>0</v>
      </c>
      <c r="AB104" s="97">
        <v>0</v>
      </c>
      <c r="AC104" s="97">
        <v>0</v>
      </c>
      <c r="AD104" s="97">
        <v>0</v>
      </c>
      <c r="AE104" s="97">
        <v>0</v>
      </c>
      <c r="AF104" s="97">
        <v>0</v>
      </c>
      <c r="AG104" s="97">
        <v>0</v>
      </c>
      <c r="AH104" s="97">
        <v>0</v>
      </c>
      <c r="AI104" s="97">
        <v>0</v>
      </c>
      <c r="AJ104" s="97">
        <v>0</v>
      </c>
      <c r="AK104" s="97">
        <v>0</v>
      </c>
      <c r="AL104" s="97">
        <v>0</v>
      </c>
      <c r="AM104" s="97">
        <v>0</v>
      </c>
      <c r="AN104" s="97">
        <v>0</v>
      </c>
      <c r="AO104" s="97">
        <v>0</v>
      </c>
      <c r="AP104" s="97">
        <v>0</v>
      </c>
      <c r="AQ104" s="97">
        <v>0</v>
      </c>
      <c r="AR104" s="97">
        <v>0</v>
      </c>
      <c r="AS104" s="97">
        <v>0</v>
      </c>
      <c r="AT104" s="97">
        <v>0</v>
      </c>
      <c r="AU104" s="97"/>
      <c r="AV104" s="97">
        <f t="shared" si="10"/>
        <v>0</v>
      </c>
      <c r="AW104" s="97">
        <v>5000</v>
      </c>
      <c r="AX104" s="97">
        <v>0</v>
      </c>
      <c r="AY104" s="97">
        <f t="shared" si="9"/>
        <v>5000</v>
      </c>
      <c r="AZ104" s="97">
        <f t="shared" si="7"/>
        <v>0</v>
      </c>
    </row>
    <row r="105" spans="1:52" s="132" customFormat="1" x14ac:dyDescent="0.2">
      <c r="A105" s="85">
        <v>11</v>
      </c>
      <c r="B105" s="19" t="s">
        <v>312</v>
      </c>
      <c r="C105" s="19" t="s">
        <v>135</v>
      </c>
      <c r="D105" s="197">
        <v>100218</v>
      </c>
      <c r="E105" s="218">
        <f>335+33+43</f>
        <v>411</v>
      </c>
      <c r="F105" s="97">
        <v>144</v>
      </c>
      <c r="G105" s="97">
        <v>6</v>
      </c>
      <c r="H105" s="97">
        <v>0</v>
      </c>
      <c r="I105" s="97">
        <f>14+24</f>
        <v>38</v>
      </c>
      <c r="J105" s="97">
        <v>-100</v>
      </c>
      <c r="K105" s="97">
        <f t="shared" si="8"/>
        <v>499</v>
      </c>
      <c r="L105" s="219"/>
      <c r="M105" s="218" t="s">
        <v>19</v>
      </c>
      <c r="N105" s="97">
        <v>0</v>
      </c>
      <c r="O105" s="97">
        <v>0</v>
      </c>
      <c r="P105" s="97">
        <v>0</v>
      </c>
      <c r="Q105" s="97">
        <v>0</v>
      </c>
      <c r="R105" s="97">
        <v>0</v>
      </c>
      <c r="S105" s="97">
        <v>0</v>
      </c>
      <c r="T105" s="97">
        <v>0</v>
      </c>
      <c r="U105" s="97">
        <v>0</v>
      </c>
      <c r="V105" s="97">
        <v>0</v>
      </c>
      <c r="W105" s="97">
        <v>0</v>
      </c>
      <c r="X105" s="97">
        <v>0</v>
      </c>
      <c r="Y105" s="97">
        <v>0</v>
      </c>
      <c r="Z105" s="97">
        <v>0</v>
      </c>
      <c r="AA105" s="97">
        <v>0</v>
      </c>
      <c r="AB105" s="97">
        <v>0</v>
      </c>
      <c r="AC105" s="97">
        <v>0</v>
      </c>
      <c r="AD105" s="97">
        <v>0</v>
      </c>
      <c r="AE105" s="97">
        <v>0</v>
      </c>
      <c r="AF105" s="97">
        <v>0</v>
      </c>
      <c r="AG105" s="97">
        <v>0</v>
      </c>
      <c r="AH105" s="97">
        <v>0</v>
      </c>
      <c r="AI105" s="97">
        <v>0</v>
      </c>
      <c r="AJ105" s="97">
        <v>0</v>
      </c>
      <c r="AK105" s="97">
        <v>0</v>
      </c>
      <c r="AL105" s="97">
        <v>0</v>
      </c>
      <c r="AM105" s="97">
        <v>0</v>
      </c>
      <c r="AN105" s="97">
        <v>0</v>
      </c>
      <c r="AO105" s="97">
        <v>0</v>
      </c>
      <c r="AP105" s="97">
        <v>0</v>
      </c>
      <c r="AQ105" s="97">
        <v>0</v>
      </c>
      <c r="AR105" s="97">
        <v>0</v>
      </c>
      <c r="AS105" s="97">
        <v>0</v>
      </c>
      <c r="AT105" s="97">
        <v>0</v>
      </c>
      <c r="AU105" s="97"/>
      <c r="AV105" s="105">
        <f>SUM(N105:AU105)</f>
        <v>0</v>
      </c>
      <c r="AW105" s="97">
        <v>499</v>
      </c>
      <c r="AX105" s="97">
        <v>0</v>
      </c>
      <c r="AY105" s="97">
        <f t="shared" si="9"/>
        <v>499</v>
      </c>
      <c r="AZ105" s="97">
        <f t="shared" si="7"/>
        <v>0</v>
      </c>
    </row>
    <row r="106" spans="1:52" s="132" customFormat="1" x14ac:dyDescent="0.2">
      <c r="A106" s="85">
        <v>11</v>
      </c>
      <c r="B106" s="19" t="s">
        <v>302</v>
      </c>
      <c r="C106" s="19" t="s">
        <v>144</v>
      </c>
      <c r="D106" s="197">
        <v>100222</v>
      </c>
      <c r="E106" s="218">
        <f>344+37+56</f>
        <v>437</v>
      </c>
      <c r="F106" s="97">
        <v>101</v>
      </c>
      <c r="G106" s="97">
        <v>7</v>
      </c>
      <c r="H106" s="97">
        <f>63+12</f>
        <v>75</v>
      </c>
      <c r="I106" s="97">
        <f>6+56</f>
        <v>62</v>
      </c>
      <c r="J106" s="97">
        <v>5</v>
      </c>
      <c r="K106" s="97">
        <f t="shared" si="8"/>
        <v>687</v>
      </c>
      <c r="L106" s="219"/>
      <c r="M106" s="218" t="s">
        <v>90</v>
      </c>
      <c r="N106" s="97">
        <v>0</v>
      </c>
      <c r="O106" s="97">
        <v>0</v>
      </c>
      <c r="P106" s="97">
        <v>0</v>
      </c>
      <c r="Q106" s="97">
        <v>0</v>
      </c>
      <c r="R106" s="97">
        <v>0</v>
      </c>
      <c r="S106" s="97">
        <v>0</v>
      </c>
      <c r="T106" s="97">
        <v>0</v>
      </c>
      <c r="U106" s="97">
        <v>0</v>
      </c>
      <c r="V106" s="97">
        <v>0</v>
      </c>
      <c r="W106" s="97">
        <v>0</v>
      </c>
      <c r="X106" s="97">
        <v>137</v>
      </c>
      <c r="Y106" s="97">
        <v>0</v>
      </c>
      <c r="Z106" s="97">
        <v>0</v>
      </c>
      <c r="AA106" s="97">
        <v>0</v>
      </c>
      <c r="AB106" s="97">
        <v>70</v>
      </c>
      <c r="AC106" s="97">
        <v>0</v>
      </c>
      <c r="AD106" s="97">
        <v>69</v>
      </c>
      <c r="AE106" s="97">
        <v>34</v>
      </c>
      <c r="AF106" s="97">
        <v>34</v>
      </c>
      <c r="AG106" s="97">
        <v>0</v>
      </c>
      <c r="AH106" s="97">
        <v>34</v>
      </c>
      <c r="AI106" s="97">
        <v>34</v>
      </c>
      <c r="AJ106" s="97">
        <v>34</v>
      </c>
      <c r="AK106" s="97">
        <v>34</v>
      </c>
      <c r="AL106" s="97">
        <v>70</v>
      </c>
      <c r="AM106" s="97">
        <v>0</v>
      </c>
      <c r="AN106" s="97">
        <v>0</v>
      </c>
      <c r="AO106" s="97">
        <v>0</v>
      </c>
      <c r="AP106" s="97">
        <v>0</v>
      </c>
      <c r="AQ106" s="97">
        <v>0</v>
      </c>
      <c r="AR106" s="97">
        <v>0</v>
      </c>
      <c r="AS106" s="97">
        <v>0</v>
      </c>
      <c r="AT106" s="97">
        <v>0</v>
      </c>
      <c r="AU106" s="97"/>
      <c r="AV106" s="97">
        <f t="shared" si="10"/>
        <v>550</v>
      </c>
      <c r="AW106" s="97">
        <v>137</v>
      </c>
      <c r="AX106" s="97">
        <v>0</v>
      </c>
      <c r="AY106" s="97">
        <f t="shared" si="9"/>
        <v>687</v>
      </c>
      <c r="AZ106" s="97">
        <f t="shared" ref="AZ106:AZ123" si="11">+K106-AY106</f>
        <v>0</v>
      </c>
    </row>
    <row r="107" spans="1:52" s="132" customFormat="1" x14ac:dyDescent="0.2">
      <c r="A107" s="85">
        <v>11</v>
      </c>
      <c r="B107" s="19" t="s">
        <v>303</v>
      </c>
      <c r="C107" s="19" t="s">
        <v>144</v>
      </c>
      <c r="D107" s="197">
        <v>100223</v>
      </c>
      <c r="E107" s="218">
        <f>389+40+60</f>
        <v>489</v>
      </c>
      <c r="F107" s="97">
        <v>309</v>
      </c>
      <c r="G107" s="97">
        <v>3</v>
      </c>
      <c r="H107" s="97">
        <f>60+36+4</f>
        <v>100</v>
      </c>
      <c r="I107" s="97">
        <f>12+30</f>
        <v>42</v>
      </c>
      <c r="J107" s="97">
        <v>77</v>
      </c>
      <c r="K107" s="97">
        <f t="shared" si="8"/>
        <v>1020</v>
      </c>
      <c r="L107" s="219"/>
      <c r="M107" s="218" t="s">
        <v>489</v>
      </c>
      <c r="N107" s="97">
        <v>0</v>
      </c>
      <c r="O107" s="97">
        <v>0</v>
      </c>
      <c r="P107" s="97">
        <v>0</v>
      </c>
      <c r="Q107" s="97">
        <v>0</v>
      </c>
      <c r="R107" s="97">
        <v>0</v>
      </c>
      <c r="S107" s="97">
        <v>0</v>
      </c>
      <c r="T107" s="97">
        <v>0</v>
      </c>
      <c r="U107" s="97">
        <v>0</v>
      </c>
      <c r="V107" s="97">
        <v>55</v>
      </c>
      <c r="W107" s="97">
        <v>0</v>
      </c>
      <c r="X107" s="97">
        <v>343</v>
      </c>
      <c r="Y107" s="97">
        <v>0</v>
      </c>
      <c r="Z107" s="97">
        <v>38</v>
      </c>
      <c r="AA107" s="97">
        <v>0</v>
      </c>
      <c r="AB107" s="97">
        <v>76</v>
      </c>
      <c r="AC107" s="97">
        <v>0</v>
      </c>
      <c r="AD107" s="97">
        <v>336</v>
      </c>
      <c r="AE107" s="97">
        <v>15</v>
      </c>
      <c r="AF107" s="97">
        <v>85</v>
      </c>
      <c r="AG107" s="97">
        <v>6</v>
      </c>
      <c r="AH107" s="97">
        <v>17</v>
      </c>
      <c r="AI107" s="97">
        <v>17</v>
      </c>
      <c r="AJ107" s="97">
        <v>9</v>
      </c>
      <c r="AK107" s="97">
        <v>6</v>
      </c>
      <c r="AL107" s="97">
        <v>17</v>
      </c>
      <c r="AM107" s="97">
        <v>0</v>
      </c>
      <c r="AN107" s="97">
        <v>0</v>
      </c>
      <c r="AO107" s="97">
        <v>0</v>
      </c>
      <c r="AP107" s="97">
        <v>0</v>
      </c>
      <c r="AQ107" s="97">
        <v>0</v>
      </c>
      <c r="AR107" s="97">
        <v>0</v>
      </c>
      <c r="AS107" s="97">
        <v>0</v>
      </c>
      <c r="AT107" s="97">
        <v>0</v>
      </c>
      <c r="AU107" s="97"/>
      <c r="AV107" s="97">
        <f t="shared" si="10"/>
        <v>1020</v>
      </c>
      <c r="AW107" s="97">
        <v>0</v>
      </c>
      <c r="AX107" s="97">
        <v>0</v>
      </c>
      <c r="AY107" s="97">
        <f t="shared" si="9"/>
        <v>1020</v>
      </c>
      <c r="AZ107" s="97">
        <f t="shared" si="11"/>
        <v>0</v>
      </c>
    </row>
    <row r="108" spans="1:52" s="132" customFormat="1" x14ac:dyDescent="0.2">
      <c r="A108" s="84" t="s">
        <v>272</v>
      </c>
      <c r="B108" s="19" t="s">
        <v>316</v>
      </c>
      <c r="C108" s="19" t="s">
        <v>433</v>
      </c>
      <c r="D108" s="197">
        <v>100225</v>
      </c>
      <c r="E108" s="218">
        <f>1348+136+211</f>
        <v>1695</v>
      </c>
      <c r="F108" s="97">
        <v>248</v>
      </c>
      <c r="G108" s="97">
        <v>15</v>
      </c>
      <c r="H108" s="97">
        <f>270+2+15</f>
        <v>287</v>
      </c>
      <c r="I108" s="97">
        <f>70+140</f>
        <v>210</v>
      </c>
      <c r="J108" s="97">
        <v>13</v>
      </c>
      <c r="K108" s="97">
        <f t="shared" si="8"/>
        <v>2468</v>
      </c>
      <c r="L108" s="219"/>
      <c r="M108" s="218" t="s">
        <v>90</v>
      </c>
      <c r="N108" s="97">
        <v>78</v>
      </c>
      <c r="O108" s="97">
        <v>517</v>
      </c>
      <c r="P108" s="97">
        <v>26</v>
      </c>
      <c r="Q108" s="97">
        <v>68</v>
      </c>
      <c r="R108" s="97">
        <v>1</v>
      </c>
      <c r="S108" s="97">
        <v>0</v>
      </c>
      <c r="T108" s="97">
        <v>0</v>
      </c>
      <c r="U108" s="97">
        <v>262</v>
      </c>
      <c r="V108" s="97">
        <f>16-8</f>
        <v>8</v>
      </c>
      <c r="W108" s="97">
        <v>8</v>
      </c>
      <c r="X108" s="97">
        <f>437-28-18</f>
        <v>391</v>
      </c>
      <c r="Y108" s="97">
        <v>0</v>
      </c>
      <c r="Z108" s="97">
        <v>137</v>
      </c>
      <c r="AA108" s="97">
        <v>7</v>
      </c>
      <c r="AB108" s="97">
        <v>142</v>
      </c>
      <c r="AC108" s="97">
        <v>3</v>
      </c>
      <c r="AD108" s="97">
        <v>87</v>
      </c>
      <c r="AE108" s="97">
        <v>45</v>
      </c>
      <c r="AF108" s="97">
        <v>37</v>
      </c>
      <c r="AG108" s="97">
        <v>0</v>
      </c>
      <c r="AH108" s="97">
        <v>134</v>
      </c>
      <c r="AI108" s="97">
        <v>134</v>
      </c>
      <c r="AJ108" s="97">
        <v>134</v>
      </c>
      <c r="AK108" s="97">
        <v>4</v>
      </c>
      <c r="AL108" s="97">
        <f>175-96</f>
        <v>79</v>
      </c>
      <c r="AM108" s="97">
        <v>24</v>
      </c>
      <c r="AN108" s="97">
        <v>0</v>
      </c>
      <c r="AO108" s="97">
        <f>28+96</f>
        <v>124</v>
      </c>
      <c r="AP108" s="97">
        <v>18</v>
      </c>
      <c r="AQ108" s="97">
        <v>0</v>
      </c>
      <c r="AR108" s="97">
        <v>0</v>
      </c>
      <c r="AS108" s="97">
        <v>0</v>
      </c>
      <c r="AT108" s="97">
        <v>0</v>
      </c>
      <c r="AU108" s="97"/>
      <c r="AV108" s="246">
        <f>SUM(N108:AU108)</f>
        <v>2468</v>
      </c>
      <c r="AW108" s="97">
        <v>0</v>
      </c>
      <c r="AX108" s="97">
        <v>0</v>
      </c>
      <c r="AY108" s="97">
        <f t="shared" si="9"/>
        <v>2468</v>
      </c>
      <c r="AZ108" s="97">
        <f t="shared" si="11"/>
        <v>0</v>
      </c>
    </row>
    <row r="109" spans="1:52" s="132" customFormat="1" x14ac:dyDescent="0.2">
      <c r="A109" s="85">
        <v>11</v>
      </c>
      <c r="B109" s="19" t="s">
        <v>267</v>
      </c>
      <c r="C109" s="19" t="s">
        <v>145</v>
      </c>
      <c r="D109" s="197">
        <v>100230</v>
      </c>
      <c r="E109" s="218">
        <v>0</v>
      </c>
      <c r="F109" s="97">
        <v>17</v>
      </c>
      <c r="G109" s="97">
        <v>80</v>
      </c>
      <c r="H109" s="97">
        <v>253</v>
      </c>
      <c r="I109" s="97">
        <v>0</v>
      </c>
      <c r="J109" s="97">
        <v>0</v>
      </c>
      <c r="K109" s="97">
        <f t="shared" si="8"/>
        <v>350</v>
      </c>
      <c r="L109" s="219"/>
      <c r="M109" s="218" t="s">
        <v>19</v>
      </c>
      <c r="N109" s="97">
        <v>0</v>
      </c>
      <c r="O109" s="97">
        <v>0</v>
      </c>
      <c r="P109" s="97">
        <v>0</v>
      </c>
      <c r="Q109" s="97">
        <v>0</v>
      </c>
      <c r="R109" s="97">
        <v>0</v>
      </c>
      <c r="S109" s="97">
        <v>0</v>
      </c>
      <c r="T109" s="97">
        <v>0</v>
      </c>
      <c r="U109" s="97">
        <v>0</v>
      </c>
      <c r="V109" s="97">
        <v>0</v>
      </c>
      <c r="W109" s="97">
        <v>0</v>
      </c>
      <c r="X109" s="97">
        <v>0</v>
      </c>
      <c r="Y109" s="97">
        <v>0</v>
      </c>
      <c r="Z109" s="97">
        <v>0</v>
      </c>
      <c r="AA109" s="97">
        <v>0</v>
      </c>
      <c r="AB109" s="97">
        <v>0</v>
      </c>
      <c r="AC109" s="97">
        <v>0</v>
      </c>
      <c r="AD109" s="97">
        <v>0</v>
      </c>
      <c r="AE109" s="97">
        <v>0</v>
      </c>
      <c r="AF109" s="97">
        <v>0</v>
      </c>
      <c r="AG109" s="97">
        <v>0</v>
      </c>
      <c r="AH109" s="97">
        <v>0</v>
      </c>
      <c r="AI109" s="97">
        <v>0</v>
      </c>
      <c r="AJ109" s="97">
        <v>0</v>
      </c>
      <c r="AK109" s="97">
        <v>0</v>
      </c>
      <c r="AL109" s="97">
        <v>0</v>
      </c>
      <c r="AM109" s="97">
        <v>0</v>
      </c>
      <c r="AN109" s="97">
        <v>0</v>
      </c>
      <c r="AO109" s="97">
        <v>0</v>
      </c>
      <c r="AP109" s="97">
        <v>0</v>
      </c>
      <c r="AQ109" s="97">
        <v>0</v>
      </c>
      <c r="AR109" s="97">
        <v>0</v>
      </c>
      <c r="AS109" s="97">
        <v>0</v>
      </c>
      <c r="AT109" s="97">
        <v>0</v>
      </c>
      <c r="AU109" s="97"/>
      <c r="AV109" s="97">
        <f t="shared" si="10"/>
        <v>0</v>
      </c>
      <c r="AW109" s="97">
        <v>350</v>
      </c>
      <c r="AX109" s="97">
        <v>0</v>
      </c>
      <c r="AY109" s="97">
        <f t="shared" si="9"/>
        <v>350</v>
      </c>
      <c r="AZ109" s="97">
        <f t="shared" si="11"/>
        <v>0</v>
      </c>
    </row>
    <row r="110" spans="1:52" s="132" customFormat="1" x14ac:dyDescent="0.2">
      <c r="A110" s="85">
        <v>11</v>
      </c>
      <c r="B110" s="19" t="s">
        <v>304</v>
      </c>
      <c r="C110" s="19" t="s">
        <v>144</v>
      </c>
      <c r="D110" s="197">
        <v>100231</v>
      </c>
      <c r="E110" s="218">
        <f>815+71+99</f>
        <v>985</v>
      </c>
      <c r="F110" s="97">
        <v>539</v>
      </c>
      <c r="G110" s="97">
        <v>6</v>
      </c>
      <c r="H110" s="97">
        <f>200+10</f>
        <v>210</v>
      </c>
      <c r="I110" s="97">
        <f>24+60</f>
        <v>84</v>
      </c>
      <c r="J110" s="97">
        <v>132</v>
      </c>
      <c r="K110" s="97">
        <f t="shared" si="8"/>
        <v>1956</v>
      </c>
      <c r="L110" s="219"/>
      <c r="M110" s="218" t="s">
        <v>69</v>
      </c>
      <c r="N110" s="97">
        <v>0</v>
      </c>
      <c r="O110" s="97">
        <v>0</v>
      </c>
      <c r="P110" s="97">
        <v>0</v>
      </c>
      <c r="Q110" s="97">
        <v>0</v>
      </c>
      <c r="R110" s="97">
        <v>0</v>
      </c>
      <c r="S110" s="97">
        <v>0</v>
      </c>
      <c r="T110" s="97">
        <v>0</v>
      </c>
      <c r="U110" s="97">
        <v>0</v>
      </c>
      <c r="V110" s="97">
        <v>0</v>
      </c>
      <c r="W110" s="97">
        <v>0</v>
      </c>
      <c r="X110" s="97">
        <v>0</v>
      </c>
      <c r="Y110" s="97">
        <v>0</v>
      </c>
      <c r="Z110" s="97">
        <v>0</v>
      </c>
      <c r="AA110" s="97">
        <v>0</v>
      </c>
      <c r="AB110" s="97">
        <v>0</v>
      </c>
      <c r="AC110" s="97">
        <v>0</v>
      </c>
      <c r="AD110" s="97">
        <v>0</v>
      </c>
      <c r="AE110" s="97">
        <v>345</v>
      </c>
      <c r="AF110" s="97">
        <v>0</v>
      </c>
      <c r="AG110" s="97">
        <v>0</v>
      </c>
      <c r="AH110" s="97">
        <v>780</v>
      </c>
      <c r="AI110" s="97">
        <v>0</v>
      </c>
      <c r="AJ110" s="97">
        <v>831</v>
      </c>
      <c r="AK110" s="97">
        <v>0</v>
      </c>
      <c r="AL110" s="97">
        <v>0</v>
      </c>
      <c r="AM110" s="97">
        <v>0</v>
      </c>
      <c r="AN110" s="97">
        <v>0</v>
      </c>
      <c r="AO110" s="97">
        <v>0</v>
      </c>
      <c r="AP110" s="97">
        <v>0</v>
      </c>
      <c r="AQ110" s="97">
        <v>0</v>
      </c>
      <c r="AR110" s="97">
        <v>0</v>
      </c>
      <c r="AS110" s="97">
        <v>0</v>
      </c>
      <c r="AT110" s="97">
        <v>0</v>
      </c>
      <c r="AU110" s="97"/>
      <c r="AV110" s="97">
        <f t="shared" si="10"/>
        <v>1956</v>
      </c>
      <c r="AW110" s="97">
        <v>0</v>
      </c>
      <c r="AX110" s="97">
        <v>0</v>
      </c>
      <c r="AY110" s="97">
        <f t="shared" si="9"/>
        <v>1956</v>
      </c>
      <c r="AZ110" s="97">
        <f t="shared" si="11"/>
        <v>0</v>
      </c>
    </row>
    <row r="111" spans="1:52" s="132" customFormat="1" x14ac:dyDescent="0.2">
      <c r="A111" s="85">
        <v>11</v>
      </c>
      <c r="B111" s="19" t="s">
        <v>305</v>
      </c>
      <c r="C111" s="19" t="s">
        <v>144</v>
      </c>
      <c r="D111" s="197">
        <v>100232</v>
      </c>
      <c r="E111" s="218">
        <v>0</v>
      </c>
      <c r="F111" s="97">
        <v>0</v>
      </c>
      <c r="G111" s="97">
        <v>0</v>
      </c>
      <c r="H111" s="97">
        <v>0</v>
      </c>
      <c r="I111" s="97">
        <v>0</v>
      </c>
      <c r="J111" s="97">
        <v>0</v>
      </c>
      <c r="K111" s="97">
        <f t="shared" si="8"/>
        <v>0</v>
      </c>
      <c r="L111" s="219"/>
      <c r="M111" s="218" t="s">
        <v>69</v>
      </c>
      <c r="N111" s="97">
        <v>0</v>
      </c>
      <c r="O111" s="97">
        <v>0</v>
      </c>
      <c r="P111" s="97">
        <v>0</v>
      </c>
      <c r="Q111" s="97">
        <v>0</v>
      </c>
      <c r="R111" s="97">
        <v>0</v>
      </c>
      <c r="S111" s="97">
        <v>0</v>
      </c>
      <c r="T111" s="97">
        <v>0</v>
      </c>
      <c r="U111" s="97">
        <v>0</v>
      </c>
      <c r="V111" s="97">
        <v>0</v>
      </c>
      <c r="W111" s="97">
        <v>0</v>
      </c>
      <c r="X111" s="97">
        <v>0</v>
      </c>
      <c r="Y111" s="97">
        <v>0</v>
      </c>
      <c r="Z111" s="97">
        <v>0</v>
      </c>
      <c r="AA111" s="97">
        <v>0</v>
      </c>
      <c r="AB111" s="97">
        <v>0</v>
      </c>
      <c r="AC111" s="97">
        <v>0</v>
      </c>
      <c r="AD111" s="97">
        <v>0</v>
      </c>
      <c r="AE111" s="97">
        <v>0</v>
      </c>
      <c r="AF111" s="97">
        <v>0</v>
      </c>
      <c r="AG111" s="97">
        <v>0</v>
      </c>
      <c r="AH111" s="97">
        <v>0</v>
      </c>
      <c r="AI111" s="97">
        <v>0</v>
      </c>
      <c r="AJ111" s="97">
        <v>0</v>
      </c>
      <c r="AK111" s="97">
        <v>0</v>
      </c>
      <c r="AL111" s="97">
        <v>0</v>
      </c>
      <c r="AM111" s="97">
        <v>0</v>
      </c>
      <c r="AN111" s="97">
        <v>0</v>
      </c>
      <c r="AO111" s="97">
        <v>0</v>
      </c>
      <c r="AP111" s="97">
        <v>0</v>
      </c>
      <c r="AQ111" s="97">
        <v>0</v>
      </c>
      <c r="AR111" s="97">
        <v>0</v>
      </c>
      <c r="AS111" s="97">
        <v>0</v>
      </c>
      <c r="AT111" s="97">
        <v>0</v>
      </c>
      <c r="AU111" s="97"/>
      <c r="AV111" s="97">
        <f t="shared" si="10"/>
        <v>0</v>
      </c>
      <c r="AW111" s="97">
        <v>0</v>
      </c>
      <c r="AX111" s="97">
        <v>0</v>
      </c>
      <c r="AY111" s="97">
        <f t="shared" si="9"/>
        <v>0</v>
      </c>
      <c r="AZ111" s="97">
        <f t="shared" si="11"/>
        <v>0</v>
      </c>
    </row>
    <row r="112" spans="1:52" s="132" customFormat="1" x14ac:dyDescent="0.2">
      <c r="A112" s="85">
        <v>11</v>
      </c>
      <c r="B112" s="19" t="s">
        <v>306</v>
      </c>
      <c r="C112" s="19" t="s">
        <v>144</v>
      </c>
      <c r="D112" s="197">
        <v>100233</v>
      </c>
      <c r="E112" s="218">
        <f>327+21+29</f>
        <v>377</v>
      </c>
      <c r="F112" s="97">
        <v>214</v>
      </c>
      <c r="G112" s="97">
        <v>12</v>
      </c>
      <c r="H112" s="97">
        <f>20+180</f>
        <v>200</v>
      </c>
      <c r="I112" s="97">
        <v>0</v>
      </c>
      <c r="J112" s="97">
        <v>95</v>
      </c>
      <c r="K112" s="97">
        <f t="shared" si="8"/>
        <v>898</v>
      </c>
      <c r="L112" s="219"/>
      <c r="M112" s="218" t="s">
        <v>69</v>
      </c>
      <c r="N112" s="97">
        <v>0</v>
      </c>
      <c r="O112" s="97">
        <v>0</v>
      </c>
      <c r="P112" s="97">
        <v>0</v>
      </c>
      <c r="Q112" s="97">
        <v>0</v>
      </c>
      <c r="R112" s="97">
        <v>0</v>
      </c>
      <c r="S112" s="97">
        <v>0</v>
      </c>
      <c r="T112" s="97">
        <v>0</v>
      </c>
      <c r="U112" s="97">
        <v>0</v>
      </c>
      <c r="V112" s="97">
        <v>0</v>
      </c>
      <c r="W112" s="97">
        <v>0</v>
      </c>
      <c r="X112" s="97">
        <v>0</v>
      </c>
      <c r="Y112" s="97">
        <v>0</v>
      </c>
      <c r="Z112" s="97">
        <v>0</v>
      </c>
      <c r="AA112" s="97">
        <v>0</v>
      </c>
      <c r="AB112" s="97">
        <v>135</v>
      </c>
      <c r="AC112" s="97">
        <v>0</v>
      </c>
      <c r="AD112" s="97">
        <v>135</v>
      </c>
      <c r="AE112" s="97">
        <v>0</v>
      </c>
      <c r="AF112" s="97">
        <v>0</v>
      </c>
      <c r="AG112" s="97">
        <v>90</v>
      </c>
      <c r="AH112" s="97">
        <v>0</v>
      </c>
      <c r="AI112" s="97">
        <v>313</v>
      </c>
      <c r="AJ112" s="97">
        <v>90</v>
      </c>
      <c r="AK112" s="97">
        <v>0</v>
      </c>
      <c r="AL112" s="97">
        <v>135</v>
      </c>
      <c r="AM112" s="97">
        <v>0</v>
      </c>
      <c r="AN112" s="97">
        <v>0</v>
      </c>
      <c r="AO112" s="97">
        <v>0</v>
      </c>
      <c r="AP112" s="97">
        <v>0</v>
      </c>
      <c r="AQ112" s="97">
        <v>0</v>
      </c>
      <c r="AR112" s="97">
        <v>0</v>
      </c>
      <c r="AS112" s="97">
        <v>0</v>
      </c>
      <c r="AT112" s="97">
        <v>0</v>
      </c>
      <c r="AU112" s="97"/>
      <c r="AV112" s="246">
        <f>SUM(N112:AU112)</f>
        <v>898</v>
      </c>
      <c r="AW112" s="97">
        <v>0</v>
      </c>
      <c r="AX112" s="97">
        <v>0</v>
      </c>
      <c r="AY112" s="97">
        <f t="shared" si="9"/>
        <v>898</v>
      </c>
      <c r="AZ112" s="97">
        <f t="shared" si="11"/>
        <v>0</v>
      </c>
    </row>
    <row r="113" spans="1:53" s="132" customFormat="1" x14ac:dyDescent="0.2">
      <c r="A113" s="85">
        <v>11</v>
      </c>
      <c r="B113" s="19" t="s">
        <v>534</v>
      </c>
      <c r="C113" s="19" t="s">
        <v>154</v>
      </c>
      <c r="D113" s="197">
        <v>100236</v>
      </c>
      <c r="E113" s="218">
        <f>213+9+25</f>
        <v>247</v>
      </c>
      <c r="F113" s="97">
        <v>37</v>
      </c>
      <c r="G113" s="97">
        <v>6</v>
      </c>
      <c r="H113" s="97">
        <v>0</v>
      </c>
      <c r="I113" s="97">
        <v>0</v>
      </c>
      <c r="J113" s="97">
        <v>3000</v>
      </c>
      <c r="K113" s="97">
        <f t="shared" si="8"/>
        <v>3290</v>
      </c>
      <c r="L113" s="219"/>
      <c r="M113" s="218" t="s">
        <v>182</v>
      </c>
      <c r="N113" s="97">
        <v>0</v>
      </c>
      <c r="O113" s="97">
        <v>0</v>
      </c>
      <c r="P113" s="97">
        <v>0</v>
      </c>
      <c r="Q113" s="97">
        <v>0</v>
      </c>
      <c r="R113" s="97">
        <v>0</v>
      </c>
      <c r="S113" s="97">
        <v>0</v>
      </c>
      <c r="T113" s="97">
        <v>0</v>
      </c>
      <c r="U113" s="97">
        <v>0</v>
      </c>
      <c r="V113" s="97">
        <v>0</v>
      </c>
      <c r="W113" s="97">
        <v>0</v>
      </c>
      <c r="X113" s="97">
        <v>0</v>
      </c>
      <c r="Y113" s="97">
        <v>0</v>
      </c>
      <c r="Z113" s="97">
        <v>0</v>
      </c>
      <c r="AA113" s="97">
        <v>0</v>
      </c>
      <c r="AB113" s="97">
        <v>0</v>
      </c>
      <c r="AC113" s="97">
        <v>0</v>
      </c>
      <c r="AD113" s="97">
        <v>0</v>
      </c>
      <c r="AE113" s="97">
        <v>0</v>
      </c>
      <c r="AF113" s="97">
        <v>0</v>
      </c>
      <c r="AG113" s="97">
        <v>0</v>
      </c>
      <c r="AH113" s="97">
        <v>0</v>
      </c>
      <c r="AI113" s="97">
        <v>0</v>
      </c>
      <c r="AJ113" s="97">
        <v>0</v>
      </c>
      <c r="AK113" s="97">
        <v>0</v>
      </c>
      <c r="AL113" s="97">
        <v>0</v>
      </c>
      <c r="AM113" s="97">
        <v>0</v>
      </c>
      <c r="AN113" s="97">
        <v>0</v>
      </c>
      <c r="AO113" s="97">
        <v>0</v>
      </c>
      <c r="AP113" s="97">
        <v>0</v>
      </c>
      <c r="AQ113" s="97">
        <v>0</v>
      </c>
      <c r="AR113" s="97">
        <v>0</v>
      </c>
      <c r="AS113" s="97">
        <v>0</v>
      </c>
      <c r="AT113" s="97">
        <v>0</v>
      </c>
      <c r="AU113" s="97"/>
      <c r="AV113" s="246">
        <f>SUM(N113:AU113)</f>
        <v>0</v>
      </c>
      <c r="AW113" s="97">
        <v>3290</v>
      </c>
      <c r="AX113" s="97">
        <v>0</v>
      </c>
      <c r="AY113" s="97">
        <f>+AV113+AW113+AX113</f>
        <v>3290</v>
      </c>
      <c r="AZ113" s="97">
        <f>+K113-AY113</f>
        <v>0</v>
      </c>
    </row>
    <row r="114" spans="1:53" s="262" customFormat="1" x14ac:dyDescent="0.2">
      <c r="A114" s="243">
        <v>11</v>
      </c>
      <c r="B114" s="234" t="s">
        <v>331</v>
      </c>
      <c r="C114" s="234" t="s">
        <v>332</v>
      </c>
      <c r="D114" s="244">
        <v>100246</v>
      </c>
      <c r="E114" s="245">
        <f>316+27+39</f>
        <v>382</v>
      </c>
      <c r="F114" s="246">
        <v>105</v>
      </c>
      <c r="G114" s="246">
        <v>4</v>
      </c>
      <c r="H114" s="246">
        <f>88+8</f>
        <v>96</v>
      </c>
      <c r="I114" s="246">
        <f>36+7</f>
        <v>43</v>
      </c>
      <c r="J114" s="246">
        <v>4</v>
      </c>
      <c r="K114" s="97">
        <f t="shared" si="8"/>
        <v>634</v>
      </c>
      <c r="L114" s="247"/>
      <c r="M114" s="245" t="s">
        <v>182</v>
      </c>
      <c r="N114" s="246">
        <v>0</v>
      </c>
      <c r="O114" s="246">
        <v>0</v>
      </c>
      <c r="P114" s="246">
        <v>0</v>
      </c>
      <c r="Q114" s="246"/>
      <c r="R114" s="246">
        <v>0</v>
      </c>
      <c r="S114" s="246">
        <v>0</v>
      </c>
      <c r="T114" s="246">
        <v>0</v>
      </c>
      <c r="U114" s="246">
        <v>0</v>
      </c>
      <c r="V114" s="246">
        <v>0</v>
      </c>
      <c r="W114" s="97">
        <v>0</v>
      </c>
      <c r="X114" s="246">
        <v>0</v>
      </c>
      <c r="Y114" s="246">
        <v>0</v>
      </c>
      <c r="Z114" s="246">
        <v>0</v>
      </c>
      <c r="AA114" s="246">
        <v>0</v>
      </c>
      <c r="AB114" s="246">
        <v>0</v>
      </c>
      <c r="AC114" s="246">
        <v>0</v>
      </c>
      <c r="AD114" s="246">
        <v>0</v>
      </c>
      <c r="AE114" s="246">
        <v>0</v>
      </c>
      <c r="AF114" s="246">
        <v>0</v>
      </c>
      <c r="AG114" s="246">
        <v>0</v>
      </c>
      <c r="AH114" s="246">
        <v>0</v>
      </c>
      <c r="AI114" s="246">
        <v>0</v>
      </c>
      <c r="AJ114" s="246">
        <v>0</v>
      </c>
      <c r="AK114" s="246">
        <v>0</v>
      </c>
      <c r="AL114" s="246">
        <v>0</v>
      </c>
      <c r="AM114" s="246">
        <v>0</v>
      </c>
      <c r="AN114" s="246">
        <v>0</v>
      </c>
      <c r="AO114" s="246">
        <v>0</v>
      </c>
      <c r="AP114" s="246">
        <v>0</v>
      </c>
      <c r="AQ114" s="97">
        <v>0</v>
      </c>
      <c r="AR114" s="97">
        <v>0</v>
      </c>
      <c r="AS114" s="97">
        <v>0</v>
      </c>
      <c r="AT114" s="97">
        <v>0</v>
      </c>
      <c r="AU114" s="246"/>
      <c r="AV114" s="246">
        <f t="shared" ref="AV114:AV123" si="12">SUM(N114:AU114)</f>
        <v>0</v>
      </c>
      <c r="AW114" s="246">
        <v>0</v>
      </c>
      <c r="AX114" s="97">
        <v>634</v>
      </c>
      <c r="AY114" s="97">
        <f t="shared" si="9"/>
        <v>634</v>
      </c>
      <c r="AZ114" s="246">
        <f t="shared" si="11"/>
        <v>0</v>
      </c>
      <c r="BA114" s="263"/>
    </row>
    <row r="115" spans="1:53" s="263" customFormat="1" x14ac:dyDescent="0.2">
      <c r="A115" s="84" t="s">
        <v>272</v>
      </c>
      <c r="B115" s="19" t="s">
        <v>294</v>
      </c>
      <c r="C115" s="19" t="s">
        <v>293</v>
      </c>
      <c r="D115" s="197">
        <v>100252</v>
      </c>
      <c r="E115" s="218">
        <f>693+70+104</f>
        <v>867</v>
      </c>
      <c r="F115" s="97">
        <v>518</v>
      </c>
      <c r="G115" s="97">
        <v>11</v>
      </c>
      <c r="H115" s="97">
        <f>34+11</f>
        <v>45</v>
      </c>
      <c r="I115" s="97">
        <f>28+61</f>
        <v>89</v>
      </c>
      <c r="J115" s="97">
        <v>40</v>
      </c>
      <c r="K115" s="97">
        <f t="shared" si="8"/>
        <v>1570</v>
      </c>
      <c r="L115" s="219"/>
      <c r="M115" s="218" t="s">
        <v>295</v>
      </c>
      <c r="N115" s="97">
        <v>0</v>
      </c>
      <c r="O115" s="97">
        <v>0</v>
      </c>
      <c r="P115" s="97">
        <v>0</v>
      </c>
      <c r="Q115" s="97">
        <v>0</v>
      </c>
      <c r="R115" s="97">
        <v>0</v>
      </c>
      <c r="S115" s="97">
        <v>0</v>
      </c>
      <c r="T115" s="97">
        <v>0</v>
      </c>
      <c r="U115" s="97">
        <v>0</v>
      </c>
      <c r="V115" s="97">
        <v>0</v>
      </c>
      <c r="W115" s="97">
        <v>0</v>
      </c>
      <c r="X115" s="97">
        <v>63</v>
      </c>
      <c r="Y115" s="97">
        <v>0</v>
      </c>
      <c r="Z115" s="97">
        <v>0</v>
      </c>
      <c r="AA115" s="97">
        <v>0</v>
      </c>
      <c r="AB115" s="97">
        <v>408</v>
      </c>
      <c r="AC115" s="97">
        <v>0</v>
      </c>
      <c r="AD115" s="97">
        <v>376</v>
      </c>
      <c r="AE115" s="97">
        <v>0</v>
      </c>
      <c r="AF115" s="97">
        <v>0</v>
      </c>
      <c r="AG115" s="97">
        <v>0</v>
      </c>
      <c r="AH115" s="97">
        <v>126</v>
      </c>
      <c r="AI115" s="97">
        <v>220</v>
      </c>
      <c r="AJ115" s="97">
        <v>126</v>
      </c>
      <c r="AK115" s="97">
        <v>0</v>
      </c>
      <c r="AL115" s="97">
        <v>251</v>
      </c>
      <c r="AM115" s="97">
        <v>0</v>
      </c>
      <c r="AN115" s="97">
        <v>0</v>
      </c>
      <c r="AO115" s="97">
        <v>0</v>
      </c>
      <c r="AP115" s="97">
        <v>0</v>
      </c>
      <c r="AQ115" s="97">
        <v>0</v>
      </c>
      <c r="AR115" s="97">
        <v>0</v>
      </c>
      <c r="AS115" s="97">
        <v>0</v>
      </c>
      <c r="AT115" s="97">
        <v>0</v>
      </c>
      <c r="AU115" s="97"/>
      <c r="AV115" s="97">
        <f t="shared" si="12"/>
        <v>1570</v>
      </c>
      <c r="AW115" s="97">
        <v>0</v>
      </c>
      <c r="AX115" s="97">
        <v>0</v>
      </c>
      <c r="AY115" s="97">
        <f t="shared" si="9"/>
        <v>1570</v>
      </c>
      <c r="AZ115" s="97">
        <f t="shared" si="11"/>
        <v>0</v>
      </c>
    </row>
    <row r="116" spans="1:53" s="263" customFormat="1" x14ac:dyDescent="0.2">
      <c r="A116" s="85">
        <v>11</v>
      </c>
      <c r="B116" s="19" t="s">
        <v>273</v>
      </c>
      <c r="C116" s="19" t="s">
        <v>431</v>
      </c>
      <c r="D116" s="197">
        <v>100280</v>
      </c>
      <c r="E116" s="218">
        <f>1069+105+210</f>
        <v>1384</v>
      </c>
      <c r="F116" s="97">
        <v>154</v>
      </c>
      <c r="G116" s="97">
        <v>12</v>
      </c>
      <c r="H116" s="97">
        <f>196+73</f>
        <v>269</v>
      </c>
      <c r="I116" s="97">
        <f>73+37</f>
        <v>110</v>
      </c>
      <c r="J116" s="97">
        <v>7</v>
      </c>
      <c r="K116" s="97">
        <f t="shared" si="8"/>
        <v>1936</v>
      </c>
      <c r="L116" s="219"/>
      <c r="M116" s="218" t="s">
        <v>90</v>
      </c>
      <c r="N116" s="97">
        <v>9</v>
      </c>
      <c r="O116" s="97">
        <v>123</v>
      </c>
      <c r="P116" s="97">
        <v>133</v>
      </c>
      <c r="Q116" s="97">
        <v>142</v>
      </c>
      <c r="R116" s="97">
        <v>0</v>
      </c>
      <c r="S116" s="97">
        <v>0</v>
      </c>
      <c r="T116" s="97">
        <v>0</v>
      </c>
      <c r="U116" s="97">
        <v>142</v>
      </c>
      <c r="V116" s="97">
        <v>0</v>
      </c>
      <c r="W116" s="97">
        <v>0</v>
      </c>
      <c r="X116" s="97">
        <f>874-53</f>
        <v>821</v>
      </c>
      <c r="Y116" s="97">
        <v>0</v>
      </c>
      <c r="Z116" s="97">
        <v>75</v>
      </c>
      <c r="AA116" s="97">
        <v>0</v>
      </c>
      <c r="AB116" s="97">
        <v>0</v>
      </c>
      <c r="AC116" s="97">
        <v>0</v>
      </c>
      <c r="AD116" s="97">
        <v>275</v>
      </c>
      <c r="AE116" s="97">
        <v>0</v>
      </c>
      <c r="AF116" s="97">
        <v>0</v>
      </c>
      <c r="AG116" s="97">
        <v>0</v>
      </c>
      <c r="AH116" s="97">
        <v>0</v>
      </c>
      <c r="AI116" s="97">
        <v>0</v>
      </c>
      <c r="AJ116" s="97">
        <v>0</v>
      </c>
      <c r="AK116" s="97">
        <v>0</v>
      </c>
      <c r="AL116" s="97">
        <v>0</v>
      </c>
      <c r="AM116" s="97">
        <v>0</v>
      </c>
      <c r="AN116" s="97">
        <v>0</v>
      </c>
      <c r="AO116" s="97">
        <v>0</v>
      </c>
      <c r="AP116" s="97">
        <v>53</v>
      </c>
      <c r="AQ116" s="97">
        <v>0</v>
      </c>
      <c r="AR116" s="97">
        <v>0</v>
      </c>
      <c r="AS116" s="97">
        <v>0</v>
      </c>
      <c r="AT116" s="97">
        <v>0</v>
      </c>
      <c r="AU116" s="97"/>
      <c r="AV116" s="246">
        <f>SUM(N116:AU116)</f>
        <v>1773</v>
      </c>
      <c r="AW116" s="97">
        <v>163</v>
      </c>
      <c r="AX116" s="97">
        <v>0</v>
      </c>
      <c r="AY116" s="97">
        <f t="shared" si="9"/>
        <v>1936</v>
      </c>
      <c r="AZ116" s="97">
        <f t="shared" si="11"/>
        <v>0</v>
      </c>
    </row>
    <row r="117" spans="1:53" s="263" customFormat="1" x14ac:dyDescent="0.2">
      <c r="A117" s="85">
        <v>11</v>
      </c>
      <c r="B117" s="19" t="s">
        <v>274</v>
      </c>
      <c r="C117" s="19" t="s">
        <v>289</v>
      </c>
      <c r="D117" s="197">
        <v>100281</v>
      </c>
      <c r="E117" s="218">
        <v>0</v>
      </c>
      <c r="F117" s="97">
        <v>0</v>
      </c>
      <c r="G117" s="97">
        <v>0</v>
      </c>
      <c r="H117" s="97">
        <v>0</v>
      </c>
      <c r="I117" s="97">
        <v>0</v>
      </c>
      <c r="J117" s="97">
        <v>0</v>
      </c>
      <c r="K117" s="97">
        <f t="shared" si="8"/>
        <v>0</v>
      </c>
      <c r="L117" s="219"/>
      <c r="M117" s="218" t="s">
        <v>19</v>
      </c>
      <c r="N117" s="97">
        <v>0</v>
      </c>
      <c r="O117" s="97">
        <v>0</v>
      </c>
      <c r="P117" s="97">
        <v>0</v>
      </c>
      <c r="Q117" s="97">
        <v>0</v>
      </c>
      <c r="R117" s="97">
        <v>0</v>
      </c>
      <c r="S117" s="97">
        <v>0</v>
      </c>
      <c r="T117" s="97">
        <v>0</v>
      </c>
      <c r="U117" s="97">
        <v>0</v>
      </c>
      <c r="V117" s="97">
        <v>0</v>
      </c>
      <c r="W117" s="97">
        <v>0</v>
      </c>
      <c r="X117" s="97">
        <v>0</v>
      </c>
      <c r="Y117" s="97">
        <v>0</v>
      </c>
      <c r="Z117" s="97">
        <v>0</v>
      </c>
      <c r="AA117" s="97">
        <v>0</v>
      </c>
      <c r="AB117" s="97">
        <v>0</v>
      </c>
      <c r="AC117" s="97">
        <v>0</v>
      </c>
      <c r="AD117" s="97">
        <v>0</v>
      </c>
      <c r="AE117" s="97">
        <v>0</v>
      </c>
      <c r="AF117" s="97">
        <v>0</v>
      </c>
      <c r="AG117" s="97">
        <v>0</v>
      </c>
      <c r="AH117" s="97">
        <v>0</v>
      </c>
      <c r="AI117" s="97">
        <v>0</v>
      </c>
      <c r="AJ117" s="97">
        <v>0</v>
      </c>
      <c r="AK117" s="97">
        <v>0</v>
      </c>
      <c r="AL117" s="97">
        <v>0</v>
      </c>
      <c r="AM117" s="97">
        <v>0</v>
      </c>
      <c r="AN117" s="97">
        <v>0</v>
      </c>
      <c r="AO117" s="97">
        <v>0</v>
      </c>
      <c r="AP117" s="97">
        <v>0</v>
      </c>
      <c r="AQ117" s="97">
        <v>0</v>
      </c>
      <c r="AR117" s="97">
        <v>0</v>
      </c>
      <c r="AS117" s="97">
        <v>0</v>
      </c>
      <c r="AT117" s="97">
        <v>0</v>
      </c>
      <c r="AU117" s="97"/>
      <c r="AV117" s="97">
        <f t="shared" si="12"/>
        <v>0</v>
      </c>
      <c r="AW117" s="97">
        <v>0</v>
      </c>
      <c r="AX117" s="97">
        <v>0</v>
      </c>
      <c r="AY117" s="97">
        <f t="shared" si="9"/>
        <v>0</v>
      </c>
      <c r="AZ117" s="97">
        <f t="shared" si="11"/>
        <v>0</v>
      </c>
    </row>
    <row r="118" spans="1:53" s="263" customFormat="1" x14ac:dyDescent="0.2">
      <c r="A118" s="85">
        <v>11</v>
      </c>
      <c r="B118" s="19" t="s">
        <v>290</v>
      </c>
      <c r="C118" s="19" t="s">
        <v>291</v>
      </c>
      <c r="D118" s="197">
        <v>100801</v>
      </c>
      <c r="E118" s="218">
        <f>1816+167+400</f>
        <v>2383</v>
      </c>
      <c r="F118" s="97">
        <v>59</v>
      </c>
      <c r="G118" s="97">
        <v>28</v>
      </c>
      <c r="H118" s="97">
        <f>252+163+9-250</f>
        <v>174</v>
      </c>
      <c r="I118" s="97">
        <f>148+133</f>
        <v>281</v>
      </c>
      <c r="J118" s="97">
        <v>0</v>
      </c>
      <c r="K118" s="97">
        <f t="shared" si="8"/>
        <v>2925</v>
      </c>
      <c r="L118" s="219"/>
      <c r="M118" s="218" t="s">
        <v>292</v>
      </c>
      <c r="N118" s="97">
        <v>68</v>
      </c>
      <c r="O118" s="97">
        <v>176</v>
      </c>
      <c r="P118" s="97">
        <v>36</v>
      </c>
      <c r="Q118" s="97">
        <v>39</v>
      </c>
      <c r="R118" s="97">
        <v>0</v>
      </c>
      <c r="S118" s="97">
        <v>0</v>
      </c>
      <c r="T118" s="97">
        <v>37</v>
      </c>
      <c r="U118" s="97">
        <v>437</v>
      </c>
      <c r="V118" s="97">
        <v>153</v>
      </c>
      <c r="W118" s="97">
        <v>50</v>
      </c>
      <c r="X118" s="97">
        <f>393-31-21</f>
        <v>341</v>
      </c>
      <c r="Y118" s="97">
        <v>0</v>
      </c>
      <c r="Z118" s="97">
        <v>6</v>
      </c>
      <c r="AA118" s="97">
        <v>0</v>
      </c>
      <c r="AB118" s="97">
        <v>0</v>
      </c>
      <c r="AC118" s="97">
        <v>18</v>
      </c>
      <c r="AD118" s="97">
        <v>562</v>
      </c>
      <c r="AE118" s="97">
        <v>346</v>
      </c>
      <c r="AF118" s="97">
        <v>1</v>
      </c>
      <c r="AG118" s="97">
        <v>0</v>
      </c>
      <c r="AH118" s="97">
        <v>36</v>
      </c>
      <c r="AI118" s="97">
        <v>0</v>
      </c>
      <c r="AJ118" s="97">
        <v>18</v>
      </c>
      <c r="AK118" s="97">
        <v>25</v>
      </c>
      <c r="AL118" s="97">
        <f>65-36</f>
        <v>29</v>
      </c>
      <c r="AM118" s="97">
        <v>0</v>
      </c>
      <c r="AN118" s="97">
        <v>0</v>
      </c>
      <c r="AO118" s="97">
        <f>31+36</f>
        <v>67</v>
      </c>
      <c r="AP118" s="97">
        <v>21</v>
      </c>
      <c r="AQ118" s="97">
        <v>0</v>
      </c>
      <c r="AR118" s="97">
        <v>0</v>
      </c>
      <c r="AS118" s="97">
        <v>0</v>
      </c>
      <c r="AT118" s="97">
        <v>0</v>
      </c>
      <c r="AU118" s="97"/>
      <c r="AV118" s="246">
        <f>SUM(N118:AU118)</f>
        <v>2466</v>
      </c>
      <c r="AW118" s="97">
        <f>759-50-709+459</f>
        <v>459</v>
      </c>
      <c r="AX118" s="97">
        <v>0</v>
      </c>
      <c r="AY118" s="97">
        <f t="shared" si="9"/>
        <v>2925</v>
      </c>
      <c r="AZ118" s="97">
        <f t="shared" si="11"/>
        <v>0</v>
      </c>
    </row>
    <row r="119" spans="1:53" s="262" customFormat="1" x14ac:dyDescent="0.2">
      <c r="A119" s="243">
        <v>11</v>
      </c>
      <c r="B119" s="234" t="s">
        <v>275</v>
      </c>
      <c r="C119" s="234" t="s">
        <v>449</v>
      </c>
      <c r="D119" s="244">
        <v>100805</v>
      </c>
      <c r="E119" s="245">
        <f>81+9+12</f>
        <v>102</v>
      </c>
      <c r="F119" s="246">
        <v>6</v>
      </c>
      <c r="G119" s="246">
        <v>3</v>
      </c>
      <c r="H119" s="246">
        <v>0</v>
      </c>
      <c r="I119" s="246">
        <v>9</v>
      </c>
      <c r="J119" s="246">
        <v>0</v>
      </c>
      <c r="K119" s="97">
        <f t="shared" si="8"/>
        <v>120</v>
      </c>
      <c r="L119" s="247"/>
      <c r="M119" s="245" t="s">
        <v>37</v>
      </c>
      <c r="N119" s="246">
        <v>2</v>
      </c>
      <c r="O119" s="246">
        <v>4</v>
      </c>
      <c r="P119" s="246">
        <v>9</v>
      </c>
      <c r="Q119" s="246">
        <v>0</v>
      </c>
      <c r="R119" s="246">
        <v>0</v>
      </c>
      <c r="S119" s="246">
        <v>0</v>
      </c>
      <c r="T119" s="246">
        <v>2</v>
      </c>
      <c r="U119" s="246">
        <v>11</v>
      </c>
      <c r="V119" s="246">
        <v>4</v>
      </c>
      <c r="W119" s="97">
        <v>0</v>
      </c>
      <c r="X119" s="246">
        <v>20</v>
      </c>
      <c r="Y119" s="246">
        <v>0</v>
      </c>
      <c r="Z119" s="246">
        <v>2</v>
      </c>
      <c r="AA119" s="246">
        <v>0</v>
      </c>
      <c r="AB119" s="246">
        <v>0</v>
      </c>
      <c r="AC119" s="246">
        <v>1</v>
      </c>
      <c r="AD119" s="246">
        <v>13</v>
      </c>
      <c r="AE119" s="246">
        <v>16</v>
      </c>
      <c r="AF119" s="246">
        <v>5</v>
      </c>
      <c r="AG119" s="246">
        <v>1</v>
      </c>
      <c r="AH119" s="246">
        <v>1</v>
      </c>
      <c r="AI119" s="246">
        <v>1</v>
      </c>
      <c r="AJ119" s="246">
        <v>1</v>
      </c>
      <c r="AK119" s="246">
        <v>1</v>
      </c>
      <c r="AL119" s="246">
        <v>2</v>
      </c>
      <c r="AM119" s="246">
        <v>10</v>
      </c>
      <c r="AN119" s="246">
        <v>0</v>
      </c>
      <c r="AO119" s="97">
        <v>0</v>
      </c>
      <c r="AP119" s="97">
        <v>0</v>
      </c>
      <c r="AQ119" s="97">
        <v>0</v>
      </c>
      <c r="AR119" s="97">
        <v>0</v>
      </c>
      <c r="AS119" s="97">
        <v>0</v>
      </c>
      <c r="AT119" s="97">
        <v>0</v>
      </c>
      <c r="AU119" s="246"/>
      <c r="AV119" s="246">
        <f t="shared" si="12"/>
        <v>106</v>
      </c>
      <c r="AW119" s="246">
        <v>14</v>
      </c>
      <c r="AX119" s="97">
        <v>0</v>
      </c>
      <c r="AY119" s="97">
        <f t="shared" si="9"/>
        <v>120</v>
      </c>
      <c r="AZ119" s="246">
        <f t="shared" si="11"/>
        <v>0</v>
      </c>
    </row>
    <row r="120" spans="1:53" s="262" customFormat="1" x14ac:dyDescent="0.2">
      <c r="A120" s="243">
        <v>11</v>
      </c>
      <c r="B120" s="234" t="s">
        <v>276</v>
      </c>
      <c r="C120" s="234" t="s">
        <v>416</v>
      </c>
      <c r="D120" s="244">
        <v>100806</v>
      </c>
      <c r="E120" s="245">
        <f>40437+4078+5913</f>
        <v>50428</v>
      </c>
      <c r="F120" s="246">
        <v>1103</v>
      </c>
      <c r="G120" s="246">
        <v>0</v>
      </c>
      <c r="H120" s="246">
        <v>0</v>
      </c>
      <c r="I120" s="246">
        <v>0</v>
      </c>
      <c r="J120" s="246">
        <v>0</v>
      </c>
      <c r="K120" s="97">
        <f t="shared" si="8"/>
        <v>51531</v>
      </c>
      <c r="L120" s="247"/>
      <c r="M120" s="245" t="s">
        <v>330</v>
      </c>
      <c r="N120" s="246">
        <v>0</v>
      </c>
      <c r="O120" s="246">
        <v>0</v>
      </c>
      <c r="P120" s="246">
        <v>0</v>
      </c>
      <c r="Q120" s="246">
        <v>0</v>
      </c>
      <c r="R120" s="246">
        <v>0</v>
      </c>
      <c r="S120" s="246">
        <v>0</v>
      </c>
      <c r="T120" s="246">
        <v>0</v>
      </c>
      <c r="U120" s="246">
        <v>0</v>
      </c>
      <c r="V120" s="246">
        <v>0</v>
      </c>
      <c r="W120" s="97">
        <v>0</v>
      </c>
      <c r="X120" s="246">
        <v>0</v>
      </c>
      <c r="Y120" s="246">
        <v>0</v>
      </c>
      <c r="Z120" s="246">
        <v>0</v>
      </c>
      <c r="AA120" s="246">
        <v>0</v>
      </c>
      <c r="AB120" s="246">
        <v>0</v>
      </c>
      <c r="AC120" s="246">
        <v>0</v>
      </c>
      <c r="AD120" s="246">
        <v>0</v>
      </c>
      <c r="AE120" s="246">
        <v>0</v>
      </c>
      <c r="AF120" s="246">
        <v>0</v>
      </c>
      <c r="AG120" s="246">
        <v>0</v>
      </c>
      <c r="AH120" s="246">
        <v>0</v>
      </c>
      <c r="AI120" s="246">
        <v>0</v>
      </c>
      <c r="AJ120" s="246">
        <v>0</v>
      </c>
      <c r="AK120" s="246">
        <v>0</v>
      </c>
      <c r="AL120" s="246">
        <v>0</v>
      </c>
      <c r="AM120" s="246">
        <v>0</v>
      </c>
      <c r="AN120" s="246">
        <v>0</v>
      </c>
      <c r="AO120" s="246">
        <v>0</v>
      </c>
      <c r="AP120" s="246">
        <v>0</v>
      </c>
      <c r="AQ120" s="97">
        <v>0</v>
      </c>
      <c r="AR120" s="97">
        <v>0</v>
      </c>
      <c r="AS120" s="97">
        <v>0</v>
      </c>
      <c r="AT120" s="97">
        <v>0</v>
      </c>
      <c r="AU120" s="246"/>
      <c r="AV120" s="246">
        <f t="shared" si="12"/>
        <v>0</v>
      </c>
      <c r="AW120" s="246">
        <v>0</v>
      </c>
      <c r="AX120" s="97">
        <v>51531</v>
      </c>
      <c r="AY120" s="97">
        <f t="shared" si="9"/>
        <v>51531</v>
      </c>
      <c r="AZ120" s="246">
        <f t="shared" si="11"/>
        <v>0</v>
      </c>
      <c r="BA120" s="263"/>
    </row>
    <row r="121" spans="1:53" s="262" customFormat="1" x14ac:dyDescent="0.2">
      <c r="A121" s="243">
        <v>11</v>
      </c>
      <c r="B121" s="234" t="s">
        <v>277</v>
      </c>
      <c r="C121" s="234" t="s">
        <v>416</v>
      </c>
      <c r="D121" s="244">
        <v>100807</v>
      </c>
      <c r="E121" s="245">
        <f>926+100+158</f>
        <v>1184</v>
      </c>
      <c r="F121" s="246">
        <v>6871</v>
      </c>
      <c r="G121" s="246">
        <v>4</v>
      </c>
      <c r="H121" s="246">
        <f>146+142</f>
        <v>288</v>
      </c>
      <c r="I121" s="246">
        <f>342+68</f>
        <v>410</v>
      </c>
      <c r="J121" s="246">
        <v>301</v>
      </c>
      <c r="K121" s="97">
        <f t="shared" si="8"/>
        <v>9058</v>
      </c>
      <c r="L121" s="247"/>
      <c r="M121" s="245" t="s">
        <v>330</v>
      </c>
      <c r="N121" s="246">
        <v>0</v>
      </c>
      <c r="O121" s="246">
        <v>0</v>
      </c>
      <c r="P121" s="246">
        <v>0</v>
      </c>
      <c r="Q121" s="246">
        <v>0</v>
      </c>
      <c r="R121" s="246">
        <v>0</v>
      </c>
      <c r="S121" s="246">
        <v>0</v>
      </c>
      <c r="T121" s="246">
        <v>0</v>
      </c>
      <c r="U121" s="246">
        <v>0</v>
      </c>
      <c r="V121" s="246">
        <v>0</v>
      </c>
      <c r="W121" s="97">
        <v>0</v>
      </c>
      <c r="X121" s="246">
        <v>0</v>
      </c>
      <c r="Y121" s="246">
        <v>0</v>
      </c>
      <c r="Z121" s="246">
        <v>0</v>
      </c>
      <c r="AA121" s="246">
        <v>0</v>
      </c>
      <c r="AB121" s="246">
        <v>0</v>
      </c>
      <c r="AC121" s="246">
        <v>0</v>
      </c>
      <c r="AD121" s="246">
        <v>0</v>
      </c>
      <c r="AE121" s="246">
        <v>0</v>
      </c>
      <c r="AF121" s="246">
        <v>0</v>
      </c>
      <c r="AG121" s="246">
        <v>0</v>
      </c>
      <c r="AH121" s="246">
        <v>0</v>
      </c>
      <c r="AI121" s="246">
        <v>0</v>
      </c>
      <c r="AJ121" s="246">
        <v>0</v>
      </c>
      <c r="AK121" s="246">
        <v>0</v>
      </c>
      <c r="AL121" s="246">
        <v>0</v>
      </c>
      <c r="AM121" s="246">
        <v>0</v>
      </c>
      <c r="AN121" s="246">
        <v>0</v>
      </c>
      <c r="AO121" s="246">
        <v>0</v>
      </c>
      <c r="AP121" s="246">
        <v>0</v>
      </c>
      <c r="AQ121" s="97">
        <v>0</v>
      </c>
      <c r="AR121" s="97">
        <v>0</v>
      </c>
      <c r="AS121" s="97">
        <v>0</v>
      </c>
      <c r="AT121" s="97">
        <v>0</v>
      </c>
      <c r="AU121" s="246"/>
      <c r="AV121" s="246">
        <f t="shared" si="12"/>
        <v>0</v>
      </c>
      <c r="AW121" s="246">
        <v>0</v>
      </c>
      <c r="AX121" s="97">
        <v>9058</v>
      </c>
      <c r="AY121" s="97">
        <f t="shared" si="9"/>
        <v>9058</v>
      </c>
      <c r="AZ121" s="246">
        <f t="shared" si="11"/>
        <v>0</v>
      </c>
      <c r="BA121" s="263"/>
    </row>
    <row r="122" spans="1:53" s="262" customFormat="1" x14ac:dyDescent="0.2">
      <c r="A122" s="243">
        <v>11</v>
      </c>
      <c r="B122" s="234" t="s">
        <v>483</v>
      </c>
      <c r="C122" s="234" t="s">
        <v>432</v>
      </c>
      <c r="D122" s="244">
        <v>100808</v>
      </c>
      <c r="E122" s="245">
        <f>352+43+61</f>
        <v>456</v>
      </c>
      <c r="F122" s="246">
        <v>48</v>
      </c>
      <c r="G122" s="246">
        <v>10</v>
      </c>
      <c r="H122" s="246">
        <v>78</v>
      </c>
      <c r="I122" s="246">
        <f>18+108</f>
        <v>126</v>
      </c>
      <c r="J122" s="246">
        <v>-487</v>
      </c>
      <c r="K122" s="97">
        <f t="shared" si="8"/>
        <v>231</v>
      </c>
      <c r="L122" s="247"/>
      <c r="M122" s="245" t="s">
        <v>497</v>
      </c>
      <c r="N122" s="246">
        <v>4</v>
      </c>
      <c r="O122" s="246">
        <v>7</v>
      </c>
      <c r="P122" s="246">
        <v>7</v>
      </c>
      <c r="Q122" s="246">
        <v>8</v>
      </c>
      <c r="R122" s="246">
        <v>1</v>
      </c>
      <c r="S122" s="246">
        <v>0</v>
      </c>
      <c r="T122" s="246">
        <v>4</v>
      </c>
      <c r="U122" s="246">
        <v>27</v>
      </c>
      <c r="V122" s="246">
        <v>5</v>
      </c>
      <c r="W122" s="97">
        <v>2</v>
      </c>
      <c r="X122" s="246">
        <v>38</v>
      </c>
      <c r="Y122" s="246">
        <v>0</v>
      </c>
      <c r="Z122" s="246">
        <v>4</v>
      </c>
      <c r="AA122" s="246">
        <v>1</v>
      </c>
      <c r="AB122" s="246">
        <v>0</v>
      </c>
      <c r="AC122" s="246">
        <v>2</v>
      </c>
      <c r="AD122" s="246">
        <v>33</v>
      </c>
      <c r="AE122" s="246">
        <v>27</v>
      </c>
      <c r="AF122" s="246">
        <v>0</v>
      </c>
      <c r="AG122" s="246">
        <v>0</v>
      </c>
      <c r="AH122" s="246">
        <v>2</v>
      </c>
      <c r="AI122" s="246">
        <v>2</v>
      </c>
      <c r="AJ122" s="246">
        <v>1</v>
      </c>
      <c r="AK122" s="246">
        <v>2</v>
      </c>
      <c r="AL122" s="246">
        <v>1</v>
      </c>
      <c r="AM122" s="246">
        <v>17</v>
      </c>
      <c r="AN122" s="97">
        <v>0</v>
      </c>
      <c r="AO122" s="97">
        <v>10</v>
      </c>
      <c r="AP122" s="97">
        <v>3</v>
      </c>
      <c r="AQ122" s="97">
        <v>0</v>
      </c>
      <c r="AR122" s="97">
        <v>0</v>
      </c>
      <c r="AS122" s="97">
        <v>0</v>
      </c>
      <c r="AT122" s="97">
        <v>0</v>
      </c>
      <c r="AU122" s="246"/>
      <c r="AV122" s="246">
        <f t="shared" si="12"/>
        <v>208</v>
      </c>
      <c r="AW122" s="246">
        <v>23</v>
      </c>
      <c r="AX122" s="97">
        <v>0</v>
      </c>
      <c r="AY122" s="97">
        <f t="shared" si="9"/>
        <v>231</v>
      </c>
      <c r="AZ122" s="246">
        <f t="shared" si="11"/>
        <v>0</v>
      </c>
    </row>
    <row r="123" spans="1:53" s="262" customFormat="1" x14ac:dyDescent="0.2">
      <c r="A123" s="243">
        <v>11</v>
      </c>
      <c r="B123" s="234" t="s">
        <v>278</v>
      </c>
      <c r="C123" s="234" t="s">
        <v>416</v>
      </c>
      <c r="D123" s="244">
        <v>100809</v>
      </c>
      <c r="E123" s="245">
        <f>268+30+49</f>
        <v>347</v>
      </c>
      <c r="F123" s="246">
        <v>234</v>
      </c>
      <c r="G123" s="246">
        <v>4</v>
      </c>
      <c r="H123" s="246">
        <f>372+30+124</f>
        <v>526</v>
      </c>
      <c r="I123" s="246">
        <f>108+22</f>
        <v>130</v>
      </c>
      <c r="J123" s="246">
        <v>5</v>
      </c>
      <c r="K123" s="97">
        <f t="shared" si="8"/>
        <v>1246</v>
      </c>
      <c r="L123" s="247"/>
      <c r="M123" s="245" t="s">
        <v>330</v>
      </c>
      <c r="N123" s="246">
        <v>0</v>
      </c>
      <c r="O123" s="246">
        <v>0</v>
      </c>
      <c r="P123" s="246">
        <v>0</v>
      </c>
      <c r="Q123" s="246">
        <v>0</v>
      </c>
      <c r="R123" s="246">
        <v>0</v>
      </c>
      <c r="S123" s="246">
        <v>0</v>
      </c>
      <c r="T123" s="246">
        <v>0</v>
      </c>
      <c r="U123" s="246">
        <v>0</v>
      </c>
      <c r="V123" s="246">
        <v>0</v>
      </c>
      <c r="W123" s="97">
        <v>0</v>
      </c>
      <c r="X123" s="246">
        <v>0</v>
      </c>
      <c r="Y123" s="246">
        <v>0</v>
      </c>
      <c r="Z123" s="246">
        <v>0</v>
      </c>
      <c r="AA123" s="246">
        <v>0</v>
      </c>
      <c r="AB123" s="246">
        <v>0</v>
      </c>
      <c r="AC123" s="246">
        <v>0</v>
      </c>
      <c r="AD123" s="246">
        <v>0</v>
      </c>
      <c r="AE123" s="246">
        <v>0</v>
      </c>
      <c r="AF123" s="246">
        <v>0</v>
      </c>
      <c r="AG123" s="246">
        <v>0</v>
      </c>
      <c r="AH123" s="246">
        <v>0</v>
      </c>
      <c r="AI123" s="246">
        <v>0</v>
      </c>
      <c r="AJ123" s="246">
        <v>0</v>
      </c>
      <c r="AK123" s="246">
        <v>0</v>
      </c>
      <c r="AL123" s="246">
        <v>0</v>
      </c>
      <c r="AM123" s="246">
        <v>0</v>
      </c>
      <c r="AN123" s="246">
        <v>0</v>
      </c>
      <c r="AO123" s="246">
        <v>0</v>
      </c>
      <c r="AP123" s="246">
        <v>0</v>
      </c>
      <c r="AQ123" s="97">
        <v>0</v>
      </c>
      <c r="AR123" s="97">
        <v>0</v>
      </c>
      <c r="AS123" s="97">
        <v>0</v>
      </c>
      <c r="AT123" s="97">
        <v>0</v>
      </c>
      <c r="AU123" s="246"/>
      <c r="AV123" s="246">
        <f t="shared" si="12"/>
        <v>0</v>
      </c>
      <c r="AW123" s="246">
        <v>0</v>
      </c>
      <c r="AX123" s="97">
        <v>1246</v>
      </c>
      <c r="AY123" s="97">
        <f t="shared" si="9"/>
        <v>1246</v>
      </c>
      <c r="AZ123" s="246">
        <f t="shared" si="11"/>
        <v>0</v>
      </c>
      <c r="BA123" s="263"/>
    </row>
    <row r="124" spans="1:53" s="264" customFormat="1" x14ac:dyDescent="0.2">
      <c r="A124" s="85"/>
      <c r="B124" s="19"/>
      <c r="C124" s="19"/>
      <c r="D124" s="197"/>
      <c r="E124" s="218"/>
      <c r="F124" s="97"/>
      <c r="G124" s="97"/>
      <c r="H124" s="218"/>
      <c r="I124" s="218"/>
      <c r="J124" s="218"/>
      <c r="K124" s="97">
        <f t="shared" si="8"/>
        <v>0</v>
      </c>
      <c r="L124" s="219"/>
      <c r="M124" s="218"/>
      <c r="N124" s="97"/>
      <c r="O124" s="97"/>
      <c r="P124" s="97"/>
      <c r="Q124" s="97">
        <v>0</v>
      </c>
      <c r="R124" s="220"/>
      <c r="S124" s="97"/>
      <c r="T124" s="97"/>
      <c r="U124" s="97"/>
      <c r="V124" s="97"/>
      <c r="W124" s="97">
        <v>0</v>
      </c>
      <c r="X124" s="97"/>
      <c r="Y124" s="97"/>
      <c r="Z124" s="97"/>
      <c r="AA124" s="97"/>
      <c r="AB124" s="97"/>
      <c r="AC124" s="97"/>
      <c r="AD124" s="97"/>
      <c r="AE124" s="97"/>
      <c r="AF124" s="97"/>
      <c r="AG124" s="97"/>
      <c r="AH124" s="97"/>
      <c r="AI124" s="97"/>
      <c r="AJ124" s="97"/>
      <c r="AK124" s="97"/>
      <c r="AL124" s="97"/>
      <c r="AM124" s="97"/>
      <c r="AN124" s="97"/>
      <c r="AO124" s="97"/>
      <c r="AP124" s="97"/>
      <c r="AQ124" s="97"/>
      <c r="AR124" s="97"/>
      <c r="AS124" s="97"/>
      <c r="AT124" s="97"/>
      <c r="AU124" s="97"/>
      <c r="AV124" s="97"/>
      <c r="AW124" s="97"/>
      <c r="AX124" s="97">
        <v>0</v>
      </c>
      <c r="AY124" s="97">
        <f t="shared" si="9"/>
        <v>0</v>
      </c>
      <c r="AZ124" s="97"/>
    </row>
    <row r="125" spans="1:53" s="263" customFormat="1" x14ac:dyDescent="0.2">
      <c r="A125" s="85"/>
      <c r="B125" s="19"/>
      <c r="C125" s="19"/>
      <c r="D125" s="197"/>
      <c r="E125" s="218"/>
      <c r="F125" s="97"/>
      <c r="G125" s="97"/>
      <c r="H125" s="218"/>
      <c r="I125" s="218"/>
      <c r="J125" s="218"/>
      <c r="K125" s="97">
        <f t="shared" si="8"/>
        <v>0</v>
      </c>
      <c r="L125" s="219"/>
      <c r="M125" s="218"/>
      <c r="N125" s="97"/>
      <c r="O125" s="97"/>
      <c r="P125" s="97"/>
      <c r="Q125" s="97">
        <v>0</v>
      </c>
      <c r="R125" s="97"/>
      <c r="S125" s="97"/>
      <c r="T125" s="97"/>
      <c r="U125" s="97"/>
      <c r="V125" s="97"/>
      <c r="W125" s="97">
        <v>0</v>
      </c>
      <c r="X125" s="97"/>
      <c r="Y125" s="97"/>
      <c r="Z125" s="97"/>
      <c r="AA125" s="97"/>
      <c r="AB125" s="97"/>
      <c r="AC125" s="97"/>
      <c r="AD125" s="97"/>
      <c r="AE125" s="97"/>
      <c r="AF125" s="97"/>
      <c r="AG125" s="97"/>
      <c r="AH125" s="97"/>
      <c r="AI125" s="97"/>
      <c r="AJ125" s="97"/>
      <c r="AK125" s="97"/>
      <c r="AL125" s="97"/>
      <c r="AM125" s="97"/>
      <c r="AN125" s="97"/>
      <c r="AO125" s="97"/>
      <c r="AP125" s="97"/>
      <c r="AQ125" s="97"/>
      <c r="AR125" s="97"/>
      <c r="AS125" s="97"/>
      <c r="AT125" s="97"/>
      <c r="AU125" s="97"/>
      <c r="AV125" s="97"/>
      <c r="AW125" s="97"/>
      <c r="AX125" s="97">
        <v>0</v>
      </c>
      <c r="AY125" s="97">
        <f t="shared" si="9"/>
        <v>0</v>
      </c>
      <c r="AZ125" s="97"/>
    </row>
    <row r="126" spans="1:53" s="263" customFormat="1" x14ac:dyDescent="0.2">
      <c r="A126" s="85">
        <v>11</v>
      </c>
      <c r="B126" s="19" t="s">
        <v>541</v>
      </c>
      <c r="C126" s="19" t="s">
        <v>428</v>
      </c>
      <c r="D126" s="197">
        <v>100090</v>
      </c>
      <c r="E126" s="218">
        <f>754+51+78</f>
        <v>883</v>
      </c>
      <c r="F126" s="97">
        <v>40</v>
      </c>
      <c r="G126" s="97">
        <v>5</v>
      </c>
      <c r="H126" s="218">
        <v>0</v>
      </c>
      <c r="I126" s="218">
        <f>30+132</f>
        <v>162</v>
      </c>
      <c r="J126" s="218">
        <v>-290</v>
      </c>
      <c r="K126" s="97">
        <f t="shared" si="8"/>
        <v>800</v>
      </c>
      <c r="L126" s="219"/>
      <c r="M126" s="218" t="s">
        <v>497</v>
      </c>
      <c r="N126" s="97">
        <v>13</v>
      </c>
      <c r="O126" s="97">
        <v>24</v>
      </c>
      <c r="P126" s="97">
        <v>26</v>
      </c>
      <c r="Q126" s="97">
        <v>27</v>
      </c>
      <c r="R126" s="97">
        <v>2</v>
      </c>
      <c r="S126" s="97">
        <v>0</v>
      </c>
      <c r="T126" s="97">
        <v>14</v>
      </c>
      <c r="U126" s="97">
        <v>93</v>
      </c>
      <c r="V126" s="97">
        <v>18</v>
      </c>
      <c r="W126" s="97">
        <v>7</v>
      </c>
      <c r="X126" s="97">
        <v>130</v>
      </c>
      <c r="Y126" s="97">
        <v>1</v>
      </c>
      <c r="Z126" s="97">
        <v>15</v>
      </c>
      <c r="AA126" s="97">
        <v>3</v>
      </c>
      <c r="AB126" s="97">
        <v>1</v>
      </c>
      <c r="AC126" s="97">
        <v>6</v>
      </c>
      <c r="AD126" s="97">
        <v>115</v>
      </c>
      <c r="AE126" s="97">
        <v>93</v>
      </c>
      <c r="AF126" s="97">
        <v>1</v>
      </c>
      <c r="AG126" s="97">
        <v>0</v>
      </c>
      <c r="AH126" s="97">
        <v>6</v>
      </c>
      <c r="AI126" s="97">
        <v>6</v>
      </c>
      <c r="AJ126" s="97">
        <v>3</v>
      </c>
      <c r="AK126" s="97">
        <v>8</v>
      </c>
      <c r="AL126" s="97">
        <v>3</v>
      </c>
      <c r="AM126" s="97">
        <v>60</v>
      </c>
      <c r="AN126" s="97">
        <v>0</v>
      </c>
      <c r="AO126" s="97">
        <v>35</v>
      </c>
      <c r="AP126" s="97">
        <v>9</v>
      </c>
      <c r="AQ126" s="97">
        <v>0</v>
      </c>
      <c r="AR126" s="97">
        <v>0</v>
      </c>
      <c r="AS126" s="97">
        <v>0</v>
      </c>
      <c r="AT126" s="97">
        <v>0</v>
      </c>
      <c r="AU126" s="97"/>
      <c r="AV126" s="97">
        <f t="shared" ref="AV126:AV181" si="13">SUM(N126:AU126)</f>
        <v>719</v>
      </c>
      <c r="AW126" s="97">
        <v>81</v>
      </c>
      <c r="AX126" s="97">
        <v>0</v>
      </c>
      <c r="AY126" s="97">
        <f t="shared" si="9"/>
        <v>800</v>
      </c>
      <c r="AZ126" s="97">
        <f t="shared" ref="AZ126:AZ158" si="14">+K126-AY126</f>
        <v>0</v>
      </c>
    </row>
    <row r="127" spans="1:53" s="263" customFormat="1" x14ac:dyDescent="0.2">
      <c r="A127" s="85">
        <v>11</v>
      </c>
      <c r="B127" s="19" t="s">
        <v>535</v>
      </c>
      <c r="C127" s="19" t="s">
        <v>536</v>
      </c>
      <c r="D127" s="197">
        <v>100091</v>
      </c>
      <c r="E127" s="218">
        <f>413+30+57</f>
        <v>500</v>
      </c>
      <c r="F127" s="97">
        <v>65</v>
      </c>
      <c r="G127" s="97">
        <v>6</v>
      </c>
      <c r="H127" s="218">
        <f>110+10+1</f>
        <v>121</v>
      </c>
      <c r="I127" s="218">
        <f>12+6</f>
        <v>18</v>
      </c>
      <c r="J127" s="218">
        <v>17</v>
      </c>
      <c r="K127" s="97">
        <f t="shared" si="8"/>
        <v>727</v>
      </c>
      <c r="L127" s="219"/>
      <c r="M127" s="218" t="s">
        <v>243</v>
      </c>
      <c r="N127" s="97">
        <v>0</v>
      </c>
      <c r="O127" s="97">
        <v>0</v>
      </c>
      <c r="P127" s="97">
        <v>0</v>
      </c>
      <c r="Q127" s="97">
        <v>0</v>
      </c>
      <c r="R127" s="97">
        <v>0</v>
      </c>
      <c r="S127" s="97">
        <v>0</v>
      </c>
      <c r="T127" s="97">
        <v>0</v>
      </c>
      <c r="U127" s="97">
        <v>0</v>
      </c>
      <c r="V127" s="97">
        <v>0</v>
      </c>
      <c r="W127" s="97">
        <v>0</v>
      </c>
      <c r="X127" s="97">
        <v>0</v>
      </c>
      <c r="Y127" s="97">
        <v>0</v>
      </c>
      <c r="Z127" s="97">
        <v>0</v>
      </c>
      <c r="AA127" s="97">
        <v>0</v>
      </c>
      <c r="AB127" s="97">
        <v>0</v>
      </c>
      <c r="AC127" s="97">
        <v>0</v>
      </c>
      <c r="AD127" s="97">
        <v>0</v>
      </c>
      <c r="AE127" s="97">
        <v>0</v>
      </c>
      <c r="AF127" s="97">
        <v>0</v>
      </c>
      <c r="AG127" s="97">
        <v>0</v>
      </c>
      <c r="AH127" s="97">
        <v>0</v>
      </c>
      <c r="AI127" s="97">
        <v>0</v>
      </c>
      <c r="AJ127" s="97">
        <v>0</v>
      </c>
      <c r="AK127" s="97">
        <v>0</v>
      </c>
      <c r="AL127" s="97">
        <v>0</v>
      </c>
      <c r="AM127" s="97">
        <v>0</v>
      </c>
      <c r="AN127" s="97">
        <v>0</v>
      </c>
      <c r="AO127" s="97">
        <v>0</v>
      </c>
      <c r="AP127" s="97">
        <v>0</v>
      </c>
      <c r="AQ127" s="97">
        <v>0</v>
      </c>
      <c r="AR127" s="97">
        <v>0</v>
      </c>
      <c r="AS127" s="97">
        <v>0</v>
      </c>
      <c r="AT127" s="97">
        <v>0</v>
      </c>
      <c r="AU127" s="97">
        <v>0</v>
      </c>
      <c r="AV127" s="97">
        <f t="shared" si="13"/>
        <v>0</v>
      </c>
      <c r="AW127" s="97">
        <v>727</v>
      </c>
      <c r="AX127" s="97">
        <v>0</v>
      </c>
      <c r="AY127" s="97">
        <f t="shared" si="9"/>
        <v>727</v>
      </c>
      <c r="AZ127" s="97">
        <f t="shared" si="14"/>
        <v>0</v>
      </c>
    </row>
    <row r="128" spans="1:53" s="263" customFormat="1" x14ac:dyDescent="0.2">
      <c r="A128" s="85">
        <v>11</v>
      </c>
      <c r="B128" s="19" t="s">
        <v>407</v>
      </c>
      <c r="C128" s="19" t="s">
        <v>145</v>
      </c>
      <c r="D128" s="197">
        <v>100098</v>
      </c>
      <c r="E128" s="218">
        <v>0</v>
      </c>
      <c r="F128" s="97">
        <v>0</v>
      </c>
      <c r="G128" s="97">
        <v>0</v>
      </c>
      <c r="H128" s="218">
        <v>0</v>
      </c>
      <c r="I128" s="218">
        <v>0</v>
      </c>
      <c r="J128" s="218">
        <v>0</v>
      </c>
      <c r="K128" s="97">
        <f t="shared" si="8"/>
        <v>0</v>
      </c>
      <c r="L128" s="219"/>
      <c r="M128" s="218" t="s">
        <v>455</v>
      </c>
      <c r="N128" s="97">
        <v>0</v>
      </c>
      <c r="O128" s="97">
        <v>0</v>
      </c>
      <c r="P128" s="97">
        <v>0</v>
      </c>
      <c r="Q128" s="97">
        <v>0</v>
      </c>
      <c r="R128" s="97">
        <v>0</v>
      </c>
      <c r="S128" s="97">
        <v>0</v>
      </c>
      <c r="T128" s="97">
        <v>0</v>
      </c>
      <c r="U128" s="97">
        <v>0</v>
      </c>
      <c r="V128" s="97">
        <v>0</v>
      </c>
      <c r="W128" s="97">
        <v>0</v>
      </c>
      <c r="X128" s="97">
        <v>0</v>
      </c>
      <c r="Y128" s="97">
        <v>0</v>
      </c>
      <c r="Z128" s="97">
        <v>0</v>
      </c>
      <c r="AA128" s="97">
        <v>0</v>
      </c>
      <c r="AB128" s="97">
        <v>0</v>
      </c>
      <c r="AC128" s="97">
        <v>0</v>
      </c>
      <c r="AD128" s="97">
        <v>0</v>
      </c>
      <c r="AE128" s="97">
        <v>0</v>
      </c>
      <c r="AF128" s="97">
        <v>0</v>
      </c>
      <c r="AG128" s="97">
        <v>0</v>
      </c>
      <c r="AH128" s="97">
        <v>0</v>
      </c>
      <c r="AI128" s="97">
        <v>0</v>
      </c>
      <c r="AJ128" s="97">
        <v>0</v>
      </c>
      <c r="AK128" s="97">
        <v>0</v>
      </c>
      <c r="AL128" s="97">
        <v>0</v>
      </c>
      <c r="AM128" s="97">
        <v>0</v>
      </c>
      <c r="AN128" s="97">
        <v>0</v>
      </c>
      <c r="AO128" s="97">
        <v>0</v>
      </c>
      <c r="AP128" s="97">
        <v>0</v>
      </c>
      <c r="AQ128" s="97">
        <v>0</v>
      </c>
      <c r="AR128" s="97">
        <v>0</v>
      </c>
      <c r="AS128" s="97">
        <v>0</v>
      </c>
      <c r="AT128" s="97">
        <v>0</v>
      </c>
      <c r="AU128" s="97"/>
      <c r="AV128" s="97">
        <f t="shared" si="13"/>
        <v>0</v>
      </c>
      <c r="AW128" s="97">
        <v>0</v>
      </c>
      <c r="AX128" s="97">
        <v>0</v>
      </c>
      <c r="AY128" s="97">
        <f t="shared" si="9"/>
        <v>0</v>
      </c>
      <c r="AZ128" s="97">
        <f t="shared" si="14"/>
        <v>0</v>
      </c>
    </row>
    <row r="129" spans="1:52" s="263" customFormat="1" x14ac:dyDescent="0.2">
      <c r="A129" s="84" t="s">
        <v>272</v>
      </c>
      <c r="B129" s="29" t="s">
        <v>417</v>
      </c>
      <c r="C129" s="19" t="s">
        <v>136</v>
      </c>
      <c r="D129" s="197">
        <v>100114</v>
      </c>
      <c r="E129" s="218">
        <v>0</v>
      </c>
      <c r="F129" s="97">
        <v>0</v>
      </c>
      <c r="G129" s="97">
        <v>0</v>
      </c>
      <c r="H129" s="218">
        <v>0</v>
      </c>
      <c r="I129" s="218">
        <v>0</v>
      </c>
      <c r="J129" s="218">
        <v>48198</v>
      </c>
      <c r="K129" s="97">
        <f t="shared" si="8"/>
        <v>48198</v>
      </c>
      <c r="L129" s="219"/>
      <c r="M129" s="218" t="s">
        <v>456</v>
      </c>
      <c r="N129" s="97">
        <v>0</v>
      </c>
      <c r="O129" s="97">
        <v>0</v>
      </c>
      <c r="P129" s="97">
        <v>0</v>
      </c>
      <c r="Q129" s="97"/>
      <c r="R129" s="97">
        <v>0</v>
      </c>
      <c r="S129" s="97">
        <v>0</v>
      </c>
      <c r="T129" s="97">
        <v>0</v>
      </c>
      <c r="U129" s="97">
        <v>0</v>
      </c>
      <c r="V129" s="97">
        <v>0</v>
      </c>
      <c r="W129" s="97">
        <v>0</v>
      </c>
      <c r="X129" s="97">
        <v>0</v>
      </c>
      <c r="Y129" s="97">
        <v>0</v>
      </c>
      <c r="Z129" s="97">
        <v>0</v>
      </c>
      <c r="AA129" s="97">
        <v>0</v>
      </c>
      <c r="AB129" s="97">
        <v>0</v>
      </c>
      <c r="AC129" s="97">
        <v>0</v>
      </c>
      <c r="AD129" s="97">
        <v>0</v>
      </c>
      <c r="AE129" s="97">
        <v>0</v>
      </c>
      <c r="AF129" s="97">
        <v>0</v>
      </c>
      <c r="AG129" s="97">
        <v>0</v>
      </c>
      <c r="AH129" s="97">
        <v>0</v>
      </c>
      <c r="AI129" s="97">
        <v>0</v>
      </c>
      <c r="AJ129" s="97">
        <v>0</v>
      </c>
      <c r="AK129" s="97">
        <v>0</v>
      </c>
      <c r="AL129" s="97">
        <v>0</v>
      </c>
      <c r="AM129" s="97">
        <v>0</v>
      </c>
      <c r="AN129" s="97">
        <v>0</v>
      </c>
      <c r="AO129" s="97">
        <v>0</v>
      </c>
      <c r="AP129" s="97">
        <v>0</v>
      </c>
      <c r="AQ129" s="97">
        <v>0</v>
      </c>
      <c r="AR129" s="97">
        <v>0</v>
      </c>
      <c r="AS129" s="97">
        <v>0</v>
      </c>
      <c r="AT129" s="97">
        <v>0</v>
      </c>
      <c r="AU129" s="97"/>
      <c r="AV129" s="97">
        <f t="shared" si="13"/>
        <v>0</v>
      </c>
      <c r="AW129" s="97">
        <v>48198</v>
      </c>
      <c r="AX129" s="97">
        <v>0</v>
      </c>
      <c r="AY129" s="97">
        <f t="shared" si="9"/>
        <v>48198</v>
      </c>
      <c r="AZ129" s="97">
        <f t="shared" si="14"/>
        <v>0</v>
      </c>
    </row>
    <row r="130" spans="1:52" s="262" customFormat="1" x14ac:dyDescent="0.2">
      <c r="A130" s="243">
        <v>11</v>
      </c>
      <c r="B130" s="234" t="s">
        <v>513</v>
      </c>
      <c r="C130" s="234" t="s">
        <v>415</v>
      </c>
      <c r="D130" s="244">
        <v>100144</v>
      </c>
      <c r="E130" s="245">
        <f>505+45+95</f>
        <v>645</v>
      </c>
      <c r="F130" s="246">
        <v>127</v>
      </c>
      <c r="G130" s="246">
        <v>-1153</v>
      </c>
      <c r="H130" s="245">
        <f>42+84+314</f>
        <v>440</v>
      </c>
      <c r="I130" s="245">
        <f>8+53</f>
        <v>61</v>
      </c>
      <c r="J130" s="245">
        <v>46</v>
      </c>
      <c r="K130" s="97">
        <f t="shared" si="8"/>
        <v>166</v>
      </c>
      <c r="L130" s="247"/>
      <c r="M130" s="245" t="s">
        <v>295</v>
      </c>
      <c r="N130" s="246">
        <v>0</v>
      </c>
      <c r="O130" s="246">
        <v>0</v>
      </c>
      <c r="P130" s="246">
        <v>0</v>
      </c>
      <c r="Q130" s="246">
        <v>0</v>
      </c>
      <c r="R130" s="246">
        <v>0</v>
      </c>
      <c r="S130" s="246">
        <v>0</v>
      </c>
      <c r="T130" s="246">
        <v>0</v>
      </c>
      <c r="U130" s="246">
        <v>0</v>
      </c>
      <c r="V130" s="246">
        <v>0</v>
      </c>
      <c r="W130" s="97">
        <v>0</v>
      </c>
      <c r="X130" s="246">
        <v>0</v>
      </c>
      <c r="Y130" s="246">
        <v>0</v>
      </c>
      <c r="Z130" s="246">
        <v>0</v>
      </c>
      <c r="AA130" s="246">
        <v>0</v>
      </c>
      <c r="AB130" s="246">
        <v>0</v>
      </c>
      <c r="AC130" s="246">
        <v>0</v>
      </c>
      <c r="AD130" s="246">
        <v>0</v>
      </c>
      <c r="AE130" s="246">
        <v>0</v>
      </c>
      <c r="AF130" s="246">
        <v>0</v>
      </c>
      <c r="AG130" s="246">
        <v>0</v>
      </c>
      <c r="AH130" s="246">
        <v>0</v>
      </c>
      <c r="AI130" s="246">
        <v>0</v>
      </c>
      <c r="AJ130" s="246">
        <v>0</v>
      </c>
      <c r="AK130" s="246">
        <v>0</v>
      </c>
      <c r="AL130" s="246">
        <v>0</v>
      </c>
      <c r="AM130" s="246">
        <v>0</v>
      </c>
      <c r="AN130" s="97">
        <v>0</v>
      </c>
      <c r="AO130" s="97">
        <v>0</v>
      </c>
      <c r="AP130" s="97">
        <v>0</v>
      </c>
      <c r="AQ130" s="97">
        <v>0</v>
      </c>
      <c r="AR130" s="97">
        <v>0</v>
      </c>
      <c r="AS130" s="97">
        <v>0</v>
      </c>
      <c r="AT130" s="97">
        <v>0</v>
      </c>
      <c r="AU130" s="246"/>
      <c r="AV130" s="246">
        <f>SUM(N130:AU130)</f>
        <v>0</v>
      </c>
      <c r="AW130" s="246">
        <v>166</v>
      </c>
      <c r="AX130" s="97">
        <v>0</v>
      </c>
      <c r="AY130" s="97">
        <f t="shared" si="9"/>
        <v>166</v>
      </c>
      <c r="AZ130" s="246">
        <f t="shared" si="14"/>
        <v>0</v>
      </c>
    </row>
    <row r="131" spans="1:52" s="263" customFormat="1" x14ac:dyDescent="0.2">
      <c r="A131" s="85">
        <v>11</v>
      </c>
      <c r="B131" s="19" t="s">
        <v>397</v>
      </c>
      <c r="C131" s="19" t="s">
        <v>433</v>
      </c>
      <c r="D131" s="197">
        <v>100226</v>
      </c>
      <c r="E131" s="218">
        <v>0</v>
      </c>
      <c r="F131" s="97">
        <v>0</v>
      </c>
      <c r="G131" s="97">
        <v>0</v>
      </c>
      <c r="H131" s="218">
        <v>0</v>
      </c>
      <c r="I131" s="218">
        <v>0</v>
      </c>
      <c r="J131" s="218">
        <v>34444</v>
      </c>
      <c r="K131" s="97">
        <f t="shared" si="8"/>
        <v>34444</v>
      </c>
      <c r="L131" s="219"/>
      <c r="M131" s="218" t="s">
        <v>90</v>
      </c>
      <c r="N131" s="97">
        <v>1393</v>
      </c>
      <c r="O131" s="97">
        <v>6008</v>
      </c>
      <c r="P131" s="97">
        <v>420</v>
      </c>
      <c r="Q131" s="97">
        <v>999</v>
      </c>
      <c r="R131" s="97">
        <v>21</v>
      </c>
      <c r="S131" s="97">
        <v>460</v>
      </c>
      <c r="T131" s="97">
        <v>8</v>
      </c>
      <c r="U131" s="97">
        <v>5241</v>
      </c>
      <c r="V131" s="97">
        <f>240-80-5</f>
        <v>155</v>
      </c>
      <c r="W131" s="97">
        <f>80+5</f>
        <v>85</v>
      </c>
      <c r="X131" s="97">
        <f>8492-535-357</f>
        <v>7600</v>
      </c>
      <c r="Y131" s="97">
        <v>10</v>
      </c>
      <c r="Z131" s="97">
        <v>2019</v>
      </c>
      <c r="AA131" s="97">
        <v>152</v>
      </c>
      <c r="AB131" s="97">
        <v>903</v>
      </c>
      <c r="AC131" s="97">
        <v>63</v>
      </c>
      <c r="AD131" s="97">
        <v>1514</v>
      </c>
      <c r="AE131" s="97">
        <v>949</v>
      </c>
      <c r="AF131" s="97">
        <v>1045</v>
      </c>
      <c r="AG131" s="97">
        <v>0</v>
      </c>
      <c r="AH131" s="97">
        <v>155</v>
      </c>
      <c r="AI131" s="97">
        <v>218</v>
      </c>
      <c r="AJ131" s="97">
        <v>131</v>
      </c>
      <c r="AK131" s="97">
        <v>85</v>
      </c>
      <c r="AL131" s="97">
        <f>1313-722</f>
        <v>591</v>
      </c>
      <c r="AM131" s="97">
        <v>508</v>
      </c>
      <c r="AN131" s="97">
        <v>0</v>
      </c>
      <c r="AO131" s="97">
        <f>535+722</f>
        <v>1257</v>
      </c>
      <c r="AP131" s="97">
        <v>357</v>
      </c>
      <c r="AQ131" s="97">
        <v>0</v>
      </c>
      <c r="AR131" s="97">
        <v>0</v>
      </c>
      <c r="AS131" s="97">
        <v>0</v>
      </c>
      <c r="AT131" s="97">
        <v>0</v>
      </c>
      <c r="AU131" s="97"/>
      <c r="AV131" s="246">
        <f>SUM(N131:AU131)</f>
        <v>32347</v>
      </c>
      <c r="AW131" s="97">
        <f>2097</f>
        <v>2097</v>
      </c>
      <c r="AX131" s="97">
        <v>0</v>
      </c>
      <c r="AY131" s="97">
        <f t="shared" si="9"/>
        <v>34444</v>
      </c>
      <c r="AZ131" s="97">
        <f t="shared" si="14"/>
        <v>0</v>
      </c>
    </row>
    <row r="132" spans="1:52" s="263" customFormat="1" x14ac:dyDescent="0.2">
      <c r="A132" s="85">
        <v>11</v>
      </c>
      <c r="B132" s="19" t="s">
        <v>532</v>
      </c>
      <c r="C132" s="19" t="s">
        <v>533</v>
      </c>
      <c r="D132" s="197">
        <v>100245</v>
      </c>
      <c r="E132" s="218">
        <f>218+14+30</f>
        <v>262</v>
      </c>
      <c r="F132" s="97">
        <v>25</v>
      </c>
      <c r="G132" s="97">
        <v>0</v>
      </c>
      <c r="H132" s="218">
        <v>50</v>
      </c>
      <c r="I132" s="218">
        <v>0</v>
      </c>
      <c r="J132" s="218">
        <v>34900</v>
      </c>
      <c r="K132" s="97">
        <f t="shared" si="8"/>
        <v>35237</v>
      </c>
      <c r="L132" s="219"/>
      <c r="M132" s="218" t="s">
        <v>295</v>
      </c>
      <c r="N132" s="97">
        <v>0</v>
      </c>
      <c r="O132" s="97">
        <v>0</v>
      </c>
      <c r="P132" s="97">
        <v>0</v>
      </c>
      <c r="Q132" s="97">
        <v>0</v>
      </c>
      <c r="R132" s="97">
        <v>0</v>
      </c>
      <c r="S132" s="97">
        <v>0</v>
      </c>
      <c r="T132" s="97">
        <v>0</v>
      </c>
      <c r="U132" s="97">
        <v>0</v>
      </c>
      <c r="V132" s="97">
        <v>0</v>
      </c>
      <c r="W132" s="97">
        <v>0</v>
      </c>
      <c r="X132" s="97">
        <v>0</v>
      </c>
      <c r="Y132" s="97">
        <v>0</v>
      </c>
      <c r="Z132" s="97">
        <v>0</v>
      </c>
      <c r="AA132" s="97">
        <v>0</v>
      </c>
      <c r="AB132" s="97">
        <v>700</v>
      </c>
      <c r="AC132" s="97">
        <v>0</v>
      </c>
      <c r="AD132" s="97">
        <v>0</v>
      </c>
      <c r="AE132" s="97">
        <v>0</v>
      </c>
      <c r="AF132" s="97">
        <v>0</v>
      </c>
      <c r="AG132" s="97">
        <v>0</v>
      </c>
      <c r="AH132" s="97">
        <v>3600</v>
      </c>
      <c r="AI132" s="97">
        <v>20000</v>
      </c>
      <c r="AJ132" s="97">
        <v>5300</v>
      </c>
      <c r="AK132" s="97">
        <v>0</v>
      </c>
      <c r="AL132" s="97">
        <f>3200-800</f>
        <v>2400</v>
      </c>
      <c r="AM132" s="97">
        <v>0</v>
      </c>
      <c r="AN132" s="97">
        <v>0</v>
      </c>
      <c r="AO132" s="97">
        <v>800</v>
      </c>
      <c r="AP132" s="97">
        <v>0</v>
      </c>
      <c r="AQ132" s="97">
        <v>2100</v>
      </c>
      <c r="AR132" s="97">
        <v>0</v>
      </c>
      <c r="AS132" s="97">
        <v>0</v>
      </c>
      <c r="AT132" s="97">
        <v>0</v>
      </c>
      <c r="AU132" s="97"/>
      <c r="AV132" s="246">
        <f>SUM(N132:AU132)</f>
        <v>34900</v>
      </c>
      <c r="AW132" s="97">
        <v>337</v>
      </c>
      <c r="AX132" s="97"/>
      <c r="AY132" s="97">
        <f t="shared" si="9"/>
        <v>35237</v>
      </c>
      <c r="AZ132" s="97">
        <f t="shared" si="14"/>
        <v>0</v>
      </c>
    </row>
    <row r="133" spans="1:52" s="263" customFormat="1" x14ac:dyDescent="0.2">
      <c r="A133" s="85">
        <v>11</v>
      </c>
      <c r="B133" s="19" t="s">
        <v>467</v>
      </c>
      <c r="C133" s="19" t="s">
        <v>488</v>
      </c>
      <c r="D133" s="197">
        <v>100818</v>
      </c>
      <c r="E133" s="218">
        <f>696+42+64</f>
        <v>802</v>
      </c>
      <c r="F133" s="97">
        <v>203</v>
      </c>
      <c r="G133" s="97">
        <v>90</v>
      </c>
      <c r="H133" s="218">
        <f>13+6+12</f>
        <v>31</v>
      </c>
      <c r="I133" s="218">
        <f>6+66</f>
        <v>72</v>
      </c>
      <c r="J133" s="218">
        <v>183</v>
      </c>
      <c r="K133" s="97">
        <f t="shared" si="8"/>
        <v>1381</v>
      </c>
      <c r="L133" s="219"/>
      <c r="M133" s="218" t="s">
        <v>468</v>
      </c>
      <c r="N133" s="97">
        <v>0</v>
      </c>
      <c r="O133" s="97">
        <v>0</v>
      </c>
      <c r="P133" s="97">
        <v>0</v>
      </c>
      <c r="Q133" s="97">
        <v>0</v>
      </c>
      <c r="R133" s="97">
        <v>0</v>
      </c>
      <c r="S133" s="97">
        <v>0</v>
      </c>
      <c r="T133" s="97">
        <v>0</v>
      </c>
      <c r="U133" s="97">
        <v>0</v>
      </c>
      <c r="V133" s="97">
        <v>0</v>
      </c>
      <c r="W133" s="97">
        <v>0</v>
      </c>
      <c r="X133" s="97">
        <v>0</v>
      </c>
      <c r="Y133" s="97">
        <v>0</v>
      </c>
      <c r="Z133" s="97">
        <v>0</v>
      </c>
      <c r="AA133" s="97">
        <v>0</v>
      </c>
      <c r="AB133" s="97">
        <v>0</v>
      </c>
      <c r="AC133" s="97">
        <v>0</v>
      </c>
      <c r="AD133" s="97">
        <v>276</v>
      </c>
      <c r="AE133" s="97">
        <v>276</v>
      </c>
      <c r="AF133" s="97">
        <v>0</v>
      </c>
      <c r="AG133" s="97">
        <v>0</v>
      </c>
      <c r="AH133" s="97">
        <v>0</v>
      </c>
      <c r="AI133" s="97">
        <v>0</v>
      </c>
      <c r="AJ133" s="97">
        <v>0</v>
      </c>
      <c r="AK133" s="97">
        <v>0</v>
      </c>
      <c r="AL133" s="97">
        <f>276</f>
        <v>276</v>
      </c>
      <c r="AM133" s="97">
        <v>0</v>
      </c>
      <c r="AN133" s="97">
        <v>0</v>
      </c>
      <c r="AO133" s="97">
        <v>553</v>
      </c>
      <c r="AP133" s="97">
        <v>0</v>
      </c>
      <c r="AQ133" s="97">
        <v>0</v>
      </c>
      <c r="AR133" s="97">
        <v>0</v>
      </c>
      <c r="AS133" s="97">
        <v>0</v>
      </c>
      <c r="AT133" s="97">
        <v>0</v>
      </c>
      <c r="AU133" s="97"/>
      <c r="AV133" s="246">
        <f>SUM(N133:AU133)</f>
        <v>1381</v>
      </c>
      <c r="AW133" s="97">
        <v>0</v>
      </c>
      <c r="AX133" s="97">
        <v>0</v>
      </c>
      <c r="AY133" s="97">
        <f t="shared" si="9"/>
        <v>1381</v>
      </c>
      <c r="AZ133" s="97">
        <f t="shared" si="14"/>
        <v>0</v>
      </c>
    </row>
    <row r="134" spans="1:52" s="263" customFormat="1" x14ac:dyDescent="0.2">
      <c r="A134" s="85">
        <v>11</v>
      </c>
      <c r="B134" s="19" t="s">
        <v>406</v>
      </c>
      <c r="C134" s="19" t="s">
        <v>434</v>
      </c>
      <c r="D134" s="197">
        <v>100830</v>
      </c>
      <c r="E134" s="218">
        <f>275+17+24</f>
        <v>316</v>
      </c>
      <c r="F134" s="97">
        <v>60</v>
      </c>
      <c r="G134" s="97">
        <v>0</v>
      </c>
      <c r="H134" s="218">
        <v>0</v>
      </c>
      <c r="I134" s="218">
        <f>18+18</f>
        <v>36</v>
      </c>
      <c r="J134" s="218">
        <v>-200</v>
      </c>
      <c r="K134" s="97">
        <f t="shared" si="8"/>
        <v>212</v>
      </c>
      <c r="L134" s="219"/>
      <c r="M134" s="218" t="s">
        <v>497</v>
      </c>
      <c r="N134" s="97">
        <v>3</v>
      </c>
      <c r="O134" s="97">
        <v>6</v>
      </c>
      <c r="P134" s="97">
        <v>7</v>
      </c>
      <c r="Q134" s="97">
        <v>7</v>
      </c>
      <c r="R134" s="97">
        <v>1</v>
      </c>
      <c r="S134" s="97">
        <v>0</v>
      </c>
      <c r="T134" s="97">
        <v>4</v>
      </c>
      <c r="U134" s="97">
        <v>25</v>
      </c>
      <c r="V134" s="97">
        <v>4</v>
      </c>
      <c r="W134" s="97">
        <v>2</v>
      </c>
      <c r="X134" s="97">
        <v>34</v>
      </c>
      <c r="Y134" s="97">
        <v>0</v>
      </c>
      <c r="Z134" s="97">
        <v>4</v>
      </c>
      <c r="AA134" s="97">
        <v>1</v>
      </c>
      <c r="AB134" s="97">
        <v>0</v>
      </c>
      <c r="AC134" s="97">
        <v>2</v>
      </c>
      <c r="AD134" s="97">
        <v>31</v>
      </c>
      <c r="AE134" s="97">
        <v>25</v>
      </c>
      <c r="AF134" s="97">
        <v>0</v>
      </c>
      <c r="AG134" s="97">
        <v>0</v>
      </c>
      <c r="AH134" s="97">
        <v>2</v>
      </c>
      <c r="AI134" s="97">
        <v>2</v>
      </c>
      <c r="AJ134" s="97">
        <v>1</v>
      </c>
      <c r="AK134" s="97">
        <v>2</v>
      </c>
      <c r="AL134" s="97">
        <v>1</v>
      </c>
      <c r="AM134" s="97">
        <v>16</v>
      </c>
      <c r="AN134" s="97">
        <v>0</v>
      </c>
      <c r="AO134" s="97">
        <v>9</v>
      </c>
      <c r="AP134" s="97">
        <v>2</v>
      </c>
      <c r="AQ134" s="97">
        <v>0</v>
      </c>
      <c r="AR134" s="97">
        <v>0</v>
      </c>
      <c r="AS134" s="97">
        <v>0</v>
      </c>
      <c r="AT134" s="97">
        <v>0</v>
      </c>
      <c r="AU134" s="97"/>
      <c r="AV134" s="97">
        <f t="shared" si="13"/>
        <v>191</v>
      </c>
      <c r="AW134" s="97">
        <v>21</v>
      </c>
      <c r="AX134" s="97">
        <v>0</v>
      </c>
      <c r="AY134" s="97">
        <f t="shared" si="9"/>
        <v>212</v>
      </c>
      <c r="AZ134" s="97">
        <f t="shared" si="14"/>
        <v>0</v>
      </c>
    </row>
    <row r="135" spans="1:52" s="262" customFormat="1" x14ac:dyDescent="0.2">
      <c r="A135" s="243">
        <v>11</v>
      </c>
      <c r="B135" s="234" t="s">
        <v>450</v>
      </c>
      <c r="C135" s="234" t="s">
        <v>451</v>
      </c>
      <c r="D135" s="244">
        <v>100865</v>
      </c>
      <c r="E135" s="245">
        <v>0</v>
      </c>
      <c r="F135" s="246">
        <v>0</v>
      </c>
      <c r="G135" s="246">
        <v>0</v>
      </c>
      <c r="H135" s="245">
        <v>0</v>
      </c>
      <c r="I135" s="245">
        <v>12</v>
      </c>
      <c r="J135" s="245">
        <v>0</v>
      </c>
      <c r="K135" s="97">
        <f t="shared" si="8"/>
        <v>12</v>
      </c>
      <c r="L135" s="247"/>
      <c r="M135" s="245" t="s">
        <v>243</v>
      </c>
      <c r="N135" s="246">
        <v>0</v>
      </c>
      <c r="O135" s="246">
        <v>0</v>
      </c>
      <c r="P135" s="246">
        <v>0</v>
      </c>
      <c r="Q135" s="246">
        <v>0</v>
      </c>
      <c r="R135" s="246">
        <v>0</v>
      </c>
      <c r="S135" s="246">
        <v>0</v>
      </c>
      <c r="T135" s="246">
        <v>0</v>
      </c>
      <c r="U135" s="246">
        <v>0</v>
      </c>
      <c r="V135" s="246">
        <v>0</v>
      </c>
      <c r="W135" s="97">
        <v>0</v>
      </c>
      <c r="X135" s="246">
        <v>0</v>
      </c>
      <c r="Y135" s="246">
        <v>0</v>
      </c>
      <c r="Z135" s="246">
        <v>0</v>
      </c>
      <c r="AA135" s="246">
        <v>0</v>
      </c>
      <c r="AB135" s="246">
        <v>0</v>
      </c>
      <c r="AC135" s="246">
        <v>0</v>
      </c>
      <c r="AD135" s="246">
        <v>0</v>
      </c>
      <c r="AE135" s="246">
        <v>0</v>
      </c>
      <c r="AF135" s="246">
        <v>0</v>
      </c>
      <c r="AG135" s="246">
        <v>0</v>
      </c>
      <c r="AH135" s="246">
        <v>0</v>
      </c>
      <c r="AI135" s="246">
        <v>0</v>
      </c>
      <c r="AJ135" s="246">
        <v>0</v>
      </c>
      <c r="AK135" s="246">
        <v>0</v>
      </c>
      <c r="AL135" s="246">
        <v>0</v>
      </c>
      <c r="AM135" s="246">
        <v>0</v>
      </c>
      <c r="AN135" s="246">
        <v>0</v>
      </c>
      <c r="AO135" s="97">
        <v>0</v>
      </c>
      <c r="AP135" s="97">
        <v>0</v>
      </c>
      <c r="AQ135" s="97">
        <v>0</v>
      </c>
      <c r="AR135" s="97">
        <v>0</v>
      </c>
      <c r="AS135" s="97">
        <v>0</v>
      </c>
      <c r="AT135" s="97">
        <v>0</v>
      </c>
      <c r="AU135" s="246"/>
      <c r="AV135" s="246">
        <f>SUM(N135:AU135)</f>
        <v>0</v>
      </c>
      <c r="AW135" s="246">
        <v>12</v>
      </c>
      <c r="AX135" s="97">
        <v>0</v>
      </c>
      <c r="AY135" s="97">
        <f t="shared" si="9"/>
        <v>12</v>
      </c>
      <c r="AZ135" s="246">
        <f t="shared" si="14"/>
        <v>0</v>
      </c>
    </row>
    <row r="136" spans="1:52" s="262" customFormat="1" x14ac:dyDescent="0.2">
      <c r="A136" s="243">
        <v>11</v>
      </c>
      <c r="B136" s="234" t="s">
        <v>452</v>
      </c>
      <c r="C136" s="234" t="s">
        <v>453</v>
      </c>
      <c r="D136" s="244">
        <v>100870</v>
      </c>
      <c r="E136" s="245">
        <f>393+35+56</f>
        <v>484</v>
      </c>
      <c r="F136" s="246">
        <v>43</v>
      </c>
      <c r="G136" s="246">
        <v>5</v>
      </c>
      <c r="H136" s="245">
        <f>1+1</f>
        <v>2</v>
      </c>
      <c r="I136" s="245">
        <v>1</v>
      </c>
      <c r="J136" s="245">
        <v>6</v>
      </c>
      <c r="K136" s="97">
        <f t="shared" si="8"/>
        <v>541</v>
      </c>
      <c r="L136" s="247"/>
      <c r="M136" s="218" t="s">
        <v>90</v>
      </c>
      <c r="N136" s="97">
        <v>0</v>
      </c>
      <c r="O136" s="97">
        <v>0</v>
      </c>
      <c r="P136" s="97">
        <v>259</v>
      </c>
      <c r="Q136" s="97">
        <v>280</v>
      </c>
      <c r="R136" s="97">
        <v>0</v>
      </c>
      <c r="S136" s="97">
        <v>0</v>
      </c>
      <c r="T136" s="97">
        <v>0</v>
      </c>
      <c r="U136" s="97">
        <v>0</v>
      </c>
      <c r="V136" s="97">
        <v>0</v>
      </c>
      <c r="W136" s="97">
        <v>0</v>
      </c>
      <c r="X136" s="97">
        <v>0</v>
      </c>
      <c r="Y136" s="97">
        <v>0</v>
      </c>
      <c r="Z136" s="97">
        <v>0</v>
      </c>
      <c r="AA136" s="97">
        <v>0</v>
      </c>
      <c r="AB136" s="97">
        <v>0</v>
      </c>
      <c r="AC136" s="97">
        <v>0</v>
      </c>
      <c r="AD136" s="97">
        <v>0</v>
      </c>
      <c r="AE136" s="97">
        <v>0</v>
      </c>
      <c r="AF136" s="97">
        <v>0</v>
      </c>
      <c r="AG136" s="97">
        <v>0</v>
      </c>
      <c r="AH136" s="97">
        <v>0</v>
      </c>
      <c r="AI136" s="97">
        <v>0</v>
      </c>
      <c r="AJ136" s="97">
        <v>0</v>
      </c>
      <c r="AK136" s="97">
        <v>0</v>
      </c>
      <c r="AL136" s="97">
        <v>0</v>
      </c>
      <c r="AM136" s="246">
        <v>0</v>
      </c>
      <c r="AN136" s="246">
        <v>0</v>
      </c>
      <c r="AO136" s="97">
        <v>0</v>
      </c>
      <c r="AP136" s="97">
        <v>0</v>
      </c>
      <c r="AQ136" s="97">
        <v>0</v>
      </c>
      <c r="AR136" s="97">
        <v>0</v>
      </c>
      <c r="AS136" s="97">
        <v>0</v>
      </c>
      <c r="AT136" s="97">
        <v>0</v>
      </c>
      <c r="AU136" s="246"/>
      <c r="AV136" s="246">
        <f>SUM(N136:AU136)</f>
        <v>539</v>
      </c>
      <c r="AW136" s="97">
        <v>2</v>
      </c>
      <c r="AX136" s="97">
        <v>0</v>
      </c>
      <c r="AY136" s="97">
        <f t="shared" si="9"/>
        <v>541</v>
      </c>
      <c r="AZ136" s="97">
        <f t="shared" si="14"/>
        <v>0</v>
      </c>
    </row>
    <row r="137" spans="1:52" s="263" customFormat="1" x14ac:dyDescent="0.2">
      <c r="A137" s="85">
        <v>11</v>
      </c>
      <c r="B137" s="19" t="s">
        <v>421</v>
      </c>
      <c r="C137" s="19" t="s">
        <v>435</v>
      </c>
      <c r="D137" s="197">
        <v>100872</v>
      </c>
      <c r="E137" s="218">
        <f>520+54+86</f>
        <v>660</v>
      </c>
      <c r="F137" s="97">
        <v>64</v>
      </c>
      <c r="G137" s="97">
        <v>7</v>
      </c>
      <c r="H137" s="218">
        <f>18+7</f>
        <v>25</v>
      </c>
      <c r="I137" s="218">
        <f>2+77</f>
        <v>79</v>
      </c>
      <c r="J137" s="218">
        <v>5</v>
      </c>
      <c r="K137" s="97">
        <f t="shared" si="8"/>
        <v>840</v>
      </c>
      <c r="L137" s="219"/>
      <c r="M137" s="218" t="s">
        <v>90</v>
      </c>
      <c r="N137" s="97">
        <v>0</v>
      </c>
      <c r="O137" s="97">
        <v>0</v>
      </c>
      <c r="P137" s="97">
        <v>0</v>
      </c>
      <c r="Q137" s="97">
        <v>0</v>
      </c>
      <c r="R137" s="97">
        <v>0</v>
      </c>
      <c r="S137" s="97">
        <v>0</v>
      </c>
      <c r="T137" s="97">
        <v>0</v>
      </c>
      <c r="U137" s="97">
        <v>0</v>
      </c>
      <c r="V137" s="97">
        <v>0</v>
      </c>
      <c r="W137" s="97">
        <v>0</v>
      </c>
      <c r="X137" s="97">
        <f>840-194-129</f>
        <v>517</v>
      </c>
      <c r="Y137" s="97">
        <v>0</v>
      </c>
      <c r="Z137" s="97">
        <v>0</v>
      </c>
      <c r="AA137" s="97">
        <v>0</v>
      </c>
      <c r="AB137" s="97">
        <v>0</v>
      </c>
      <c r="AC137" s="97">
        <v>0</v>
      </c>
      <c r="AD137" s="97">
        <v>0</v>
      </c>
      <c r="AE137" s="97">
        <v>0</v>
      </c>
      <c r="AF137" s="97">
        <v>0</v>
      </c>
      <c r="AG137" s="97">
        <v>0</v>
      </c>
      <c r="AH137" s="97">
        <v>0</v>
      </c>
      <c r="AI137" s="97">
        <v>0</v>
      </c>
      <c r="AJ137" s="97">
        <v>0</v>
      </c>
      <c r="AK137" s="97">
        <v>0</v>
      </c>
      <c r="AL137" s="97">
        <v>0</v>
      </c>
      <c r="AM137" s="246">
        <v>0</v>
      </c>
      <c r="AN137" s="246">
        <v>0</v>
      </c>
      <c r="AO137" s="97">
        <v>194</v>
      </c>
      <c r="AP137" s="97">
        <v>129</v>
      </c>
      <c r="AQ137" s="97">
        <v>0</v>
      </c>
      <c r="AR137" s="97">
        <v>0</v>
      </c>
      <c r="AS137" s="97">
        <v>0</v>
      </c>
      <c r="AT137" s="97">
        <v>0</v>
      </c>
      <c r="AU137" s="97"/>
      <c r="AV137" s="97">
        <f>SUM(N137:AU137)</f>
        <v>840</v>
      </c>
      <c r="AW137" s="97">
        <v>0</v>
      </c>
      <c r="AX137" s="97">
        <v>0</v>
      </c>
      <c r="AY137" s="97">
        <f t="shared" si="9"/>
        <v>840</v>
      </c>
      <c r="AZ137" s="97">
        <f t="shared" si="14"/>
        <v>0</v>
      </c>
    </row>
    <row r="138" spans="1:52" s="263" customFormat="1" x14ac:dyDescent="0.2">
      <c r="A138" s="85">
        <v>11</v>
      </c>
      <c r="B138" s="19" t="s">
        <v>422</v>
      </c>
      <c r="C138" s="19" t="s">
        <v>435</v>
      </c>
      <c r="D138" s="197">
        <v>100873</v>
      </c>
      <c r="E138" s="218">
        <v>0</v>
      </c>
      <c r="F138" s="97">
        <v>0</v>
      </c>
      <c r="G138" s="97">
        <v>0</v>
      </c>
      <c r="H138" s="218">
        <v>0</v>
      </c>
      <c r="I138" s="218">
        <v>0</v>
      </c>
      <c r="J138" s="218">
        <v>0</v>
      </c>
      <c r="K138" s="97">
        <f t="shared" si="8"/>
        <v>0</v>
      </c>
      <c r="L138" s="219"/>
      <c r="M138" s="218" t="s">
        <v>90</v>
      </c>
      <c r="N138" s="97">
        <v>0</v>
      </c>
      <c r="O138" s="97">
        <v>0</v>
      </c>
      <c r="P138" s="97">
        <v>0</v>
      </c>
      <c r="Q138" s="97">
        <v>0</v>
      </c>
      <c r="R138" s="97">
        <v>0</v>
      </c>
      <c r="S138" s="97">
        <v>0</v>
      </c>
      <c r="T138" s="97">
        <v>0</v>
      </c>
      <c r="U138" s="97">
        <v>0</v>
      </c>
      <c r="V138" s="97">
        <v>0</v>
      </c>
      <c r="W138" s="97">
        <v>0</v>
      </c>
      <c r="X138" s="97">
        <v>0</v>
      </c>
      <c r="Y138" s="97">
        <v>0</v>
      </c>
      <c r="Z138" s="97">
        <v>0</v>
      </c>
      <c r="AA138" s="97">
        <v>0</v>
      </c>
      <c r="AB138" s="97">
        <v>0</v>
      </c>
      <c r="AC138" s="97">
        <v>0</v>
      </c>
      <c r="AD138" s="97">
        <v>0</v>
      </c>
      <c r="AE138" s="97">
        <v>0</v>
      </c>
      <c r="AF138" s="97">
        <v>0</v>
      </c>
      <c r="AG138" s="97">
        <v>0</v>
      </c>
      <c r="AH138" s="97">
        <v>0</v>
      </c>
      <c r="AI138" s="97">
        <v>0</v>
      </c>
      <c r="AJ138" s="97">
        <v>0</v>
      </c>
      <c r="AK138" s="97">
        <v>0</v>
      </c>
      <c r="AL138" s="97">
        <v>0</v>
      </c>
      <c r="AM138" s="246">
        <v>0</v>
      </c>
      <c r="AN138" s="246">
        <v>0</v>
      </c>
      <c r="AO138" s="97">
        <v>0</v>
      </c>
      <c r="AP138" s="97">
        <v>0</v>
      </c>
      <c r="AQ138" s="97">
        <v>0</v>
      </c>
      <c r="AR138" s="97">
        <v>0</v>
      </c>
      <c r="AS138" s="97">
        <v>0</v>
      </c>
      <c r="AT138" s="97">
        <v>0</v>
      </c>
      <c r="AU138" s="97"/>
      <c r="AV138" s="246">
        <f>SUM(N138:AU138)</f>
        <v>0</v>
      </c>
      <c r="AW138" s="97">
        <v>0</v>
      </c>
      <c r="AX138" s="97">
        <v>0</v>
      </c>
      <c r="AY138" s="97">
        <f t="shared" si="9"/>
        <v>0</v>
      </c>
      <c r="AZ138" s="97">
        <f t="shared" si="14"/>
        <v>0</v>
      </c>
    </row>
    <row r="139" spans="1:52" s="263" customFormat="1" x14ac:dyDescent="0.2">
      <c r="A139" s="85">
        <v>11</v>
      </c>
      <c r="B139" s="19" t="s">
        <v>549</v>
      </c>
      <c r="C139" s="19" t="s">
        <v>436</v>
      </c>
      <c r="D139" s="197">
        <v>100874</v>
      </c>
      <c r="E139" s="218">
        <f>436+52+66</f>
        <v>554</v>
      </c>
      <c r="F139" s="97">
        <v>77</v>
      </c>
      <c r="G139" s="97">
        <v>54</v>
      </c>
      <c r="H139" s="218">
        <v>17</v>
      </c>
      <c r="I139" s="218">
        <f>24+172</f>
        <v>196</v>
      </c>
      <c r="J139" s="218">
        <v>3</v>
      </c>
      <c r="K139" s="97">
        <f t="shared" si="8"/>
        <v>901</v>
      </c>
      <c r="L139" s="219"/>
      <c r="M139" s="218" t="s">
        <v>243</v>
      </c>
      <c r="N139" s="97">
        <v>0</v>
      </c>
      <c r="O139" s="97">
        <v>0</v>
      </c>
      <c r="P139" s="97">
        <v>0</v>
      </c>
      <c r="Q139" s="97">
        <v>0</v>
      </c>
      <c r="R139" s="97">
        <v>0</v>
      </c>
      <c r="S139" s="97">
        <v>0</v>
      </c>
      <c r="T139" s="97">
        <v>0</v>
      </c>
      <c r="U139" s="97">
        <v>0</v>
      </c>
      <c r="V139" s="97">
        <v>0</v>
      </c>
      <c r="W139" s="97">
        <v>0</v>
      </c>
      <c r="X139" s="97">
        <v>0</v>
      </c>
      <c r="Y139" s="97">
        <v>0</v>
      </c>
      <c r="Z139" s="97">
        <v>0</v>
      </c>
      <c r="AA139" s="97">
        <v>0</v>
      </c>
      <c r="AB139" s="97">
        <v>0</v>
      </c>
      <c r="AC139" s="97">
        <v>0</v>
      </c>
      <c r="AD139" s="97">
        <v>0</v>
      </c>
      <c r="AE139" s="97">
        <v>0</v>
      </c>
      <c r="AF139" s="97">
        <v>0</v>
      </c>
      <c r="AG139" s="97">
        <v>0</v>
      </c>
      <c r="AH139" s="97">
        <v>0</v>
      </c>
      <c r="AI139" s="97">
        <v>0</v>
      </c>
      <c r="AJ139" s="97">
        <v>0</v>
      </c>
      <c r="AK139" s="97">
        <v>0</v>
      </c>
      <c r="AL139" s="97">
        <v>0</v>
      </c>
      <c r="AM139" s="246">
        <v>0</v>
      </c>
      <c r="AN139" s="246">
        <v>0</v>
      </c>
      <c r="AO139" s="97">
        <v>0</v>
      </c>
      <c r="AP139" s="97">
        <v>0</v>
      </c>
      <c r="AQ139" s="97">
        <v>0</v>
      </c>
      <c r="AR139" s="97">
        <v>0</v>
      </c>
      <c r="AS139" s="97">
        <v>0</v>
      </c>
      <c r="AT139" s="97">
        <v>0</v>
      </c>
      <c r="AU139" s="97"/>
      <c r="AV139" s="97">
        <f t="shared" si="13"/>
        <v>0</v>
      </c>
      <c r="AW139" s="97">
        <v>901</v>
      </c>
      <c r="AX139" s="97">
        <v>0</v>
      </c>
      <c r="AY139" s="97">
        <f t="shared" si="9"/>
        <v>901</v>
      </c>
      <c r="AZ139" s="97">
        <f t="shared" si="14"/>
        <v>0</v>
      </c>
    </row>
    <row r="140" spans="1:52" s="263" customFormat="1" x14ac:dyDescent="0.2">
      <c r="A140" s="85">
        <v>11</v>
      </c>
      <c r="B140" s="19" t="s">
        <v>550</v>
      </c>
      <c r="C140" s="19" t="s">
        <v>436</v>
      </c>
      <c r="D140" s="197">
        <v>100875</v>
      </c>
      <c r="E140" s="218">
        <f>405+29+46</f>
        <v>480</v>
      </c>
      <c r="F140" s="97">
        <v>79</v>
      </c>
      <c r="G140" s="97">
        <v>0</v>
      </c>
      <c r="H140" s="218">
        <v>8</v>
      </c>
      <c r="I140" s="218">
        <f>3+26</f>
        <v>29</v>
      </c>
      <c r="J140" s="218">
        <v>8</v>
      </c>
      <c r="K140" s="97">
        <f t="shared" si="8"/>
        <v>604</v>
      </c>
      <c r="L140" s="219"/>
      <c r="M140" s="218" t="s">
        <v>243</v>
      </c>
      <c r="N140" s="97">
        <v>0</v>
      </c>
      <c r="O140" s="97">
        <v>0</v>
      </c>
      <c r="P140" s="97">
        <v>0</v>
      </c>
      <c r="Q140" s="97">
        <v>0</v>
      </c>
      <c r="R140" s="97">
        <v>0</v>
      </c>
      <c r="S140" s="97">
        <v>0</v>
      </c>
      <c r="T140" s="97">
        <v>0</v>
      </c>
      <c r="U140" s="97">
        <v>0</v>
      </c>
      <c r="V140" s="97">
        <v>0</v>
      </c>
      <c r="W140" s="97">
        <v>0</v>
      </c>
      <c r="X140" s="97">
        <v>0</v>
      </c>
      <c r="Y140" s="97">
        <v>0</v>
      </c>
      <c r="Z140" s="97">
        <v>0</v>
      </c>
      <c r="AA140" s="97">
        <v>0</v>
      </c>
      <c r="AB140" s="97">
        <v>0</v>
      </c>
      <c r="AC140" s="97">
        <v>0</v>
      </c>
      <c r="AD140" s="97">
        <v>0</v>
      </c>
      <c r="AE140" s="97">
        <v>0</v>
      </c>
      <c r="AF140" s="97">
        <v>0</v>
      </c>
      <c r="AG140" s="97">
        <v>0</v>
      </c>
      <c r="AH140" s="97">
        <v>0</v>
      </c>
      <c r="AI140" s="97">
        <v>0</v>
      </c>
      <c r="AJ140" s="97">
        <v>0</v>
      </c>
      <c r="AK140" s="97">
        <v>0</v>
      </c>
      <c r="AL140" s="97">
        <v>0</v>
      </c>
      <c r="AM140" s="246">
        <v>0</v>
      </c>
      <c r="AN140" s="246">
        <v>0</v>
      </c>
      <c r="AO140" s="97">
        <v>0</v>
      </c>
      <c r="AP140" s="97">
        <v>0</v>
      </c>
      <c r="AQ140" s="97">
        <v>0</v>
      </c>
      <c r="AR140" s="97">
        <v>0</v>
      </c>
      <c r="AS140" s="97">
        <v>0</v>
      </c>
      <c r="AT140" s="97">
        <v>0</v>
      </c>
      <c r="AU140" s="97"/>
      <c r="AV140" s="97">
        <f t="shared" si="13"/>
        <v>0</v>
      </c>
      <c r="AW140" s="97">
        <v>604</v>
      </c>
      <c r="AX140" s="97">
        <v>0</v>
      </c>
      <c r="AY140" s="97">
        <f t="shared" si="9"/>
        <v>604</v>
      </c>
      <c r="AZ140" s="97">
        <f t="shared" si="14"/>
        <v>0</v>
      </c>
    </row>
    <row r="141" spans="1:52" s="263" customFormat="1" x14ac:dyDescent="0.2">
      <c r="A141" s="85">
        <v>11</v>
      </c>
      <c r="B141" s="19" t="s">
        <v>551</v>
      </c>
      <c r="C141" s="19" t="s">
        <v>436</v>
      </c>
      <c r="D141" s="197">
        <v>100876</v>
      </c>
      <c r="E141" s="218">
        <f>2883+236+391</f>
        <v>3510</v>
      </c>
      <c r="F141" s="97">
        <v>176</v>
      </c>
      <c r="G141" s="97">
        <v>0</v>
      </c>
      <c r="H141" s="218">
        <f>-262+12</f>
        <v>-250</v>
      </c>
      <c r="I141" s="218">
        <f>36+299</f>
        <v>335</v>
      </c>
      <c r="J141" s="218">
        <v>-1089</v>
      </c>
      <c r="K141" s="97">
        <f t="shared" ref="K141:K190" si="15">SUM(E141:J141)</f>
        <v>2682</v>
      </c>
      <c r="L141" s="219"/>
      <c r="M141" s="218" t="s">
        <v>243</v>
      </c>
      <c r="N141" s="97">
        <v>0</v>
      </c>
      <c r="O141" s="97">
        <v>0</v>
      </c>
      <c r="P141" s="97">
        <v>0</v>
      </c>
      <c r="Q141" s="97">
        <v>0</v>
      </c>
      <c r="R141" s="97">
        <v>0</v>
      </c>
      <c r="S141" s="97">
        <v>0</v>
      </c>
      <c r="T141" s="97">
        <v>0</v>
      </c>
      <c r="U141" s="97">
        <v>0</v>
      </c>
      <c r="V141" s="97">
        <v>0</v>
      </c>
      <c r="W141" s="97">
        <v>0</v>
      </c>
      <c r="X141" s="97">
        <v>0</v>
      </c>
      <c r="Y141" s="97">
        <v>0</v>
      </c>
      <c r="Z141" s="97">
        <v>0</v>
      </c>
      <c r="AA141" s="97">
        <v>0</v>
      </c>
      <c r="AB141" s="97">
        <v>0</v>
      </c>
      <c r="AC141" s="97">
        <v>0</v>
      </c>
      <c r="AD141" s="97">
        <v>0</v>
      </c>
      <c r="AE141" s="97">
        <v>0</v>
      </c>
      <c r="AF141" s="97">
        <v>0</v>
      </c>
      <c r="AG141" s="97">
        <v>0</v>
      </c>
      <c r="AH141" s="97">
        <v>0</v>
      </c>
      <c r="AI141" s="97">
        <v>0</v>
      </c>
      <c r="AJ141" s="97">
        <v>0</v>
      </c>
      <c r="AK141" s="97">
        <v>0</v>
      </c>
      <c r="AL141" s="97">
        <v>0</v>
      </c>
      <c r="AM141" s="246">
        <v>0</v>
      </c>
      <c r="AN141" s="246">
        <v>0</v>
      </c>
      <c r="AO141" s="97">
        <v>0</v>
      </c>
      <c r="AP141" s="97">
        <v>0</v>
      </c>
      <c r="AQ141" s="97">
        <v>0</v>
      </c>
      <c r="AR141" s="97">
        <v>0</v>
      </c>
      <c r="AS141" s="97">
        <v>0</v>
      </c>
      <c r="AT141" s="97">
        <v>0</v>
      </c>
      <c r="AU141" s="97"/>
      <c r="AV141" s="97">
        <f t="shared" si="13"/>
        <v>0</v>
      </c>
      <c r="AW141" s="97">
        <v>2682</v>
      </c>
      <c r="AX141" s="97">
        <v>0</v>
      </c>
      <c r="AY141" s="97">
        <f t="shared" si="9"/>
        <v>2682</v>
      </c>
      <c r="AZ141" s="97">
        <f t="shared" si="14"/>
        <v>0</v>
      </c>
    </row>
    <row r="142" spans="1:52" s="263" customFormat="1" x14ac:dyDescent="0.2">
      <c r="A142" s="85">
        <v>11</v>
      </c>
      <c r="B142" s="19" t="s">
        <v>552</v>
      </c>
      <c r="C142" s="19" t="s">
        <v>436</v>
      </c>
      <c r="D142" s="197">
        <v>100877</v>
      </c>
      <c r="E142" s="218">
        <f>901+94+136</f>
        <v>1131</v>
      </c>
      <c r="F142" s="97">
        <v>74</v>
      </c>
      <c r="G142" s="97">
        <v>0</v>
      </c>
      <c r="H142" s="218">
        <v>420</v>
      </c>
      <c r="I142" s="218">
        <f>2+20</f>
        <v>22</v>
      </c>
      <c r="J142" s="218">
        <v>27</v>
      </c>
      <c r="K142" s="97">
        <f t="shared" si="15"/>
        <v>1674</v>
      </c>
      <c r="L142" s="219"/>
      <c r="M142" s="218" t="s">
        <v>243</v>
      </c>
      <c r="N142" s="97">
        <v>0</v>
      </c>
      <c r="O142" s="97">
        <v>0</v>
      </c>
      <c r="P142" s="97">
        <v>0</v>
      </c>
      <c r="Q142" s="97">
        <v>0</v>
      </c>
      <c r="R142" s="97">
        <v>0</v>
      </c>
      <c r="S142" s="97">
        <v>0</v>
      </c>
      <c r="T142" s="97">
        <v>0</v>
      </c>
      <c r="U142" s="97">
        <v>0</v>
      </c>
      <c r="V142" s="97">
        <v>0</v>
      </c>
      <c r="W142" s="97">
        <v>0</v>
      </c>
      <c r="X142" s="97">
        <v>0</v>
      </c>
      <c r="Y142" s="97">
        <v>0</v>
      </c>
      <c r="Z142" s="97">
        <v>0</v>
      </c>
      <c r="AA142" s="97">
        <v>0</v>
      </c>
      <c r="AB142" s="97">
        <v>0</v>
      </c>
      <c r="AC142" s="97">
        <v>0</v>
      </c>
      <c r="AD142" s="97">
        <v>0</v>
      </c>
      <c r="AE142" s="97">
        <v>0</v>
      </c>
      <c r="AF142" s="97">
        <v>0</v>
      </c>
      <c r="AG142" s="97">
        <v>0</v>
      </c>
      <c r="AH142" s="97">
        <v>0</v>
      </c>
      <c r="AI142" s="97">
        <v>0</v>
      </c>
      <c r="AJ142" s="97">
        <v>0</v>
      </c>
      <c r="AK142" s="97">
        <v>0</v>
      </c>
      <c r="AL142" s="97">
        <v>0</v>
      </c>
      <c r="AM142" s="246">
        <v>0</v>
      </c>
      <c r="AN142" s="246">
        <v>0</v>
      </c>
      <c r="AO142" s="97">
        <v>0</v>
      </c>
      <c r="AP142" s="97">
        <v>0</v>
      </c>
      <c r="AQ142" s="97">
        <v>0</v>
      </c>
      <c r="AR142" s="97">
        <v>0</v>
      </c>
      <c r="AS142" s="97">
        <v>0</v>
      </c>
      <c r="AT142" s="97">
        <v>0</v>
      </c>
      <c r="AU142" s="97"/>
      <c r="AV142" s="97">
        <f t="shared" si="13"/>
        <v>0</v>
      </c>
      <c r="AW142" s="97">
        <v>1674</v>
      </c>
      <c r="AX142" s="97">
        <v>0</v>
      </c>
      <c r="AY142" s="97">
        <f t="shared" ref="AY142:AY190" si="16">+AV142+AW142+AX142</f>
        <v>1674</v>
      </c>
      <c r="AZ142" s="97">
        <f t="shared" si="14"/>
        <v>0</v>
      </c>
    </row>
    <row r="143" spans="1:52" s="263" customFormat="1" x14ac:dyDescent="0.2">
      <c r="A143" s="85">
        <v>1</v>
      </c>
      <c r="B143" s="19" t="s">
        <v>396</v>
      </c>
      <c r="C143" s="19" t="s">
        <v>475</v>
      </c>
      <c r="D143" s="197">
        <v>100879</v>
      </c>
      <c r="E143" s="218">
        <f>797+77+130</f>
        <v>1004</v>
      </c>
      <c r="F143" s="97">
        <v>-198</v>
      </c>
      <c r="G143" s="97">
        <v>32</v>
      </c>
      <c r="H143" s="218">
        <f>473+2+6</f>
        <v>481</v>
      </c>
      <c r="I143" s="218">
        <f>43+187</f>
        <v>230</v>
      </c>
      <c r="J143" s="218">
        <v>-50</v>
      </c>
      <c r="K143" s="97">
        <f t="shared" si="15"/>
        <v>1499</v>
      </c>
      <c r="L143" s="219"/>
      <c r="M143" s="218" t="s">
        <v>497</v>
      </c>
      <c r="N143" s="97">
        <v>24</v>
      </c>
      <c r="O143" s="97">
        <v>45</v>
      </c>
      <c r="P143" s="97">
        <v>48</v>
      </c>
      <c r="Q143" s="97">
        <v>51</v>
      </c>
      <c r="R143" s="97">
        <v>5</v>
      </c>
      <c r="S143" s="97">
        <v>0</v>
      </c>
      <c r="T143" s="97">
        <v>27</v>
      </c>
      <c r="U143" s="97">
        <v>175</v>
      </c>
      <c r="V143" s="97">
        <v>33</v>
      </c>
      <c r="W143" s="97">
        <v>13</v>
      </c>
      <c r="X143" s="97">
        <v>244</v>
      </c>
      <c r="Y143" s="97">
        <v>2</v>
      </c>
      <c r="Z143" s="97">
        <v>27</v>
      </c>
      <c r="AA143" s="97">
        <v>5</v>
      </c>
      <c r="AB143" s="97">
        <v>1</v>
      </c>
      <c r="AC143" s="97">
        <v>11</v>
      </c>
      <c r="AD143" s="97">
        <v>216</v>
      </c>
      <c r="AE143" s="97">
        <v>174</v>
      </c>
      <c r="AF143" s="97">
        <v>2</v>
      </c>
      <c r="AG143" s="97">
        <v>0</v>
      </c>
      <c r="AH143" s="97">
        <v>12</v>
      </c>
      <c r="AI143" s="97">
        <v>12</v>
      </c>
      <c r="AJ143" s="97">
        <v>6</v>
      </c>
      <c r="AK143" s="97">
        <v>14</v>
      </c>
      <c r="AL143" s="97">
        <v>5</v>
      </c>
      <c r="AM143" s="97">
        <v>112</v>
      </c>
      <c r="AN143" s="97">
        <v>0</v>
      </c>
      <c r="AO143" s="97">
        <v>65</v>
      </c>
      <c r="AP143" s="97">
        <v>18</v>
      </c>
      <c r="AQ143" s="97">
        <v>0</v>
      </c>
      <c r="AR143" s="97">
        <v>0</v>
      </c>
      <c r="AS143" s="97">
        <v>0</v>
      </c>
      <c r="AT143" s="97">
        <v>0</v>
      </c>
      <c r="AU143" s="97"/>
      <c r="AV143" s="246">
        <f t="shared" ref="AV143:AV150" si="17">SUM(N143:AU143)</f>
        <v>1347</v>
      </c>
      <c r="AW143" s="97">
        <v>152</v>
      </c>
      <c r="AX143" s="97">
        <v>0</v>
      </c>
      <c r="AY143" s="97">
        <f t="shared" si="16"/>
        <v>1499</v>
      </c>
      <c r="AZ143" s="97">
        <f t="shared" si="14"/>
        <v>0</v>
      </c>
    </row>
    <row r="144" spans="1:52" s="263" customFormat="1" x14ac:dyDescent="0.2">
      <c r="A144" s="85">
        <v>11</v>
      </c>
      <c r="B144" s="19" t="s">
        <v>457</v>
      </c>
      <c r="C144" s="19" t="s">
        <v>459</v>
      </c>
      <c r="D144" s="197">
        <v>100882</v>
      </c>
      <c r="E144" s="218">
        <f>212+28+29</f>
        <v>269</v>
      </c>
      <c r="F144" s="97">
        <v>214</v>
      </c>
      <c r="G144" s="97">
        <v>13</v>
      </c>
      <c r="H144" s="218">
        <f>1602+6</f>
        <v>1608</v>
      </c>
      <c r="I144" s="218">
        <f>5+50</f>
        <v>55</v>
      </c>
      <c r="J144" s="218">
        <v>99</v>
      </c>
      <c r="K144" s="97">
        <f t="shared" si="15"/>
        <v>2258</v>
      </c>
      <c r="L144" s="219"/>
      <c r="M144" s="218" t="s">
        <v>90</v>
      </c>
      <c r="N144" s="97">
        <v>0</v>
      </c>
      <c r="O144" s="97">
        <v>0</v>
      </c>
      <c r="P144" s="97">
        <v>0</v>
      </c>
      <c r="Q144" s="97">
        <v>0</v>
      </c>
      <c r="R144" s="97">
        <v>0</v>
      </c>
      <c r="S144" s="97">
        <v>0</v>
      </c>
      <c r="T144" s="97">
        <v>0</v>
      </c>
      <c r="U144" s="97">
        <v>0</v>
      </c>
      <c r="V144" s="97">
        <v>0</v>
      </c>
      <c r="W144" s="97">
        <v>0</v>
      </c>
      <c r="X144" s="97">
        <v>317</v>
      </c>
      <c r="Y144" s="97">
        <v>0</v>
      </c>
      <c r="Z144" s="97">
        <v>0</v>
      </c>
      <c r="AA144" s="97">
        <v>0</v>
      </c>
      <c r="AB144" s="97">
        <v>317</v>
      </c>
      <c r="AC144" s="97">
        <v>0</v>
      </c>
      <c r="AD144" s="97">
        <v>317</v>
      </c>
      <c r="AE144" s="97">
        <v>317</v>
      </c>
      <c r="AF144" s="97">
        <v>90</v>
      </c>
      <c r="AG144" s="97">
        <v>0</v>
      </c>
      <c r="AH144" s="97">
        <v>90</v>
      </c>
      <c r="AI144" s="97">
        <v>90</v>
      </c>
      <c r="AJ144" s="97">
        <v>90</v>
      </c>
      <c r="AK144" s="97">
        <v>90</v>
      </c>
      <c r="AL144" s="97">
        <v>90</v>
      </c>
      <c r="AM144" s="246">
        <v>0</v>
      </c>
      <c r="AN144" s="246">
        <v>0</v>
      </c>
      <c r="AO144" s="97">
        <v>0</v>
      </c>
      <c r="AP144" s="97">
        <v>0</v>
      </c>
      <c r="AQ144" s="97">
        <v>0</v>
      </c>
      <c r="AR144" s="97">
        <v>0</v>
      </c>
      <c r="AS144" s="97">
        <v>0</v>
      </c>
      <c r="AT144" s="97">
        <v>0</v>
      </c>
      <c r="AU144" s="97"/>
      <c r="AV144" s="246">
        <f t="shared" si="17"/>
        <v>1808</v>
      </c>
      <c r="AW144" s="97">
        <v>450</v>
      </c>
      <c r="AX144" s="97">
        <v>0</v>
      </c>
      <c r="AY144" s="97">
        <f t="shared" si="16"/>
        <v>2258</v>
      </c>
      <c r="AZ144" s="97">
        <f t="shared" si="14"/>
        <v>0</v>
      </c>
    </row>
    <row r="145" spans="1:52" s="263" customFormat="1" x14ac:dyDescent="0.2">
      <c r="A145" s="85">
        <v>11</v>
      </c>
      <c r="B145" s="19" t="s">
        <v>458</v>
      </c>
      <c r="C145" s="19" t="s">
        <v>459</v>
      </c>
      <c r="D145" s="197">
        <v>100883</v>
      </c>
      <c r="E145" s="218">
        <f>242+26+37</f>
        <v>305</v>
      </c>
      <c r="F145" s="97">
        <v>86</v>
      </c>
      <c r="G145" s="97">
        <v>10</v>
      </c>
      <c r="H145" s="218">
        <f>2+5</f>
        <v>7</v>
      </c>
      <c r="I145" s="218">
        <f>6+64</f>
        <v>70</v>
      </c>
      <c r="J145" s="218">
        <v>46</v>
      </c>
      <c r="K145" s="97">
        <f t="shared" si="15"/>
        <v>524</v>
      </c>
      <c r="L145" s="219"/>
      <c r="M145" s="218" t="s">
        <v>69</v>
      </c>
      <c r="N145" s="97">
        <v>0</v>
      </c>
      <c r="O145" s="97">
        <v>0</v>
      </c>
      <c r="P145" s="97">
        <v>52</v>
      </c>
      <c r="Q145" s="97">
        <v>0</v>
      </c>
      <c r="R145" s="97">
        <v>0</v>
      </c>
      <c r="S145" s="97">
        <v>52</v>
      </c>
      <c r="T145" s="97">
        <v>0</v>
      </c>
      <c r="U145" s="97">
        <v>0</v>
      </c>
      <c r="V145" s="97">
        <v>104</v>
      </c>
      <c r="W145" s="97">
        <v>0</v>
      </c>
      <c r="X145" s="97">
        <v>52</v>
      </c>
      <c r="Y145" s="97">
        <v>0</v>
      </c>
      <c r="Z145" s="97">
        <v>0</v>
      </c>
      <c r="AA145" s="97">
        <v>0</v>
      </c>
      <c r="AB145" s="97">
        <v>26</v>
      </c>
      <c r="AC145" s="97">
        <v>0</v>
      </c>
      <c r="AD145" s="97">
        <v>52</v>
      </c>
      <c r="AE145" s="97">
        <v>26</v>
      </c>
      <c r="AF145" s="97">
        <v>26</v>
      </c>
      <c r="AG145" s="97">
        <v>26</v>
      </c>
      <c r="AH145" s="97">
        <v>0</v>
      </c>
      <c r="AI145" s="97">
        <v>26</v>
      </c>
      <c r="AJ145" s="97">
        <v>26</v>
      </c>
      <c r="AK145" s="97">
        <v>26</v>
      </c>
      <c r="AL145" s="97">
        <v>26</v>
      </c>
      <c r="AM145" s="246">
        <v>0</v>
      </c>
      <c r="AN145" s="246">
        <v>0</v>
      </c>
      <c r="AO145" s="97">
        <f>1+3</f>
        <v>4</v>
      </c>
      <c r="AP145" s="97">
        <v>0</v>
      </c>
      <c r="AQ145" s="97">
        <v>0</v>
      </c>
      <c r="AR145" s="97">
        <v>0</v>
      </c>
      <c r="AS145" s="97">
        <v>0</v>
      </c>
      <c r="AT145" s="97">
        <v>0</v>
      </c>
      <c r="AU145" s="97"/>
      <c r="AV145" s="246">
        <f t="shared" si="17"/>
        <v>524</v>
      </c>
      <c r="AW145" s="97">
        <v>0</v>
      </c>
      <c r="AX145" s="97">
        <v>0</v>
      </c>
      <c r="AY145" s="97">
        <f t="shared" si="16"/>
        <v>524</v>
      </c>
      <c r="AZ145" s="97">
        <f t="shared" si="14"/>
        <v>0</v>
      </c>
    </row>
    <row r="146" spans="1:52" s="262" customFormat="1" x14ac:dyDescent="0.2">
      <c r="A146" s="243">
        <v>11</v>
      </c>
      <c r="B146" s="234" t="s">
        <v>486</v>
      </c>
      <c r="C146" s="234" t="s">
        <v>423</v>
      </c>
      <c r="D146" s="244">
        <v>102670</v>
      </c>
      <c r="E146" s="245">
        <f>1434+65+195</f>
        <v>1694</v>
      </c>
      <c r="F146" s="246">
        <f>174-100</f>
        <v>74</v>
      </c>
      <c r="G146" s="246">
        <v>6</v>
      </c>
      <c r="H146" s="245">
        <f>200-100</f>
        <v>100</v>
      </c>
      <c r="I146" s="245">
        <f>8+10</f>
        <v>18</v>
      </c>
      <c r="J146" s="245">
        <v>30</v>
      </c>
      <c r="K146" s="97">
        <f t="shared" si="15"/>
        <v>1922</v>
      </c>
      <c r="L146" s="247"/>
      <c r="M146" s="218" t="s">
        <v>243</v>
      </c>
      <c r="N146" s="97">
        <v>0</v>
      </c>
      <c r="O146" s="97">
        <v>0</v>
      </c>
      <c r="P146" s="97">
        <v>0</v>
      </c>
      <c r="Q146" s="97">
        <v>0</v>
      </c>
      <c r="R146" s="97">
        <v>0</v>
      </c>
      <c r="S146" s="97">
        <v>0</v>
      </c>
      <c r="T146" s="97">
        <v>0</v>
      </c>
      <c r="U146" s="97">
        <v>0</v>
      </c>
      <c r="V146" s="97">
        <v>0</v>
      </c>
      <c r="W146" s="97">
        <v>0</v>
      </c>
      <c r="X146" s="97">
        <v>0</v>
      </c>
      <c r="Y146" s="97">
        <v>0</v>
      </c>
      <c r="Z146" s="97">
        <v>0</v>
      </c>
      <c r="AA146" s="97">
        <v>0</v>
      </c>
      <c r="AB146" s="97">
        <v>0</v>
      </c>
      <c r="AC146" s="97">
        <v>0</v>
      </c>
      <c r="AD146" s="97">
        <v>0</v>
      </c>
      <c r="AE146" s="97">
        <v>0</v>
      </c>
      <c r="AF146" s="97">
        <v>0</v>
      </c>
      <c r="AG146" s="97">
        <v>0</v>
      </c>
      <c r="AH146" s="97">
        <v>0</v>
      </c>
      <c r="AI146" s="97">
        <v>0</v>
      </c>
      <c r="AJ146" s="97">
        <v>0</v>
      </c>
      <c r="AK146" s="97">
        <v>0</v>
      </c>
      <c r="AL146" s="97">
        <v>0</v>
      </c>
      <c r="AM146" s="246">
        <v>0</v>
      </c>
      <c r="AN146" s="246">
        <v>0</v>
      </c>
      <c r="AO146" s="97">
        <v>0</v>
      </c>
      <c r="AP146" s="97">
        <v>0</v>
      </c>
      <c r="AQ146" s="97">
        <v>0</v>
      </c>
      <c r="AR146" s="97">
        <v>0</v>
      </c>
      <c r="AS146" s="97">
        <v>0</v>
      </c>
      <c r="AT146" s="97">
        <v>0</v>
      </c>
      <c r="AU146" s="246"/>
      <c r="AV146" s="97">
        <f t="shared" si="17"/>
        <v>0</v>
      </c>
      <c r="AW146" s="97">
        <v>1922</v>
      </c>
      <c r="AX146" s="97">
        <v>0</v>
      </c>
      <c r="AY146" s="97">
        <f t="shared" si="16"/>
        <v>1922</v>
      </c>
      <c r="AZ146" s="97">
        <f t="shared" si="14"/>
        <v>0</v>
      </c>
    </row>
    <row r="147" spans="1:52" s="262" customFormat="1" x14ac:dyDescent="0.2">
      <c r="A147" s="243">
        <v>11</v>
      </c>
      <c r="B147" s="234" t="s">
        <v>501</v>
      </c>
      <c r="C147" s="234" t="s">
        <v>500</v>
      </c>
      <c r="D147" s="244">
        <v>102711</v>
      </c>
      <c r="E147" s="245">
        <v>0</v>
      </c>
      <c r="F147" s="246">
        <f>71+318</f>
        <v>389</v>
      </c>
      <c r="G147" s="246">
        <v>0</v>
      </c>
      <c r="H147" s="245">
        <v>120</v>
      </c>
      <c r="I147" s="245">
        <v>0</v>
      </c>
      <c r="J147" s="245">
        <v>0</v>
      </c>
      <c r="K147" s="97">
        <f t="shared" si="15"/>
        <v>509</v>
      </c>
      <c r="L147" s="247"/>
      <c r="M147" s="218" t="s">
        <v>243</v>
      </c>
      <c r="N147" s="97">
        <v>0</v>
      </c>
      <c r="O147" s="97">
        <v>0</v>
      </c>
      <c r="P147" s="97">
        <v>0</v>
      </c>
      <c r="Q147" s="97">
        <v>0</v>
      </c>
      <c r="R147" s="97">
        <v>0</v>
      </c>
      <c r="S147" s="97">
        <v>0</v>
      </c>
      <c r="T147" s="97">
        <v>0</v>
      </c>
      <c r="U147" s="97">
        <v>0</v>
      </c>
      <c r="V147" s="97">
        <v>0</v>
      </c>
      <c r="W147" s="97">
        <v>0</v>
      </c>
      <c r="X147" s="97">
        <v>0</v>
      </c>
      <c r="Y147" s="97">
        <v>0</v>
      </c>
      <c r="Z147" s="97">
        <v>0</v>
      </c>
      <c r="AA147" s="97">
        <v>0</v>
      </c>
      <c r="AB147" s="97">
        <v>0</v>
      </c>
      <c r="AC147" s="97">
        <v>0</v>
      </c>
      <c r="AD147" s="97">
        <v>0</v>
      </c>
      <c r="AE147" s="97">
        <v>0</v>
      </c>
      <c r="AF147" s="97">
        <v>0</v>
      </c>
      <c r="AG147" s="97">
        <v>0</v>
      </c>
      <c r="AH147" s="97">
        <v>0</v>
      </c>
      <c r="AI147" s="97">
        <v>0</v>
      </c>
      <c r="AJ147" s="97">
        <v>0</v>
      </c>
      <c r="AK147" s="97">
        <v>0</v>
      </c>
      <c r="AL147" s="97">
        <v>0</v>
      </c>
      <c r="AM147" s="246">
        <v>0</v>
      </c>
      <c r="AN147" s="246">
        <v>0</v>
      </c>
      <c r="AO147" s="97">
        <v>0</v>
      </c>
      <c r="AP147" s="97">
        <v>0</v>
      </c>
      <c r="AQ147" s="97">
        <v>0</v>
      </c>
      <c r="AR147" s="97">
        <v>0</v>
      </c>
      <c r="AS147" s="97">
        <v>0</v>
      </c>
      <c r="AT147" s="97">
        <v>0</v>
      </c>
      <c r="AU147" s="246"/>
      <c r="AV147" s="97">
        <f t="shared" si="17"/>
        <v>0</v>
      </c>
      <c r="AW147" s="97">
        <v>509</v>
      </c>
      <c r="AX147" s="97">
        <v>0</v>
      </c>
      <c r="AY147" s="97">
        <f t="shared" si="16"/>
        <v>509</v>
      </c>
      <c r="AZ147" s="97">
        <f t="shared" si="14"/>
        <v>0</v>
      </c>
    </row>
    <row r="148" spans="1:52" s="262" customFormat="1" x14ac:dyDescent="0.2">
      <c r="A148" s="243">
        <v>11</v>
      </c>
      <c r="B148" s="234" t="s">
        <v>510</v>
      </c>
      <c r="C148" s="234" t="s">
        <v>426</v>
      </c>
      <c r="D148" s="244">
        <v>102817</v>
      </c>
      <c r="E148" s="245">
        <f>364+16+43</f>
        <v>423</v>
      </c>
      <c r="F148" s="246">
        <f>30+350</f>
        <v>380</v>
      </c>
      <c r="G148" s="246">
        <f>1+10</f>
        <v>11</v>
      </c>
      <c r="H148" s="245">
        <f>12+250</f>
        <v>262</v>
      </c>
      <c r="I148" s="245">
        <f>7+48</f>
        <v>55</v>
      </c>
      <c r="J148" s="245">
        <f>9+410</f>
        <v>419</v>
      </c>
      <c r="K148" s="97">
        <f t="shared" si="15"/>
        <v>1550</v>
      </c>
      <c r="L148" s="247"/>
      <c r="M148" s="218" t="s">
        <v>243</v>
      </c>
      <c r="N148" s="97">
        <v>0</v>
      </c>
      <c r="O148" s="97">
        <v>0</v>
      </c>
      <c r="P148" s="97">
        <v>0</v>
      </c>
      <c r="Q148" s="97">
        <v>0</v>
      </c>
      <c r="R148" s="97">
        <v>0</v>
      </c>
      <c r="S148" s="97">
        <v>0</v>
      </c>
      <c r="T148" s="97">
        <v>0</v>
      </c>
      <c r="U148" s="97">
        <v>0</v>
      </c>
      <c r="V148" s="97">
        <v>0</v>
      </c>
      <c r="W148" s="97">
        <v>0</v>
      </c>
      <c r="X148" s="97">
        <v>0</v>
      </c>
      <c r="Y148" s="97">
        <v>0</v>
      </c>
      <c r="Z148" s="97">
        <v>0</v>
      </c>
      <c r="AA148" s="97">
        <v>0</v>
      </c>
      <c r="AB148" s="97">
        <v>0</v>
      </c>
      <c r="AC148" s="97">
        <v>0</v>
      </c>
      <c r="AD148" s="97">
        <v>0</v>
      </c>
      <c r="AE148" s="97">
        <v>0</v>
      </c>
      <c r="AF148" s="97">
        <v>0</v>
      </c>
      <c r="AG148" s="97">
        <v>0</v>
      </c>
      <c r="AH148" s="97">
        <v>0</v>
      </c>
      <c r="AI148" s="97">
        <v>0</v>
      </c>
      <c r="AJ148" s="97">
        <v>0</v>
      </c>
      <c r="AK148" s="97">
        <v>0</v>
      </c>
      <c r="AL148" s="97">
        <v>0</v>
      </c>
      <c r="AM148" s="97">
        <v>0</v>
      </c>
      <c r="AN148" s="97">
        <v>0</v>
      </c>
      <c r="AO148" s="97">
        <v>0</v>
      </c>
      <c r="AP148" s="97">
        <v>0</v>
      </c>
      <c r="AQ148" s="97">
        <v>0</v>
      </c>
      <c r="AR148" s="97">
        <v>0</v>
      </c>
      <c r="AS148" s="97">
        <v>0</v>
      </c>
      <c r="AT148" s="97">
        <v>0</v>
      </c>
      <c r="AU148" s="246"/>
      <c r="AV148" s="97">
        <f t="shared" si="17"/>
        <v>0</v>
      </c>
      <c r="AW148" s="97">
        <v>1550</v>
      </c>
      <c r="AX148" s="97">
        <v>0</v>
      </c>
      <c r="AY148" s="97">
        <f>+AV148+AW148+AX148</f>
        <v>1550</v>
      </c>
      <c r="AZ148" s="97">
        <f t="shared" si="14"/>
        <v>0</v>
      </c>
    </row>
    <row r="149" spans="1:52" s="262" customFormat="1" x14ac:dyDescent="0.2">
      <c r="A149" s="243">
        <v>11</v>
      </c>
      <c r="B149" s="234" t="s">
        <v>511</v>
      </c>
      <c r="C149" s="234" t="s">
        <v>454</v>
      </c>
      <c r="D149" s="244">
        <v>102723</v>
      </c>
      <c r="E149" s="245">
        <v>0</v>
      </c>
      <c r="F149" s="246">
        <v>0</v>
      </c>
      <c r="G149" s="246">
        <v>300</v>
      </c>
      <c r="H149" s="245">
        <v>300</v>
      </c>
      <c r="I149" s="245">
        <v>0</v>
      </c>
      <c r="J149" s="245">
        <v>-300</v>
      </c>
      <c r="K149" s="97">
        <f t="shared" si="15"/>
        <v>300</v>
      </c>
      <c r="L149" s="247"/>
      <c r="M149" s="245" t="s">
        <v>497</v>
      </c>
      <c r="N149" s="97">
        <v>5</v>
      </c>
      <c r="O149" s="97">
        <v>9</v>
      </c>
      <c r="P149" s="97">
        <v>10</v>
      </c>
      <c r="Q149" s="97">
        <v>10</v>
      </c>
      <c r="R149" s="97">
        <v>1</v>
      </c>
      <c r="S149" s="97">
        <v>0</v>
      </c>
      <c r="T149" s="97">
        <v>5</v>
      </c>
      <c r="U149" s="97">
        <v>35</v>
      </c>
      <c r="V149" s="97">
        <v>7</v>
      </c>
      <c r="W149" s="97">
        <v>3</v>
      </c>
      <c r="X149" s="97">
        <v>49</v>
      </c>
      <c r="Y149" s="97">
        <v>0</v>
      </c>
      <c r="Z149" s="97">
        <v>5</v>
      </c>
      <c r="AA149" s="97">
        <v>1</v>
      </c>
      <c r="AB149" s="97">
        <v>0</v>
      </c>
      <c r="AC149" s="97">
        <v>2</v>
      </c>
      <c r="AD149" s="97">
        <v>44</v>
      </c>
      <c r="AE149" s="97">
        <v>36</v>
      </c>
      <c r="AF149" s="97">
        <v>0</v>
      </c>
      <c r="AG149" s="97">
        <v>0</v>
      </c>
      <c r="AH149" s="97">
        <v>2</v>
      </c>
      <c r="AI149" s="97">
        <v>2</v>
      </c>
      <c r="AJ149" s="97">
        <v>1</v>
      </c>
      <c r="AK149" s="97">
        <v>3</v>
      </c>
      <c r="AL149" s="97">
        <v>1</v>
      </c>
      <c r="AM149" s="246">
        <v>22</v>
      </c>
      <c r="AN149" s="246">
        <v>0</v>
      </c>
      <c r="AO149" s="97">
        <v>13</v>
      </c>
      <c r="AP149" s="97">
        <v>4</v>
      </c>
      <c r="AQ149" s="97">
        <v>0</v>
      </c>
      <c r="AR149" s="97">
        <v>0</v>
      </c>
      <c r="AS149" s="97">
        <v>0</v>
      </c>
      <c r="AT149" s="97">
        <v>0</v>
      </c>
      <c r="AU149" s="246"/>
      <c r="AV149" s="97">
        <f t="shared" si="17"/>
        <v>270</v>
      </c>
      <c r="AW149" s="97">
        <v>30</v>
      </c>
      <c r="AX149" s="97">
        <v>0</v>
      </c>
      <c r="AY149" s="97">
        <f t="shared" si="16"/>
        <v>300</v>
      </c>
      <c r="AZ149" s="97">
        <f t="shared" si="14"/>
        <v>0</v>
      </c>
    </row>
    <row r="150" spans="1:52" s="262" customFormat="1" x14ac:dyDescent="0.2">
      <c r="A150" s="243">
        <v>11</v>
      </c>
      <c r="B150" s="234" t="s">
        <v>460</v>
      </c>
      <c r="C150" s="234" t="s">
        <v>476</v>
      </c>
      <c r="D150" s="244">
        <v>102741</v>
      </c>
      <c r="E150" s="245">
        <f>160+15+24</f>
        <v>199</v>
      </c>
      <c r="F150" s="246">
        <v>130</v>
      </c>
      <c r="G150" s="246">
        <v>0</v>
      </c>
      <c r="H150" s="245">
        <f>200+19+20</f>
        <v>239</v>
      </c>
      <c r="I150" s="245">
        <v>12</v>
      </c>
      <c r="J150" s="245">
        <v>600</v>
      </c>
      <c r="K150" s="97">
        <f t="shared" si="15"/>
        <v>1180</v>
      </c>
      <c r="L150" s="247"/>
      <c r="M150" s="245" t="s">
        <v>243</v>
      </c>
      <c r="N150" s="97">
        <v>0</v>
      </c>
      <c r="O150" s="97">
        <v>0</v>
      </c>
      <c r="P150" s="97">
        <v>0</v>
      </c>
      <c r="Q150" s="97">
        <v>0</v>
      </c>
      <c r="R150" s="97">
        <v>0</v>
      </c>
      <c r="S150" s="97">
        <v>0</v>
      </c>
      <c r="T150" s="97">
        <v>0</v>
      </c>
      <c r="U150" s="97">
        <v>0</v>
      </c>
      <c r="V150" s="97">
        <v>0</v>
      </c>
      <c r="W150" s="97">
        <v>0</v>
      </c>
      <c r="X150" s="97">
        <v>0</v>
      </c>
      <c r="Y150" s="97">
        <v>0</v>
      </c>
      <c r="Z150" s="97">
        <v>0</v>
      </c>
      <c r="AA150" s="97">
        <v>0</v>
      </c>
      <c r="AB150" s="97">
        <v>0</v>
      </c>
      <c r="AC150" s="97">
        <v>0</v>
      </c>
      <c r="AD150" s="97">
        <v>0</v>
      </c>
      <c r="AE150" s="97">
        <v>0</v>
      </c>
      <c r="AF150" s="97">
        <v>0</v>
      </c>
      <c r="AG150" s="97">
        <v>0</v>
      </c>
      <c r="AH150" s="97">
        <v>0</v>
      </c>
      <c r="AI150" s="97">
        <v>0</v>
      </c>
      <c r="AJ150" s="97">
        <v>0</v>
      </c>
      <c r="AK150" s="97">
        <v>0</v>
      </c>
      <c r="AL150" s="97">
        <v>0</v>
      </c>
      <c r="AM150" s="246">
        <v>0</v>
      </c>
      <c r="AN150" s="246">
        <v>0</v>
      </c>
      <c r="AO150" s="97">
        <v>0</v>
      </c>
      <c r="AP150" s="97">
        <v>0</v>
      </c>
      <c r="AQ150" s="97">
        <v>0</v>
      </c>
      <c r="AR150" s="97">
        <v>0</v>
      </c>
      <c r="AS150" s="97">
        <v>0</v>
      </c>
      <c r="AT150" s="97">
        <v>0</v>
      </c>
      <c r="AU150" s="246"/>
      <c r="AV150" s="97">
        <f t="shared" si="17"/>
        <v>0</v>
      </c>
      <c r="AW150" s="97">
        <v>1180</v>
      </c>
      <c r="AX150" s="97">
        <v>0</v>
      </c>
      <c r="AY150" s="97">
        <f t="shared" si="16"/>
        <v>1180</v>
      </c>
      <c r="AZ150" s="97">
        <f t="shared" si="14"/>
        <v>0</v>
      </c>
    </row>
    <row r="151" spans="1:52" s="262" customFormat="1" x14ac:dyDescent="0.2">
      <c r="A151" s="243">
        <v>11</v>
      </c>
      <c r="B151" s="234" t="s">
        <v>402</v>
      </c>
      <c r="C151" s="234" t="s">
        <v>437</v>
      </c>
      <c r="D151" s="244">
        <v>102742</v>
      </c>
      <c r="E151" s="245">
        <f>495+52+80</f>
        <v>627</v>
      </c>
      <c r="F151" s="246">
        <v>18</v>
      </c>
      <c r="G151" s="246">
        <v>4</v>
      </c>
      <c r="H151" s="245">
        <f>24+1</f>
        <v>25</v>
      </c>
      <c r="I151" s="245">
        <f>24+96</f>
        <v>120</v>
      </c>
      <c r="J151" s="245">
        <v>-94</v>
      </c>
      <c r="K151" s="97">
        <f t="shared" si="15"/>
        <v>700</v>
      </c>
      <c r="L151" s="247"/>
      <c r="M151" s="218" t="s">
        <v>19</v>
      </c>
      <c r="N151" s="97">
        <v>0</v>
      </c>
      <c r="O151" s="97">
        <v>0</v>
      </c>
      <c r="P151" s="97">
        <v>0</v>
      </c>
      <c r="Q151" s="97">
        <v>0</v>
      </c>
      <c r="R151" s="97">
        <v>0</v>
      </c>
      <c r="S151" s="97">
        <v>0</v>
      </c>
      <c r="T151" s="97">
        <v>0</v>
      </c>
      <c r="U151" s="97">
        <v>0</v>
      </c>
      <c r="V151" s="97">
        <v>0</v>
      </c>
      <c r="W151" s="97">
        <v>0</v>
      </c>
      <c r="X151" s="97">
        <v>0</v>
      </c>
      <c r="Y151" s="97">
        <v>0</v>
      </c>
      <c r="Z151" s="97">
        <v>0</v>
      </c>
      <c r="AA151" s="97">
        <v>0</v>
      </c>
      <c r="AB151" s="97">
        <v>0</v>
      </c>
      <c r="AC151" s="97">
        <v>0</v>
      </c>
      <c r="AD151" s="97">
        <v>0</v>
      </c>
      <c r="AE151" s="97">
        <v>0</v>
      </c>
      <c r="AF151" s="97">
        <v>0</v>
      </c>
      <c r="AG151" s="97">
        <v>0</v>
      </c>
      <c r="AH151" s="97">
        <v>0</v>
      </c>
      <c r="AI151" s="97">
        <v>0</v>
      </c>
      <c r="AJ151" s="97">
        <v>0</v>
      </c>
      <c r="AK151" s="97">
        <v>0</v>
      </c>
      <c r="AL151" s="97">
        <v>0</v>
      </c>
      <c r="AM151" s="97">
        <v>0</v>
      </c>
      <c r="AN151" s="97">
        <v>0</v>
      </c>
      <c r="AO151" s="97">
        <v>0</v>
      </c>
      <c r="AP151" s="97">
        <v>0</v>
      </c>
      <c r="AQ151" s="97">
        <v>0</v>
      </c>
      <c r="AR151" s="97">
        <v>0</v>
      </c>
      <c r="AS151" s="97">
        <v>0</v>
      </c>
      <c r="AT151" s="97">
        <v>0</v>
      </c>
      <c r="AU151" s="246"/>
      <c r="AV151" s="246">
        <f t="shared" si="13"/>
        <v>0</v>
      </c>
      <c r="AW151" s="97">
        <v>700</v>
      </c>
      <c r="AX151" s="97">
        <v>0</v>
      </c>
      <c r="AY151" s="97">
        <f t="shared" si="16"/>
        <v>700</v>
      </c>
      <c r="AZ151" s="246">
        <f t="shared" si="14"/>
        <v>0</v>
      </c>
    </row>
    <row r="152" spans="1:52" s="262" customFormat="1" x14ac:dyDescent="0.2">
      <c r="A152" s="243">
        <v>11</v>
      </c>
      <c r="B152" s="234" t="s">
        <v>499</v>
      </c>
      <c r="C152" s="234" t="s">
        <v>500</v>
      </c>
      <c r="D152" s="244">
        <v>102757</v>
      </c>
      <c r="E152" s="245">
        <f>456+41+76</f>
        <v>573</v>
      </c>
      <c r="F152" s="246">
        <v>87</v>
      </c>
      <c r="G152" s="246">
        <v>6</v>
      </c>
      <c r="H152" s="245">
        <v>0</v>
      </c>
      <c r="I152" s="245">
        <f>34+43</f>
        <v>77</v>
      </c>
      <c r="J152" s="245">
        <v>1</v>
      </c>
      <c r="K152" s="97">
        <f t="shared" si="15"/>
        <v>744</v>
      </c>
      <c r="L152" s="247"/>
      <c r="M152" s="218" t="s">
        <v>508</v>
      </c>
      <c r="N152" s="97">
        <v>0</v>
      </c>
      <c r="O152" s="97">
        <v>0</v>
      </c>
      <c r="P152" s="97">
        <v>0</v>
      </c>
      <c r="Q152" s="97">
        <v>0</v>
      </c>
      <c r="R152" s="97">
        <v>0</v>
      </c>
      <c r="S152" s="97">
        <v>0</v>
      </c>
      <c r="T152" s="97">
        <v>0</v>
      </c>
      <c r="U152" s="97">
        <v>0</v>
      </c>
      <c r="V152" s="97">
        <v>0</v>
      </c>
      <c r="W152" s="97">
        <v>0</v>
      </c>
      <c r="X152" s="97">
        <v>0</v>
      </c>
      <c r="Y152" s="97">
        <v>0</v>
      </c>
      <c r="Z152" s="97">
        <v>0</v>
      </c>
      <c r="AA152" s="97">
        <v>0</v>
      </c>
      <c r="AB152" s="97">
        <v>0</v>
      </c>
      <c r="AC152" s="97">
        <v>0</v>
      </c>
      <c r="AD152" s="97">
        <v>0</v>
      </c>
      <c r="AE152" s="97">
        <v>0</v>
      </c>
      <c r="AF152" s="97">
        <v>0</v>
      </c>
      <c r="AG152" s="97">
        <v>0</v>
      </c>
      <c r="AH152" s="97">
        <v>0</v>
      </c>
      <c r="AI152" s="97">
        <v>744</v>
      </c>
      <c r="AJ152" s="97">
        <v>0</v>
      </c>
      <c r="AK152" s="97">
        <v>0</v>
      </c>
      <c r="AL152" s="97">
        <v>0</v>
      </c>
      <c r="AM152" s="97">
        <v>0</v>
      </c>
      <c r="AN152" s="97">
        <v>0</v>
      </c>
      <c r="AO152" s="97">
        <v>0</v>
      </c>
      <c r="AP152" s="97">
        <v>0</v>
      </c>
      <c r="AQ152" s="97">
        <v>0</v>
      </c>
      <c r="AR152" s="97">
        <v>0</v>
      </c>
      <c r="AS152" s="97">
        <v>0</v>
      </c>
      <c r="AT152" s="97">
        <v>0</v>
      </c>
      <c r="AU152" s="246"/>
      <c r="AV152" s="246">
        <f t="shared" si="13"/>
        <v>744</v>
      </c>
      <c r="AW152" s="97">
        <v>0</v>
      </c>
      <c r="AX152" s="97">
        <v>0</v>
      </c>
      <c r="AY152" s="97">
        <f t="shared" si="16"/>
        <v>744</v>
      </c>
      <c r="AZ152" s="246">
        <f t="shared" si="14"/>
        <v>0</v>
      </c>
    </row>
    <row r="153" spans="1:52" s="262" customFormat="1" x14ac:dyDescent="0.2">
      <c r="A153" s="243">
        <v>11</v>
      </c>
      <c r="B153" s="234" t="s">
        <v>418</v>
      </c>
      <c r="C153" s="19" t="s">
        <v>438</v>
      </c>
      <c r="D153" s="244">
        <v>102777</v>
      </c>
      <c r="E153" s="245">
        <f>14+1+2</f>
        <v>17</v>
      </c>
      <c r="F153" s="246">
        <v>0</v>
      </c>
      <c r="G153" s="246">
        <v>6</v>
      </c>
      <c r="H153" s="245">
        <v>0</v>
      </c>
      <c r="I153" s="245">
        <v>2</v>
      </c>
      <c r="J153" s="245">
        <v>1</v>
      </c>
      <c r="K153" s="97">
        <f t="shared" si="15"/>
        <v>26</v>
      </c>
      <c r="L153" s="247"/>
      <c r="M153" s="218" t="s">
        <v>495</v>
      </c>
      <c r="N153" s="97">
        <v>0</v>
      </c>
      <c r="O153" s="97">
        <v>0</v>
      </c>
      <c r="P153" s="97">
        <v>1</v>
      </c>
      <c r="Q153" s="97">
        <v>1</v>
      </c>
      <c r="R153" s="97">
        <v>0</v>
      </c>
      <c r="S153" s="97">
        <v>0</v>
      </c>
      <c r="T153" s="97">
        <v>0</v>
      </c>
      <c r="U153" s="97">
        <v>2</v>
      </c>
      <c r="V153" s="97">
        <v>1</v>
      </c>
      <c r="W153" s="97">
        <v>0</v>
      </c>
      <c r="X153" s="97">
        <v>4</v>
      </c>
      <c r="Y153" s="97">
        <v>0</v>
      </c>
      <c r="Z153" s="97">
        <v>0</v>
      </c>
      <c r="AA153" s="97">
        <v>0</v>
      </c>
      <c r="AB153" s="97">
        <v>3</v>
      </c>
      <c r="AC153" s="97">
        <v>0</v>
      </c>
      <c r="AD153" s="97">
        <v>4</v>
      </c>
      <c r="AE153" s="97">
        <v>3</v>
      </c>
      <c r="AF153" s="97">
        <v>2</v>
      </c>
      <c r="AG153" s="97">
        <v>0</v>
      </c>
      <c r="AH153" s="97">
        <v>0</v>
      </c>
      <c r="AI153" s="97">
        <v>0</v>
      </c>
      <c r="AJ153" s="97">
        <v>1</v>
      </c>
      <c r="AK153" s="97">
        <v>0</v>
      </c>
      <c r="AL153" s="97">
        <v>0</v>
      </c>
      <c r="AM153" s="97">
        <v>1</v>
      </c>
      <c r="AN153" s="97">
        <v>0</v>
      </c>
      <c r="AO153" s="97">
        <v>1</v>
      </c>
      <c r="AP153" s="97">
        <v>0</v>
      </c>
      <c r="AQ153" s="97">
        <v>0</v>
      </c>
      <c r="AR153" s="97">
        <v>0</v>
      </c>
      <c r="AS153" s="97">
        <v>0</v>
      </c>
      <c r="AT153" s="97">
        <v>0</v>
      </c>
      <c r="AU153" s="246"/>
      <c r="AV153" s="97">
        <f t="shared" si="13"/>
        <v>24</v>
      </c>
      <c r="AW153" s="97">
        <v>2</v>
      </c>
      <c r="AX153" s="97">
        <v>0</v>
      </c>
      <c r="AY153" s="97">
        <f t="shared" si="16"/>
        <v>26</v>
      </c>
      <c r="AZ153" s="97">
        <f t="shared" si="14"/>
        <v>0</v>
      </c>
    </row>
    <row r="154" spans="1:52" s="263" customFormat="1" x14ac:dyDescent="0.2">
      <c r="A154" s="85">
        <v>11</v>
      </c>
      <c r="B154" s="19" t="s">
        <v>398</v>
      </c>
      <c r="C154" s="19" t="s">
        <v>439</v>
      </c>
      <c r="D154" s="197">
        <v>102780</v>
      </c>
      <c r="E154" s="218">
        <f>226+28+35</f>
        <v>289</v>
      </c>
      <c r="F154" s="97">
        <v>56</v>
      </c>
      <c r="G154" s="97">
        <v>1</v>
      </c>
      <c r="H154" s="218">
        <v>25</v>
      </c>
      <c r="I154" s="218">
        <f>9+54</f>
        <v>63</v>
      </c>
      <c r="J154" s="218">
        <v>7</v>
      </c>
      <c r="K154" s="97">
        <f t="shared" si="15"/>
        <v>441</v>
      </c>
      <c r="L154" s="219"/>
      <c r="M154" s="218" t="s">
        <v>497</v>
      </c>
      <c r="N154" s="97">
        <v>7</v>
      </c>
      <c r="O154" s="97">
        <v>13</v>
      </c>
      <c r="P154" s="97">
        <v>14</v>
      </c>
      <c r="Q154" s="97">
        <v>15</v>
      </c>
      <c r="R154" s="97">
        <v>1</v>
      </c>
      <c r="S154" s="97">
        <v>0</v>
      </c>
      <c r="T154" s="97">
        <v>8</v>
      </c>
      <c r="U154" s="97">
        <v>51</v>
      </c>
      <c r="V154" s="97">
        <v>12</v>
      </c>
      <c r="W154" s="97">
        <v>0</v>
      </c>
      <c r="X154" s="97">
        <v>73</v>
      </c>
      <c r="Y154" s="97">
        <v>1</v>
      </c>
      <c r="Z154" s="97">
        <v>8</v>
      </c>
      <c r="AA154" s="97">
        <v>2</v>
      </c>
      <c r="AB154" s="97">
        <v>0</v>
      </c>
      <c r="AC154" s="97">
        <v>3</v>
      </c>
      <c r="AD154" s="97">
        <v>64</v>
      </c>
      <c r="AE154" s="97">
        <v>51</v>
      </c>
      <c r="AF154" s="97">
        <v>1</v>
      </c>
      <c r="AG154" s="97">
        <v>0</v>
      </c>
      <c r="AH154" s="97">
        <v>4</v>
      </c>
      <c r="AI154" s="97">
        <v>3</v>
      </c>
      <c r="AJ154" s="97">
        <v>2</v>
      </c>
      <c r="AK154" s="97">
        <v>4</v>
      </c>
      <c r="AL154" s="97">
        <v>2</v>
      </c>
      <c r="AM154" s="97">
        <v>33</v>
      </c>
      <c r="AN154" s="97">
        <v>0</v>
      </c>
      <c r="AO154" s="97">
        <v>19</v>
      </c>
      <c r="AP154" s="97">
        <v>5</v>
      </c>
      <c r="AQ154" s="97">
        <v>0</v>
      </c>
      <c r="AR154" s="97">
        <v>0</v>
      </c>
      <c r="AS154" s="97">
        <v>0</v>
      </c>
      <c r="AT154" s="97">
        <v>0</v>
      </c>
      <c r="AU154" s="97"/>
      <c r="AV154" s="97">
        <f t="shared" si="13"/>
        <v>396</v>
      </c>
      <c r="AW154" s="97">
        <v>45</v>
      </c>
      <c r="AX154" s="97">
        <v>0</v>
      </c>
      <c r="AY154" s="97">
        <f t="shared" si="16"/>
        <v>441</v>
      </c>
      <c r="AZ154" s="97">
        <f t="shared" si="14"/>
        <v>0</v>
      </c>
    </row>
    <row r="155" spans="1:52" s="263" customFormat="1" x14ac:dyDescent="0.2">
      <c r="A155" s="85">
        <v>11</v>
      </c>
      <c r="B155" s="19" t="s">
        <v>399</v>
      </c>
      <c r="C155" s="19" t="s">
        <v>439</v>
      </c>
      <c r="D155" s="197">
        <v>102781</v>
      </c>
      <c r="E155" s="218">
        <f>172+20+26</f>
        <v>218</v>
      </c>
      <c r="F155" s="97">
        <v>29</v>
      </c>
      <c r="G155" s="97">
        <v>1</v>
      </c>
      <c r="H155" s="218">
        <v>5</v>
      </c>
      <c r="I155" s="218">
        <f>6+36</f>
        <v>42</v>
      </c>
      <c r="J155" s="218">
        <v>4</v>
      </c>
      <c r="K155" s="97">
        <f t="shared" si="15"/>
        <v>299</v>
      </c>
      <c r="L155" s="219"/>
      <c r="M155" s="218" t="s">
        <v>497</v>
      </c>
      <c r="N155" s="97">
        <v>5</v>
      </c>
      <c r="O155" s="97">
        <v>9</v>
      </c>
      <c r="P155" s="97">
        <v>10</v>
      </c>
      <c r="Q155" s="97">
        <v>10</v>
      </c>
      <c r="R155" s="97">
        <v>1</v>
      </c>
      <c r="S155" s="97">
        <v>0</v>
      </c>
      <c r="T155" s="97">
        <v>5</v>
      </c>
      <c r="U155" s="97">
        <v>35</v>
      </c>
      <c r="V155" s="97">
        <v>8</v>
      </c>
      <c r="W155" s="97">
        <v>0</v>
      </c>
      <c r="X155" s="97">
        <v>51</v>
      </c>
      <c r="Y155" s="97">
        <v>0</v>
      </c>
      <c r="Z155" s="97">
        <v>5</v>
      </c>
      <c r="AA155" s="97">
        <v>1</v>
      </c>
      <c r="AB155" s="97">
        <v>0</v>
      </c>
      <c r="AC155" s="97">
        <v>2</v>
      </c>
      <c r="AD155" s="97">
        <v>44</v>
      </c>
      <c r="AE155" s="97">
        <v>35</v>
      </c>
      <c r="AF155" s="97">
        <v>0</v>
      </c>
      <c r="AG155" s="97">
        <v>0</v>
      </c>
      <c r="AH155" s="97">
        <v>2</v>
      </c>
      <c r="AI155" s="97">
        <v>2</v>
      </c>
      <c r="AJ155" s="97">
        <v>1</v>
      </c>
      <c r="AK155" s="97">
        <v>3</v>
      </c>
      <c r="AL155" s="97">
        <v>1</v>
      </c>
      <c r="AM155" s="97">
        <v>22</v>
      </c>
      <c r="AN155" s="97">
        <v>0</v>
      </c>
      <c r="AO155" s="97">
        <v>13</v>
      </c>
      <c r="AP155" s="97">
        <v>3</v>
      </c>
      <c r="AQ155" s="97">
        <v>0</v>
      </c>
      <c r="AR155" s="97">
        <v>0</v>
      </c>
      <c r="AS155" s="97">
        <v>0</v>
      </c>
      <c r="AT155" s="97">
        <v>0</v>
      </c>
      <c r="AU155" s="97"/>
      <c r="AV155" s="246">
        <f>SUM(N155:AU155)</f>
        <v>268</v>
      </c>
      <c r="AW155" s="97">
        <v>31</v>
      </c>
      <c r="AX155" s="97">
        <v>0</v>
      </c>
      <c r="AY155" s="97">
        <f t="shared" si="16"/>
        <v>299</v>
      </c>
      <c r="AZ155" s="97">
        <f t="shared" si="14"/>
        <v>0</v>
      </c>
    </row>
    <row r="156" spans="1:52" s="263" customFormat="1" x14ac:dyDescent="0.2">
      <c r="A156" s="85">
        <v>11</v>
      </c>
      <c r="B156" s="19" t="s">
        <v>400</v>
      </c>
      <c r="C156" s="19" t="s">
        <v>439</v>
      </c>
      <c r="D156" s="197">
        <v>102782</v>
      </c>
      <c r="E156" s="218">
        <f>82+11+12</f>
        <v>105</v>
      </c>
      <c r="F156" s="97">
        <v>33</v>
      </c>
      <c r="G156" s="97">
        <v>5</v>
      </c>
      <c r="H156" s="218">
        <v>10</v>
      </c>
      <c r="I156" s="218">
        <f>3+18</f>
        <v>21</v>
      </c>
      <c r="J156" s="218">
        <v>9</v>
      </c>
      <c r="K156" s="97">
        <f t="shared" si="15"/>
        <v>183</v>
      </c>
      <c r="L156" s="219"/>
      <c r="M156" s="218" t="s">
        <v>497</v>
      </c>
      <c r="N156" s="97">
        <v>3</v>
      </c>
      <c r="O156" s="97">
        <v>6</v>
      </c>
      <c r="P156" s="97">
        <v>6</v>
      </c>
      <c r="Q156" s="97">
        <v>6</v>
      </c>
      <c r="R156" s="97">
        <v>1</v>
      </c>
      <c r="S156" s="97">
        <v>0</v>
      </c>
      <c r="T156" s="97">
        <v>3</v>
      </c>
      <c r="U156" s="97">
        <v>21</v>
      </c>
      <c r="V156" s="97">
        <v>5</v>
      </c>
      <c r="W156" s="97">
        <v>0</v>
      </c>
      <c r="X156" s="97">
        <v>31</v>
      </c>
      <c r="Y156" s="97">
        <v>0</v>
      </c>
      <c r="Z156" s="97">
        <v>3</v>
      </c>
      <c r="AA156" s="97">
        <v>1</v>
      </c>
      <c r="AB156" s="97">
        <v>0</v>
      </c>
      <c r="AC156" s="97">
        <v>1</v>
      </c>
      <c r="AD156" s="97">
        <v>26</v>
      </c>
      <c r="AE156" s="97">
        <v>21</v>
      </c>
      <c r="AF156" s="97">
        <v>0</v>
      </c>
      <c r="AG156" s="97">
        <v>0</v>
      </c>
      <c r="AH156" s="97">
        <v>1</v>
      </c>
      <c r="AI156" s="97">
        <v>1</v>
      </c>
      <c r="AJ156" s="97">
        <v>1</v>
      </c>
      <c r="AK156" s="97">
        <v>2</v>
      </c>
      <c r="AL156" s="97">
        <f>3-2</f>
        <v>1</v>
      </c>
      <c r="AM156" s="97">
        <v>14</v>
      </c>
      <c r="AN156" s="97">
        <v>0</v>
      </c>
      <c r="AO156" s="97">
        <v>8</v>
      </c>
      <c r="AP156" s="97">
        <v>2</v>
      </c>
      <c r="AQ156" s="97">
        <v>0</v>
      </c>
      <c r="AR156" s="97">
        <v>0</v>
      </c>
      <c r="AS156" s="97">
        <v>0</v>
      </c>
      <c r="AT156" s="97">
        <v>0</v>
      </c>
      <c r="AU156" s="97"/>
      <c r="AV156" s="97">
        <f t="shared" si="13"/>
        <v>164</v>
      </c>
      <c r="AW156" s="97">
        <v>19</v>
      </c>
      <c r="AX156" s="97">
        <v>0</v>
      </c>
      <c r="AY156" s="97">
        <f t="shared" si="16"/>
        <v>183</v>
      </c>
      <c r="AZ156" s="97">
        <f t="shared" si="14"/>
        <v>0</v>
      </c>
    </row>
    <row r="157" spans="1:52" s="263" customFormat="1" x14ac:dyDescent="0.2">
      <c r="A157" s="85">
        <v>11</v>
      </c>
      <c r="B157" s="19" t="s">
        <v>401</v>
      </c>
      <c r="C157" s="19" t="s">
        <v>440</v>
      </c>
      <c r="D157" s="197">
        <v>102795</v>
      </c>
      <c r="E157" s="218">
        <f>94+10+13</f>
        <v>117</v>
      </c>
      <c r="F157" s="97">
        <v>28</v>
      </c>
      <c r="G157" s="97">
        <v>5</v>
      </c>
      <c r="H157" s="218">
        <v>13</v>
      </c>
      <c r="I157" s="218">
        <f>3+18</f>
        <v>21</v>
      </c>
      <c r="J157" s="218">
        <v>-94</v>
      </c>
      <c r="K157" s="97">
        <f t="shared" si="15"/>
        <v>90</v>
      </c>
      <c r="L157" s="219"/>
      <c r="M157" s="218" t="s">
        <v>497</v>
      </c>
      <c r="N157" s="97">
        <v>1</v>
      </c>
      <c r="O157" s="97">
        <v>3</v>
      </c>
      <c r="P157" s="97">
        <v>3</v>
      </c>
      <c r="Q157" s="97">
        <v>3</v>
      </c>
      <c r="R157" s="97">
        <v>0</v>
      </c>
      <c r="S157" s="97">
        <v>0</v>
      </c>
      <c r="T157" s="97">
        <v>2</v>
      </c>
      <c r="U157" s="97">
        <v>10</v>
      </c>
      <c r="V157" s="97">
        <v>3</v>
      </c>
      <c r="W157" s="97">
        <v>1</v>
      </c>
      <c r="X157" s="97">
        <v>14</v>
      </c>
      <c r="Y157" s="97">
        <v>0</v>
      </c>
      <c r="Z157" s="97">
        <v>2</v>
      </c>
      <c r="AA157" s="97">
        <v>0</v>
      </c>
      <c r="AB157" s="97">
        <v>0</v>
      </c>
      <c r="AC157" s="97">
        <v>1</v>
      </c>
      <c r="AD157" s="97">
        <v>13</v>
      </c>
      <c r="AE157" s="97">
        <v>10</v>
      </c>
      <c r="AF157" s="97">
        <v>0</v>
      </c>
      <c r="AG157" s="97">
        <v>0</v>
      </c>
      <c r="AH157" s="97">
        <v>1</v>
      </c>
      <c r="AI157" s="97">
        <v>1</v>
      </c>
      <c r="AJ157" s="97">
        <v>0</v>
      </c>
      <c r="AK157" s="97">
        <v>1</v>
      </c>
      <c r="AL157" s="97">
        <v>0</v>
      </c>
      <c r="AM157" s="97">
        <v>7</v>
      </c>
      <c r="AN157" s="97">
        <v>0</v>
      </c>
      <c r="AO157" s="97">
        <v>4</v>
      </c>
      <c r="AP157" s="97">
        <v>1</v>
      </c>
      <c r="AQ157" s="97">
        <v>0</v>
      </c>
      <c r="AR157" s="97">
        <v>0</v>
      </c>
      <c r="AS157" s="97">
        <v>0</v>
      </c>
      <c r="AT157" s="97">
        <v>0</v>
      </c>
      <c r="AU157" s="97"/>
      <c r="AV157" s="246">
        <f>SUM(N157:AU157)</f>
        <v>81</v>
      </c>
      <c r="AW157" s="97">
        <v>9</v>
      </c>
      <c r="AX157" s="97">
        <v>0</v>
      </c>
      <c r="AY157" s="97">
        <f t="shared" si="16"/>
        <v>90</v>
      </c>
      <c r="AZ157" s="97">
        <f t="shared" si="14"/>
        <v>0</v>
      </c>
    </row>
    <row r="158" spans="1:52" s="263" customFormat="1" x14ac:dyDescent="0.2">
      <c r="A158" s="85">
        <v>11</v>
      </c>
      <c r="B158" s="19" t="s">
        <v>555</v>
      </c>
      <c r="C158" s="19" t="s">
        <v>477</v>
      </c>
      <c r="D158" s="197">
        <v>102878</v>
      </c>
      <c r="E158" s="218">
        <f>180+16+26</f>
        <v>222</v>
      </c>
      <c r="F158" s="97">
        <v>18</v>
      </c>
      <c r="G158" s="97">
        <v>0</v>
      </c>
      <c r="H158" s="218">
        <v>0</v>
      </c>
      <c r="I158" s="218">
        <f>5+28</f>
        <v>33</v>
      </c>
      <c r="J158" s="218">
        <v>0</v>
      </c>
      <c r="K158" s="97">
        <f t="shared" si="15"/>
        <v>273</v>
      </c>
      <c r="L158" s="219"/>
      <c r="M158" s="218" t="s">
        <v>243</v>
      </c>
      <c r="N158" s="97">
        <v>0</v>
      </c>
      <c r="O158" s="97">
        <v>0</v>
      </c>
      <c r="P158" s="97">
        <v>0</v>
      </c>
      <c r="Q158" s="97">
        <v>0</v>
      </c>
      <c r="R158" s="97">
        <v>0</v>
      </c>
      <c r="S158" s="97">
        <v>0</v>
      </c>
      <c r="T158" s="97">
        <v>0</v>
      </c>
      <c r="U158" s="97">
        <v>0</v>
      </c>
      <c r="V158" s="97">
        <v>0</v>
      </c>
      <c r="W158" s="97">
        <v>0</v>
      </c>
      <c r="X158" s="97">
        <v>0</v>
      </c>
      <c r="Y158" s="97">
        <v>0</v>
      </c>
      <c r="Z158" s="97">
        <v>0</v>
      </c>
      <c r="AA158" s="97">
        <v>0</v>
      </c>
      <c r="AB158" s="97">
        <v>0</v>
      </c>
      <c r="AC158" s="97">
        <v>0</v>
      </c>
      <c r="AD158" s="97">
        <v>0</v>
      </c>
      <c r="AE158" s="97">
        <v>0</v>
      </c>
      <c r="AF158" s="97">
        <v>0</v>
      </c>
      <c r="AG158" s="97">
        <v>0</v>
      </c>
      <c r="AH158" s="97">
        <v>0</v>
      </c>
      <c r="AI158" s="97">
        <v>0</v>
      </c>
      <c r="AJ158" s="97">
        <v>0</v>
      </c>
      <c r="AK158" s="97">
        <v>0</v>
      </c>
      <c r="AL158" s="97">
        <v>0</v>
      </c>
      <c r="AM158" s="97">
        <v>0</v>
      </c>
      <c r="AN158" s="97">
        <v>0</v>
      </c>
      <c r="AO158" s="97">
        <v>0</v>
      </c>
      <c r="AP158" s="97">
        <v>0</v>
      </c>
      <c r="AQ158" s="97">
        <v>0</v>
      </c>
      <c r="AR158" s="97">
        <v>0</v>
      </c>
      <c r="AS158" s="97">
        <v>0</v>
      </c>
      <c r="AT158" s="97">
        <v>0</v>
      </c>
      <c r="AU158" s="97"/>
      <c r="AV158" s="97">
        <f t="shared" si="13"/>
        <v>0</v>
      </c>
      <c r="AW158" s="97">
        <v>273</v>
      </c>
      <c r="AX158" s="97">
        <v>0</v>
      </c>
      <c r="AY158" s="97">
        <f t="shared" si="16"/>
        <v>273</v>
      </c>
      <c r="AZ158" s="97">
        <f t="shared" si="14"/>
        <v>0</v>
      </c>
    </row>
    <row r="159" spans="1:52" s="263" customFormat="1" x14ac:dyDescent="0.2">
      <c r="A159" s="85">
        <v>11</v>
      </c>
      <c r="B159" s="19" t="s">
        <v>472</v>
      </c>
      <c r="C159" s="19" t="s">
        <v>246</v>
      </c>
      <c r="D159" s="197">
        <v>102918</v>
      </c>
      <c r="E159" s="218">
        <v>0</v>
      </c>
      <c r="F159" s="97">
        <v>0</v>
      </c>
      <c r="G159" s="97">
        <v>0</v>
      </c>
      <c r="H159" s="218">
        <v>0</v>
      </c>
      <c r="I159" s="218">
        <v>0</v>
      </c>
      <c r="J159" s="218">
        <v>2671</v>
      </c>
      <c r="K159" s="97">
        <f t="shared" si="15"/>
        <v>2671</v>
      </c>
      <c r="L159" s="219"/>
      <c r="M159" s="218" t="s">
        <v>474</v>
      </c>
      <c r="N159" s="97">
        <v>0</v>
      </c>
      <c r="O159" s="97">
        <v>0</v>
      </c>
      <c r="P159" s="97">
        <v>0</v>
      </c>
      <c r="Q159" s="97">
        <v>0</v>
      </c>
      <c r="R159" s="97">
        <v>0</v>
      </c>
      <c r="S159" s="97">
        <v>0</v>
      </c>
      <c r="T159" s="97">
        <v>0</v>
      </c>
      <c r="U159" s="97">
        <v>0</v>
      </c>
      <c r="V159" s="97">
        <v>0</v>
      </c>
      <c r="W159" s="97">
        <v>0</v>
      </c>
      <c r="X159" s="97">
        <v>0</v>
      </c>
      <c r="Y159" s="97">
        <v>0</v>
      </c>
      <c r="Z159" s="97">
        <v>0</v>
      </c>
      <c r="AA159" s="97">
        <v>0</v>
      </c>
      <c r="AB159" s="97">
        <v>0</v>
      </c>
      <c r="AC159" s="97">
        <v>0</v>
      </c>
      <c r="AD159" s="97">
        <v>0</v>
      </c>
      <c r="AE159" s="97">
        <v>0</v>
      </c>
      <c r="AF159" s="97">
        <v>0</v>
      </c>
      <c r="AG159" s="97">
        <v>0</v>
      </c>
      <c r="AH159" s="97">
        <v>0</v>
      </c>
      <c r="AI159" s="97">
        <v>0</v>
      </c>
      <c r="AJ159" s="97">
        <v>0</v>
      </c>
      <c r="AK159" s="97">
        <v>0</v>
      </c>
      <c r="AL159" s="97">
        <v>0</v>
      </c>
      <c r="AM159" s="97">
        <v>0</v>
      </c>
      <c r="AN159" s="97">
        <v>0</v>
      </c>
      <c r="AO159" s="97">
        <v>0</v>
      </c>
      <c r="AP159" s="97">
        <v>0</v>
      </c>
      <c r="AQ159" s="97">
        <v>0</v>
      </c>
      <c r="AR159" s="97">
        <v>0</v>
      </c>
      <c r="AS159" s="97">
        <v>0</v>
      </c>
      <c r="AT159" s="97">
        <v>0</v>
      </c>
      <c r="AU159" s="97"/>
      <c r="AV159" s="97">
        <f t="shared" si="13"/>
        <v>0</v>
      </c>
      <c r="AW159" s="97">
        <v>2671</v>
      </c>
      <c r="AX159" s="97">
        <v>0</v>
      </c>
      <c r="AY159" s="97">
        <f t="shared" si="16"/>
        <v>2671</v>
      </c>
      <c r="AZ159" s="97">
        <f t="shared" ref="AZ159:AZ190" si="18">+K159-AY159</f>
        <v>0</v>
      </c>
    </row>
    <row r="160" spans="1:52" s="263" customFormat="1" x14ac:dyDescent="0.2">
      <c r="A160" s="85">
        <v>11</v>
      </c>
      <c r="B160" s="19" t="s">
        <v>473</v>
      </c>
      <c r="C160" s="19" t="s">
        <v>246</v>
      </c>
      <c r="D160" s="197">
        <v>102919</v>
      </c>
      <c r="E160" s="218">
        <v>0</v>
      </c>
      <c r="F160" s="97">
        <v>0</v>
      </c>
      <c r="G160" s="97">
        <v>0</v>
      </c>
      <c r="H160" s="218">
        <v>0</v>
      </c>
      <c r="I160" s="218">
        <v>0</v>
      </c>
      <c r="J160" s="218">
        <v>398</v>
      </c>
      <c r="K160" s="97">
        <f t="shared" si="15"/>
        <v>398</v>
      </c>
      <c r="L160" s="219"/>
      <c r="M160" s="218" t="s">
        <v>19</v>
      </c>
      <c r="N160" s="97">
        <v>0</v>
      </c>
      <c r="O160" s="97">
        <v>0</v>
      </c>
      <c r="P160" s="97">
        <v>0</v>
      </c>
      <c r="Q160" s="97">
        <v>0</v>
      </c>
      <c r="R160" s="97">
        <v>0</v>
      </c>
      <c r="S160" s="97">
        <v>0</v>
      </c>
      <c r="T160" s="97">
        <v>0</v>
      </c>
      <c r="U160" s="97">
        <v>0</v>
      </c>
      <c r="V160" s="97">
        <v>0</v>
      </c>
      <c r="W160" s="97">
        <v>0</v>
      </c>
      <c r="X160" s="97">
        <v>0</v>
      </c>
      <c r="Y160" s="97">
        <v>0</v>
      </c>
      <c r="Z160" s="97">
        <v>0</v>
      </c>
      <c r="AA160" s="97">
        <v>0</v>
      </c>
      <c r="AB160" s="97">
        <v>0</v>
      </c>
      <c r="AC160" s="97">
        <v>0</v>
      </c>
      <c r="AD160" s="97">
        <v>0</v>
      </c>
      <c r="AE160" s="97">
        <v>0</v>
      </c>
      <c r="AF160" s="97">
        <v>0</v>
      </c>
      <c r="AG160" s="97">
        <v>0</v>
      </c>
      <c r="AH160" s="97">
        <v>0</v>
      </c>
      <c r="AI160" s="97">
        <v>0</v>
      </c>
      <c r="AJ160" s="97">
        <v>0</v>
      </c>
      <c r="AK160" s="97">
        <v>0</v>
      </c>
      <c r="AL160" s="97">
        <v>0</v>
      </c>
      <c r="AM160" s="97">
        <v>0</v>
      </c>
      <c r="AN160" s="97">
        <v>0</v>
      </c>
      <c r="AO160" s="97">
        <v>0</v>
      </c>
      <c r="AP160" s="97">
        <v>0</v>
      </c>
      <c r="AQ160" s="97">
        <v>0</v>
      </c>
      <c r="AR160" s="97">
        <v>0</v>
      </c>
      <c r="AS160" s="97">
        <v>0</v>
      </c>
      <c r="AT160" s="97">
        <v>0</v>
      </c>
      <c r="AU160" s="97"/>
      <c r="AV160" s="97">
        <f t="shared" si="13"/>
        <v>0</v>
      </c>
      <c r="AW160" s="97">
        <v>398</v>
      </c>
      <c r="AX160" s="97">
        <v>0</v>
      </c>
      <c r="AY160" s="97">
        <f t="shared" si="16"/>
        <v>398</v>
      </c>
      <c r="AZ160" s="97">
        <f t="shared" si="18"/>
        <v>0</v>
      </c>
    </row>
    <row r="161" spans="1:52" s="263" customFormat="1" x14ac:dyDescent="0.2">
      <c r="A161" s="85">
        <v>11</v>
      </c>
      <c r="B161" s="19" t="s">
        <v>404</v>
      </c>
      <c r="C161" s="19" t="s">
        <v>441</v>
      </c>
      <c r="D161" s="197">
        <v>103064</v>
      </c>
      <c r="E161" s="218">
        <f>43+4+6</f>
        <v>53</v>
      </c>
      <c r="F161" s="97">
        <v>16</v>
      </c>
      <c r="G161" s="97">
        <v>1</v>
      </c>
      <c r="H161" s="218">
        <v>0</v>
      </c>
      <c r="I161" s="218">
        <f>1+6</f>
        <v>7</v>
      </c>
      <c r="J161" s="218">
        <v>2</v>
      </c>
      <c r="K161" s="97">
        <f t="shared" si="15"/>
        <v>79</v>
      </c>
      <c r="L161" s="219"/>
      <c r="M161" s="218" t="s">
        <v>497</v>
      </c>
      <c r="N161" s="97">
        <v>1</v>
      </c>
      <c r="O161" s="97">
        <v>2</v>
      </c>
      <c r="P161" s="97">
        <v>3</v>
      </c>
      <c r="Q161" s="97">
        <v>3</v>
      </c>
      <c r="R161" s="97">
        <v>0</v>
      </c>
      <c r="S161" s="97">
        <v>0</v>
      </c>
      <c r="T161" s="97">
        <v>1</v>
      </c>
      <c r="U161" s="97">
        <v>9</v>
      </c>
      <c r="V161" s="97">
        <v>2</v>
      </c>
      <c r="W161" s="97">
        <v>0</v>
      </c>
      <c r="X161" s="97">
        <v>13</v>
      </c>
      <c r="Y161" s="97">
        <v>0</v>
      </c>
      <c r="Z161" s="97">
        <v>1</v>
      </c>
      <c r="AA161" s="97">
        <v>0</v>
      </c>
      <c r="AB161" s="97">
        <v>0</v>
      </c>
      <c r="AC161" s="97">
        <v>1</v>
      </c>
      <c r="AD161" s="97">
        <v>12</v>
      </c>
      <c r="AE161" s="97">
        <v>10</v>
      </c>
      <c r="AF161" s="97">
        <v>0</v>
      </c>
      <c r="AG161" s="97">
        <v>0</v>
      </c>
      <c r="AH161" s="97">
        <v>1</v>
      </c>
      <c r="AI161" s="97">
        <v>1</v>
      </c>
      <c r="AJ161" s="97">
        <v>0</v>
      </c>
      <c r="AK161" s="97">
        <v>1</v>
      </c>
      <c r="AL161" s="97">
        <f>1-1</f>
        <v>0</v>
      </c>
      <c r="AM161" s="97">
        <v>6</v>
      </c>
      <c r="AN161" s="97">
        <v>0</v>
      </c>
      <c r="AO161" s="97">
        <v>3</v>
      </c>
      <c r="AP161" s="97">
        <v>1</v>
      </c>
      <c r="AQ161" s="97">
        <v>0</v>
      </c>
      <c r="AR161" s="97">
        <v>0</v>
      </c>
      <c r="AS161" s="97">
        <v>0</v>
      </c>
      <c r="AT161" s="97">
        <v>0</v>
      </c>
      <c r="AU161" s="97"/>
      <c r="AV161" s="246">
        <f>SUM(N161:AU161)</f>
        <v>71</v>
      </c>
      <c r="AW161" s="97">
        <v>8</v>
      </c>
      <c r="AX161" s="97">
        <v>0</v>
      </c>
      <c r="AY161" s="97">
        <f t="shared" si="16"/>
        <v>79</v>
      </c>
      <c r="AZ161" s="97">
        <f t="shared" si="18"/>
        <v>0</v>
      </c>
    </row>
    <row r="162" spans="1:52" s="263" customFormat="1" x14ac:dyDescent="0.2">
      <c r="A162" s="85">
        <v>11</v>
      </c>
      <c r="B162" s="19" t="s">
        <v>403</v>
      </c>
      <c r="C162" s="19" t="s">
        <v>442</v>
      </c>
      <c r="D162" s="197">
        <v>103080</v>
      </c>
      <c r="E162" s="218">
        <f>149+21+23</f>
        <v>193</v>
      </c>
      <c r="F162" s="97">
        <v>12</v>
      </c>
      <c r="G162" s="97">
        <v>2</v>
      </c>
      <c r="H162" s="218">
        <v>1</v>
      </c>
      <c r="I162" s="218">
        <f>6+26</f>
        <v>32</v>
      </c>
      <c r="J162" s="218">
        <v>292</v>
      </c>
      <c r="K162" s="97">
        <f t="shared" si="15"/>
        <v>532</v>
      </c>
      <c r="L162" s="219"/>
      <c r="M162" s="218" t="s">
        <v>495</v>
      </c>
      <c r="N162" s="97">
        <v>6</v>
      </c>
      <c r="O162" s="97">
        <v>12</v>
      </c>
      <c r="P162" s="97">
        <v>18</v>
      </c>
      <c r="Q162" s="97">
        <v>14</v>
      </c>
      <c r="R162" s="97">
        <v>1</v>
      </c>
      <c r="S162" s="97">
        <v>0</v>
      </c>
      <c r="T162" s="97">
        <v>7</v>
      </c>
      <c r="U162" s="97">
        <v>47</v>
      </c>
      <c r="V162" s="97">
        <v>9</v>
      </c>
      <c r="W162" s="97">
        <v>4</v>
      </c>
      <c r="X162" s="97">
        <v>67</v>
      </c>
      <c r="Y162" s="97">
        <v>1</v>
      </c>
      <c r="Z162" s="97">
        <v>7</v>
      </c>
      <c r="AA162" s="97">
        <v>1</v>
      </c>
      <c r="AB162" s="97">
        <v>68</v>
      </c>
      <c r="AC162" s="97">
        <v>3</v>
      </c>
      <c r="AD162" s="97">
        <v>61</v>
      </c>
      <c r="AE162" s="97">
        <v>47</v>
      </c>
      <c r="AF162" s="97">
        <v>32</v>
      </c>
      <c r="AG162" s="97">
        <v>0</v>
      </c>
      <c r="AH162" s="97">
        <v>3</v>
      </c>
      <c r="AI162" s="97">
        <v>9</v>
      </c>
      <c r="AJ162" s="97">
        <v>14</v>
      </c>
      <c r="AK162" s="97">
        <v>5</v>
      </c>
      <c r="AL162" s="97">
        <v>1</v>
      </c>
      <c r="AM162" s="97">
        <v>30</v>
      </c>
      <c r="AN162" s="97">
        <v>0</v>
      </c>
      <c r="AO162" s="97">
        <v>18</v>
      </c>
      <c r="AP162" s="97">
        <v>5</v>
      </c>
      <c r="AQ162" s="97">
        <v>0</v>
      </c>
      <c r="AR162" s="97">
        <v>0</v>
      </c>
      <c r="AS162" s="97">
        <v>0</v>
      </c>
      <c r="AT162" s="97">
        <v>0</v>
      </c>
      <c r="AU162" s="97"/>
      <c r="AV162" s="97">
        <f t="shared" si="13"/>
        <v>490</v>
      </c>
      <c r="AW162" s="97">
        <v>42</v>
      </c>
      <c r="AX162" s="97">
        <v>0</v>
      </c>
      <c r="AY162" s="97">
        <f t="shared" si="16"/>
        <v>532</v>
      </c>
      <c r="AZ162" s="97">
        <f t="shared" si="18"/>
        <v>0</v>
      </c>
    </row>
    <row r="163" spans="1:52" s="263" customFormat="1" x14ac:dyDescent="0.2">
      <c r="A163" s="85">
        <v>11</v>
      </c>
      <c r="B163" s="19" t="s">
        <v>405</v>
      </c>
      <c r="C163" s="19" t="s">
        <v>441</v>
      </c>
      <c r="D163" s="197">
        <v>103082</v>
      </c>
      <c r="E163" s="218">
        <f>51+5+8</f>
        <v>64</v>
      </c>
      <c r="F163" s="97">
        <v>7</v>
      </c>
      <c r="G163" s="97">
        <v>2</v>
      </c>
      <c r="H163" s="218">
        <f>84+13</f>
        <v>97</v>
      </c>
      <c r="I163" s="218">
        <f>4+9</f>
        <v>13</v>
      </c>
      <c r="J163" s="218">
        <v>18</v>
      </c>
      <c r="K163" s="97">
        <f t="shared" si="15"/>
        <v>201</v>
      </c>
      <c r="L163" s="219"/>
      <c r="M163" s="218" t="s">
        <v>495</v>
      </c>
      <c r="N163" s="97">
        <v>2</v>
      </c>
      <c r="O163" s="97">
        <v>5</v>
      </c>
      <c r="P163" s="97">
        <v>7</v>
      </c>
      <c r="Q163" s="97">
        <v>5</v>
      </c>
      <c r="R163" s="97">
        <v>0</v>
      </c>
      <c r="S163" s="97">
        <v>0</v>
      </c>
      <c r="T163" s="97">
        <v>3</v>
      </c>
      <c r="U163" s="97">
        <v>18</v>
      </c>
      <c r="V163" s="97">
        <v>4</v>
      </c>
      <c r="W163" s="97">
        <v>0</v>
      </c>
      <c r="X163" s="97">
        <v>25</v>
      </c>
      <c r="Y163" s="97">
        <v>0</v>
      </c>
      <c r="Z163" s="97">
        <v>3</v>
      </c>
      <c r="AA163" s="97">
        <v>1</v>
      </c>
      <c r="AB163" s="97">
        <v>26</v>
      </c>
      <c r="AC163" s="97">
        <v>1</v>
      </c>
      <c r="AD163" s="97">
        <v>23</v>
      </c>
      <c r="AE163" s="97">
        <v>18</v>
      </c>
      <c r="AF163" s="97">
        <v>12</v>
      </c>
      <c r="AG163" s="97">
        <v>0</v>
      </c>
      <c r="AH163" s="97">
        <v>1</v>
      </c>
      <c r="AI163" s="97">
        <v>3</v>
      </c>
      <c r="AJ163" s="97">
        <v>5</v>
      </c>
      <c r="AK163" s="97">
        <v>2</v>
      </c>
      <c r="AL163" s="97">
        <f>3-2</f>
        <v>1</v>
      </c>
      <c r="AM163" s="97">
        <v>11</v>
      </c>
      <c r="AN163" s="97">
        <v>0</v>
      </c>
      <c r="AO163" s="97">
        <v>7</v>
      </c>
      <c r="AP163" s="97">
        <v>2</v>
      </c>
      <c r="AQ163" s="97">
        <v>0</v>
      </c>
      <c r="AR163" s="97">
        <v>0</v>
      </c>
      <c r="AS163" s="97">
        <v>0</v>
      </c>
      <c r="AT163" s="97">
        <v>0</v>
      </c>
      <c r="AU163" s="97"/>
      <c r="AV163" s="246">
        <f>SUM(N163:AU163)</f>
        <v>185</v>
      </c>
      <c r="AW163" s="97">
        <v>16</v>
      </c>
      <c r="AX163" s="97">
        <v>0</v>
      </c>
      <c r="AY163" s="97">
        <f t="shared" si="16"/>
        <v>201</v>
      </c>
      <c r="AZ163" s="97">
        <f t="shared" si="18"/>
        <v>0</v>
      </c>
    </row>
    <row r="164" spans="1:52" s="262" customFormat="1" x14ac:dyDescent="0.2">
      <c r="A164" s="243">
        <v>11</v>
      </c>
      <c r="B164" s="234" t="s">
        <v>507</v>
      </c>
      <c r="C164" s="234" t="s">
        <v>443</v>
      </c>
      <c r="D164" s="244">
        <v>103083</v>
      </c>
      <c r="E164" s="245">
        <v>0</v>
      </c>
      <c r="F164" s="246">
        <v>0</v>
      </c>
      <c r="G164" s="246">
        <v>0</v>
      </c>
      <c r="H164" s="245">
        <v>11031</v>
      </c>
      <c r="I164" s="245">
        <v>0</v>
      </c>
      <c r="J164" s="245">
        <v>-8</v>
      </c>
      <c r="K164" s="97">
        <f t="shared" si="15"/>
        <v>11023</v>
      </c>
      <c r="L164" s="247"/>
      <c r="M164" s="218" t="s">
        <v>495</v>
      </c>
      <c r="N164" s="97">
        <v>142</v>
      </c>
      <c r="O164" s="97">
        <v>270</v>
      </c>
      <c r="P164" s="97">
        <v>407</v>
      </c>
      <c r="Q164" s="97">
        <v>305</v>
      </c>
      <c r="R164" s="97">
        <v>28</v>
      </c>
      <c r="S164" s="97">
        <v>0</v>
      </c>
      <c r="T164" s="97">
        <v>162</v>
      </c>
      <c r="U164" s="97">
        <v>1047</v>
      </c>
      <c r="V164" s="97">
        <v>201</v>
      </c>
      <c r="W164" s="97">
        <v>80</v>
      </c>
      <c r="X164" s="97">
        <v>1483</v>
      </c>
      <c r="Y164" s="97">
        <v>13</v>
      </c>
      <c r="Z164" s="97">
        <v>163</v>
      </c>
      <c r="AA164" s="97">
        <v>33</v>
      </c>
      <c r="AB164" s="97">
        <v>1512</v>
      </c>
      <c r="AC164" s="97">
        <v>66</v>
      </c>
      <c r="AD164" s="97">
        <v>1358</v>
      </c>
      <c r="AE164" s="97">
        <v>1038</v>
      </c>
      <c r="AF164" s="97">
        <v>0</v>
      </c>
      <c r="AG164" s="97">
        <v>0</v>
      </c>
      <c r="AH164" s="97">
        <v>72</v>
      </c>
      <c r="AI164" s="97">
        <v>207</v>
      </c>
      <c r="AJ164" s="97">
        <v>311</v>
      </c>
      <c r="AK164" s="97">
        <v>0</v>
      </c>
      <c r="AL164" s="97">
        <v>31</v>
      </c>
      <c r="AM164" s="97">
        <v>667</v>
      </c>
      <c r="AN164" s="97">
        <v>0</v>
      </c>
      <c r="AO164" s="97">
        <v>389</v>
      </c>
      <c r="AP164" s="97">
        <v>105</v>
      </c>
      <c r="AQ164" s="97">
        <v>0</v>
      </c>
      <c r="AR164" s="97">
        <v>0</v>
      </c>
      <c r="AS164" s="97">
        <v>0</v>
      </c>
      <c r="AT164" s="97">
        <v>0</v>
      </c>
      <c r="AU164" s="246"/>
      <c r="AV164" s="246">
        <f t="shared" si="13"/>
        <v>10090</v>
      </c>
      <c r="AW164" s="97">
        <f>923+10</f>
        <v>933</v>
      </c>
      <c r="AX164" s="97">
        <v>0</v>
      </c>
      <c r="AY164" s="97">
        <f t="shared" si="16"/>
        <v>11023</v>
      </c>
      <c r="AZ164" s="246">
        <f t="shared" si="18"/>
        <v>0</v>
      </c>
    </row>
    <row r="165" spans="1:52" s="262" customFormat="1" x14ac:dyDescent="0.2">
      <c r="A165" s="243">
        <v>11</v>
      </c>
      <c r="B165" s="234" t="s">
        <v>526</v>
      </c>
      <c r="C165" s="234" t="s">
        <v>444</v>
      </c>
      <c r="D165" s="244">
        <v>103088</v>
      </c>
      <c r="E165" s="245">
        <f>979+86+153</f>
        <v>1218</v>
      </c>
      <c r="F165" s="246">
        <v>86</v>
      </c>
      <c r="G165" s="246">
        <v>0</v>
      </c>
      <c r="H165" s="245">
        <f>1276+6+1</f>
        <v>1283</v>
      </c>
      <c r="I165" s="245">
        <v>0</v>
      </c>
      <c r="J165" s="245">
        <v>0</v>
      </c>
      <c r="K165" s="246">
        <f t="shared" si="15"/>
        <v>2587</v>
      </c>
      <c r="L165" s="247"/>
      <c r="M165" s="245" t="s">
        <v>506</v>
      </c>
      <c r="N165" s="246">
        <v>0</v>
      </c>
      <c r="O165" s="246">
        <v>0</v>
      </c>
      <c r="P165" s="246">
        <f>ROUND($K165*0.065,0)-86</f>
        <v>82</v>
      </c>
      <c r="Q165" s="97">
        <v>86</v>
      </c>
      <c r="R165" s="246">
        <v>0</v>
      </c>
      <c r="S165" s="246">
        <v>0</v>
      </c>
      <c r="T165" s="246">
        <v>0</v>
      </c>
      <c r="U165" s="246">
        <v>0</v>
      </c>
      <c r="V165" s="246">
        <f>ROUND($K165*0.125,0)</f>
        <v>323</v>
      </c>
      <c r="W165" s="97">
        <v>0</v>
      </c>
      <c r="X165" s="246">
        <f>ROUND($K165*0.125,0)</f>
        <v>323</v>
      </c>
      <c r="Y165" s="246">
        <v>0</v>
      </c>
      <c r="Z165" s="246">
        <v>0</v>
      </c>
      <c r="AA165" s="246">
        <f>ROUND($K165*0.015,0)</f>
        <v>39</v>
      </c>
      <c r="AB165" s="246">
        <f>ROUND($K165*0.125,0)</f>
        <v>323</v>
      </c>
      <c r="AC165" s="246">
        <v>0</v>
      </c>
      <c r="AD165" s="246">
        <f>ROUND($K165*0.125,0)</f>
        <v>323</v>
      </c>
      <c r="AE165" s="246">
        <f>ROUND($K165*0.125,0)</f>
        <v>323</v>
      </c>
      <c r="AF165" s="246">
        <v>0</v>
      </c>
      <c r="AG165" s="246">
        <v>0</v>
      </c>
      <c r="AH165" s="246">
        <f>ROUND($K165*0.015,0)</f>
        <v>39</v>
      </c>
      <c r="AI165" s="246">
        <f t="shared" ref="AI165:AJ174" si="19">ROUND($K165*0.03,0)</f>
        <v>78</v>
      </c>
      <c r="AJ165" s="246">
        <f t="shared" si="19"/>
        <v>78</v>
      </c>
      <c r="AK165" s="246">
        <f>ROUND($K165*0.015,0)</f>
        <v>39</v>
      </c>
      <c r="AL165" s="246">
        <f t="shared" ref="AL165:AL174" si="20">ROUND($K165*0.015,0)</f>
        <v>39</v>
      </c>
      <c r="AM165" s="246">
        <f>ROUND($K165*0.015,0)</f>
        <v>39</v>
      </c>
      <c r="AN165" s="246">
        <v>0</v>
      </c>
      <c r="AO165" s="246">
        <f>ROUND($K165*0.035,0)</f>
        <v>91</v>
      </c>
      <c r="AP165" s="246">
        <f>ROUND($K165*0.015,0)</f>
        <v>39</v>
      </c>
      <c r="AQ165" s="246">
        <v>0</v>
      </c>
      <c r="AR165" s="246">
        <v>0</v>
      </c>
      <c r="AS165" s="246">
        <v>0</v>
      </c>
      <c r="AT165" s="246">
        <v>0</v>
      </c>
      <c r="AU165" s="246"/>
      <c r="AV165" s="246">
        <f t="shared" si="13"/>
        <v>2264</v>
      </c>
      <c r="AW165" s="246">
        <f t="shared" ref="AW165:AW174" si="21">K165-AV165</f>
        <v>323</v>
      </c>
      <c r="AX165" s="246">
        <v>0</v>
      </c>
      <c r="AY165" s="246">
        <f t="shared" si="16"/>
        <v>2587</v>
      </c>
      <c r="AZ165" s="246">
        <f t="shared" si="18"/>
        <v>0</v>
      </c>
    </row>
    <row r="166" spans="1:52" s="262" customFormat="1" x14ac:dyDescent="0.2">
      <c r="A166" s="243">
        <v>11</v>
      </c>
      <c r="B166" s="234" t="s">
        <v>527</v>
      </c>
      <c r="C166" s="234" t="s">
        <v>445</v>
      </c>
      <c r="D166" s="244">
        <v>103089</v>
      </c>
      <c r="E166" s="245">
        <f>1930+179+122</f>
        <v>2231</v>
      </c>
      <c r="F166" s="246">
        <v>29</v>
      </c>
      <c r="G166" s="246">
        <v>0</v>
      </c>
      <c r="H166" s="245">
        <v>433</v>
      </c>
      <c r="I166" s="245">
        <v>0</v>
      </c>
      <c r="J166" s="245">
        <v>0</v>
      </c>
      <c r="K166" s="246">
        <f t="shared" si="15"/>
        <v>2693</v>
      </c>
      <c r="L166" s="247"/>
      <c r="M166" s="245" t="s">
        <v>506</v>
      </c>
      <c r="N166" s="246">
        <v>0</v>
      </c>
      <c r="O166" s="246">
        <v>0</v>
      </c>
      <c r="P166" s="246">
        <f>ROUND($K166*0.065,0)-89</f>
        <v>86</v>
      </c>
      <c r="Q166" s="97">
        <v>89</v>
      </c>
      <c r="R166" s="246">
        <v>0</v>
      </c>
      <c r="S166" s="246">
        <v>0</v>
      </c>
      <c r="T166" s="246">
        <v>0</v>
      </c>
      <c r="U166" s="246">
        <v>0</v>
      </c>
      <c r="V166" s="246">
        <f t="shared" ref="V166:X174" si="22">ROUND($K166*0.125,0)</f>
        <v>337</v>
      </c>
      <c r="W166" s="97">
        <v>0</v>
      </c>
      <c r="X166" s="246">
        <f t="shared" si="22"/>
        <v>337</v>
      </c>
      <c r="Y166" s="246">
        <v>0</v>
      </c>
      <c r="Z166" s="246">
        <v>0</v>
      </c>
      <c r="AA166" s="246">
        <f t="shared" ref="AA166:AA174" si="23">ROUND($K166*0.015,0)</f>
        <v>40</v>
      </c>
      <c r="AB166" s="246">
        <f t="shared" ref="AB166:AB174" si="24">ROUND($K166*0.125,0)</f>
        <v>337</v>
      </c>
      <c r="AC166" s="246">
        <v>0</v>
      </c>
      <c r="AD166" s="246">
        <f t="shared" ref="AD166:AE174" si="25">ROUND($K166*0.125,0)</f>
        <v>337</v>
      </c>
      <c r="AE166" s="246">
        <f t="shared" si="25"/>
        <v>337</v>
      </c>
      <c r="AF166" s="246">
        <v>0</v>
      </c>
      <c r="AG166" s="246">
        <v>0</v>
      </c>
      <c r="AH166" s="246">
        <f t="shared" ref="AH166:AH174" si="26">ROUND($K166*0.015,0)</f>
        <v>40</v>
      </c>
      <c r="AI166" s="246">
        <f t="shared" si="19"/>
        <v>81</v>
      </c>
      <c r="AJ166" s="246">
        <f t="shared" si="19"/>
        <v>81</v>
      </c>
      <c r="AK166" s="246">
        <f t="shared" ref="AK166:AM174" si="27">ROUND($K166*0.015,0)</f>
        <v>40</v>
      </c>
      <c r="AL166" s="246">
        <f t="shared" si="20"/>
        <v>40</v>
      </c>
      <c r="AM166" s="246">
        <f t="shared" si="27"/>
        <v>40</v>
      </c>
      <c r="AN166" s="246">
        <v>0</v>
      </c>
      <c r="AO166" s="246">
        <f t="shared" ref="AO166:AO174" si="28">ROUND($K166*0.035,0)</f>
        <v>94</v>
      </c>
      <c r="AP166" s="246">
        <f t="shared" ref="AP166:AP174" si="29">ROUND($K166*0.015,0)</f>
        <v>40</v>
      </c>
      <c r="AQ166" s="246">
        <v>0</v>
      </c>
      <c r="AR166" s="246">
        <v>0</v>
      </c>
      <c r="AS166" s="246">
        <v>0</v>
      </c>
      <c r="AT166" s="246">
        <v>0</v>
      </c>
      <c r="AU166" s="246"/>
      <c r="AV166" s="246">
        <f t="shared" si="13"/>
        <v>2356</v>
      </c>
      <c r="AW166" s="246">
        <f t="shared" si="21"/>
        <v>337</v>
      </c>
      <c r="AX166" s="246">
        <v>0</v>
      </c>
      <c r="AY166" s="246">
        <f t="shared" si="16"/>
        <v>2693</v>
      </c>
      <c r="AZ166" s="246">
        <f t="shared" si="18"/>
        <v>0</v>
      </c>
    </row>
    <row r="167" spans="1:52" s="262" customFormat="1" x14ac:dyDescent="0.2">
      <c r="A167" s="243">
        <v>11</v>
      </c>
      <c r="B167" s="234" t="s">
        <v>519</v>
      </c>
      <c r="C167" s="234" t="s">
        <v>487</v>
      </c>
      <c r="D167" s="244">
        <v>103090</v>
      </c>
      <c r="E167" s="245">
        <f>824+71+124</f>
        <v>1019</v>
      </c>
      <c r="F167" s="246">
        <v>59</v>
      </c>
      <c r="G167" s="246">
        <v>0</v>
      </c>
      <c r="H167" s="245">
        <v>163</v>
      </c>
      <c r="I167" s="245">
        <v>0</v>
      </c>
      <c r="J167" s="245">
        <v>0</v>
      </c>
      <c r="K167" s="246">
        <f t="shared" si="15"/>
        <v>1241</v>
      </c>
      <c r="L167" s="247"/>
      <c r="M167" s="245" t="s">
        <v>506</v>
      </c>
      <c r="N167" s="246">
        <v>0</v>
      </c>
      <c r="O167" s="246">
        <v>0</v>
      </c>
      <c r="P167" s="246">
        <f>ROUND($K167*0.065,0)-41</f>
        <v>40</v>
      </c>
      <c r="Q167" s="97">
        <v>41</v>
      </c>
      <c r="R167" s="246">
        <v>0</v>
      </c>
      <c r="S167" s="246">
        <v>0</v>
      </c>
      <c r="T167" s="246">
        <v>0</v>
      </c>
      <c r="U167" s="246">
        <v>0</v>
      </c>
      <c r="V167" s="246">
        <f t="shared" si="22"/>
        <v>155</v>
      </c>
      <c r="W167" s="97">
        <v>0</v>
      </c>
      <c r="X167" s="246">
        <f t="shared" si="22"/>
        <v>155</v>
      </c>
      <c r="Y167" s="246">
        <v>0</v>
      </c>
      <c r="Z167" s="246">
        <v>0</v>
      </c>
      <c r="AA167" s="246">
        <f t="shared" si="23"/>
        <v>19</v>
      </c>
      <c r="AB167" s="246">
        <f t="shared" si="24"/>
        <v>155</v>
      </c>
      <c r="AC167" s="246">
        <v>0</v>
      </c>
      <c r="AD167" s="246">
        <f t="shared" si="25"/>
        <v>155</v>
      </c>
      <c r="AE167" s="246">
        <f t="shared" si="25"/>
        <v>155</v>
      </c>
      <c r="AF167" s="246">
        <v>0</v>
      </c>
      <c r="AG167" s="246">
        <v>0</v>
      </c>
      <c r="AH167" s="246">
        <f t="shared" si="26"/>
        <v>19</v>
      </c>
      <c r="AI167" s="246">
        <f t="shared" si="19"/>
        <v>37</v>
      </c>
      <c r="AJ167" s="246">
        <f t="shared" si="19"/>
        <v>37</v>
      </c>
      <c r="AK167" s="246">
        <f t="shared" si="27"/>
        <v>19</v>
      </c>
      <c r="AL167" s="246">
        <f t="shared" si="20"/>
        <v>19</v>
      </c>
      <c r="AM167" s="246">
        <f t="shared" si="27"/>
        <v>19</v>
      </c>
      <c r="AN167" s="246">
        <v>0</v>
      </c>
      <c r="AO167" s="246">
        <f t="shared" si="28"/>
        <v>43</v>
      </c>
      <c r="AP167" s="246">
        <f t="shared" si="29"/>
        <v>19</v>
      </c>
      <c r="AQ167" s="246">
        <v>0</v>
      </c>
      <c r="AR167" s="246">
        <v>0</v>
      </c>
      <c r="AS167" s="246">
        <v>0</v>
      </c>
      <c r="AT167" s="246">
        <v>0</v>
      </c>
      <c r="AU167" s="246"/>
      <c r="AV167" s="246">
        <f t="shared" si="13"/>
        <v>1087</v>
      </c>
      <c r="AW167" s="246">
        <f t="shared" si="21"/>
        <v>154</v>
      </c>
      <c r="AX167" s="246">
        <v>0</v>
      </c>
      <c r="AY167" s="246">
        <f t="shared" si="16"/>
        <v>1241</v>
      </c>
      <c r="AZ167" s="246">
        <f t="shared" si="18"/>
        <v>0</v>
      </c>
    </row>
    <row r="168" spans="1:52" s="262" customFormat="1" x14ac:dyDescent="0.2">
      <c r="A168" s="243">
        <v>11</v>
      </c>
      <c r="B168" s="234" t="s">
        <v>520</v>
      </c>
      <c r="C168" s="234" t="s">
        <v>394</v>
      </c>
      <c r="D168" s="244">
        <v>103091</v>
      </c>
      <c r="E168" s="245">
        <f>763+81+123</f>
        <v>967</v>
      </c>
      <c r="F168" s="246">
        <v>30</v>
      </c>
      <c r="G168" s="246">
        <v>0</v>
      </c>
      <c r="H168" s="245">
        <v>0</v>
      </c>
      <c r="I168" s="245">
        <v>0</v>
      </c>
      <c r="J168" s="245">
        <v>0</v>
      </c>
      <c r="K168" s="246">
        <f t="shared" si="15"/>
        <v>997</v>
      </c>
      <c r="L168" s="247"/>
      <c r="M168" s="245" t="s">
        <v>506</v>
      </c>
      <c r="N168" s="246">
        <v>0</v>
      </c>
      <c r="O168" s="246">
        <v>0</v>
      </c>
      <c r="P168" s="246">
        <f>ROUND($K168*0.065,0)-33</f>
        <v>32</v>
      </c>
      <c r="Q168" s="97">
        <v>33</v>
      </c>
      <c r="R168" s="246">
        <v>0</v>
      </c>
      <c r="S168" s="246">
        <v>0</v>
      </c>
      <c r="T168" s="246">
        <v>0</v>
      </c>
      <c r="U168" s="246">
        <v>0</v>
      </c>
      <c r="V168" s="246">
        <f t="shared" si="22"/>
        <v>125</v>
      </c>
      <c r="W168" s="97">
        <v>0</v>
      </c>
      <c r="X168" s="246">
        <f t="shared" si="22"/>
        <v>125</v>
      </c>
      <c r="Y168" s="246">
        <v>0</v>
      </c>
      <c r="Z168" s="246">
        <v>0</v>
      </c>
      <c r="AA168" s="246">
        <f t="shared" si="23"/>
        <v>15</v>
      </c>
      <c r="AB168" s="246">
        <f t="shared" si="24"/>
        <v>125</v>
      </c>
      <c r="AC168" s="246">
        <v>0</v>
      </c>
      <c r="AD168" s="246">
        <f t="shared" si="25"/>
        <v>125</v>
      </c>
      <c r="AE168" s="246">
        <f t="shared" si="25"/>
        <v>125</v>
      </c>
      <c r="AF168" s="246">
        <v>0</v>
      </c>
      <c r="AG168" s="246">
        <v>0</v>
      </c>
      <c r="AH168" s="246">
        <f t="shared" si="26"/>
        <v>15</v>
      </c>
      <c r="AI168" s="246">
        <f t="shared" si="19"/>
        <v>30</v>
      </c>
      <c r="AJ168" s="246">
        <f t="shared" si="19"/>
        <v>30</v>
      </c>
      <c r="AK168" s="246">
        <f t="shared" si="27"/>
        <v>15</v>
      </c>
      <c r="AL168" s="246">
        <f t="shared" si="20"/>
        <v>15</v>
      </c>
      <c r="AM168" s="246">
        <f t="shared" si="27"/>
        <v>15</v>
      </c>
      <c r="AN168" s="246">
        <v>0</v>
      </c>
      <c r="AO168" s="246">
        <f t="shared" si="28"/>
        <v>35</v>
      </c>
      <c r="AP168" s="246">
        <f t="shared" si="29"/>
        <v>15</v>
      </c>
      <c r="AQ168" s="246">
        <v>0</v>
      </c>
      <c r="AR168" s="246">
        <v>0</v>
      </c>
      <c r="AS168" s="246">
        <v>0</v>
      </c>
      <c r="AT168" s="246">
        <v>0</v>
      </c>
      <c r="AU168" s="246"/>
      <c r="AV168" s="246">
        <f t="shared" si="13"/>
        <v>875</v>
      </c>
      <c r="AW168" s="246">
        <f t="shared" si="21"/>
        <v>122</v>
      </c>
      <c r="AX168" s="246">
        <v>0</v>
      </c>
      <c r="AY168" s="246">
        <f t="shared" si="16"/>
        <v>997</v>
      </c>
      <c r="AZ168" s="246">
        <f t="shared" si="18"/>
        <v>0</v>
      </c>
    </row>
    <row r="169" spans="1:52" s="262" customFormat="1" x14ac:dyDescent="0.2">
      <c r="A169" s="243">
        <v>11</v>
      </c>
      <c r="B169" s="234" t="s">
        <v>521</v>
      </c>
      <c r="C169" s="234" t="s">
        <v>394</v>
      </c>
      <c r="D169" s="244">
        <v>103092</v>
      </c>
      <c r="E169" s="245">
        <f>1217+120+188</f>
        <v>1525</v>
      </c>
      <c r="F169" s="246">
        <v>43</v>
      </c>
      <c r="G169" s="246">
        <v>0</v>
      </c>
      <c r="H169" s="245">
        <v>53</v>
      </c>
      <c r="I169" s="245">
        <v>0</v>
      </c>
      <c r="J169" s="245">
        <v>0</v>
      </c>
      <c r="K169" s="246">
        <f t="shared" si="15"/>
        <v>1621</v>
      </c>
      <c r="L169" s="247"/>
      <c r="M169" s="245" t="s">
        <v>506</v>
      </c>
      <c r="N169" s="246">
        <v>0</v>
      </c>
      <c r="O169" s="246">
        <v>0</v>
      </c>
      <c r="P169" s="246">
        <f>ROUND($K169*0.065,0)-54</f>
        <v>51</v>
      </c>
      <c r="Q169" s="97">
        <v>54</v>
      </c>
      <c r="R169" s="246">
        <v>0</v>
      </c>
      <c r="S169" s="246">
        <v>0</v>
      </c>
      <c r="T169" s="246">
        <v>0</v>
      </c>
      <c r="U169" s="246">
        <v>0</v>
      </c>
      <c r="V169" s="246">
        <f t="shared" si="22"/>
        <v>203</v>
      </c>
      <c r="W169" s="97">
        <v>0</v>
      </c>
      <c r="X169" s="246">
        <f t="shared" si="22"/>
        <v>203</v>
      </c>
      <c r="Y169" s="246">
        <v>0</v>
      </c>
      <c r="Z169" s="246">
        <v>0</v>
      </c>
      <c r="AA169" s="246">
        <f t="shared" si="23"/>
        <v>24</v>
      </c>
      <c r="AB169" s="246">
        <f t="shared" si="24"/>
        <v>203</v>
      </c>
      <c r="AC169" s="246">
        <v>0</v>
      </c>
      <c r="AD169" s="246">
        <f t="shared" si="25"/>
        <v>203</v>
      </c>
      <c r="AE169" s="246">
        <f t="shared" si="25"/>
        <v>203</v>
      </c>
      <c r="AF169" s="246">
        <v>0</v>
      </c>
      <c r="AG169" s="246">
        <v>0</v>
      </c>
      <c r="AH169" s="246">
        <f t="shared" si="26"/>
        <v>24</v>
      </c>
      <c r="AI169" s="246">
        <f t="shared" si="19"/>
        <v>49</v>
      </c>
      <c r="AJ169" s="246">
        <f t="shared" si="19"/>
        <v>49</v>
      </c>
      <c r="AK169" s="246">
        <f t="shared" si="27"/>
        <v>24</v>
      </c>
      <c r="AL169" s="246">
        <f t="shared" si="20"/>
        <v>24</v>
      </c>
      <c r="AM169" s="246">
        <f t="shared" si="27"/>
        <v>24</v>
      </c>
      <c r="AN169" s="246">
        <v>0</v>
      </c>
      <c r="AO169" s="246">
        <f t="shared" si="28"/>
        <v>57</v>
      </c>
      <c r="AP169" s="246">
        <f t="shared" si="29"/>
        <v>24</v>
      </c>
      <c r="AQ169" s="246">
        <v>0</v>
      </c>
      <c r="AR169" s="246">
        <v>0</v>
      </c>
      <c r="AS169" s="246">
        <v>0</v>
      </c>
      <c r="AT169" s="246">
        <v>0</v>
      </c>
      <c r="AU169" s="246"/>
      <c r="AV169" s="246">
        <f t="shared" si="13"/>
        <v>1419</v>
      </c>
      <c r="AW169" s="246">
        <f t="shared" si="21"/>
        <v>202</v>
      </c>
      <c r="AX169" s="246">
        <v>0</v>
      </c>
      <c r="AY169" s="246">
        <f t="shared" si="16"/>
        <v>1621</v>
      </c>
      <c r="AZ169" s="246">
        <f t="shared" si="18"/>
        <v>0</v>
      </c>
    </row>
    <row r="170" spans="1:52" s="262" customFormat="1" x14ac:dyDescent="0.2">
      <c r="A170" s="243">
        <v>11</v>
      </c>
      <c r="B170" s="234" t="s">
        <v>522</v>
      </c>
      <c r="C170" s="234" t="s">
        <v>446</v>
      </c>
      <c r="D170" s="244">
        <v>103093</v>
      </c>
      <c r="E170" s="245">
        <f>1937+164+288</f>
        <v>2389</v>
      </c>
      <c r="F170" s="246">
        <v>145</v>
      </c>
      <c r="G170" s="246">
        <v>0</v>
      </c>
      <c r="H170" s="245">
        <f>1252-660</f>
        <v>592</v>
      </c>
      <c r="I170" s="245">
        <v>0</v>
      </c>
      <c r="J170" s="245">
        <v>0</v>
      </c>
      <c r="K170" s="246">
        <f t="shared" si="15"/>
        <v>3126</v>
      </c>
      <c r="L170" s="247"/>
      <c r="M170" s="245" t="s">
        <v>506</v>
      </c>
      <c r="N170" s="246">
        <v>0</v>
      </c>
      <c r="O170" s="246">
        <v>0</v>
      </c>
      <c r="P170" s="246">
        <f>ROUND($K170*0.065,0)-87</f>
        <v>116</v>
      </c>
      <c r="Q170" s="97">
        <v>87</v>
      </c>
      <c r="R170" s="246">
        <v>0</v>
      </c>
      <c r="S170" s="246">
        <v>0</v>
      </c>
      <c r="T170" s="246">
        <v>0</v>
      </c>
      <c r="U170" s="246">
        <v>0</v>
      </c>
      <c r="V170" s="246">
        <f t="shared" si="22"/>
        <v>391</v>
      </c>
      <c r="W170" s="97">
        <v>0</v>
      </c>
      <c r="X170" s="246">
        <f t="shared" si="22"/>
        <v>391</v>
      </c>
      <c r="Y170" s="246">
        <v>0</v>
      </c>
      <c r="Z170" s="246">
        <v>0</v>
      </c>
      <c r="AA170" s="246">
        <f t="shared" si="23"/>
        <v>47</v>
      </c>
      <c r="AB170" s="246">
        <f t="shared" si="24"/>
        <v>391</v>
      </c>
      <c r="AC170" s="246">
        <v>0</v>
      </c>
      <c r="AD170" s="246">
        <f t="shared" si="25"/>
        <v>391</v>
      </c>
      <c r="AE170" s="246">
        <f t="shared" si="25"/>
        <v>391</v>
      </c>
      <c r="AF170" s="246">
        <v>0</v>
      </c>
      <c r="AG170" s="246">
        <v>0</v>
      </c>
      <c r="AH170" s="246">
        <f t="shared" si="26"/>
        <v>47</v>
      </c>
      <c r="AI170" s="246">
        <f t="shared" si="19"/>
        <v>94</v>
      </c>
      <c r="AJ170" s="246">
        <f t="shared" si="19"/>
        <v>94</v>
      </c>
      <c r="AK170" s="246">
        <f t="shared" si="27"/>
        <v>47</v>
      </c>
      <c r="AL170" s="246">
        <f t="shared" si="20"/>
        <v>47</v>
      </c>
      <c r="AM170" s="246">
        <f t="shared" si="27"/>
        <v>47</v>
      </c>
      <c r="AN170" s="246">
        <v>0</v>
      </c>
      <c r="AO170" s="246">
        <f t="shared" si="28"/>
        <v>109</v>
      </c>
      <c r="AP170" s="246">
        <f t="shared" si="29"/>
        <v>47</v>
      </c>
      <c r="AQ170" s="246">
        <v>0</v>
      </c>
      <c r="AR170" s="246">
        <v>0</v>
      </c>
      <c r="AS170" s="246">
        <v>0</v>
      </c>
      <c r="AT170" s="246">
        <v>0</v>
      </c>
      <c r="AU170" s="246"/>
      <c r="AV170" s="246">
        <f t="shared" si="13"/>
        <v>2737</v>
      </c>
      <c r="AW170" s="246">
        <f t="shared" si="21"/>
        <v>389</v>
      </c>
      <c r="AX170" s="246">
        <v>0</v>
      </c>
      <c r="AY170" s="246">
        <f t="shared" si="16"/>
        <v>3126</v>
      </c>
      <c r="AZ170" s="246">
        <f t="shared" si="18"/>
        <v>0</v>
      </c>
    </row>
    <row r="171" spans="1:52" s="262" customFormat="1" x14ac:dyDescent="0.2">
      <c r="A171" s="243">
        <v>11</v>
      </c>
      <c r="B171" s="234" t="s">
        <v>523</v>
      </c>
      <c r="C171" s="234" t="s">
        <v>154</v>
      </c>
      <c r="D171" s="244">
        <v>103094</v>
      </c>
      <c r="E171" s="245">
        <v>0</v>
      </c>
      <c r="F171" s="246">
        <v>61</v>
      </c>
      <c r="G171" s="246">
        <v>62</v>
      </c>
      <c r="H171" s="245">
        <v>0</v>
      </c>
      <c r="I171" s="245">
        <f>1006+795</f>
        <v>1801</v>
      </c>
      <c r="J171" s="245">
        <v>46</v>
      </c>
      <c r="K171" s="246">
        <f t="shared" si="15"/>
        <v>1970</v>
      </c>
      <c r="L171" s="247"/>
      <c r="M171" s="245" t="s">
        <v>506</v>
      </c>
      <c r="N171" s="246">
        <v>0</v>
      </c>
      <c r="O171" s="246">
        <v>0</v>
      </c>
      <c r="P171" s="246">
        <f>ROUND($K171*0.065,0)-65</f>
        <v>63</v>
      </c>
      <c r="Q171" s="97">
        <v>65</v>
      </c>
      <c r="R171" s="246">
        <v>0</v>
      </c>
      <c r="S171" s="246">
        <v>0</v>
      </c>
      <c r="T171" s="246">
        <v>0</v>
      </c>
      <c r="U171" s="246">
        <v>0</v>
      </c>
      <c r="V171" s="246">
        <f t="shared" si="22"/>
        <v>246</v>
      </c>
      <c r="W171" s="97">
        <v>0</v>
      </c>
      <c r="X171" s="246">
        <f t="shared" si="22"/>
        <v>246</v>
      </c>
      <c r="Y171" s="246">
        <v>0</v>
      </c>
      <c r="Z171" s="246">
        <v>0</v>
      </c>
      <c r="AA171" s="246">
        <f t="shared" si="23"/>
        <v>30</v>
      </c>
      <c r="AB171" s="246">
        <f t="shared" si="24"/>
        <v>246</v>
      </c>
      <c r="AC171" s="246">
        <v>0</v>
      </c>
      <c r="AD171" s="246">
        <f t="shared" si="25"/>
        <v>246</v>
      </c>
      <c r="AE171" s="246">
        <f t="shared" si="25"/>
        <v>246</v>
      </c>
      <c r="AF171" s="246">
        <v>0</v>
      </c>
      <c r="AG171" s="246">
        <v>0</v>
      </c>
      <c r="AH171" s="246">
        <f t="shared" si="26"/>
        <v>30</v>
      </c>
      <c r="AI171" s="246">
        <f t="shared" si="19"/>
        <v>59</v>
      </c>
      <c r="AJ171" s="246">
        <f t="shared" si="19"/>
        <v>59</v>
      </c>
      <c r="AK171" s="246">
        <f t="shared" si="27"/>
        <v>30</v>
      </c>
      <c r="AL171" s="246">
        <f t="shared" si="20"/>
        <v>30</v>
      </c>
      <c r="AM171" s="246">
        <f t="shared" si="27"/>
        <v>30</v>
      </c>
      <c r="AN171" s="246">
        <v>0</v>
      </c>
      <c r="AO171" s="246">
        <f t="shared" si="28"/>
        <v>69</v>
      </c>
      <c r="AP171" s="246">
        <f t="shared" si="29"/>
        <v>30</v>
      </c>
      <c r="AQ171" s="246">
        <v>0</v>
      </c>
      <c r="AR171" s="246">
        <v>0</v>
      </c>
      <c r="AS171" s="246">
        <v>0</v>
      </c>
      <c r="AT171" s="246">
        <v>0</v>
      </c>
      <c r="AU171" s="246"/>
      <c r="AV171" s="246">
        <f>SUM(N171:AU171)</f>
        <v>1725</v>
      </c>
      <c r="AW171" s="246">
        <f t="shared" si="21"/>
        <v>245</v>
      </c>
      <c r="AX171" s="246">
        <v>0</v>
      </c>
      <c r="AY171" s="246">
        <f t="shared" si="16"/>
        <v>1970</v>
      </c>
      <c r="AZ171" s="246">
        <f t="shared" si="18"/>
        <v>0</v>
      </c>
    </row>
    <row r="172" spans="1:52" s="262" customFormat="1" x14ac:dyDescent="0.2">
      <c r="A172" s="243">
        <v>11</v>
      </c>
      <c r="B172" s="234" t="s">
        <v>524</v>
      </c>
      <c r="C172" s="234" t="s">
        <v>165</v>
      </c>
      <c r="D172" s="244">
        <v>103095</v>
      </c>
      <c r="E172" s="245">
        <v>0</v>
      </c>
      <c r="F172" s="246">
        <v>943</v>
      </c>
      <c r="G172" s="246">
        <v>89</v>
      </c>
      <c r="H172" s="245">
        <f>315+2531</f>
        <v>2846</v>
      </c>
      <c r="I172" s="245">
        <v>0</v>
      </c>
      <c r="J172" s="245">
        <v>161</v>
      </c>
      <c r="K172" s="246">
        <f t="shared" si="15"/>
        <v>4039</v>
      </c>
      <c r="L172" s="247"/>
      <c r="M172" s="245" t="s">
        <v>506</v>
      </c>
      <c r="N172" s="246">
        <v>0</v>
      </c>
      <c r="O172" s="246">
        <v>0</v>
      </c>
      <c r="P172" s="246">
        <f>ROUND($K172*0.065,0)-155</f>
        <v>108</v>
      </c>
      <c r="Q172" s="97">
        <v>155</v>
      </c>
      <c r="R172" s="246">
        <v>0</v>
      </c>
      <c r="S172" s="246">
        <v>0</v>
      </c>
      <c r="T172" s="246">
        <v>0</v>
      </c>
      <c r="U172" s="246">
        <v>0</v>
      </c>
      <c r="V172" s="246">
        <f t="shared" si="22"/>
        <v>505</v>
      </c>
      <c r="W172" s="97">
        <v>0</v>
      </c>
      <c r="X172" s="246">
        <f t="shared" si="22"/>
        <v>505</v>
      </c>
      <c r="Y172" s="246">
        <v>0</v>
      </c>
      <c r="Z172" s="246">
        <v>0</v>
      </c>
      <c r="AA172" s="246">
        <f t="shared" si="23"/>
        <v>61</v>
      </c>
      <c r="AB172" s="246">
        <f t="shared" si="24"/>
        <v>505</v>
      </c>
      <c r="AC172" s="246">
        <v>0</v>
      </c>
      <c r="AD172" s="246">
        <f t="shared" si="25"/>
        <v>505</v>
      </c>
      <c r="AE172" s="246">
        <f t="shared" si="25"/>
        <v>505</v>
      </c>
      <c r="AF172" s="246">
        <v>0</v>
      </c>
      <c r="AG172" s="246">
        <v>0</v>
      </c>
      <c r="AH172" s="246">
        <f t="shared" si="26"/>
        <v>61</v>
      </c>
      <c r="AI172" s="246">
        <f t="shared" si="19"/>
        <v>121</v>
      </c>
      <c r="AJ172" s="246">
        <f t="shared" si="19"/>
        <v>121</v>
      </c>
      <c r="AK172" s="246">
        <f t="shared" si="27"/>
        <v>61</v>
      </c>
      <c r="AL172" s="246">
        <f t="shared" si="20"/>
        <v>61</v>
      </c>
      <c r="AM172" s="246">
        <f t="shared" si="27"/>
        <v>61</v>
      </c>
      <c r="AN172" s="246">
        <v>0</v>
      </c>
      <c r="AO172" s="246">
        <f t="shared" si="28"/>
        <v>141</v>
      </c>
      <c r="AP172" s="246">
        <f t="shared" si="29"/>
        <v>61</v>
      </c>
      <c r="AQ172" s="246">
        <v>0</v>
      </c>
      <c r="AR172" s="246">
        <v>0</v>
      </c>
      <c r="AS172" s="246">
        <v>0</v>
      </c>
      <c r="AT172" s="246">
        <v>0</v>
      </c>
      <c r="AU172" s="246"/>
      <c r="AV172" s="246">
        <f t="shared" si="13"/>
        <v>3537</v>
      </c>
      <c r="AW172" s="246">
        <f t="shared" si="21"/>
        <v>502</v>
      </c>
      <c r="AX172" s="246">
        <v>0</v>
      </c>
      <c r="AY172" s="246">
        <f t="shared" si="16"/>
        <v>4039</v>
      </c>
      <c r="AZ172" s="246">
        <f t="shared" si="18"/>
        <v>0</v>
      </c>
    </row>
    <row r="173" spans="1:52" s="262" customFormat="1" x14ac:dyDescent="0.2">
      <c r="A173" s="243">
        <v>11</v>
      </c>
      <c r="B173" s="234" t="s">
        <v>525</v>
      </c>
      <c r="C173" s="234" t="s">
        <v>447</v>
      </c>
      <c r="D173" s="244">
        <v>103096</v>
      </c>
      <c r="E173" s="245">
        <v>0</v>
      </c>
      <c r="F173" s="246">
        <v>0</v>
      </c>
      <c r="G173" s="246">
        <v>0</v>
      </c>
      <c r="H173" s="245">
        <v>0</v>
      </c>
      <c r="I173" s="245">
        <v>0</v>
      </c>
      <c r="J173" s="245">
        <v>0</v>
      </c>
      <c r="K173" s="246">
        <f t="shared" si="15"/>
        <v>0</v>
      </c>
      <c r="L173" s="247"/>
      <c r="M173" s="245" t="s">
        <v>506</v>
      </c>
      <c r="N173" s="246">
        <v>0</v>
      </c>
      <c r="O173" s="246">
        <v>0</v>
      </c>
      <c r="P173" s="246">
        <f>ROUND($K173*0.065,0)</f>
        <v>0</v>
      </c>
      <c r="Q173" s="97">
        <f>ROUND(P173*0.51, 0)</f>
        <v>0</v>
      </c>
      <c r="R173" s="246">
        <v>0</v>
      </c>
      <c r="S173" s="246">
        <v>0</v>
      </c>
      <c r="T173" s="246">
        <v>0</v>
      </c>
      <c r="U173" s="246">
        <v>0</v>
      </c>
      <c r="V173" s="246">
        <f t="shared" si="22"/>
        <v>0</v>
      </c>
      <c r="W173" s="97">
        <v>0</v>
      </c>
      <c r="X173" s="246">
        <f t="shared" si="22"/>
        <v>0</v>
      </c>
      <c r="Y173" s="246">
        <v>0</v>
      </c>
      <c r="Z173" s="246">
        <v>0</v>
      </c>
      <c r="AA173" s="246">
        <f t="shared" si="23"/>
        <v>0</v>
      </c>
      <c r="AB173" s="246">
        <f t="shared" si="24"/>
        <v>0</v>
      </c>
      <c r="AC173" s="246">
        <v>0</v>
      </c>
      <c r="AD173" s="246">
        <f t="shared" si="25"/>
        <v>0</v>
      </c>
      <c r="AE173" s="246">
        <f t="shared" si="25"/>
        <v>0</v>
      </c>
      <c r="AF173" s="246">
        <v>0</v>
      </c>
      <c r="AG173" s="246">
        <v>0</v>
      </c>
      <c r="AH173" s="246">
        <f t="shared" si="26"/>
        <v>0</v>
      </c>
      <c r="AI173" s="246">
        <f t="shared" si="19"/>
        <v>0</v>
      </c>
      <c r="AJ173" s="246">
        <f t="shared" si="19"/>
        <v>0</v>
      </c>
      <c r="AK173" s="246">
        <f t="shared" si="27"/>
        <v>0</v>
      </c>
      <c r="AL173" s="246">
        <f t="shared" si="20"/>
        <v>0</v>
      </c>
      <c r="AM173" s="246">
        <f t="shared" si="27"/>
        <v>0</v>
      </c>
      <c r="AN173" s="246">
        <v>0</v>
      </c>
      <c r="AO173" s="246">
        <f t="shared" si="28"/>
        <v>0</v>
      </c>
      <c r="AP173" s="246">
        <f t="shared" si="29"/>
        <v>0</v>
      </c>
      <c r="AQ173" s="246">
        <v>0</v>
      </c>
      <c r="AR173" s="246">
        <v>0</v>
      </c>
      <c r="AS173" s="246">
        <v>0</v>
      </c>
      <c r="AT173" s="246">
        <v>0</v>
      </c>
      <c r="AU173" s="246"/>
      <c r="AV173" s="246">
        <f>SUM(N173:AU173)</f>
        <v>0</v>
      </c>
      <c r="AW173" s="246">
        <f t="shared" si="21"/>
        <v>0</v>
      </c>
      <c r="AX173" s="246">
        <v>0</v>
      </c>
      <c r="AY173" s="246">
        <f t="shared" si="16"/>
        <v>0</v>
      </c>
      <c r="AZ173" s="246">
        <f t="shared" si="18"/>
        <v>0</v>
      </c>
    </row>
    <row r="174" spans="1:52" s="262" customFormat="1" x14ac:dyDescent="0.2">
      <c r="A174" s="243">
        <v>11</v>
      </c>
      <c r="B174" s="234" t="s">
        <v>505</v>
      </c>
      <c r="C174" s="234" t="s">
        <v>246</v>
      </c>
      <c r="D174" s="244">
        <v>100216</v>
      </c>
      <c r="E174" s="245">
        <v>0</v>
      </c>
      <c r="F174" s="246">
        <v>0</v>
      </c>
      <c r="G174" s="246">
        <v>0</v>
      </c>
      <c r="H174" s="245">
        <v>0</v>
      </c>
      <c r="I174" s="245">
        <v>0</v>
      </c>
      <c r="J174" s="245">
        <v>20908</v>
      </c>
      <c r="K174" s="246">
        <f t="shared" si="15"/>
        <v>20908</v>
      </c>
      <c r="L174" s="247"/>
      <c r="M174" s="245" t="s">
        <v>506</v>
      </c>
      <c r="N174" s="246">
        <v>0</v>
      </c>
      <c r="O174" s="246">
        <v>0</v>
      </c>
      <c r="P174" s="246">
        <f>ROUND($K174*0.065,0)-693</f>
        <v>666</v>
      </c>
      <c r="Q174" s="97">
        <v>693</v>
      </c>
      <c r="R174" s="246">
        <v>0</v>
      </c>
      <c r="S174" s="246">
        <v>0</v>
      </c>
      <c r="T174" s="246">
        <v>0</v>
      </c>
      <c r="U174" s="246">
        <v>0</v>
      </c>
      <c r="V174" s="246">
        <f t="shared" si="22"/>
        <v>2614</v>
      </c>
      <c r="W174" s="97">
        <v>0</v>
      </c>
      <c r="X174" s="246">
        <f t="shared" si="22"/>
        <v>2614</v>
      </c>
      <c r="Y174" s="246">
        <v>0</v>
      </c>
      <c r="Z174" s="246">
        <v>0</v>
      </c>
      <c r="AA174" s="246">
        <f t="shared" si="23"/>
        <v>314</v>
      </c>
      <c r="AB174" s="246">
        <f t="shared" si="24"/>
        <v>2614</v>
      </c>
      <c r="AC174" s="246">
        <v>0</v>
      </c>
      <c r="AD174" s="246">
        <f t="shared" si="25"/>
        <v>2614</v>
      </c>
      <c r="AE174" s="246">
        <f t="shared" si="25"/>
        <v>2614</v>
      </c>
      <c r="AF174" s="246">
        <v>0</v>
      </c>
      <c r="AG174" s="246">
        <v>0</v>
      </c>
      <c r="AH174" s="246">
        <f t="shared" si="26"/>
        <v>314</v>
      </c>
      <c r="AI174" s="246">
        <f t="shared" si="19"/>
        <v>627</v>
      </c>
      <c r="AJ174" s="246">
        <f t="shared" si="19"/>
        <v>627</v>
      </c>
      <c r="AK174" s="246">
        <f t="shared" si="27"/>
        <v>314</v>
      </c>
      <c r="AL174" s="246">
        <f t="shared" si="20"/>
        <v>314</v>
      </c>
      <c r="AM174" s="246">
        <f t="shared" si="27"/>
        <v>314</v>
      </c>
      <c r="AN174" s="246">
        <v>0</v>
      </c>
      <c r="AO174" s="246">
        <f t="shared" si="28"/>
        <v>732</v>
      </c>
      <c r="AP174" s="246">
        <f t="shared" si="29"/>
        <v>314</v>
      </c>
      <c r="AQ174" s="246">
        <v>0</v>
      </c>
      <c r="AR174" s="246">
        <v>0</v>
      </c>
      <c r="AS174" s="246">
        <v>0</v>
      </c>
      <c r="AT174" s="246">
        <v>0</v>
      </c>
      <c r="AU174" s="246"/>
      <c r="AV174" s="246">
        <f>SUM(N174:AU174)</f>
        <v>18299</v>
      </c>
      <c r="AW174" s="246">
        <f t="shared" si="21"/>
        <v>2609</v>
      </c>
      <c r="AX174" s="246">
        <v>0</v>
      </c>
      <c r="AY174" s="246">
        <f>+AV174+AW174+AX174</f>
        <v>20908</v>
      </c>
      <c r="AZ174" s="246">
        <f t="shared" si="18"/>
        <v>0</v>
      </c>
    </row>
    <row r="175" spans="1:52" s="132" customFormat="1" x14ac:dyDescent="0.2">
      <c r="A175" s="85">
        <v>11</v>
      </c>
      <c r="B175" s="19" t="s">
        <v>553</v>
      </c>
      <c r="C175" s="19" t="s">
        <v>488</v>
      </c>
      <c r="D175" s="197">
        <v>103102</v>
      </c>
      <c r="E175" s="218">
        <f>248+27+43</f>
        <v>318</v>
      </c>
      <c r="F175" s="97">
        <v>18</v>
      </c>
      <c r="G175" s="97">
        <v>0</v>
      </c>
      <c r="H175" s="218">
        <v>43</v>
      </c>
      <c r="I175" s="218">
        <v>2</v>
      </c>
      <c r="J175" s="218">
        <v>2</v>
      </c>
      <c r="K175" s="97">
        <f t="shared" si="15"/>
        <v>383</v>
      </c>
      <c r="L175" s="219"/>
      <c r="M175" s="218" t="s">
        <v>243</v>
      </c>
      <c r="N175" s="97">
        <v>0</v>
      </c>
      <c r="O175" s="97">
        <v>0</v>
      </c>
      <c r="P175" s="97">
        <v>0</v>
      </c>
      <c r="Q175" s="97">
        <v>0</v>
      </c>
      <c r="R175" s="97">
        <v>0</v>
      </c>
      <c r="S175" s="97">
        <v>0</v>
      </c>
      <c r="T175" s="97">
        <v>0</v>
      </c>
      <c r="U175" s="97">
        <v>0</v>
      </c>
      <c r="V175" s="97">
        <v>0</v>
      </c>
      <c r="W175" s="97">
        <v>0</v>
      </c>
      <c r="X175" s="97">
        <v>0</v>
      </c>
      <c r="Y175" s="97">
        <v>0</v>
      </c>
      <c r="Z175" s="97">
        <v>0</v>
      </c>
      <c r="AA175" s="97">
        <v>0</v>
      </c>
      <c r="AB175" s="97">
        <v>0</v>
      </c>
      <c r="AC175" s="97">
        <v>0</v>
      </c>
      <c r="AD175" s="97">
        <v>0</v>
      </c>
      <c r="AE175" s="97">
        <v>0</v>
      </c>
      <c r="AF175" s="97">
        <v>0</v>
      </c>
      <c r="AG175" s="97">
        <v>0</v>
      </c>
      <c r="AH175" s="97">
        <v>0</v>
      </c>
      <c r="AI175" s="97">
        <v>0</v>
      </c>
      <c r="AJ175" s="97">
        <v>0</v>
      </c>
      <c r="AK175" s="97">
        <v>0</v>
      </c>
      <c r="AL175" s="97">
        <v>0</v>
      </c>
      <c r="AM175" s="246">
        <v>0</v>
      </c>
      <c r="AN175" s="246">
        <v>0</v>
      </c>
      <c r="AO175" s="97">
        <v>0</v>
      </c>
      <c r="AP175" s="97">
        <v>0</v>
      </c>
      <c r="AQ175" s="97">
        <v>0</v>
      </c>
      <c r="AR175" s="97">
        <v>0</v>
      </c>
      <c r="AS175" s="97">
        <v>0</v>
      </c>
      <c r="AT175" s="97">
        <v>0</v>
      </c>
      <c r="AU175" s="97"/>
      <c r="AV175" s="97">
        <f t="shared" si="13"/>
        <v>0</v>
      </c>
      <c r="AW175" s="97">
        <v>383</v>
      </c>
      <c r="AX175" s="97">
        <v>0</v>
      </c>
      <c r="AY175" s="97">
        <f t="shared" si="16"/>
        <v>383</v>
      </c>
      <c r="AZ175" s="97">
        <f t="shared" si="18"/>
        <v>0</v>
      </c>
    </row>
    <row r="176" spans="1:52" s="248" customFormat="1" x14ac:dyDescent="0.2">
      <c r="A176" s="243">
        <v>11</v>
      </c>
      <c r="B176" s="234" t="s">
        <v>528</v>
      </c>
      <c r="C176" s="234" t="s">
        <v>154</v>
      </c>
      <c r="D176" s="244">
        <v>103176</v>
      </c>
      <c r="E176" s="245">
        <v>40</v>
      </c>
      <c r="F176" s="246">
        <v>23</v>
      </c>
      <c r="G176" s="246">
        <v>0</v>
      </c>
      <c r="H176" s="245">
        <v>0</v>
      </c>
      <c r="I176" s="245">
        <v>0</v>
      </c>
      <c r="J176" s="245">
        <v>2</v>
      </c>
      <c r="K176" s="97">
        <f t="shared" si="15"/>
        <v>65</v>
      </c>
      <c r="L176" s="247"/>
      <c r="M176" s="245" t="s">
        <v>243</v>
      </c>
      <c r="N176" s="246">
        <v>0</v>
      </c>
      <c r="O176" s="246">
        <v>0</v>
      </c>
      <c r="P176" s="246">
        <v>0</v>
      </c>
      <c r="Q176" s="246">
        <v>0</v>
      </c>
      <c r="R176" s="246">
        <v>0</v>
      </c>
      <c r="S176" s="246">
        <v>0</v>
      </c>
      <c r="T176" s="246">
        <v>0</v>
      </c>
      <c r="U176" s="246">
        <v>0</v>
      </c>
      <c r="V176" s="246">
        <v>0</v>
      </c>
      <c r="W176" s="97">
        <v>0</v>
      </c>
      <c r="X176" s="246">
        <v>0</v>
      </c>
      <c r="Y176" s="246">
        <v>0</v>
      </c>
      <c r="Z176" s="246">
        <v>0</v>
      </c>
      <c r="AA176" s="246">
        <v>0</v>
      </c>
      <c r="AB176" s="246">
        <v>0</v>
      </c>
      <c r="AC176" s="246">
        <v>0</v>
      </c>
      <c r="AD176" s="246">
        <v>0</v>
      </c>
      <c r="AE176" s="246">
        <v>0</v>
      </c>
      <c r="AF176" s="246">
        <v>0</v>
      </c>
      <c r="AG176" s="246">
        <v>0</v>
      </c>
      <c r="AH176" s="246">
        <v>0</v>
      </c>
      <c r="AI176" s="246">
        <v>0</v>
      </c>
      <c r="AJ176" s="246">
        <v>0</v>
      </c>
      <c r="AK176" s="246">
        <v>0</v>
      </c>
      <c r="AL176" s="246">
        <v>0</v>
      </c>
      <c r="AM176" s="246">
        <v>0</v>
      </c>
      <c r="AN176" s="246">
        <v>0</v>
      </c>
      <c r="AO176" s="97">
        <v>0</v>
      </c>
      <c r="AP176" s="97">
        <v>0</v>
      </c>
      <c r="AQ176" s="97">
        <v>0</v>
      </c>
      <c r="AR176" s="97">
        <v>0</v>
      </c>
      <c r="AS176" s="97">
        <v>0</v>
      </c>
      <c r="AT176" s="97">
        <v>0</v>
      </c>
      <c r="AU176" s="246"/>
      <c r="AV176" s="246">
        <f t="shared" si="13"/>
        <v>0</v>
      </c>
      <c r="AW176" s="246">
        <v>65</v>
      </c>
      <c r="AX176" s="97">
        <v>0</v>
      </c>
      <c r="AY176" s="97">
        <f t="shared" si="16"/>
        <v>65</v>
      </c>
      <c r="AZ176" s="246">
        <f t="shared" si="18"/>
        <v>0</v>
      </c>
    </row>
    <row r="177" spans="1:53" s="262" customFormat="1" x14ac:dyDescent="0.2">
      <c r="A177" s="243">
        <v>11</v>
      </c>
      <c r="B177" s="234" t="s">
        <v>546</v>
      </c>
      <c r="C177" s="234" t="s">
        <v>165</v>
      </c>
      <c r="D177" s="244">
        <v>103413</v>
      </c>
      <c r="E177" s="245">
        <f>611+55+107</f>
        <v>773</v>
      </c>
      <c r="F177" s="246">
        <v>33</v>
      </c>
      <c r="G177" s="246">
        <v>0</v>
      </c>
      <c r="H177" s="245">
        <v>139</v>
      </c>
      <c r="I177" s="245">
        <v>0</v>
      </c>
      <c r="J177" s="245">
        <v>0</v>
      </c>
      <c r="K177" s="246">
        <f>SUM(E177:J177)</f>
        <v>945</v>
      </c>
      <c r="L177" s="247"/>
      <c r="M177" s="245" t="s">
        <v>506</v>
      </c>
      <c r="N177" s="246">
        <v>0</v>
      </c>
      <c r="O177" s="246">
        <v>0</v>
      </c>
      <c r="P177" s="246">
        <f>ROUND($K177*0.065,0)-31</f>
        <v>30</v>
      </c>
      <c r="Q177" s="97">
        <v>31</v>
      </c>
      <c r="R177" s="246">
        <v>0</v>
      </c>
      <c r="S177" s="246">
        <v>0</v>
      </c>
      <c r="T177" s="246">
        <v>0</v>
      </c>
      <c r="U177" s="246">
        <v>0</v>
      </c>
      <c r="V177" s="246">
        <f t="shared" ref="V177:X178" si="30">ROUND($K177*0.125,0)</f>
        <v>118</v>
      </c>
      <c r="W177" s="97">
        <v>0</v>
      </c>
      <c r="X177" s="246">
        <f t="shared" si="30"/>
        <v>118</v>
      </c>
      <c r="Y177" s="246">
        <v>0</v>
      </c>
      <c r="Z177" s="246">
        <v>0</v>
      </c>
      <c r="AA177" s="246">
        <f>ROUND($K177*0.015,0)</f>
        <v>14</v>
      </c>
      <c r="AB177" s="246">
        <f>ROUND($K177*0.125,0)</f>
        <v>118</v>
      </c>
      <c r="AC177" s="246">
        <v>0</v>
      </c>
      <c r="AD177" s="246">
        <f>ROUND($K177*0.125,0)</f>
        <v>118</v>
      </c>
      <c r="AE177" s="246">
        <f>ROUND($K177*0.125,0)</f>
        <v>118</v>
      </c>
      <c r="AF177" s="246">
        <v>0</v>
      </c>
      <c r="AG177" s="246">
        <v>0</v>
      </c>
      <c r="AH177" s="246">
        <f>ROUND($K177*0.015,0)</f>
        <v>14</v>
      </c>
      <c r="AI177" s="246">
        <f>ROUND($K177*0.03,0)</f>
        <v>28</v>
      </c>
      <c r="AJ177" s="246">
        <f>ROUND($K177*0.03,0)</f>
        <v>28</v>
      </c>
      <c r="AK177" s="246">
        <f t="shared" ref="AK177:AM178" si="31">ROUND($K177*0.015,0)</f>
        <v>14</v>
      </c>
      <c r="AL177" s="246">
        <f t="shared" si="31"/>
        <v>14</v>
      </c>
      <c r="AM177" s="246">
        <f t="shared" si="31"/>
        <v>14</v>
      </c>
      <c r="AN177" s="246">
        <v>0</v>
      </c>
      <c r="AO177" s="246">
        <f>ROUND($K177*0.035,0)</f>
        <v>33</v>
      </c>
      <c r="AP177" s="246">
        <f>ROUND($K177*0.015,0)</f>
        <v>14</v>
      </c>
      <c r="AQ177" s="246">
        <v>0</v>
      </c>
      <c r="AR177" s="246">
        <v>0</v>
      </c>
      <c r="AS177" s="246">
        <v>0</v>
      </c>
      <c r="AT177" s="246">
        <v>0</v>
      </c>
      <c r="AU177" s="246"/>
      <c r="AV177" s="246">
        <f>SUM(N177:AU177)</f>
        <v>824</v>
      </c>
      <c r="AW177" s="246">
        <f>K177-AV177</f>
        <v>121</v>
      </c>
      <c r="AX177" s="246">
        <v>0</v>
      </c>
      <c r="AY177" s="246">
        <f>+AV177+AW177+AX177</f>
        <v>945</v>
      </c>
      <c r="AZ177" s="246">
        <f>+K177-AY177</f>
        <v>0</v>
      </c>
    </row>
    <row r="178" spans="1:53" s="262" customFormat="1" x14ac:dyDescent="0.2">
      <c r="A178" s="243">
        <v>11</v>
      </c>
      <c r="B178" s="234" t="s">
        <v>547</v>
      </c>
      <c r="C178" s="234" t="s">
        <v>165</v>
      </c>
      <c r="D178" s="244">
        <v>103415</v>
      </c>
      <c r="E178" s="245">
        <f>335+23+15</f>
        <v>373</v>
      </c>
      <c r="F178" s="246">
        <v>9</v>
      </c>
      <c r="G178" s="246">
        <v>0</v>
      </c>
      <c r="H178" s="245">
        <v>337</v>
      </c>
      <c r="I178" s="245">
        <v>0</v>
      </c>
      <c r="J178" s="245">
        <v>0</v>
      </c>
      <c r="K178" s="246">
        <f>SUM(E178:J178)</f>
        <v>719</v>
      </c>
      <c r="L178" s="247"/>
      <c r="M178" s="245" t="s">
        <v>506</v>
      </c>
      <c r="N178" s="246">
        <v>0</v>
      </c>
      <c r="O178" s="246">
        <v>0</v>
      </c>
      <c r="P178" s="246">
        <f>ROUND($K178*0.065,0)-22</f>
        <v>25</v>
      </c>
      <c r="Q178" s="97">
        <v>22</v>
      </c>
      <c r="R178" s="246">
        <v>0</v>
      </c>
      <c r="S178" s="246">
        <v>0</v>
      </c>
      <c r="T178" s="246">
        <v>0</v>
      </c>
      <c r="U178" s="246">
        <v>0</v>
      </c>
      <c r="V178" s="246">
        <f t="shared" si="30"/>
        <v>90</v>
      </c>
      <c r="W178" s="97">
        <v>0</v>
      </c>
      <c r="X178" s="246">
        <f t="shared" si="30"/>
        <v>90</v>
      </c>
      <c r="Y178" s="246">
        <v>0</v>
      </c>
      <c r="Z178" s="246">
        <v>0</v>
      </c>
      <c r="AA178" s="246">
        <f>ROUND($K178*0.015,0)</f>
        <v>11</v>
      </c>
      <c r="AB178" s="246">
        <f>ROUND($K178*0.125,0)</f>
        <v>90</v>
      </c>
      <c r="AC178" s="246">
        <v>0</v>
      </c>
      <c r="AD178" s="246">
        <f>ROUND($K178*0.125,0)</f>
        <v>90</v>
      </c>
      <c r="AE178" s="246">
        <f>ROUND($K178*0.125,0)</f>
        <v>90</v>
      </c>
      <c r="AF178" s="246">
        <v>0</v>
      </c>
      <c r="AG178" s="246">
        <v>0</v>
      </c>
      <c r="AH178" s="246">
        <f>ROUND($K178*0.015,0)</f>
        <v>11</v>
      </c>
      <c r="AI178" s="246">
        <f>ROUND($K178*0.03,0)</f>
        <v>22</v>
      </c>
      <c r="AJ178" s="246">
        <f>ROUND($K178*0.03,0)</f>
        <v>22</v>
      </c>
      <c r="AK178" s="246">
        <f t="shared" si="31"/>
        <v>11</v>
      </c>
      <c r="AL178" s="246">
        <f t="shared" si="31"/>
        <v>11</v>
      </c>
      <c r="AM178" s="246">
        <f t="shared" si="31"/>
        <v>11</v>
      </c>
      <c r="AN178" s="246">
        <v>0</v>
      </c>
      <c r="AO178" s="246">
        <f>ROUND($K178*0.035,0)</f>
        <v>25</v>
      </c>
      <c r="AP178" s="246">
        <f>ROUND($K178*0.015,0)</f>
        <v>11</v>
      </c>
      <c r="AQ178" s="246">
        <v>0</v>
      </c>
      <c r="AR178" s="246">
        <v>0</v>
      </c>
      <c r="AS178" s="246">
        <v>0</v>
      </c>
      <c r="AT178" s="246">
        <v>0</v>
      </c>
      <c r="AU178" s="246"/>
      <c r="AV178" s="246">
        <f>SUM(N178:AU178)</f>
        <v>632</v>
      </c>
      <c r="AW178" s="246">
        <f>K178-AV178</f>
        <v>87</v>
      </c>
      <c r="AX178" s="246">
        <v>0</v>
      </c>
      <c r="AY178" s="246">
        <f>+AV178+AW178+AX178</f>
        <v>719</v>
      </c>
      <c r="AZ178" s="246">
        <f>+K178-AY178</f>
        <v>0</v>
      </c>
    </row>
    <row r="179" spans="1:53" s="262" customFormat="1" x14ac:dyDescent="0.2">
      <c r="A179" s="243">
        <v>11</v>
      </c>
      <c r="B179" s="234" t="s">
        <v>408</v>
      </c>
      <c r="C179" s="234" t="s">
        <v>448</v>
      </c>
      <c r="D179" s="244">
        <v>103185</v>
      </c>
      <c r="E179" s="245">
        <f>260+27+48</f>
        <v>335</v>
      </c>
      <c r="F179" s="246">
        <v>23</v>
      </c>
      <c r="G179" s="246">
        <v>7</v>
      </c>
      <c r="H179" s="245">
        <v>2</v>
      </c>
      <c r="I179" s="245">
        <f>90+18</f>
        <v>108</v>
      </c>
      <c r="J179" s="245">
        <v>11</v>
      </c>
      <c r="K179" s="97">
        <f t="shared" si="15"/>
        <v>486</v>
      </c>
      <c r="L179" s="247"/>
      <c r="M179" s="245" t="s">
        <v>243</v>
      </c>
      <c r="N179" s="246">
        <v>0</v>
      </c>
      <c r="O179" s="246">
        <v>0</v>
      </c>
      <c r="P179" s="246">
        <v>0</v>
      </c>
      <c r="Q179" s="246">
        <v>0</v>
      </c>
      <c r="R179" s="246">
        <v>0</v>
      </c>
      <c r="S179" s="246">
        <v>0</v>
      </c>
      <c r="T179" s="246">
        <v>0</v>
      </c>
      <c r="U179" s="246">
        <v>0</v>
      </c>
      <c r="V179" s="246">
        <v>0</v>
      </c>
      <c r="W179" s="97">
        <v>0</v>
      </c>
      <c r="X179" s="246">
        <v>0</v>
      </c>
      <c r="Y179" s="246">
        <v>0</v>
      </c>
      <c r="Z179" s="246">
        <v>0</v>
      </c>
      <c r="AA179" s="246">
        <v>0</v>
      </c>
      <c r="AB179" s="246">
        <v>0</v>
      </c>
      <c r="AC179" s="246">
        <v>0</v>
      </c>
      <c r="AD179" s="246">
        <v>0</v>
      </c>
      <c r="AE179" s="246">
        <v>0</v>
      </c>
      <c r="AF179" s="246">
        <v>0</v>
      </c>
      <c r="AG179" s="246">
        <v>0</v>
      </c>
      <c r="AH179" s="246">
        <v>0</v>
      </c>
      <c r="AI179" s="246">
        <v>0</v>
      </c>
      <c r="AJ179" s="246">
        <v>0</v>
      </c>
      <c r="AK179" s="246">
        <v>0</v>
      </c>
      <c r="AL179" s="246">
        <v>0</v>
      </c>
      <c r="AM179" s="246">
        <v>0</v>
      </c>
      <c r="AN179" s="246">
        <v>0</v>
      </c>
      <c r="AO179" s="246">
        <v>0</v>
      </c>
      <c r="AP179" s="246">
        <v>0</v>
      </c>
      <c r="AQ179" s="97">
        <v>0</v>
      </c>
      <c r="AR179" s="97">
        <v>0</v>
      </c>
      <c r="AS179" s="97">
        <v>0</v>
      </c>
      <c r="AT179" s="97">
        <v>0</v>
      </c>
      <c r="AU179" s="246"/>
      <c r="AV179" s="246">
        <f t="shared" si="13"/>
        <v>0</v>
      </c>
      <c r="AW179" s="246">
        <v>0</v>
      </c>
      <c r="AX179" s="97">
        <v>486</v>
      </c>
      <c r="AY179" s="97">
        <f t="shared" si="16"/>
        <v>486</v>
      </c>
      <c r="AZ179" s="246">
        <f t="shared" si="18"/>
        <v>0</v>
      </c>
      <c r="BA179" s="263"/>
    </row>
    <row r="180" spans="1:53" s="262" customFormat="1" x14ac:dyDescent="0.2">
      <c r="A180" s="243">
        <v>11</v>
      </c>
      <c r="B180" s="234" t="s">
        <v>335</v>
      </c>
      <c r="C180" s="234" t="s">
        <v>162</v>
      </c>
      <c r="D180" s="244">
        <v>103186</v>
      </c>
      <c r="E180" s="245">
        <f>515+52+81</f>
        <v>648</v>
      </c>
      <c r="F180" s="246">
        <v>72</v>
      </c>
      <c r="G180" s="246">
        <v>4</v>
      </c>
      <c r="H180" s="245">
        <v>0</v>
      </c>
      <c r="I180" s="245">
        <f>144+29</f>
        <v>173</v>
      </c>
      <c r="J180" s="245">
        <v>7</v>
      </c>
      <c r="K180" s="97">
        <f t="shared" si="15"/>
        <v>904</v>
      </c>
      <c r="L180" s="247"/>
      <c r="M180" s="245" t="s">
        <v>243</v>
      </c>
      <c r="N180" s="246">
        <v>0</v>
      </c>
      <c r="O180" s="246">
        <v>0</v>
      </c>
      <c r="P180" s="246">
        <v>0</v>
      </c>
      <c r="Q180" s="246">
        <v>0</v>
      </c>
      <c r="R180" s="246">
        <v>0</v>
      </c>
      <c r="S180" s="246">
        <v>0</v>
      </c>
      <c r="T180" s="246">
        <v>0</v>
      </c>
      <c r="U180" s="246">
        <v>0</v>
      </c>
      <c r="V180" s="246">
        <v>0</v>
      </c>
      <c r="W180" s="97">
        <v>0</v>
      </c>
      <c r="X180" s="246">
        <v>0</v>
      </c>
      <c r="Y180" s="246">
        <v>0</v>
      </c>
      <c r="Z180" s="246">
        <v>0</v>
      </c>
      <c r="AA180" s="246">
        <v>0</v>
      </c>
      <c r="AB180" s="246">
        <v>0</v>
      </c>
      <c r="AC180" s="246">
        <v>0</v>
      </c>
      <c r="AD180" s="246">
        <v>0</v>
      </c>
      <c r="AE180" s="246">
        <v>0</v>
      </c>
      <c r="AF180" s="246">
        <v>0</v>
      </c>
      <c r="AG180" s="246">
        <v>0</v>
      </c>
      <c r="AH180" s="246">
        <v>0</v>
      </c>
      <c r="AI180" s="246">
        <v>0</v>
      </c>
      <c r="AJ180" s="246">
        <v>0</v>
      </c>
      <c r="AK180" s="246">
        <v>0</v>
      </c>
      <c r="AL180" s="246">
        <v>0</v>
      </c>
      <c r="AM180" s="246">
        <v>0</v>
      </c>
      <c r="AN180" s="246">
        <v>0</v>
      </c>
      <c r="AO180" s="246">
        <v>0</v>
      </c>
      <c r="AP180" s="246">
        <v>0</v>
      </c>
      <c r="AQ180" s="97">
        <v>0</v>
      </c>
      <c r="AR180" s="97">
        <v>0</v>
      </c>
      <c r="AS180" s="97">
        <v>0</v>
      </c>
      <c r="AT180" s="97">
        <v>0</v>
      </c>
      <c r="AU180" s="246"/>
      <c r="AV180" s="246">
        <f t="shared" si="13"/>
        <v>0</v>
      </c>
      <c r="AW180" s="246">
        <v>0</v>
      </c>
      <c r="AX180" s="97">
        <v>904</v>
      </c>
      <c r="AY180" s="97">
        <f t="shared" si="16"/>
        <v>904</v>
      </c>
      <c r="AZ180" s="246">
        <f t="shared" si="18"/>
        <v>0</v>
      </c>
      <c r="BA180" s="263"/>
    </row>
    <row r="181" spans="1:53" s="132" customFormat="1" x14ac:dyDescent="0.2">
      <c r="A181" s="85">
        <v>11</v>
      </c>
      <c r="B181" s="19" t="s">
        <v>420</v>
      </c>
      <c r="C181" s="19" t="s">
        <v>288</v>
      </c>
      <c r="D181" s="197">
        <v>103218</v>
      </c>
      <c r="E181" s="218">
        <f>215+23+51</f>
        <v>289</v>
      </c>
      <c r="F181" s="97">
        <v>5</v>
      </c>
      <c r="G181" s="97">
        <v>6</v>
      </c>
      <c r="H181" s="218">
        <v>6</v>
      </c>
      <c r="I181" s="218">
        <f>33+129</f>
        <v>162</v>
      </c>
      <c r="J181" s="218">
        <v>-300</v>
      </c>
      <c r="K181" s="97">
        <f t="shared" si="15"/>
        <v>168</v>
      </c>
      <c r="L181" s="219"/>
      <c r="M181" s="218" t="s">
        <v>497</v>
      </c>
      <c r="N181" s="97">
        <v>3</v>
      </c>
      <c r="O181" s="97">
        <v>5</v>
      </c>
      <c r="P181" s="97">
        <v>5</v>
      </c>
      <c r="Q181" s="97">
        <v>6</v>
      </c>
      <c r="R181" s="97">
        <v>1</v>
      </c>
      <c r="S181" s="97">
        <v>0</v>
      </c>
      <c r="T181" s="97">
        <v>3</v>
      </c>
      <c r="U181" s="97">
        <v>20</v>
      </c>
      <c r="V181" s="97">
        <v>4</v>
      </c>
      <c r="W181" s="97">
        <v>2</v>
      </c>
      <c r="X181" s="97">
        <v>27</v>
      </c>
      <c r="Y181" s="97">
        <v>0</v>
      </c>
      <c r="Z181" s="97">
        <v>3</v>
      </c>
      <c r="AA181" s="97">
        <v>1</v>
      </c>
      <c r="AB181" s="97">
        <v>0</v>
      </c>
      <c r="AC181" s="97">
        <v>1</v>
      </c>
      <c r="AD181" s="97">
        <v>24</v>
      </c>
      <c r="AE181" s="97">
        <v>19</v>
      </c>
      <c r="AF181" s="97">
        <v>0</v>
      </c>
      <c r="AG181" s="97">
        <v>0</v>
      </c>
      <c r="AH181" s="97">
        <v>1</v>
      </c>
      <c r="AI181" s="97">
        <v>1</v>
      </c>
      <c r="AJ181" s="97">
        <v>1</v>
      </c>
      <c r="AK181" s="97">
        <v>2</v>
      </c>
      <c r="AL181" s="97">
        <v>1</v>
      </c>
      <c r="AM181" s="97">
        <v>12</v>
      </c>
      <c r="AN181" s="97">
        <v>0</v>
      </c>
      <c r="AO181" s="97">
        <v>7</v>
      </c>
      <c r="AP181" s="97">
        <v>2</v>
      </c>
      <c r="AQ181" s="97">
        <v>0</v>
      </c>
      <c r="AR181" s="97">
        <v>0</v>
      </c>
      <c r="AS181" s="97">
        <v>0</v>
      </c>
      <c r="AT181" s="97">
        <v>0</v>
      </c>
      <c r="AU181" s="97"/>
      <c r="AV181" s="97">
        <f t="shared" si="13"/>
        <v>151</v>
      </c>
      <c r="AW181" s="97">
        <v>17</v>
      </c>
      <c r="AX181" s="97">
        <v>0</v>
      </c>
      <c r="AY181" s="97">
        <f t="shared" si="16"/>
        <v>168</v>
      </c>
      <c r="AZ181" s="97">
        <f t="shared" si="18"/>
        <v>0</v>
      </c>
    </row>
    <row r="182" spans="1:53" s="248" customFormat="1" x14ac:dyDescent="0.2">
      <c r="A182" s="243">
        <v>11</v>
      </c>
      <c r="B182" s="234" t="s">
        <v>409</v>
      </c>
      <c r="C182" s="234" t="s">
        <v>135</v>
      </c>
      <c r="D182" s="244">
        <v>103226</v>
      </c>
      <c r="E182" s="245">
        <f>123+14+22</f>
        <v>159</v>
      </c>
      <c r="F182" s="246">
        <v>0</v>
      </c>
      <c r="G182" s="246">
        <v>0</v>
      </c>
      <c r="H182" s="245">
        <f>105-170+200</f>
        <v>135</v>
      </c>
      <c r="I182" s="245">
        <v>0</v>
      </c>
      <c r="J182" s="245">
        <v>0</v>
      </c>
      <c r="K182" s="97">
        <f t="shared" si="15"/>
        <v>294</v>
      </c>
      <c r="L182" s="247"/>
      <c r="M182" s="245" t="s">
        <v>243</v>
      </c>
      <c r="N182" s="246">
        <v>0</v>
      </c>
      <c r="O182" s="246">
        <v>0</v>
      </c>
      <c r="P182" s="246">
        <v>0</v>
      </c>
      <c r="Q182" s="246">
        <v>0</v>
      </c>
      <c r="R182" s="246">
        <v>0</v>
      </c>
      <c r="S182" s="246">
        <v>0</v>
      </c>
      <c r="T182" s="246">
        <v>0</v>
      </c>
      <c r="U182" s="246">
        <v>0</v>
      </c>
      <c r="V182" s="246">
        <v>0</v>
      </c>
      <c r="W182" s="97">
        <v>0</v>
      </c>
      <c r="X182" s="246">
        <v>0</v>
      </c>
      <c r="Y182" s="246">
        <v>0</v>
      </c>
      <c r="Z182" s="246">
        <v>0</v>
      </c>
      <c r="AA182" s="246">
        <v>0</v>
      </c>
      <c r="AB182" s="246">
        <v>0</v>
      </c>
      <c r="AC182" s="246">
        <v>0</v>
      </c>
      <c r="AD182" s="246">
        <v>0</v>
      </c>
      <c r="AE182" s="246">
        <v>0</v>
      </c>
      <c r="AF182" s="246">
        <v>0</v>
      </c>
      <c r="AG182" s="246">
        <v>0</v>
      </c>
      <c r="AH182" s="246">
        <v>0</v>
      </c>
      <c r="AI182" s="246">
        <v>0</v>
      </c>
      <c r="AJ182" s="246">
        <v>0</v>
      </c>
      <c r="AK182" s="246">
        <v>0</v>
      </c>
      <c r="AL182" s="246">
        <v>0</v>
      </c>
      <c r="AM182" s="246">
        <v>0</v>
      </c>
      <c r="AN182" s="246">
        <v>0</v>
      </c>
      <c r="AO182" s="246">
        <v>0</v>
      </c>
      <c r="AP182" s="246">
        <v>0</v>
      </c>
      <c r="AQ182" s="246">
        <v>0</v>
      </c>
      <c r="AR182" s="246">
        <v>0</v>
      </c>
      <c r="AS182" s="246">
        <v>0</v>
      </c>
      <c r="AT182" s="97">
        <v>0</v>
      </c>
      <c r="AU182" s="246"/>
      <c r="AV182" s="246">
        <f t="shared" ref="AV182:AV190" si="32">SUM(N182:AU182)</f>
        <v>0</v>
      </c>
      <c r="AW182" s="246">
        <v>294</v>
      </c>
      <c r="AX182" s="97">
        <v>0</v>
      </c>
      <c r="AY182" s="97">
        <f t="shared" si="16"/>
        <v>294</v>
      </c>
      <c r="AZ182" s="246">
        <f t="shared" si="18"/>
        <v>0</v>
      </c>
    </row>
    <row r="183" spans="1:53" s="132" customFormat="1" x14ac:dyDescent="0.2">
      <c r="A183" s="85">
        <v>11</v>
      </c>
      <c r="B183" s="19" t="s">
        <v>395</v>
      </c>
      <c r="C183" s="19" t="s">
        <v>449</v>
      </c>
      <c r="D183" s="197">
        <v>103230</v>
      </c>
      <c r="E183" s="218">
        <v>0</v>
      </c>
      <c r="F183" s="97">
        <v>0</v>
      </c>
      <c r="G183" s="97">
        <v>3</v>
      </c>
      <c r="H183" s="218">
        <v>4</v>
      </c>
      <c r="I183" s="218">
        <v>135</v>
      </c>
      <c r="J183" s="218">
        <v>108</v>
      </c>
      <c r="K183" s="97">
        <f t="shared" si="15"/>
        <v>250</v>
      </c>
      <c r="L183" s="219"/>
      <c r="M183" s="218" t="s">
        <v>498</v>
      </c>
      <c r="N183" s="97">
        <v>4</v>
      </c>
      <c r="O183" s="97">
        <v>8</v>
      </c>
      <c r="P183" s="97">
        <v>18</v>
      </c>
      <c r="Q183" s="97">
        <v>0</v>
      </c>
      <c r="R183" s="97">
        <v>1</v>
      </c>
      <c r="S183" s="97">
        <v>0</v>
      </c>
      <c r="T183" s="97">
        <v>5</v>
      </c>
      <c r="U183" s="97">
        <v>24</v>
      </c>
      <c r="V183" s="97">
        <v>9</v>
      </c>
      <c r="W183" s="97">
        <v>0</v>
      </c>
      <c r="X183" s="97">
        <v>39</v>
      </c>
      <c r="Y183" s="97">
        <v>0</v>
      </c>
      <c r="Z183" s="97">
        <v>5</v>
      </c>
      <c r="AA183" s="97">
        <v>1</v>
      </c>
      <c r="AB183" s="97">
        <v>1</v>
      </c>
      <c r="AC183" s="97">
        <v>2</v>
      </c>
      <c r="AD183" s="97">
        <v>25</v>
      </c>
      <c r="AE183" s="97">
        <v>33</v>
      </c>
      <c r="AF183" s="97">
        <v>11</v>
      </c>
      <c r="AG183" s="97">
        <v>2</v>
      </c>
      <c r="AH183" s="97">
        <v>2</v>
      </c>
      <c r="AI183" s="97">
        <v>2</v>
      </c>
      <c r="AJ183" s="97">
        <v>1</v>
      </c>
      <c r="AK183" s="97">
        <v>3</v>
      </c>
      <c r="AL183" s="97">
        <v>5</v>
      </c>
      <c r="AM183" s="97">
        <v>21</v>
      </c>
      <c r="AN183" s="97">
        <v>0</v>
      </c>
      <c r="AO183" s="97">
        <v>0</v>
      </c>
      <c r="AP183" s="97">
        <v>0</v>
      </c>
      <c r="AQ183" s="97">
        <v>0</v>
      </c>
      <c r="AR183" s="97">
        <v>0</v>
      </c>
      <c r="AS183" s="97">
        <v>0</v>
      </c>
      <c r="AT183" s="97">
        <v>0</v>
      </c>
      <c r="AU183" s="97"/>
      <c r="AV183" s="97">
        <f t="shared" si="32"/>
        <v>222</v>
      </c>
      <c r="AW183" s="97">
        <v>28</v>
      </c>
      <c r="AX183" s="97">
        <v>0</v>
      </c>
      <c r="AY183" s="97">
        <f t="shared" si="16"/>
        <v>250</v>
      </c>
      <c r="AZ183" s="97">
        <f t="shared" si="18"/>
        <v>0</v>
      </c>
    </row>
    <row r="184" spans="1:53" s="248" customFormat="1" x14ac:dyDescent="0.2">
      <c r="A184" s="243">
        <v>11</v>
      </c>
      <c r="B184" s="234" t="s">
        <v>412</v>
      </c>
      <c r="C184" s="234" t="s">
        <v>261</v>
      </c>
      <c r="D184" s="244">
        <v>103243</v>
      </c>
      <c r="E184" s="245">
        <v>0</v>
      </c>
      <c r="F184" s="246">
        <v>15</v>
      </c>
      <c r="G184" s="246">
        <v>36</v>
      </c>
      <c r="H184" s="245">
        <f>55+55</f>
        <v>110</v>
      </c>
      <c r="I184" s="245">
        <v>0</v>
      </c>
      <c r="J184" s="245">
        <v>4</v>
      </c>
      <c r="K184" s="97">
        <f t="shared" si="15"/>
        <v>165</v>
      </c>
      <c r="L184" s="247"/>
      <c r="M184" s="245" t="s">
        <v>243</v>
      </c>
      <c r="N184" s="246">
        <v>0</v>
      </c>
      <c r="O184" s="246">
        <v>0</v>
      </c>
      <c r="P184" s="246">
        <v>0</v>
      </c>
      <c r="Q184" s="246">
        <v>0</v>
      </c>
      <c r="R184" s="246">
        <v>0</v>
      </c>
      <c r="S184" s="246">
        <v>0</v>
      </c>
      <c r="T184" s="246">
        <v>0</v>
      </c>
      <c r="U184" s="246">
        <v>0</v>
      </c>
      <c r="V184" s="246">
        <v>0</v>
      </c>
      <c r="W184" s="97">
        <v>0</v>
      </c>
      <c r="X184" s="246">
        <v>0</v>
      </c>
      <c r="Y184" s="246">
        <v>0</v>
      </c>
      <c r="Z184" s="246">
        <v>0</v>
      </c>
      <c r="AA184" s="246">
        <v>0</v>
      </c>
      <c r="AB184" s="246">
        <v>0</v>
      </c>
      <c r="AC184" s="246">
        <v>0</v>
      </c>
      <c r="AD184" s="246">
        <v>0</v>
      </c>
      <c r="AE184" s="246">
        <v>0</v>
      </c>
      <c r="AF184" s="246">
        <v>0</v>
      </c>
      <c r="AG184" s="246">
        <v>0</v>
      </c>
      <c r="AH184" s="246">
        <v>0</v>
      </c>
      <c r="AI184" s="246">
        <v>0</v>
      </c>
      <c r="AJ184" s="246">
        <v>0</v>
      </c>
      <c r="AK184" s="246">
        <v>0</v>
      </c>
      <c r="AL184" s="246">
        <v>0</v>
      </c>
      <c r="AM184" s="246">
        <v>0</v>
      </c>
      <c r="AN184" s="246">
        <v>0</v>
      </c>
      <c r="AO184" s="97">
        <v>0</v>
      </c>
      <c r="AP184" s="97">
        <v>0</v>
      </c>
      <c r="AQ184" s="97">
        <v>0</v>
      </c>
      <c r="AR184" s="97">
        <v>0</v>
      </c>
      <c r="AS184" s="97">
        <v>0</v>
      </c>
      <c r="AT184" s="97">
        <v>0</v>
      </c>
      <c r="AU184" s="246"/>
      <c r="AV184" s="246">
        <f t="shared" si="32"/>
        <v>0</v>
      </c>
      <c r="AW184" s="246">
        <v>165</v>
      </c>
      <c r="AX184" s="97">
        <v>0</v>
      </c>
      <c r="AY184" s="97">
        <f t="shared" si="16"/>
        <v>165</v>
      </c>
      <c r="AZ184" s="246">
        <f t="shared" si="18"/>
        <v>0</v>
      </c>
    </row>
    <row r="185" spans="1:53" s="248" customFormat="1" x14ac:dyDescent="0.2">
      <c r="A185" s="243">
        <v>11</v>
      </c>
      <c r="B185" s="234" t="s">
        <v>411</v>
      </c>
      <c r="C185" s="234" t="s">
        <v>261</v>
      </c>
      <c r="D185" s="244">
        <v>103244</v>
      </c>
      <c r="E185" s="245">
        <v>0</v>
      </c>
      <c r="F185" s="246">
        <v>0</v>
      </c>
      <c r="G185" s="246">
        <v>0</v>
      </c>
      <c r="H185" s="245">
        <v>0</v>
      </c>
      <c r="I185" s="245">
        <v>0</v>
      </c>
      <c r="J185" s="245">
        <v>0</v>
      </c>
      <c r="K185" s="97">
        <f t="shared" si="15"/>
        <v>0</v>
      </c>
      <c r="L185" s="247"/>
      <c r="M185" s="245" t="s">
        <v>243</v>
      </c>
      <c r="N185" s="246">
        <v>0</v>
      </c>
      <c r="O185" s="246">
        <v>0</v>
      </c>
      <c r="P185" s="246">
        <v>0</v>
      </c>
      <c r="Q185" s="246">
        <v>0</v>
      </c>
      <c r="R185" s="246">
        <v>0</v>
      </c>
      <c r="S185" s="246">
        <v>0</v>
      </c>
      <c r="T185" s="246">
        <v>0</v>
      </c>
      <c r="U185" s="246">
        <v>0</v>
      </c>
      <c r="V185" s="246">
        <v>0</v>
      </c>
      <c r="W185" s="97">
        <v>0</v>
      </c>
      <c r="X185" s="246">
        <v>0</v>
      </c>
      <c r="Y185" s="246">
        <v>0</v>
      </c>
      <c r="Z185" s="246">
        <v>0</v>
      </c>
      <c r="AA185" s="246">
        <v>0</v>
      </c>
      <c r="AB185" s="246">
        <v>0</v>
      </c>
      <c r="AC185" s="246">
        <v>0</v>
      </c>
      <c r="AD185" s="246">
        <v>0</v>
      </c>
      <c r="AE185" s="246">
        <v>0</v>
      </c>
      <c r="AF185" s="246">
        <v>0</v>
      </c>
      <c r="AG185" s="246">
        <v>0</v>
      </c>
      <c r="AH185" s="246">
        <v>0</v>
      </c>
      <c r="AI185" s="246">
        <v>0</v>
      </c>
      <c r="AJ185" s="246">
        <v>0</v>
      </c>
      <c r="AK185" s="246">
        <v>0</v>
      </c>
      <c r="AL185" s="246">
        <v>0</v>
      </c>
      <c r="AM185" s="246">
        <v>0</v>
      </c>
      <c r="AN185" s="246">
        <v>0</v>
      </c>
      <c r="AO185" s="97">
        <v>0</v>
      </c>
      <c r="AP185" s="97">
        <v>0</v>
      </c>
      <c r="AQ185" s="97">
        <v>0</v>
      </c>
      <c r="AR185" s="97">
        <v>0</v>
      </c>
      <c r="AS185" s="97">
        <v>0</v>
      </c>
      <c r="AT185" s="97">
        <v>0</v>
      </c>
      <c r="AU185" s="246"/>
      <c r="AV185" s="246">
        <f t="shared" si="32"/>
        <v>0</v>
      </c>
      <c r="AW185" s="246">
        <v>0</v>
      </c>
      <c r="AX185" s="97">
        <v>0</v>
      </c>
      <c r="AY185" s="97">
        <f t="shared" si="16"/>
        <v>0</v>
      </c>
      <c r="AZ185" s="246">
        <f t="shared" si="18"/>
        <v>0</v>
      </c>
    </row>
    <row r="186" spans="1:53" s="248" customFormat="1" x14ac:dyDescent="0.2">
      <c r="A186" s="243">
        <v>11</v>
      </c>
      <c r="B186" s="234" t="s">
        <v>413</v>
      </c>
      <c r="C186" s="234" t="s">
        <v>261</v>
      </c>
      <c r="D186" s="244">
        <v>103245</v>
      </c>
      <c r="E186" s="245">
        <v>0</v>
      </c>
      <c r="F186" s="246">
        <v>30</v>
      </c>
      <c r="G186" s="246">
        <v>25</v>
      </c>
      <c r="H186" s="245">
        <v>160</v>
      </c>
      <c r="I186" s="245">
        <v>0</v>
      </c>
      <c r="J186" s="245">
        <v>0</v>
      </c>
      <c r="K186" s="97">
        <f t="shared" si="15"/>
        <v>215</v>
      </c>
      <c r="L186" s="247"/>
      <c r="M186" s="245" t="s">
        <v>243</v>
      </c>
      <c r="N186" s="246">
        <v>0</v>
      </c>
      <c r="O186" s="246">
        <v>0</v>
      </c>
      <c r="P186" s="246">
        <v>0</v>
      </c>
      <c r="Q186" s="246">
        <v>0</v>
      </c>
      <c r="R186" s="246">
        <v>0</v>
      </c>
      <c r="S186" s="246">
        <v>0</v>
      </c>
      <c r="T186" s="246">
        <v>0</v>
      </c>
      <c r="U186" s="246">
        <v>0</v>
      </c>
      <c r="V186" s="246">
        <v>0</v>
      </c>
      <c r="W186" s="97">
        <v>0</v>
      </c>
      <c r="X186" s="246">
        <v>0</v>
      </c>
      <c r="Y186" s="246">
        <v>0</v>
      </c>
      <c r="Z186" s="246">
        <v>0</v>
      </c>
      <c r="AA186" s="246">
        <v>0</v>
      </c>
      <c r="AB186" s="246">
        <v>0</v>
      </c>
      <c r="AC186" s="246">
        <v>0</v>
      </c>
      <c r="AD186" s="246">
        <v>0</v>
      </c>
      <c r="AE186" s="246">
        <v>0</v>
      </c>
      <c r="AF186" s="246">
        <v>0</v>
      </c>
      <c r="AG186" s="246">
        <v>0</v>
      </c>
      <c r="AH186" s="246">
        <v>0</v>
      </c>
      <c r="AI186" s="246">
        <v>0</v>
      </c>
      <c r="AJ186" s="246">
        <v>0</v>
      </c>
      <c r="AK186" s="246">
        <v>0</v>
      </c>
      <c r="AL186" s="246">
        <v>0</v>
      </c>
      <c r="AM186" s="246">
        <v>0</v>
      </c>
      <c r="AN186" s="246">
        <v>0</v>
      </c>
      <c r="AO186" s="97">
        <v>0</v>
      </c>
      <c r="AP186" s="97">
        <v>0</v>
      </c>
      <c r="AQ186" s="97">
        <v>0</v>
      </c>
      <c r="AR186" s="97">
        <v>0</v>
      </c>
      <c r="AS186" s="97">
        <v>0</v>
      </c>
      <c r="AT186" s="97">
        <v>0</v>
      </c>
      <c r="AU186" s="246"/>
      <c r="AV186" s="246">
        <f t="shared" si="32"/>
        <v>0</v>
      </c>
      <c r="AW186" s="246">
        <v>215</v>
      </c>
      <c r="AX186" s="97">
        <v>0</v>
      </c>
      <c r="AY186" s="97">
        <f t="shared" si="16"/>
        <v>215</v>
      </c>
      <c r="AZ186" s="246">
        <f t="shared" si="18"/>
        <v>0</v>
      </c>
    </row>
    <row r="187" spans="1:53" s="248" customFormat="1" x14ac:dyDescent="0.2">
      <c r="A187" s="243">
        <v>11</v>
      </c>
      <c r="B187" s="234" t="s">
        <v>414</v>
      </c>
      <c r="C187" s="234" t="s">
        <v>261</v>
      </c>
      <c r="D187" s="244">
        <v>103246</v>
      </c>
      <c r="E187" s="245">
        <f>616+51+79</f>
        <v>746</v>
      </c>
      <c r="F187" s="246">
        <v>123</v>
      </c>
      <c r="G187" s="246">
        <v>2</v>
      </c>
      <c r="H187" s="245">
        <f>100+7</f>
        <v>107</v>
      </c>
      <c r="I187" s="245">
        <f>18+106</f>
        <v>124</v>
      </c>
      <c r="J187" s="245">
        <v>14</v>
      </c>
      <c r="K187" s="97">
        <f t="shared" si="15"/>
        <v>1116</v>
      </c>
      <c r="L187" s="247"/>
      <c r="M187" s="245" t="s">
        <v>461</v>
      </c>
      <c r="N187" s="246">
        <v>0</v>
      </c>
      <c r="O187" s="246">
        <v>0</v>
      </c>
      <c r="P187" s="246">
        <v>0</v>
      </c>
      <c r="Q187" s="246">
        <v>0</v>
      </c>
      <c r="R187" s="246">
        <v>0</v>
      </c>
      <c r="S187" s="246">
        <v>0</v>
      </c>
      <c r="T187" s="246">
        <v>0</v>
      </c>
      <c r="U187" s="246">
        <v>0</v>
      </c>
      <c r="V187" s="246">
        <v>0</v>
      </c>
      <c r="W187" s="97">
        <v>0</v>
      </c>
      <c r="X187" s="246">
        <f>222-18-12</f>
        <v>192</v>
      </c>
      <c r="Y187" s="246">
        <v>0</v>
      </c>
      <c r="Z187" s="246">
        <v>0</v>
      </c>
      <c r="AA187" s="246">
        <v>0</v>
      </c>
      <c r="AB187" s="246">
        <v>56</v>
      </c>
      <c r="AC187" s="246">
        <v>0</v>
      </c>
      <c r="AD187" s="246">
        <v>334</v>
      </c>
      <c r="AE187" s="246">
        <v>112</v>
      </c>
      <c r="AF187" s="246">
        <v>0</v>
      </c>
      <c r="AG187" s="246">
        <v>0</v>
      </c>
      <c r="AH187" s="246">
        <v>70</v>
      </c>
      <c r="AI187" s="246">
        <v>70</v>
      </c>
      <c r="AJ187" s="246">
        <v>70</v>
      </c>
      <c r="AK187" s="246">
        <v>0</v>
      </c>
      <c r="AL187" s="246">
        <f>70-38</f>
        <v>32</v>
      </c>
      <c r="AM187" s="246">
        <v>0</v>
      </c>
      <c r="AN187" s="246">
        <v>0</v>
      </c>
      <c r="AO187" s="246">
        <f>112+38+18</f>
        <v>168</v>
      </c>
      <c r="AP187" s="246">
        <v>12</v>
      </c>
      <c r="AQ187" s="97">
        <v>0</v>
      </c>
      <c r="AR187" s="97">
        <v>0</v>
      </c>
      <c r="AS187" s="97">
        <v>0</v>
      </c>
      <c r="AT187" s="97">
        <v>0</v>
      </c>
      <c r="AU187" s="246"/>
      <c r="AV187" s="246">
        <f t="shared" si="32"/>
        <v>1116</v>
      </c>
      <c r="AW187" s="246">
        <v>0</v>
      </c>
      <c r="AX187" s="97">
        <v>0</v>
      </c>
      <c r="AY187" s="97">
        <f t="shared" si="16"/>
        <v>1116</v>
      </c>
      <c r="AZ187" s="246">
        <f t="shared" si="18"/>
        <v>0</v>
      </c>
    </row>
    <row r="188" spans="1:53" s="248" customFormat="1" x14ac:dyDescent="0.2">
      <c r="A188" s="243">
        <v>11</v>
      </c>
      <c r="B188" s="234" t="s">
        <v>410</v>
      </c>
      <c r="C188" s="234" t="s">
        <v>261</v>
      </c>
      <c r="D188" s="244">
        <v>103247</v>
      </c>
      <c r="E188" s="245">
        <f>305+19+43</f>
        <v>367</v>
      </c>
      <c r="F188" s="246">
        <v>170</v>
      </c>
      <c r="G188" s="246">
        <v>5</v>
      </c>
      <c r="H188" s="245">
        <f>24+6+500</f>
        <v>530</v>
      </c>
      <c r="I188" s="245">
        <f>12+30</f>
        <v>42</v>
      </c>
      <c r="J188" s="245">
        <v>532</v>
      </c>
      <c r="K188" s="97">
        <f t="shared" si="15"/>
        <v>1646</v>
      </c>
      <c r="L188" s="247"/>
      <c r="M188" s="245" t="s">
        <v>243</v>
      </c>
      <c r="N188" s="246">
        <v>0</v>
      </c>
      <c r="O188" s="246">
        <v>0</v>
      </c>
      <c r="P188" s="246">
        <v>0</v>
      </c>
      <c r="Q188" s="246">
        <v>0</v>
      </c>
      <c r="R188" s="246">
        <v>0</v>
      </c>
      <c r="S188" s="246">
        <v>0</v>
      </c>
      <c r="T188" s="246">
        <v>0</v>
      </c>
      <c r="U188" s="246">
        <v>0</v>
      </c>
      <c r="V188" s="246">
        <v>0</v>
      </c>
      <c r="W188" s="97">
        <v>0</v>
      </c>
      <c r="X188" s="246">
        <v>0</v>
      </c>
      <c r="Y188" s="246">
        <v>0</v>
      </c>
      <c r="Z188" s="246">
        <v>0</v>
      </c>
      <c r="AA188" s="246">
        <v>0</v>
      </c>
      <c r="AB188" s="246">
        <v>0</v>
      </c>
      <c r="AC188" s="246">
        <v>0</v>
      </c>
      <c r="AD188" s="246">
        <v>0</v>
      </c>
      <c r="AE188" s="246">
        <v>0</v>
      </c>
      <c r="AF188" s="246">
        <v>0</v>
      </c>
      <c r="AG188" s="246">
        <v>0</v>
      </c>
      <c r="AH188" s="246">
        <v>0</v>
      </c>
      <c r="AI188" s="246">
        <v>0</v>
      </c>
      <c r="AJ188" s="246">
        <v>0</v>
      </c>
      <c r="AK188" s="246">
        <v>0</v>
      </c>
      <c r="AL188" s="246">
        <v>0</v>
      </c>
      <c r="AM188" s="246">
        <v>0</v>
      </c>
      <c r="AN188" s="246">
        <v>0</v>
      </c>
      <c r="AO188" s="246">
        <v>0</v>
      </c>
      <c r="AP188" s="246">
        <v>0</v>
      </c>
      <c r="AQ188" s="97">
        <v>0</v>
      </c>
      <c r="AR188" s="97">
        <v>0</v>
      </c>
      <c r="AS188" s="97">
        <v>0</v>
      </c>
      <c r="AT188" s="97">
        <v>0</v>
      </c>
      <c r="AU188" s="246"/>
      <c r="AV188" s="246">
        <f t="shared" si="32"/>
        <v>0</v>
      </c>
      <c r="AW188" s="246">
        <v>1646</v>
      </c>
      <c r="AX188" s="97">
        <v>0</v>
      </c>
      <c r="AY188" s="97">
        <f t="shared" si="16"/>
        <v>1646</v>
      </c>
      <c r="AZ188" s="246">
        <f t="shared" si="18"/>
        <v>0</v>
      </c>
    </row>
    <row r="189" spans="1:53" s="248" customFormat="1" x14ac:dyDescent="0.2">
      <c r="A189" s="243">
        <v>11</v>
      </c>
      <c r="B189" s="234" t="s">
        <v>542</v>
      </c>
      <c r="C189" s="234" t="s">
        <v>135</v>
      </c>
      <c r="D189" s="244">
        <v>103384</v>
      </c>
      <c r="E189" s="245">
        <f>234+13+31</f>
        <v>278</v>
      </c>
      <c r="F189" s="246">
        <v>5</v>
      </c>
      <c r="G189" s="246">
        <v>5</v>
      </c>
      <c r="H189" s="245">
        <f>39+1+3</f>
        <v>43</v>
      </c>
      <c r="I189" s="245">
        <f>3+65</f>
        <v>68</v>
      </c>
      <c r="J189" s="245">
        <v>-99</v>
      </c>
      <c r="K189" s="97">
        <f t="shared" si="15"/>
        <v>300</v>
      </c>
      <c r="L189" s="247"/>
      <c r="M189" s="245" t="s">
        <v>543</v>
      </c>
      <c r="N189" s="246">
        <v>5</v>
      </c>
      <c r="O189" s="246">
        <v>9</v>
      </c>
      <c r="P189" s="246">
        <v>10</v>
      </c>
      <c r="Q189" s="246">
        <v>10</v>
      </c>
      <c r="R189" s="246">
        <v>1</v>
      </c>
      <c r="S189" s="246">
        <v>0</v>
      </c>
      <c r="T189" s="246">
        <v>5</v>
      </c>
      <c r="U189" s="246">
        <v>35</v>
      </c>
      <c r="V189" s="246">
        <v>7</v>
      </c>
      <c r="W189" s="97">
        <v>3</v>
      </c>
      <c r="X189" s="246">
        <v>49</v>
      </c>
      <c r="Y189" s="246">
        <v>0</v>
      </c>
      <c r="Z189" s="246">
        <v>5</v>
      </c>
      <c r="AA189" s="246">
        <v>1</v>
      </c>
      <c r="AB189" s="246">
        <v>0</v>
      </c>
      <c r="AC189" s="246">
        <v>2</v>
      </c>
      <c r="AD189" s="246">
        <v>44</v>
      </c>
      <c r="AE189" s="246">
        <v>36</v>
      </c>
      <c r="AF189" s="246">
        <v>0</v>
      </c>
      <c r="AG189" s="246">
        <v>0</v>
      </c>
      <c r="AH189" s="246">
        <v>2</v>
      </c>
      <c r="AI189" s="246">
        <v>2</v>
      </c>
      <c r="AJ189" s="246">
        <v>1</v>
      </c>
      <c r="AK189" s="246">
        <v>3</v>
      </c>
      <c r="AL189" s="246">
        <v>1</v>
      </c>
      <c r="AM189" s="246">
        <v>22</v>
      </c>
      <c r="AN189" s="246">
        <v>0</v>
      </c>
      <c r="AO189" s="246">
        <v>13</v>
      </c>
      <c r="AP189" s="246">
        <v>4</v>
      </c>
      <c r="AQ189" s="97">
        <v>0</v>
      </c>
      <c r="AR189" s="97">
        <v>0</v>
      </c>
      <c r="AS189" s="97">
        <v>0</v>
      </c>
      <c r="AT189" s="97">
        <v>0</v>
      </c>
      <c r="AU189" s="246"/>
      <c r="AV189" s="246">
        <f t="shared" si="32"/>
        <v>270</v>
      </c>
      <c r="AW189" s="246">
        <v>30</v>
      </c>
      <c r="AX189" s="97">
        <v>0</v>
      </c>
      <c r="AY189" s="97">
        <f>+AV189+AW189+AX189</f>
        <v>300</v>
      </c>
      <c r="AZ189" s="246">
        <f>+K189-AY189</f>
        <v>0</v>
      </c>
    </row>
    <row r="190" spans="1:53" s="248" customFormat="1" x14ac:dyDescent="0.2">
      <c r="A190" s="243">
        <v>11</v>
      </c>
      <c r="B190" s="234" t="s">
        <v>517</v>
      </c>
      <c r="C190" s="234" t="s">
        <v>518</v>
      </c>
      <c r="D190" s="244">
        <v>103335</v>
      </c>
      <c r="E190" s="245">
        <f>380+34+50</f>
        <v>464</v>
      </c>
      <c r="F190" s="246">
        <v>80</v>
      </c>
      <c r="G190" s="246">
        <v>12</v>
      </c>
      <c r="H190" s="245">
        <f>175+12</f>
        <v>187</v>
      </c>
      <c r="I190" s="245">
        <v>0</v>
      </c>
      <c r="J190" s="245">
        <v>21</v>
      </c>
      <c r="K190" s="97">
        <f t="shared" si="15"/>
        <v>764</v>
      </c>
      <c r="L190" s="247"/>
      <c r="M190" s="245" t="s">
        <v>243</v>
      </c>
      <c r="N190" s="246">
        <v>0</v>
      </c>
      <c r="O190" s="246">
        <v>0</v>
      </c>
      <c r="P190" s="246">
        <v>0</v>
      </c>
      <c r="Q190" s="246">
        <v>0</v>
      </c>
      <c r="R190" s="246">
        <v>0</v>
      </c>
      <c r="S190" s="246">
        <v>0</v>
      </c>
      <c r="T190" s="246">
        <v>0</v>
      </c>
      <c r="U190" s="246">
        <v>0</v>
      </c>
      <c r="V190" s="246">
        <v>0</v>
      </c>
      <c r="W190" s="97">
        <v>0</v>
      </c>
      <c r="X190" s="246">
        <v>0</v>
      </c>
      <c r="Y190" s="246">
        <v>0</v>
      </c>
      <c r="Z190" s="246">
        <v>0</v>
      </c>
      <c r="AA190" s="246">
        <v>0</v>
      </c>
      <c r="AB190" s="246">
        <v>0</v>
      </c>
      <c r="AC190" s="246">
        <v>0</v>
      </c>
      <c r="AD190" s="246">
        <v>0</v>
      </c>
      <c r="AE190" s="246">
        <v>0</v>
      </c>
      <c r="AF190" s="246">
        <v>0</v>
      </c>
      <c r="AG190" s="246">
        <v>0</v>
      </c>
      <c r="AH190" s="246">
        <v>0</v>
      </c>
      <c r="AI190" s="246">
        <v>0</v>
      </c>
      <c r="AJ190" s="246">
        <v>0</v>
      </c>
      <c r="AK190" s="246">
        <v>0</v>
      </c>
      <c r="AL190" s="246">
        <v>0</v>
      </c>
      <c r="AM190" s="246">
        <v>0</v>
      </c>
      <c r="AN190" s="246">
        <v>0</v>
      </c>
      <c r="AO190" s="246">
        <v>0</v>
      </c>
      <c r="AP190" s="246">
        <v>0</v>
      </c>
      <c r="AQ190" s="97">
        <v>0</v>
      </c>
      <c r="AR190" s="97">
        <v>0</v>
      </c>
      <c r="AS190" s="97">
        <v>0</v>
      </c>
      <c r="AT190" s="97">
        <v>0</v>
      </c>
      <c r="AU190" s="246"/>
      <c r="AV190" s="246">
        <f t="shared" si="32"/>
        <v>0</v>
      </c>
      <c r="AW190" s="246">
        <v>764</v>
      </c>
      <c r="AX190" s="97">
        <v>0</v>
      </c>
      <c r="AY190" s="97">
        <f t="shared" si="16"/>
        <v>764</v>
      </c>
      <c r="AZ190" s="246">
        <f t="shared" si="18"/>
        <v>0</v>
      </c>
    </row>
    <row r="191" spans="1:53" s="132" customFormat="1" x14ac:dyDescent="0.2">
      <c r="A191" s="85"/>
      <c r="B191" s="19"/>
      <c r="C191" s="19"/>
      <c r="D191" s="197"/>
      <c r="E191" s="218"/>
      <c r="F191" s="97"/>
      <c r="G191" s="97"/>
      <c r="H191" s="218"/>
      <c r="I191" s="218"/>
      <c r="J191" s="218"/>
      <c r="K191" s="97"/>
      <c r="L191" s="219"/>
      <c r="M191" s="218"/>
      <c r="N191" s="97"/>
      <c r="O191" s="97"/>
      <c r="P191" s="97"/>
      <c r="Q191" s="97"/>
      <c r="R191" s="97"/>
      <c r="S191" s="97"/>
      <c r="T191" s="97"/>
      <c r="U191" s="97"/>
      <c r="V191" s="97"/>
      <c r="W191" s="97"/>
      <c r="X191" s="97"/>
      <c r="Y191" s="97"/>
      <c r="Z191" s="97"/>
      <c r="AA191" s="97"/>
      <c r="AB191" s="97"/>
      <c r="AC191" s="97"/>
      <c r="AD191" s="97"/>
      <c r="AE191" s="97"/>
      <c r="AF191" s="97"/>
      <c r="AG191" s="97"/>
      <c r="AH191" s="97"/>
      <c r="AI191" s="97"/>
      <c r="AJ191" s="97"/>
      <c r="AK191" s="97"/>
      <c r="AL191" s="97"/>
      <c r="AM191" s="97"/>
      <c r="AN191" s="97"/>
      <c r="AO191" s="97"/>
      <c r="AP191" s="97"/>
      <c r="AQ191" s="97"/>
      <c r="AR191" s="97"/>
      <c r="AS191" s="97"/>
      <c r="AT191" s="97"/>
      <c r="AU191" s="97"/>
      <c r="AV191" s="97"/>
      <c r="AW191" s="97"/>
      <c r="AX191" s="97"/>
      <c r="AY191" s="97"/>
      <c r="AZ191" s="97"/>
    </row>
    <row r="192" spans="1:53" ht="12.75" customHeight="1" x14ac:dyDescent="0.2">
      <c r="A192" s="199"/>
      <c r="C192" s="25"/>
      <c r="D192" s="196"/>
      <c r="E192" s="221"/>
      <c r="F192" s="221"/>
      <c r="G192" s="221"/>
      <c r="H192" s="221"/>
      <c r="I192" s="221"/>
      <c r="J192" s="221"/>
      <c r="K192" s="221"/>
      <c r="L192" s="221"/>
      <c r="M192" s="218"/>
      <c r="N192" s="221"/>
      <c r="O192" s="221"/>
      <c r="P192" s="221"/>
      <c r="Q192" s="221"/>
      <c r="R192" s="221"/>
      <c r="S192" s="221"/>
      <c r="T192" s="221"/>
      <c r="U192" s="221"/>
      <c r="V192" s="221"/>
      <c r="W192" s="221"/>
      <c r="X192" s="221"/>
      <c r="Y192" s="221"/>
      <c r="Z192" s="221"/>
      <c r="AA192" s="221"/>
      <c r="AB192" s="221"/>
      <c r="AC192" s="221"/>
      <c r="AD192" s="221"/>
      <c r="AE192" s="221"/>
      <c r="AF192" s="221"/>
      <c r="AG192" s="221"/>
      <c r="AH192" s="221"/>
      <c r="AI192" s="221"/>
      <c r="AJ192" s="221"/>
      <c r="AK192" s="221"/>
      <c r="AL192" s="221"/>
      <c r="AM192" s="221"/>
      <c r="AN192" s="221"/>
      <c r="AO192" s="221"/>
      <c r="AP192" s="221"/>
      <c r="AQ192" s="221"/>
      <c r="AR192" s="221"/>
      <c r="AS192" s="221"/>
      <c r="AT192" s="221"/>
      <c r="AU192" s="221"/>
      <c r="AV192" s="221"/>
      <c r="AW192" s="221"/>
      <c r="AX192" s="221"/>
      <c r="AY192" s="221"/>
      <c r="AZ192" s="221"/>
    </row>
    <row r="193" spans="1:52" ht="12.75" customHeight="1" x14ac:dyDescent="0.2">
      <c r="A193" s="199"/>
      <c r="B193" s="25" t="s">
        <v>100</v>
      </c>
      <c r="C193" s="25"/>
      <c r="D193" s="196"/>
      <c r="E193" s="222">
        <f t="shared" ref="E193:K193" si="33">SUM(E10:E192)</f>
        <v>310207</v>
      </c>
      <c r="F193" s="222">
        <f t="shared" si="33"/>
        <v>30305</v>
      </c>
      <c r="G193" s="222">
        <f t="shared" si="33"/>
        <v>1539</v>
      </c>
      <c r="H193" s="222">
        <f t="shared" si="33"/>
        <v>94055</v>
      </c>
      <c r="I193" s="222">
        <f t="shared" si="33"/>
        <v>17103</v>
      </c>
      <c r="J193" s="222">
        <f t="shared" si="33"/>
        <v>389643</v>
      </c>
      <c r="K193" s="222">
        <f t="shared" si="33"/>
        <v>842852</v>
      </c>
      <c r="L193" s="223"/>
      <c r="M193" s="218"/>
      <c r="N193" s="222">
        <f t="shared" ref="N193:AZ193" si="34">SUM(N10:N192)</f>
        <v>4677</v>
      </c>
      <c r="O193" s="222">
        <f t="shared" si="34"/>
        <v>13988</v>
      </c>
      <c r="P193" s="222">
        <f t="shared" si="34"/>
        <v>17873</v>
      </c>
      <c r="Q193" s="222">
        <f t="shared" si="34"/>
        <v>4114</v>
      </c>
      <c r="R193" s="222">
        <f t="shared" si="34"/>
        <v>922</v>
      </c>
      <c r="S193" s="222">
        <f t="shared" si="34"/>
        <v>3161</v>
      </c>
      <c r="T193" s="222">
        <f t="shared" si="34"/>
        <v>4677</v>
      </c>
      <c r="U193" s="222">
        <f t="shared" si="34"/>
        <v>30313</v>
      </c>
      <c r="V193" s="222">
        <f t="shared" si="34"/>
        <v>15423</v>
      </c>
      <c r="W193" s="222">
        <f t="shared" si="34"/>
        <v>922</v>
      </c>
      <c r="X193" s="222">
        <f t="shared" si="34"/>
        <v>97878</v>
      </c>
      <c r="Y193" s="222">
        <f t="shared" si="34"/>
        <v>499</v>
      </c>
      <c r="Z193" s="222">
        <f t="shared" si="34"/>
        <v>5898</v>
      </c>
      <c r="AA193" s="222">
        <f t="shared" si="34"/>
        <v>2500</v>
      </c>
      <c r="AB193" s="222">
        <f t="shared" si="34"/>
        <v>29176</v>
      </c>
      <c r="AC193" s="222">
        <f t="shared" si="34"/>
        <v>4561</v>
      </c>
      <c r="AD193" s="222">
        <f t="shared" si="34"/>
        <v>67380</v>
      </c>
      <c r="AE193" s="222">
        <f t="shared" si="34"/>
        <v>73388</v>
      </c>
      <c r="AF193" s="222">
        <f t="shared" si="34"/>
        <v>2785</v>
      </c>
      <c r="AG193" s="222">
        <f t="shared" si="34"/>
        <v>2541</v>
      </c>
      <c r="AH193" s="222">
        <f t="shared" si="34"/>
        <v>12775</v>
      </c>
      <c r="AI193" s="222">
        <f t="shared" si="34"/>
        <v>36233</v>
      </c>
      <c r="AJ193" s="222">
        <f t="shared" si="34"/>
        <v>14394</v>
      </c>
      <c r="AK193" s="222">
        <f t="shared" si="34"/>
        <v>4738</v>
      </c>
      <c r="AL193" s="222">
        <f t="shared" si="34"/>
        <v>10605</v>
      </c>
      <c r="AM193" s="222">
        <f t="shared" si="34"/>
        <v>18199</v>
      </c>
      <c r="AN193" s="222">
        <f t="shared" si="34"/>
        <v>0</v>
      </c>
      <c r="AO193" s="222">
        <f t="shared" si="34"/>
        <v>17934</v>
      </c>
      <c r="AP193" s="222">
        <f t="shared" si="34"/>
        <v>6542</v>
      </c>
      <c r="AQ193" s="222">
        <f t="shared" si="34"/>
        <v>2130</v>
      </c>
      <c r="AR193" s="222">
        <f t="shared" si="34"/>
        <v>24</v>
      </c>
      <c r="AS193" s="222">
        <f t="shared" si="34"/>
        <v>25</v>
      </c>
      <c r="AT193" s="222">
        <f t="shared" si="34"/>
        <v>0</v>
      </c>
      <c r="AU193" s="222">
        <f t="shared" si="34"/>
        <v>0</v>
      </c>
      <c r="AV193" s="222">
        <f t="shared" si="34"/>
        <v>506275</v>
      </c>
      <c r="AW193" s="222">
        <f t="shared" si="34"/>
        <v>272718</v>
      </c>
      <c r="AX193" s="222">
        <f t="shared" si="34"/>
        <v>63859</v>
      </c>
      <c r="AY193" s="222">
        <f t="shared" si="34"/>
        <v>842852</v>
      </c>
      <c r="AZ193" s="222">
        <f t="shared" si="34"/>
        <v>0</v>
      </c>
    </row>
    <row r="194" spans="1:52" ht="12.75" hidden="1" customHeight="1" x14ac:dyDescent="0.2">
      <c r="A194" s="199"/>
      <c r="B194" s="25"/>
      <c r="C194" s="25"/>
      <c r="D194" s="196"/>
      <c r="E194" s="67"/>
      <c r="F194" s="67"/>
      <c r="G194" s="67"/>
      <c r="H194" s="67"/>
      <c r="I194" s="67"/>
      <c r="J194" s="67"/>
      <c r="K194" s="67"/>
      <c r="L194" s="28"/>
      <c r="M194" s="19"/>
      <c r="N194" s="67"/>
      <c r="O194" s="67"/>
      <c r="P194" s="67"/>
      <c r="Q194" s="67"/>
      <c r="R194" s="67"/>
      <c r="S194" s="67"/>
      <c r="T194" s="67"/>
      <c r="U194" s="67"/>
      <c r="V194" s="67"/>
      <c r="W194" s="67"/>
      <c r="X194" s="67"/>
      <c r="Y194" s="67"/>
      <c r="Z194" s="67"/>
      <c r="AA194" s="67"/>
      <c r="AB194" s="67"/>
      <c r="AC194" s="67"/>
      <c r="AD194" s="67"/>
      <c r="AE194" s="67"/>
      <c r="AF194" s="67"/>
      <c r="AG194" s="67"/>
      <c r="AH194" s="67"/>
      <c r="AI194" s="67"/>
      <c r="AJ194" s="67"/>
      <c r="AK194" s="67"/>
      <c r="AL194" s="67"/>
      <c r="AM194" s="67"/>
      <c r="AN194" s="67"/>
      <c r="AO194" s="67"/>
      <c r="AP194" s="67"/>
      <c r="AQ194" s="67"/>
      <c r="AR194" s="67"/>
      <c r="AS194" s="67"/>
      <c r="AT194" s="67"/>
      <c r="AU194" s="67"/>
      <c r="AV194" s="67"/>
      <c r="AW194" s="67"/>
      <c r="AX194" s="67" t="s">
        <v>504</v>
      </c>
      <c r="AY194" s="67">
        <f>AV193+AW193+AX193</f>
        <v>842852</v>
      </c>
      <c r="AZ194" s="67"/>
    </row>
    <row r="195" spans="1:52" ht="12.75" hidden="1" customHeight="1" x14ac:dyDescent="0.2">
      <c r="A195" s="199"/>
      <c r="B195" s="25"/>
      <c r="C195" s="25"/>
      <c r="D195" s="196"/>
      <c r="E195" s="67"/>
      <c r="F195" s="67"/>
      <c r="G195" s="67"/>
      <c r="H195" s="67"/>
      <c r="I195" s="67"/>
      <c r="J195" s="67"/>
      <c r="K195" s="67"/>
      <c r="L195" s="28"/>
      <c r="M195" s="19"/>
      <c r="N195" s="67"/>
      <c r="O195" s="67"/>
      <c r="P195" s="67"/>
      <c r="Q195" s="67"/>
      <c r="R195" s="67"/>
      <c r="S195" s="67"/>
      <c r="T195" s="67"/>
      <c r="U195" s="67"/>
      <c r="V195" s="67"/>
      <c r="W195" s="67"/>
      <c r="X195" s="67"/>
      <c r="Y195" s="67"/>
      <c r="Z195" s="67"/>
      <c r="AA195" s="67"/>
      <c r="AB195" s="67"/>
      <c r="AC195" s="67"/>
      <c r="AD195" s="67"/>
      <c r="AE195" s="67"/>
      <c r="AF195" s="67"/>
      <c r="AG195" s="67"/>
      <c r="AH195" s="67"/>
      <c r="AI195" s="67"/>
      <c r="AJ195" s="67"/>
      <c r="AK195" s="67"/>
      <c r="AL195" s="67"/>
      <c r="AM195" s="67"/>
      <c r="AN195" s="67"/>
      <c r="AO195" s="67"/>
      <c r="AP195" s="67"/>
      <c r="AQ195" s="67"/>
      <c r="AR195" s="67"/>
      <c r="AS195" s="67"/>
      <c r="AT195" s="67"/>
      <c r="AU195" s="67"/>
      <c r="AV195" s="67"/>
      <c r="AW195" s="67"/>
      <c r="AX195" s="67"/>
      <c r="AY195" s="67">
        <f>AY193-AY194</f>
        <v>0</v>
      </c>
      <c r="AZ195" s="67"/>
    </row>
    <row r="196" spans="1:52" ht="12.75" hidden="1" customHeight="1" x14ac:dyDescent="0.2">
      <c r="A196" s="199"/>
      <c r="B196" s="25"/>
      <c r="C196" s="25"/>
      <c r="D196" s="196"/>
      <c r="E196" s="67"/>
      <c r="F196" s="67"/>
      <c r="G196" s="67"/>
      <c r="H196" s="67"/>
      <c r="I196" s="67"/>
      <c r="J196" s="67"/>
      <c r="K196" s="67"/>
      <c r="L196" s="28"/>
      <c r="M196" s="19"/>
      <c r="N196" s="67"/>
      <c r="O196" s="67"/>
      <c r="P196" s="67"/>
      <c r="Q196" s="67"/>
      <c r="R196" s="67"/>
      <c r="S196" s="67"/>
      <c r="T196" s="67"/>
      <c r="U196" s="67"/>
      <c r="V196" s="67"/>
      <c r="W196" s="67"/>
      <c r="X196" s="67"/>
      <c r="Y196" s="67"/>
      <c r="Z196" s="67"/>
      <c r="AA196" s="67"/>
      <c r="AB196" s="67"/>
      <c r="AC196" s="67"/>
      <c r="AD196" s="67"/>
      <c r="AE196" s="67"/>
      <c r="AF196" s="67"/>
      <c r="AG196" s="67"/>
      <c r="AH196" s="67"/>
      <c r="AI196" s="67"/>
      <c r="AJ196" s="67"/>
      <c r="AK196" s="67"/>
      <c r="AL196" s="67"/>
      <c r="AM196" s="67"/>
      <c r="AN196" s="67"/>
      <c r="AO196" s="67"/>
      <c r="AP196" s="67"/>
      <c r="AQ196" s="67"/>
      <c r="AR196" s="67"/>
      <c r="AS196" s="67"/>
      <c r="AT196" s="67"/>
      <c r="AU196" s="67"/>
      <c r="AV196" s="67"/>
      <c r="AW196" s="67"/>
      <c r="AX196" s="67"/>
      <c r="AY196" s="67"/>
      <c r="AZ196" s="67"/>
    </row>
    <row r="197" spans="1:52" ht="12.75" hidden="1" customHeight="1" x14ac:dyDescent="0.2">
      <c r="A197" s="215" t="s">
        <v>319</v>
      </c>
      <c r="B197" s="25"/>
      <c r="C197" s="25"/>
      <c r="D197" s="196"/>
      <c r="E197" s="67"/>
      <c r="F197" s="67"/>
      <c r="G197" s="67"/>
      <c r="H197" s="67"/>
      <c r="I197" s="67"/>
      <c r="J197" s="67"/>
      <c r="K197" s="67"/>
      <c r="L197" s="28"/>
      <c r="M197" s="19"/>
      <c r="N197" s="67"/>
      <c r="O197" s="67"/>
      <c r="P197" s="67"/>
      <c r="Q197" s="67"/>
      <c r="R197" s="67"/>
      <c r="S197" s="67"/>
      <c r="T197" s="67"/>
      <c r="U197" s="67"/>
      <c r="V197" s="67"/>
      <c r="W197" s="67"/>
      <c r="X197" s="67"/>
      <c r="Y197" s="67"/>
      <c r="Z197" s="67"/>
      <c r="AA197" s="67"/>
      <c r="AB197" s="67"/>
      <c r="AC197" s="67"/>
      <c r="AD197" s="67"/>
      <c r="AE197" s="67"/>
      <c r="AF197" s="67"/>
      <c r="AG197" s="67"/>
      <c r="AH197" s="67"/>
      <c r="AI197" s="67"/>
      <c r="AJ197" s="67"/>
      <c r="AK197" s="67"/>
      <c r="AL197" s="67"/>
      <c r="AM197" s="67"/>
      <c r="AN197" s="67"/>
      <c r="AO197" s="67"/>
      <c r="AP197" s="67"/>
      <c r="AQ197" s="67"/>
      <c r="AR197" s="67"/>
      <c r="AS197" s="67"/>
      <c r="AT197" s="67"/>
      <c r="AU197" s="67"/>
      <c r="AV197" s="67"/>
      <c r="AW197" s="67"/>
      <c r="AX197" s="67"/>
      <c r="AY197" s="67"/>
      <c r="AZ197" s="67"/>
    </row>
    <row r="198" spans="1:52" s="216" customFormat="1" ht="12.75" hidden="1" customHeight="1" x14ac:dyDescent="0.2">
      <c r="A198" s="86"/>
      <c r="B198" s="19" t="s">
        <v>320</v>
      </c>
      <c r="C198" s="19"/>
      <c r="D198" s="197"/>
      <c r="E198" s="31"/>
      <c r="F198" s="31"/>
      <c r="G198" s="31"/>
      <c r="H198" s="31"/>
      <c r="I198" s="31"/>
      <c r="J198" s="31"/>
      <c r="K198" s="31"/>
      <c r="L198" s="22"/>
      <c r="M198" s="19"/>
      <c r="N198" s="31">
        <f>54</f>
        <v>54</v>
      </c>
      <c r="O198" s="31">
        <f>72</f>
        <v>72</v>
      </c>
      <c r="P198" s="31">
        <f>375</f>
        <v>375</v>
      </c>
      <c r="Q198" s="31">
        <v>0</v>
      </c>
      <c r="R198" s="31">
        <f>36</f>
        <v>36</v>
      </c>
      <c r="S198" s="31">
        <v>0</v>
      </c>
      <c r="T198" s="31">
        <v>0</v>
      </c>
      <c r="U198" s="31">
        <f>160</f>
        <v>160</v>
      </c>
      <c r="V198" s="31">
        <f>112+131</f>
        <v>243</v>
      </c>
      <c r="W198" s="31"/>
      <c r="X198" s="31">
        <f>1698</f>
        <v>1698</v>
      </c>
      <c r="Y198" s="31">
        <f>16</f>
        <v>16</v>
      </c>
      <c r="Z198" s="31">
        <f>7</f>
        <v>7</v>
      </c>
      <c r="AA198" s="31">
        <f>43</f>
        <v>43</v>
      </c>
      <c r="AB198" s="31">
        <v>10</v>
      </c>
      <c r="AC198" s="31">
        <f>86</f>
        <v>86</v>
      </c>
      <c r="AD198" s="31">
        <f>815+29</f>
        <v>844</v>
      </c>
      <c r="AE198" s="31">
        <f>715</f>
        <v>715</v>
      </c>
      <c r="AF198" s="31">
        <f>19</f>
        <v>19</v>
      </c>
      <c r="AG198" s="31">
        <f>165</f>
        <v>165</v>
      </c>
      <c r="AH198" s="31">
        <f>94</f>
        <v>94</v>
      </c>
      <c r="AI198" s="31">
        <f>65</f>
        <v>65</v>
      </c>
      <c r="AJ198" s="31">
        <f>45</f>
        <v>45</v>
      </c>
      <c r="AK198" s="31">
        <f>113</f>
        <v>113</v>
      </c>
      <c r="AL198" s="31">
        <f>211</f>
        <v>211</v>
      </c>
      <c r="AM198" s="31">
        <f>866</f>
        <v>866</v>
      </c>
      <c r="AN198" s="31">
        <v>0</v>
      </c>
      <c r="AO198" s="31">
        <v>233</v>
      </c>
      <c r="AP198" s="31">
        <v>0</v>
      </c>
      <c r="AQ198" s="31"/>
      <c r="AR198" s="31"/>
      <c r="AS198" s="31"/>
      <c r="AT198" s="31"/>
      <c r="AU198" s="31"/>
      <c r="AV198" s="31"/>
      <c r="AW198" s="31">
        <f>965+160</f>
        <v>1125</v>
      </c>
      <c r="AX198" s="31"/>
      <c r="AY198" s="21">
        <f>SUM(N198:AW198)</f>
        <v>7295</v>
      </c>
      <c r="AZ198" s="31"/>
    </row>
    <row r="199" spans="1:52" s="216" customFormat="1" ht="12.75" hidden="1" customHeight="1" x14ac:dyDescent="0.2">
      <c r="A199" s="86"/>
      <c r="B199" s="19" t="s">
        <v>321</v>
      </c>
      <c r="C199" s="19"/>
      <c r="D199" s="197"/>
      <c r="E199" s="31"/>
      <c r="F199" s="31"/>
      <c r="G199" s="31"/>
      <c r="H199" s="31"/>
      <c r="I199" s="31"/>
      <c r="J199" s="31"/>
      <c r="K199" s="31"/>
      <c r="L199" s="22"/>
      <c r="M199" s="19"/>
      <c r="N199" s="31">
        <f>54+132</f>
        <v>186</v>
      </c>
      <c r="O199" s="31">
        <f>72+281</f>
        <v>353</v>
      </c>
      <c r="P199" s="31">
        <f>375</f>
        <v>375</v>
      </c>
      <c r="Q199" s="31">
        <v>399</v>
      </c>
      <c r="R199" s="31">
        <f>36</f>
        <v>36</v>
      </c>
      <c r="S199" s="31">
        <v>0</v>
      </c>
      <c r="T199" s="31">
        <f>120+98</f>
        <v>218</v>
      </c>
      <c r="U199" s="31">
        <f>160+132+702</f>
        <v>994</v>
      </c>
      <c r="V199" s="31">
        <f>112+131+15+9</f>
        <v>267</v>
      </c>
      <c r="W199" s="31"/>
      <c r="X199" s="31">
        <f>1698+101+34</f>
        <v>1833</v>
      </c>
      <c r="Y199" s="31">
        <f>16+1</f>
        <v>17</v>
      </c>
      <c r="Z199" s="31">
        <f>7+121</f>
        <v>128</v>
      </c>
      <c r="AA199" s="31">
        <f>43+2</f>
        <v>45</v>
      </c>
      <c r="AB199" s="31">
        <v>10</v>
      </c>
      <c r="AC199" s="31">
        <f>86</f>
        <v>86</v>
      </c>
      <c r="AD199" s="31">
        <f>815+29+54+325</f>
        <v>1223</v>
      </c>
      <c r="AE199" s="31">
        <f>715+635</f>
        <v>1350</v>
      </c>
      <c r="AF199" s="31">
        <f>19+430</f>
        <v>449</v>
      </c>
      <c r="AG199" s="31">
        <f>165</f>
        <v>165</v>
      </c>
      <c r="AH199" s="31">
        <f>94</f>
        <v>94</v>
      </c>
      <c r="AI199" s="31">
        <f>65</f>
        <v>65</v>
      </c>
      <c r="AJ199" s="31">
        <f>45</f>
        <v>45</v>
      </c>
      <c r="AK199" s="31">
        <f>113</f>
        <v>113</v>
      </c>
      <c r="AL199" s="31">
        <f>211</f>
        <v>211</v>
      </c>
      <c r="AM199" s="31">
        <f>866+2+2</f>
        <v>870</v>
      </c>
      <c r="AN199" s="31">
        <v>0</v>
      </c>
      <c r="AO199" s="31">
        <v>239</v>
      </c>
      <c r="AP199" s="31">
        <v>0</v>
      </c>
      <c r="AQ199" s="31"/>
      <c r="AR199" s="31"/>
      <c r="AS199" s="31"/>
      <c r="AT199" s="31"/>
      <c r="AU199" s="31"/>
      <c r="AV199" s="31"/>
      <c r="AW199" s="31">
        <f>965+160+5+9+145</f>
        <v>1284</v>
      </c>
      <c r="AX199" s="31"/>
      <c r="AY199" s="21">
        <f>SUM(N199:AW199)</f>
        <v>11055</v>
      </c>
      <c r="AZ199" s="31"/>
    </row>
    <row r="200" spans="1:52" s="216" customFormat="1" ht="12.75" hidden="1" customHeight="1" x14ac:dyDescent="0.2">
      <c r="A200" s="86"/>
      <c r="B200" s="19" t="s">
        <v>322</v>
      </c>
      <c r="C200" s="19"/>
      <c r="D200" s="197"/>
      <c r="E200" s="31"/>
      <c r="F200" s="31"/>
      <c r="G200" s="31"/>
      <c r="H200" s="31"/>
      <c r="I200" s="31"/>
      <c r="J200" s="31"/>
      <c r="K200" s="31"/>
      <c r="L200" s="22"/>
      <c r="M200" s="19"/>
      <c r="N200" s="31">
        <f>54+132</f>
        <v>186</v>
      </c>
      <c r="O200" s="31">
        <f>72+281</f>
        <v>353</v>
      </c>
      <c r="P200" s="31">
        <f>375+50</f>
        <v>425</v>
      </c>
      <c r="Q200" s="31">
        <v>399</v>
      </c>
      <c r="R200" s="31">
        <f>36</f>
        <v>36</v>
      </c>
      <c r="S200" s="31">
        <v>0</v>
      </c>
      <c r="T200" s="31">
        <f>120+98</f>
        <v>218</v>
      </c>
      <c r="U200" s="31">
        <f>160+132+702</f>
        <v>994</v>
      </c>
      <c r="V200" s="31">
        <f>112+131+15+9</f>
        <v>267</v>
      </c>
      <c r="W200" s="31"/>
      <c r="X200" s="31">
        <f>1698+101+34</f>
        <v>1833</v>
      </c>
      <c r="Y200" s="31">
        <f>16+1</f>
        <v>17</v>
      </c>
      <c r="Z200" s="31">
        <f>7+121</f>
        <v>128</v>
      </c>
      <c r="AA200" s="31">
        <f>43+2</f>
        <v>45</v>
      </c>
      <c r="AB200" s="31">
        <v>10</v>
      </c>
      <c r="AC200" s="31">
        <f>86</f>
        <v>86</v>
      </c>
      <c r="AD200" s="31">
        <f>815+29+54+325</f>
        <v>1223</v>
      </c>
      <c r="AE200" s="31">
        <f>715+635</f>
        <v>1350</v>
      </c>
      <c r="AF200" s="31">
        <f>19+430+5</f>
        <v>454</v>
      </c>
      <c r="AG200" s="31">
        <f>165</f>
        <v>165</v>
      </c>
      <c r="AH200" s="31">
        <f>94</f>
        <v>94</v>
      </c>
      <c r="AI200" s="31">
        <f>65+25</f>
        <v>90</v>
      </c>
      <c r="AJ200" s="31">
        <f>45+10</f>
        <v>55</v>
      </c>
      <c r="AK200" s="31">
        <f>113+13</f>
        <v>126</v>
      </c>
      <c r="AL200" s="31">
        <f>211+18</f>
        <v>229</v>
      </c>
      <c r="AM200" s="31">
        <f>866+2+2</f>
        <v>870</v>
      </c>
      <c r="AN200" s="31">
        <v>0</v>
      </c>
      <c r="AO200" s="31">
        <v>239</v>
      </c>
      <c r="AP200" s="31">
        <v>0</v>
      </c>
      <c r="AQ200" s="31"/>
      <c r="AR200" s="31"/>
      <c r="AS200" s="31"/>
      <c r="AT200" s="31"/>
      <c r="AU200" s="31"/>
      <c r="AV200" s="31"/>
      <c r="AW200" s="31">
        <f>965+160+5+9+145+2</f>
        <v>1286</v>
      </c>
      <c r="AX200" s="31"/>
      <c r="AY200" s="21">
        <f>SUM(N200:AW200)</f>
        <v>11178</v>
      </c>
      <c r="AZ200" s="31"/>
    </row>
    <row r="201" spans="1:52" s="216" customFormat="1" ht="12.75" hidden="1" customHeight="1" x14ac:dyDescent="0.2">
      <c r="A201" s="86"/>
      <c r="B201" s="19" t="s">
        <v>18</v>
      </c>
      <c r="C201" s="19"/>
      <c r="D201" s="197"/>
      <c r="E201" s="31"/>
      <c r="F201" s="31"/>
      <c r="G201" s="31"/>
      <c r="H201" s="31"/>
      <c r="I201" s="31"/>
      <c r="J201" s="31"/>
      <c r="K201" s="31"/>
      <c r="L201" s="22"/>
      <c r="M201" s="19"/>
      <c r="N201" s="31">
        <v>186</v>
      </c>
      <c r="O201" s="31">
        <v>364</v>
      </c>
      <c r="P201" s="31">
        <f>1009-399</f>
        <v>610</v>
      </c>
      <c r="Q201" s="31">
        <v>399</v>
      </c>
      <c r="R201" s="31">
        <v>47</v>
      </c>
      <c r="S201" s="31">
        <v>0</v>
      </c>
      <c r="T201" s="31">
        <v>218</v>
      </c>
      <c r="U201" s="31">
        <v>1009</v>
      </c>
      <c r="V201" s="31">
        <v>311</v>
      </c>
      <c r="W201" s="31"/>
      <c r="X201" s="31">
        <v>2007</v>
      </c>
      <c r="Y201" s="31">
        <v>17</v>
      </c>
      <c r="Z201" s="31">
        <v>233</v>
      </c>
      <c r="AA201" s="31">
        <v>46</v>
      </c>
      <c r="AB201" s="31">
        <v>1978</v>
      </c>
      <c r="AC201" s="31">
        <v>86</v>
      </c>
      <c r="AD201" s="31">
        <v>1226</v>
      </c>
      <c r="AE201" s="31">
        <v>1500</v>
      </c>
      <c r="AF201" s="31">
        <v>937</v>
      </c>
      <c r="AG201" s="31">
        <v>4470</v>
      </c>
      <c r="AH201" s="31">
        <v>94</v>
      </c>
      <c r="AI201" s="31">
        <v>270</v>
      </c>
      <c r="AJ201" s="31">
        <v>231</v>
      </c>
      <c r="AK201" s="31">
        <v>149</v>
      </c>
      <c r="AL201" s="31">
        <v>263</v>
      </c>
      <c r="AM201" s="31">
        <v>1173</v>
      </c>
      <c r="AN201" s="31">
        <v>0</v>
      </c>
      <c r="AO201" s="31">
        <v>322</v>
      </c>
      <c r="AP201" s="31">
        <v>0</v>
      </c>
      <c r="AQ201" s="31"/>
      <c r="AR201" s="31"/>
      <c r="AS201" s="31"/>
      <c r="AT201" s="31"/>
      <c r="AU201" s="31"/>
      <c r="AV201" s="31"/>
      <c r="AW201" s="31">
        <v>1360</v>
      </c>
      <c r="AX201" s="31"/>
      <c r="AY201" s="21">
        <f>SUM(N201:AW201)</f>
        <v>19506</v>
      </c>
      <c r="AZ201" s="31"/>
    </row>
    <row r="202" spans="1:52" ht="12.75" hidden="1" customHeight="1" x14ac:dyDescent="0.2">
      <c r="A202" s="199"/>
      <c r="B202" s="25"/>
      <c r="C202" s="25"/>
      <c r="D202" s="196"/>
      <c r="E202" s="67"/>
      <c r="F202" s="67"/>
      <c r="G202" s="67"/>
      <c r="H202" s="67"/>
      <c r="I202" s="67"/>
      <c r="J202" s="67"/>
      <c r="K202" s="67"/>
      <c r="L202" s="28"/>
      <c r="M202" s="19"/>
      <c r="N202" s="67"/>
      <c r="O202" s="67"/>
      <c r="P202" s="67"/>
      <c r="Q202" s="67"/>
      <c r="R202" s="67"/>
      <c r="S202" s="67"/>
      <c r="T202" s="67"/>
      <c r="U202" s="67"/>
      <c r="V202" s="67"/>
      <c r="W202" s="67"/>
      <c r="X202" s="67"/>
      <c r="Y202" s="67"/>
      <c r="Z202" s="67"/>
      <c r="AA202" s="67"/>
      <c r="AB202" s="67"/>
      <c r="AC202" s="67"/>
      <c r="AD202" s="67"/>
      <c r="AE202" s="67"/>
      <c r="AF202" s="67"/>
      <c r="AG202" s="67"/>
      <c r="AH202" s="67"/>
      <c r="AI202" s="67"/>
      <c r="AJ202" s="67"/>
      <c r="AK202" s="67"/>
      <c r="AL202" s="67"/>
      <c r="AM202" s="67"/>
      <c r="AN202" s="67"/>
      <c r="AO202" s="67"/>
      <c r="AP202" s="67"/>
      <c r="AQ202" s="67"/>
      <c r="AR202" s="67"/>
      <c r="AS202" s="67"/>
      <c r="AT202" s="67"/>
      <c r="AU202" s="67"/>
      <c r="AV202" s="67"/>
      <c r="AW202" s="67"/>
      <c r="AX202" s="67"/>
      <c r="AY202" s="67"/>
      <c r="AZ202" s="67"/>
    </row>
    <row r="203" spans="1:52" ht="12.75" hidden="1" customHeight="1" x14ac:dyDescent="0.2">
      <c r="A203" s="215" t="s">
        <v>323</v>
      </c>
      <c r="B203" s="25"/>
      <c r="C203" s="25"/>
      <c r="D203" s="196"/>
      <c r="E203" s="67"/>
      <c r="F203" s="67"/>
      <c r="G203" s="67"/>
      <c r="H203" s="67"/>
      <c r="I203" s="67"/>
      <c r="J203" s="67"/>
      <c r="K203" s="67"/>
      <c r="L203" s="28"/>
      <c r="M203" s="19"/>
      <c r="N203" s="67"/>
      <c r="O203" s="67"/>
      <c r="P203" s="67"/>
      <c r="Q203" s="67"/>
      <c r="R203" s="67"/>
      <c r="S203" s="67"/>
      <c r="T203" s="67"/>
      <c r="U203" s="67"/>
      <c r="V203" s="67"/>
      <c r="W203" s="67"/>
      <c r="X203" s="67"/>
      <c r="Y203" s="67"/>
      <c r="Z203" s="67"/>
      <c r="AA203" s="67"/>
      <c r="AB203" s="67"/>
      <c r="AC203" s="67"/>
      <c r="AD203" s="67"/>
      <c r="AE203" s="67"/>
      <c r="AF203" s="67"/>
      <c r="AG203" s="67"/>
      <c r="AH203" s="67"/>
      <c r="AI203" s="67"/>
      <c r="AJ203" s="67"/>
      <c r="AK203" s="67"/>
      <c r="AL203" s="67"/>
      <c r="AM203" s="67"/>
      <c r="AN203" s="67"/>
      <c r="AO203" s="67"/>
      <c r="AP203" s="67"/>
      <c r="AQ203" s="67"/>
      <c r="AR203" s="67"/>
      <c r="AS203" s="67"/>
      <c r="AT203" s="67"/>
      <c r="AU203" s="67"/>
      <c r="AV203" s="67"/>
      <c r="AW203" s="67"/>
      <c r="AX203" s="67"/>
      <c r="AY203" s="67"/>
      <c r="AZ203" s="67"/>
    </row>
    <row r="204" spans="1:52" s="216" customFormat="1" ht="12.75" hidden="1" customHeight="1" x14ac:dyDescent="0.2">
      <c r="A204" s="86"/>
      <c r="B204" s="19" t="s">
        <v>320</v>
      </c>
      <c r="C204" s="19"/>
      <c r="D204" s="197"/>
      <c r="E204" s="31"/>
      <c r="F204" s="31"/>
      <c r="G204" s="31"/>
      <c r="H204" s="31"/>
      <c r="I204" s="31"/>
      <c r="J204" s="31"/>
      <c r="K204" s="31"/>
      <c r="L204" s="22"/>
      <c r="M204" s="19"/>
      <c r="N204" s="217">
        <f t="shared" ref="N204:P207" si="35">+N198/$AY198</f>
        <v>7.402330363262509E-3</v>
      </c>
      <c r="O204" s="217">
        <f t="shared" si="35"/>
        <v>9.8697738176833447E-3</v>
      </c>
      <c r="P204" s="217">
        <f t="shared" si="35"/>
        <v>5.1405071967100757E-2</v>
      </c>
      <c r="Q204" s="217">
        <f>+Q198/$AY198</f>
        <v>0</v>
      </c>
      <c r="R204" s="217">
        <f t="shared" ref="R204:AO204" si="36">+R198/$AY198</f>
        <v>4.9348869088416724E-3</v>
      </c>
      <c r="S204" s="217">
        <f t="shared" si="36"/>
        <v>0</v>
      </c>
      <c r="T204" s="217">
        <f t="shared" si="36"/>
        <v>0</v>
      </c>
      <c r="U204" s="217">
        <f t="shared" si="36"/>
        <v>2.193283070596299E-2</v>
      </c>
      <c r="V204" s="217">
        <f t="shared" si="36"/>
        <v>3.3310486634681287E-2</v>
      </c>
      <c r="W204" s="217"/>
      <c r="X204" s="217">
        <f t="shared" si="36"/>
        <v>0.23276216586703222</v>
      </c>
      <c r="Y204" s="217">
        <f t="shared" si="36"/>
        <v>2.1932830705962986E-3</v>
      </c>
      <c r="Z204" s="217">
        <f t="shared" si="36"/>
        <v>9.5956134338588076E-4</v>
      </c>
      <c r="AA204" s="217">
        <f t="shared" si="36"/>
        <v>5.8944482522275531E-3</v>
      </c>
      <c r="AB204" s="217">
        <f t="shared" si="36"/>
        <v>1.3708019191226869E-3</v>
      </c>
      <c r="AC204" s="217">
        <f t="shared" si="36"/>
        <v>1.1788896504455106E-2</v>
      </c>
      <c r="AD204" s="217">
        <f t="shared" si="36"/>
        <v>0.11569568197395476</v>
      </c>
      <c r="AE204" s="217">
        <f t="shared" si="36"/>
        <v>9.8012337217272108E-2</v>
      </c>
      <c r="AF204" s="217">
        <f t="shared" si="36"/>
        <v>2.6045236463331047E-3</v>
      </c>
      <c r="AG204" s="217">
        <f t="shared" si="36"/>
        <v>2.2618231665524333E-2</v>
      </c>
      <c r="AH204" s="217">
        <f t="shared" si="36"/>
        <v>1.2885538039753256E-2</v>
      </c>
      <c r="AI204" s="217">
        <f t="shared" si="36"/>
        <v>8.9102124742974648E-3</v>
      </c>
      <c r="AJ204" s="217">
        <f t="shared" si="36"/>
        <v>6.1686086360520902E-3</v>
      </c>
      <c r="AK204" s="217">
        <f t="shared" si="36"/>
        <v>1.5490061686086361E-2</v>
      </c>
      <c r="AL204" s="217">
        <f t="shared" si="36"/>
        <v>2.892392049348869E-2</v>
      </c>
      <c r="AM204" s="217">
        <f t="shared" si="36"/>
        <v>0.11871144619602468</v>
      </c>
      <c r="AN204" s="217">
        <f t="shared" si="36"/>
        <v>0</v>
      </c>
      <c r="AO204" s="217">
        <f t="shared" si="36"/>
        <v>3.1939684715558601E-2</v>
      </c>
      <c r="AP204" s="217">
        <f>+AP198/$AY198</f>
        <v>0</v>
      </c>
      <c r="AQ204" s="217"/>
      <c r="AR204" s="217"/>
      <c r="AS204" s="217"/>
      <c r="AT204" s="217"/>
      <c r="AU204" s="217"/>
      <c r="AV204" s="217"/>
      <c r="AW204" s="217">
        <f t="shared" ref="AW204:AY207" si="37">+AW198/$AY198</f>
        <v>0.15421521590130227</v>
      </c>
      <c r="AX204" s="217"/>
      <c r="AY204" s="217">
        <f t="shared" si="37"/>
        <v>1</v>
      </c>
      <c r="AZ204" s="31"/>
    </row>
    <row r="205" spans="1:52" s="216" customFormat="1" ht="12.75" hidden="1" customHeight="1" x14ac:dyDescent="0.2">
      <c r="A205" s="86"/>
      <c r="B205" s="19" t="s">
        <v>321</v>
      </c>
      <c r="C205" s="19"/>
      <c r="D205" s="197"/>
      <c r="E205" s="31"/>
      <c r="F205" s="31"/>
      <c r="G205" s="31"/>
      <c r="H205" s="31"/>
      <c r="I205" s="31"/>
      <c r="J205" s="31"/>
      <c r="K205" s="31"/>
      <c r="L205" s="22"/>
      <c r="M205" s="19"/>
      <c r="N205" s="217">
        <f t="shared" si="35"/>
        <v>1.682496607869742E-2</v>
      </c>
      <c r="O205" s="217">
        <f t="shared" si="35"/>
        <v>3.1931252826775218E-2</v>
      </c>
      <c r="P205" s="217">
        <f t="shared" si="35"/>
        <v>3.3921302578018994E-2</v>
      </c>
      <c r="Q205" s="217">
        <f>+Q199/$AY199</f>
        <v>3.6092265943012208E-2</v>
      </c>
      <c r="R205" s="217">
        <f t="shared" ref="R205:AO205" si="38">+R199/$AY199</f>
        <v>3.2564450474898234E-3</v>
      </c>
      <c r="S205" s="217">
        <f t="shared" si="38"/>
        <v>0</v>
      </c>
      <c r="T205" s="217">
        <f t="shared" si="38"/>
        <v>1.9719583898688376E-2</v>
      </c>
      <c r="U205" s="217">
        <f t="shared" si="38"/>
        <v>8.991406603346902E-2</v>
      </c>
      <c r="V205" s="217">
        <f t="shared" si="38"/>
        <v>2.4151967435549523E-2</v>
      </c>
      <c r="W205" s="217"/>
      <c r="X205" s="217">
        <f t="shared" si="38"/>
        <v>0.16580732700135686</v>
      </c>
      <c r="Y205" s="217">
        <f t="shared" si="38"/>
        <v>1.5377657168701945E-3</v>
      </c>
      <c r="Z205" s="217">
        <f t="shared" si="38"/>
        <v>1.1578471279963818E-2</v>
      </c>
      <c r="AA205" s="217">
        <f t="shared" si="38"/>
        <v>4.0705563093622792E-3</v>
      </c>
      <c r="AB205" s="217">
        <f t="shared" si="38"/>
        <v>9.0456806874717323E-4</v>
      </c>
      <c r="AC205" s="217">
        <f t="shared" si="38"/>
        <v>7.7792853912256894E-3</v>
      </c>
      <c r="AD205" s="217">
        <f t="shared" si="38"/>
        <v>0.11062867480777928</v>
      </c>
      <c r="AE205" s="217">
        <f t="shared" si="38"/>
        <v>0.12211668928086838</v>
      </c>
      <c r="AF205" s="217">
        <f t="shared" si="38"/>
        <v>4.0615106286748075E-2</v>
      </c>
      <c r="AG205" s="217">
        <f t="shared" si="38"/>
        <v>1.4925373134328358E-2</v>
      </c>
      <c r="AH205" s="217">
        <f t="shared" si="38"/>
        <v>8.5029398462234292E-3</v>
      </c>
      <c r="AI205" s="217">
        <f t="shared" si="38"/>
        <v>5.8796924468566261E-3</v>
      </c>
      <c r="AJ205" s="217">
        <f t="shared" si="38"/>
        <v>4.0705563093622792E-3</v>
      </c>
      <c r="AK205" s="217">
        <f t="shared" si="38"/>
        <v>1.0221619176843057E-2</v>
      </c>
      <c r="AL205" s="217">
        <f t="shared" si="38"/>
        <v>1.9086386250565354E-2</v>
      </c>
      <c r="AM205" s="217">
        <f t="shared" si="38"/>
        <v>7.8697421981004073E-2</v>
      </c>
      <c r="AN205" s="217">
        <f t="shared" si="38"/>
        <v>0</v>
      </c>
      <c r="AO205" s="217">
        <f t="shared" si="38"/>
        <v>2.161917684305744E-2</v>
      </c>
      <c r="AP205" s="217">
        <f>+AP199/$AY199</f>
        <v>0</v>
      </c>
      <c r="AQ205" s="217"/>
      <c r="AR205" s="217"/>
      <c r="AS205" s="217"/>
      <c r="AT205" s="217"/>
      <c r="AU205" s="217"/>
      <c r="AV205" s="217"/>
      <c r="AW205" s="217">
        <f t="shared" si="37"/>
        <v>0.11614654002713704</v>
      </c>
      <c r="AX205" s="217"/>
      <c r="AY205" s="217">
        <f t="shared" si="37"/>
        <v>1</v>
      </c>
      <c r="AZ205" s="31"/>
    </row>
    <row r="206" spans="1:52" s="216" customFormat="1" ht="12.75" hidden="1" customHeight="1" x14ac:dyDescent="0.2">
      <c r="A206" s="86"/>
      <c r="B206" s="19" t="s">
        <v>322</v>
      </c>
      <c r="C206" s="19"/>
      <c r="D206" s="197"/>
      <c r="E206" s="31"/>
      <c r="F206" s="31"/>
      <c r="G206" s="31"/>
      <c r="H206" s="31"/>
      <c r="I206" s="31"/>
      <c r="J206" s="31"/>
      <c r="K206" s="31"/>
      <c r="L206" s="22"/>
      <c r="M206" s="19"/>
      <c r="N206" s="217">
        <f t="shared" si="35"/>
        <v>1.6639828234031134E-2</v>
      </c>
      <c r="O206" s="217">
        <f t="shared" si="35"/>
        <v>3.157988906781177E-2</v>
      </c>
      <c r="P206" s="217">
        <f t="shared" si="35"/>
        <v>3.8021112900339951E-2</v>
      </c>
      <c r="Q206" s="217">
        <f>+Q200/$AY200</f>
        <v>3.5695115405260332E-2</v>
      </c>
      <c r="R206" s="217">
        <f t="shared" ref="R206:AO206" si="39">+R200/$AY200</f>
        <v>3.2206119162640902E-3</v>
      </c>
      <c r="S206" s="217">
        <f t="shared" si="39"/>
        <v>0</v>
      </c>
      <c r="T206" s="217">
        <f t="shared" si="39"/>
        <v>1.9502594381821434E-2</v>
      </c>
      <c r="U206" s="217">
        <f t="shared" si="39"/>
        <v>8.8924673465736265E-2</v>
      </c>
      <c r="V206" s="217">
        <f t="shared" si="39"/>
        <v>2.3886205045625334E-2</v>
      </c>
      <c r="W206" s="217"/>
      <c r="X206" s="217">
        <f t="shared" si="39"/>
        <v>0.16398282340311326</v>
      </c>
      <c r="Y206" s="217">
        <f t="shared" si="39"/>
        <v>1.5208445160135981E-3</v>
      </c>
      <c r="Z206" s="217">
        <f t="shared" si="39"/>
        <v>1.1451064591161209E-2</v>
      </c>
      <c r="AA206" s="217">
        <f t="shared" si="39"/>
        <v>4.0257648953301124E-3</v>
      </c>
      <c r="AB206" s="217">
        <f t="shared" si="39"/>
        <v>8.9461442118446953E-4</v>
      </c>
      <c r="AC206" s="217">
        <f t="shared" si="39"/>
        <v>7.6936840221864377E-3</v>
      </c>
      <c r="AD206" s="217">
        <f t="shared" si="39"/>
        <v>0.10941134371086061</v>
      </c>
      <c r="AE206" s="217">
        <f t="shared" si="39"/>
        <v>0.12077294685990338</v>
      </c>
      <c r="AF206" s="217">
        <f t="shared" si="39"/>
        <v>4.0615494721774913E-2</v>
      </c>
      <c r="AG206" s="217">
        <f t="shared" si="39"/>
        <v>1.4761137949543746E-2</v>
      </c>
      <c r="AH206" s="217">
        <f t="shared" si="39"/>
        <v>8.4093755591340136E-3</v>
      </c>
      <c r="AI206" s="217">
        <f t="shared" si="39"/>
        <v>8.0515297906602248E-3</v>
      </c>
      <c r="AJ206" s="217">
        <f t="shared" si="39"/>
        <v>4.9203793165145818E-3</v>
      </c>
      <c r="AK206" s="217">
        <f t="shared" si="39"/>
        <v>1.1272141706924315E-2</v>
      </c>
      <c r="AL206" s="217">
        <f t="shared" si="39"/>
        <v>2.048667024512435E-2</v>
      </c>
      <c r="AM206" s="217">
        <f t="shared" si="39"/>
        <v>7.7831454643048845E-2</v>
      </c>
      <c r="AN206" s="217">
        <f t="shared" si="39"/>
        <v>0</v>
      </c>
      <c r="AO206" s="217">
        <f t="shared" si="39"/>
        <v>2.1381284666308821E-2</v>
      </c>
      <c r="AP206" s="217">
        <f>+AP200/$AY200</f>
        <v>0</v>
      </c>
      <c r="AQ206" s="217"/>
      <c r="AR206" s="217"/>
      <c r="AS206" s="217"/>
      <c r="AT206" s="217"/>
      <c r="AU206" s="217"/>
      <c r="AV206" s="217"/>
      <c r="AW206" s="217">
        <f t="shared" si="37"/>
        <v>0.11504741456432278</v>
      </c>
      <c r="AX206" s="217"/>
      <c r="AY206" s="217">
        <f t="shared" si="37"/>
        <v>1</v>
      </c>
      <c r="AZ206" s="31"/>
    </row>
    <row r="207" spans="1:52" s="216" customFormat="1" ht="12.75" hidden="1" customHeight="1" x14ac:dyDescent="0.2">
      <c r="A207" s="86"/>
      <c r="B207" s="19" t="s">
        <v>18</v>
      </c>
      <c r="C207" s="19"/>
      <c r="D207" s="197"/>
      <c r="E207" s="31"/>
      <c r="F207" s="31"/>
      <c r="G207" s="31"/>
      <c r="H207" s="31"/>
      <c r="I207" s="31"/>
      <c r="J207" s="31"/>
      <c r="K207" s="31"/>
      <c r="L207" s="22"/>
      <c r="M207" s="19"/>
      <c r="N207" s="217">
        <f t="shared" si="35"/>
        <v>9.535527529990772E-3</v>
      </c>
      <c r="O207" s="217">
        <f t="shared" si="35"/>
        <v>1.8660924843637856E-2</v>
      </c>
      <c r="P207" s="217">
        <f t="shared" si="35"/>
        <v>3.1272428996206296E-2</v>
      </c>
      <c r="Q207" s="217">
        <f>+Q201/$AY201</f>
        <v>2.0455244540141495E-2</v>
      </c>
      <c r="R207" s="217">
        <f t="shared" ref="R207:AO207" si="40">+R201/$AY201</f>
        <v>2.4095150210191735E-3</v>
      </c>
      <c r="S207" s="217">
        <f t="shared" si="40"/>
        <v>0</v>
      </c>
      <c r="T207" s="217">
        <f t="shared" si="40"/>
        <v>1.1176048395365528E-2</v>
      </c>
      <c r="U207" s="217">
        <f t="shared" si="40"/>
        <v>5.1727673536347787E-2</v>
      </c>
      <c r="V207" s="217">
        <f t="shared" si="40"/>
        <v>1.5943812160360914E-2</v>
      </c>
      <c r="W207" s="217"/>
      <c r="X207" s="217">
        <f t="shared" si="40"/>
        <v>0.102891418025223</v>
      </c>
      <c r="Y207" s="217">
        <f t="shared" si="40"/>
        <v>8.7152670973033935E-4</v>
      </c>
      <c r="Z207" s="217">
        <f t="shared" si="40"/>
        <v>1.1945042551009945E-2</v>
      </c>
      <c r="AA207" s="217">
        <f t="shared" si="40"/>
        <v>2.3582487439762125E-3</v>
      </c>
      <c r="AB207" s="217">
        <f t="shared" si="40"/>
        <v>0.10140469599097714</v>
      </c>
      <c r="AC207" s="217">
        <f t="shared" si="40"/>
        <v>4.4088998256946585E-3</v>
      </c>
      <c r="AD207" s="217">
        <f t="shared" si="40"/>
        <v>6.2852455654670361E-2</v>
      </c>
      <c r="AE207" s="217">
        <f t="shared" si="40"/>
        <v>7.6899415564441714E-2</v>
      </c>
      <c r="AF207" s="217">
        <f t="shared" si="40"/>
        <v>4.8036501589254585E-2</v>
      </c>
      <c r="AG207" s="217">
        <f t="shared" si="40"/>
        <v>0.2291602583820363</v>
      </c>
      <c r="AH207" s="217">
        <f t="shared" si="40"/>
        <v>4.819030042038347E-3</v>
      </c>
      <c r="AI207" s="217">
        <f t="shared" si="40"/>
        <v>1.3841894801599508E-2</v>
      </c>
      <c r="AJ207" s="217">
        <f t="shared" si="40"/>
        <v>1.1842509996924024E-2</v>
      </c>
      <c r="AK207" s="217">
        <f t="shared" si="40"/>
        <v>7.6386752794012098E-3</v>
      </c>
      <c r="AL207" s="217">
        <f t="shared" si="40"/>
        <v>1.3483030862298779E-2</v>
      </c>
      <c r="AM207" s="217">
        <f t="shared" si="40"/>
        <v>6.0135342971393418E-2</v>
      </c>
      <c r="AN207" s="217">
        <f t="shared" si="40"/>
        <v>0</v>
      </c>
      <c r="AO207" s="217">
        <f t="shared" si="40"/>
        <v>1.6507741207833486E-2</v>
      </c>
      <c r="AP207" s="217">
        <f>+AP201/$AY201</f>
        <v>0</v>
      </c>
      <c r="AQ207" s="217"/>
      <c r="AR207" s="217"/>
      <c r="AS207" s="217"/>
      <c r="AT207" s="217"/>
      <c r="AU207" s="217"/>
      <c r="AV207" s="217"/>
      <c r="AW207" s="217">
        <f t="shared" si="37"/>
        <v>6.9722136778427146E-2</v>
      </c>
      <c r="AX207" s="217"/>
      <c r="AY207" s="217">
        <f t="shared" si="37"/>
        <v>1</v>
      </c>
      <c r="AZ207" s="31"/>
    </row>
    <row r="208" spans="1:52" ht="12.75" hidden="1" customHeight="1" x14ac:dyDescent="0.2">
      <c r="A208" s="199"/>
      <c r="B208" s="25"/>
      <c r="C208" s="25"/>
      <c r="D208" s="196"/>
      <c r="E208" s="67"/>
      <c r="F208" s="67"/>
      <c r="G208" s="67"/>
      <c r="H208" s="67"/>
      <c r="I208" s="67"/>
      <c r="J208" s="67"/>
      <c r="K208" s="67"/>
      <c r="L208" s="28"/>
      <c r="M208" s="19"/>
      <c r="N208" s="217"/>
      <c r="O208" s="67"/>
      <c r="P208" s="67"/>
      <c r="Q208" s="67"/>
      <c r="R208" s="67"/>
      <c r="S208" s="67"/>
      <c r="T208" s="67"/>
      <c r="U208" s="67"/>
      <c r="V208" s="67"/>
      <c r="W208" s="67"/>
      <c r="X208" s="67"/>
      <c r="Y208" s="67"/>
      <c r="Z208" s="67"/>
      <c r="AA208" s="67"/>
      <c r="AB208" s="67"/>
      <c r="AC208" s="67"/>
      <c r="AD208" s="67"/>
      <c r="AE208" s="67"/>
      <c r="AF208" s="67"/>
      <c r="AG208" s="67"/>
      <c r="AH208" s="67"/>
      <c r="AI208" s="67"/>
      <c r="AJ208" s="67"/>
      <c r="AK208" s="67"/>
      <c r="AL208" s="67"/>
      <c r="AM208" s="67"/>
      <c r="AN208" s="67"/>
      <c r="AO208" s="67"/>
      <c r="AP208" s="67"/>
      <c r="AQ208" s="67"/>
      <c r="AR208" s="67"/>
      <c r="AS208" s="67"/>
      <c r="AT208" s="67"/>
      <c r="AU208" s="67"/>
      <c r="AV208" s="67"/>
      <c r="AW208" s="67"/>
      <c r="AX208" s="67"/>
      <c r="AY208" s="67"/>
      <c r="AZ208" s="67"/>
    </row>
    <row r="209" spans="1:52" ht="12.75" hidden="1" customHeight="1" x14ac:dyDescent="0.2">
      <c r="A209" s="251" t="s">
        <v>491</v>
      </c>
      <c r="B209" s="252"/>
      <c r="C209" s="252"/>
      <c r="D209" s="253"/>
      <c r="E209" s="254"/>
      <c r="F209" s="67"/>
      <c r="G209" s="67"/>
      <c r="H209" s="67"/>
      <c r="O209" s="67"/>
      <c r="P209" s="67"/>
      <c r="Q209" s="67"/>
      <c r="R209" s="67"/>
      <c r="S209" s="67"/>
      <c r="T209" s="67"/>
      <c r="U209" s="67"/>
      <c r="V209" s="67"/>
      <c r="W209" s="67"/>
      <c r="X209" s="67"/>
      <c r="Y209" s="67"/>
      <c r="Z209" s="67"/>
      <c r="AA209" s="67"/>
      <c r="AB209" s="67"/>
      <c r="AC209" s="67"/>
      <c r="AD209" s="67"/>
      <c r="AE209" s="67"/>
      <c r="AF209" s="67"/>
      <c r="AG209" s="67"/>
      <c r="AH209" s="67"/>
      <c r="AI209" s="67"/>
      <c r="AJ209" s="67"/>
      <c r="AK209" s="67"/>
      <c r="AL209" s="67"/>
      <c r="AM209" s="67"/>
      <c r="AN209" s="67"/>
      <c r="AO209" s="67"/>
      <c r="AP209" s="67"/>
      <c r="AQ209" s="67"/>
      <c r="AR209" s="67"/>
      <c r="AS209" s="67"/>
      <c r="AT209" s="67"/>
      <c r="AU209" s="67"/>
      <c r="AV209" s="67"/>
      <c r="AW209" s="67"/>
      <c r="AX209" s="67"/>
      <c r="AY209" s="67"/>
      <c r="AZ209" s="67"/>
    </row>
    <row r="210" spans="1:52" ht="12.75" hidden="1" customHeight="1" x14ac:dyDescent="0.2">
      <c r="A210" s="255"/>
      <c r="B210" s="252" t="s">
        <v>482</v>
      </c>
      <c r="C210" s="252"/>
      <c r="D210" s="253"/>
      <c r="E210" s="254"/>
      <c r="F210" s="67"/>
      <c r="G210" s="67"/>
      <c r="H210" s="67"/>
      <c r="O210" s="67"/>
      <c r="P210" s="67"/>
      <c r="Q210" s="67"/>
      <c r="R210" s="67"/>
      <c r="S210" s="67"/>
      <c r="T210" s="67"/>
      <c r="U210" s="67"/>
      <c r="V210" s="67"/>
      <c r="W210" s="67"/>
      <c r="X210" s="67"/>
      <c r="Y210" s="67"/>
      <c r="Z210" s="67"/>
      <c r="AA210" s="67"/>
      <c r="AB210" s="67"/>
      <c r="AC210" s="67"/>
      <c r="AD210" s="67"/>
      <c r="AE210" s="67"/>
      <c r="AF210" s="67"/>
      <c r="AG210" s="67"/>
      <c r="AH210" s="67"/>
      <c r="AI210" s="67"/>
      <c r="AJ210" s="67"/>
      <c r="AK210" s="67"/>
      <c r="AL210" s="67"/>
      <c r="AM210" s="67"/>
      <c r="AN210" s="67"/>
      <c r="AO210" s="67"/>
      <c r="AP210" s="67"/>
      <c r="AQ210" s="67"/>
      <c r="AR210" s="67"/>
      <c r="AS210" s="67"/>
      <c r="AT210" s="67"/>
      <c r="AU210" s="67"/>
      <c r="AV210" s="67"/>
      <c r="AW210" s="67"/>
      <c r="AX210" s="67"/>
      <c r="AY210" s="67"/>
      <c r="AZ210" s="67"/>
    </row>
    <row r="211" spans="1:52" ht="12.75" hidden="1" customHeight="1" x14ac:dyDescent="0.2">
      <c r="A211" s="255"/>
      <c r="B211" s="252" t="s">
        <v>355</v>
      </c>
      <c r="C211" s="252"/>
      <c r="D211" s="253"/>
      <c r="E211" s="254"/>
      <c r="F211" s="67"/>
      <c r="G211" s="67"/>
      <c r="H211" s="67"/>
      <c r="O211" s="67"/>
      <c r="P211" s="67"/>
      <c r="Q211" s="67"/>
      <c r="R211" s="67"/>
      <c r="S211" s="67"/>
      <c r="T211" s="67"/>
      <c r="U211" s="67"/>
      <c r="V211" s="67"/>
      <c r="W211" s="67"/>
      <c r="X211" s="67"/>
      <c r="Y211" s="67"/>
      <c r="Z211" s="67"/>
      <c r="AA211" s="67"/>
      <c r="AB211" s="67"/>
      <c r="AC211" s="67"/>
      <c r="AD211" s="67"/>
      <c r="AE211" s="67"/>
      <c r="AF211" s="67"/>
      <c r="AG211" s="67"/>
      <c r="AH211" s="67"/>
      <c r="AI211" s="67"/>
      <c r="AJ211" s="67"/>
      <c r="AK211" s="67"/>
      <c r="AL211" s="67"/>
      <c r="AM211" s="67"/>
      <c r="AN211" s="67"/>
      <c r="AO211" s="67"/>
      <c r="AP211" s="67"/>
      <c r="AQ211" s="67"/>
      <c r="AR211" s="67"/>
      <c r="AS211" s="67"/>
      <c r="AT211" s="67"/>
      <c r="AU211" s="67"/>
      <c r="AV211" s="67"/>
      <c r="AW211" s="67"/>
      <c r="AX211" s="67"/>
      <c r="AY211" s="67"/>
      <c r="AZ211" s="67"/>
    </row>
    <row r="212" spans="1:52" ht="12.75" hidden="1" customHeight="1" x14ac:dyDescent="0.2">
      <c r="A212" s="199"/>
      <c r="B212" s="25"/>
      <c r="C212" s="25"/>
      <c r="D212" s="196"/>
      <c r="E212" s="67"/>
      <c r="F212" s="67"/>
      <c r="G212" s="67"/>
      <c r="H212" s="67"/>
      <c r="I212" s="67"/>
      <c r="J212" s="67"/>
      <c r="K212" s="67"/>
      <c r="L212" s="28"/>
      <c r="M212" s="19"/>
      <c r="N212" s="67"/>
      <c r="O212" s="67"/>
      <c r="P212" s="67"/>
      <c r="Q212" s="67"/>
      <c r="R212" s="67"/>
      <c r="S212" s="67"/>
      <c r="T212" s="67"/>
      <c r="U212" s="67"/>
      <c r="V212" s="67"/>
      <c r="W212" s="67"/>
      <c r="X212" s="67"/>
      <c r="Y212" s="67"/>
      <c r="Z212" s="67"/>
      <c r="AA212" s="67"/>
      <c r="AB212" s="67"/>
      <c r="AC212" s="67"/>
      <c r="AD212" s="67"/>
      <c r="AE212" s="67"/>
      <c r="AF212" s="67"/>
      <c r="AG212" s="67"/>
      <c r="AH212" s="67"/>
      <c r="AI212" s="67"/>
      <c r="AJ212" s="67"/>
      <c r="AK212" s="67"/>
      <c r="AL212" s="67"/>
      <c r="AM212" s="67"/>
      <c r="AN212" s="67"/>
      <c r="AO212" s="67"/>
      <c r="AP212" s="67"/>
      <c r="AQ212" s="67"/>
      <c r="AR212" s="67"/>
      <c r="AS212" s="67"/>
      <c r="AT212" s="67"/>
      <c r="AU212" s="67"/>
      <c r="AV212" s="67"/>
      <c r="AW212" s="67"/>
      <c r="AX212" s="67"/>
      <c r="AY212" s="67"/>
      <c r="AZ212" s="67"/>
    </row>
    <row r="213" spans="1:52" ht="12.75" hidden="1" customHeight="1" x14ac:dyDescent="0.2">
      <c r="A213" s="268" t="s">
        <v>490</v>
      </c>
      <c r="B213" s="269"/>
      <c r="C213" s="269"/>
      <c r="D213" s="269"/>
      <c r="E213" s="269"/>
      <c r="F213" s="256"/>
      <c r="G213" s="67"/>
      <c r="H213" s="67"/>
      <c r="I213" s="67"/>
      <c r="J213" s="67"/>
      <c r="K213" s="67"/>
      <c r="L213" s="28"/>
      <c r="M213" s="19"/>
      <c r="N213" s="67"/>
      <c r="O213" s="67"/>
      <c r="P213" s="67"/>
      <c r="Q213" s="67"/>
      <c r="R213" s="67"/>
      <c r="S213" s="67"/>
      <c r="T213" s="67"/>
      <c r="U213" s="67"/>
      <c r="V213" s="67"/>
      <c r="W213" s="67"/>
      <c r="X213" s="67"/>
      <c r="Y213" s="67"/>
      <c r="Z213" s="67"/>
      <c r="AA213" s="67"/>
      <c r="AB213" s="67"/>
      <c r="AC213" s="67"/>
      <c r="AD213" s="67"/>
      <c r="AE213" s="67"/>
      <c r="AF213" s="67"/>
      <c r="AG213" s="67"/>
      <c r="AH213" s="67"/>
      <c r="AI213" s="67"/>
      <c r="AJ213" s="67"/>
      <c r="AK213" s="67"/>
      <c r="AL213" s="67"/>
      <c r="AM213" s="67"/>
      <c r="AN213" s="67"/>
      <c r="AO213" s="67"/>
      <c r="AP213" s="67"/>
      <c r="AQ213" s="67"/>
      <c r="AR213" s="67"/>
      <c r="AS213" s="67"/>
      <c r="AT213" s="67"/>
      <c r="AU213" s="67"/>
      <c r="AV213" s="67"/>
      <c r="AW213" s="67"/>
      <c r="AX213" s="67"/>
      <c r="AY213" s="67"/>
      <c r="AZ213" s="67"/>
    </row>
    <row r="214" spans="1:52" ht="12.75" hidden="1" customHeight="1" x14ac:dyDescent="0.2">
      <c r="A214" s="269"/>
      <c r="B214" s="269"/>
      <c r="C214" s="269"/>
      <c r="D214" s="269"/>
      <c r="E214" s="269"/>
      <c r="F214" s="256"/>
      <c r="G214" s="67"/>
      <c r="H214" s="67"/>
      <c r="I214" s="67"/>
      <c r="J214" s="67"/>
      <c r="K214" s="67"/>
      <c r="L214" s="28"/>
      <c r="M214" s="19"/>
      <c r="N214" s="67"/>
      <c r="O214" s="67"/>
      <c r="P214" s="67"/>
      <c r="Q214" s="67"/>
      <c r="R214" s="67"/>
      <c r="S214" s="67"/>
      <c r="T214" s="67"/>
      <c r="U214" s="67"/>
      <c r="V214" s="67"/>
      <c r="W214" s="67"/>
      <c r="X214" s="67"/>
      <c r="Y214" s="67"/>
      <c r="Z214" s="67"/>
      <c r="AA214" s="67"/>
      <c r="AB214" s="67"/>
      <c r="AC214" s="67"/>
      <c r="AD214" s="67"/>
      <c r="AE214" s="67"/>
      <c r="AF214" s="67"/>
      <c r="AG214" s="67"/>
      <c r="AH214" s="67"/>
      <c r="AI214" s="67"/>
      <c r="AJ214" s="67"/>
      <c r="AK214" s="67"/>
      <c r="AL214" s="67"/>
      <c r="AM214" s="67"/>
      <c r="AN214" s="67"/>
      <c r="AO214" s="67"/>
      <c r="AP214" s="67"/>
      <c r="AQ214" s="67"/>
      <c r="AR214" s="67"/>
      <c r="AS214" s="67"/>
      <c r="AT214" s="67"/>
      <c r="AU214" s="67"/>
      <c r="AV214" s="67"/>
      <c r="AW214" s="67"/>
      <c r="AX214" s="67"/>
      <c r="AY214" s="67"/>
      <c r="AZ214" s="67"/>
    </row>
    <row r="215" spans="1:52" ht="12.75" hidden="1" customHeight="1" x14ac:dyDescent="0.2">
      <c r="A215" s="269"/>
      <c r="B215" s="269"/>
      <c r="C215" s="269"/>
      <c r="D215" s="269"/>
      <c r="E215" s="269"/>
      <c r="F215" s="256"/>
    </row>
    <row r="216" spans="1:52" ht="12.75" hidden="1" customHeight="1" x14ac:dyDescent="0.2">
      <c r="A216" s="199"/>
      <c r="B216" s="25"/>
      <c r="C216" s="25"/>
      <c r="D216" s="196"/>
      <c r="E216" s="67"/>
      <c r="F216" s="67"/>
    </row>
    <row r="217" spans="1:52" hidden="1" x14ac:dyDescent="0.2">
      <c r="A217" s="159"/>
      <c r="B217" s="3"/>
    </row>
    <row r="218" spans="1:52" hidden="1" x14ac:dyDescent="0.2">
      <c r="A218" s="230" t="str">
        <f ca="1">CELL("filename",A1)</f>
        <v>O:\Corporate\GPGFin\Cfp\0103Plan\Corp\Allocations\[CORP_2001_ALLOC_5.xls]CCs # Master</v>
      </c>
    </row>
    <row r="219" spans="1:52" hidden="1" x14ac:dyDescent="0.2">
      <c r="B219" s="79"/>
    </row>
    <row r="220" spans="1:52" hidden="1" x14ac:dyDescent="0.2">
      <c r="B220" s="3"/>
    </row>
  </sheetData>
  <mergeCells count="1">
    <mergeCell ref="A213:E215"/>
  </mergeCells>
  <printOptions headings="1"/>
  <pageMargins left="0" right="0" top="0.25" bottom="0" header="0.5" footer="0.5"/>
  <pageSetup paperSize="5" scale="57" fitToWidth="9" fitToHeight="3" orientation="landscape" horizont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BH287"/>
  <sheetViews>
    <sheetView tabSelected="1" zoomScaleNormal="100" workbookViewId="0">
      <pane xSplit="4" ySplit="7" topLeftCell="E8" activePane="bottomRight" state="frozen"/>
      <selection pane="topRight" activeCell="E1" sqref="E1"/>
      <selection pane="bottomLeft" activeCell="A8" sqref="A8"/>
      <selection pane="bottomRight" activeCell="E8" sqref="E8"/>
    </sheetView>
  </sheetViews>
  <sheetFormatPr defaultRowHeight="12.95" customHeight="1" x14ac:dyDescent="0.2"/>
  <cols>
    <col min="1" max="1" width="4.85546875" style="83" customWidth="1"/>
    <col min="2" max="2" width="32.85546875" style="1" customWidth="1"/>
    <col min="3" max="3" width="20.7109375" style="1" customWidth="1"/>
    <col min="4" max="4" width="11.7109375" style="203" customWidth="1"/>
    <col min="5" max="10" width="8.7109375" style="1" customWidth="1"/>
    <col min="11" max="11" width="8.7109375" style="2" customWidth="1"/>
    <col min="12" max="12" width="2" style="1" customWidth="1"/>
    <col min="13" max="13" width="31.5703125" style="5" customWidth="1"/>
    <col min="14" max="17" width="8.7109375" style="8" customWidth="1"/>
    <col min="18" max="21" width="8.28515625" style="8" customWidth="1"/>
    <col min="22" max="33" width="8.7109375" style="8" customWidth="1"/>
    <col min="34" max="34" width="10.28515625" style="8" customWidth="1"/>
    <col min="35" max="42" width="8.7109375" style="8" customWidth="1"/>
    <col min="43" max="43" width="12.42578125" style="8" customWidth="1"/>
    <col min="44" max="44" width="8.5703125" style="8" customWidth="1"/>
    <col min="45" max="48" width="10" style="8" customWidth="1"/>
    <col min="49" max="51" width="8.7109375" style="8" customWidth="1"/>
    <col min="52" max="55" width="9.140625" style="5"/>
    <col min="56" max="56" width="1.7109375" customWidth="1"/>
    <col min="57" max="57" width="9.140625" style="5"/>
    <col min="58" max="58" width="1.7109375" style="5" hidden="1" customWidth="1"/>
    <col min="59" max="59" width="0" style="231" hidden="1" customWidth="1"/>
    <col min="60" max="61" width="0" style="5" hidden="1" customWidth="1"/>
    <col min="62" max="16384" width="9.140625" style="5"/>
  </cols>
  <sheetData>
    <row r="1" spans="1:60" ht="12.95" customHeight="1" x14ac:dyDescent="0.2">
      <c r="B1" s="3" t="s">
        <v>3</v>
      </c>
      <c r="J1" s="2"/>
      <c r="AW1"/>
    </row>
    <row r="2" spans="1:60" ht="12.95" customHeight="1" x14ac:dyDescent="0.2">
      <c r="B2" s="3" t="s">
        <v>4</v>
      </c>
      <c r="J2" s="2"/>
      <c r="AW2"/>
    </row>
    <row r="3" spans="1:60" ht="12.95" customHeight="1" x14ac:dyDescent="0.2">
      <c r="B3" s="3" t="s">
        <v>364</v>
      </c>
      <c r="AW3"/>
    </row>
    <row r="4" spans="1:60" ht="12.95" customHeight="1" x14ac:dyDescent="0.2">
      <c r="B4" s="2" t="s">
        <v>5</v>
      </c>
      <c r="AW4"/>
    </row>
    <row r="5" spans="1:60" ht="12.75" customHeight="1" x14ac:dyDescent="0.2">
      <c r="A5" s="5"/>
      <c r="B5" s="78"/>
      <c r="E5" s="11"/>
      <c r="F5" s="11"/>
      <c r="G5" s="11"/>
      <c r="H5" s="11"/>
      <c r="I5" s="11"/>
      <c r="J5" s="11"/>
      <c r="K5" s="11"/>
      <c r="M5" s="13"/>
      <c r="N5" s="34" t="str">
        <f>+'CCs # Master'!AW6</f>
        <v>0011</v>
      </c>
      <c r="O5" s="34" t="str">
        <f>'CCs # Master'!AX6</f>
        <v>0011</v>
      </c>
      <c r="P5" s="34" t="str">
        <f>+'CCs # Master'!N6</f>
        <v>0060</v>
      </c>
      <c r="Q5" s="34" t="str">
        <f>+'CCs # Master'!O6</f>
        <v>0062</v>
      </c>
      <c r="R5" s="34" t="str">
        <f>+'CCs # Master'!P6</f>
        <v>0082</v>
      </c>
      <c r="S5" s="34" t="s">
        <v>514</v>
      </c>
      <c r="T5" s="34" t="str">
        <f>+'CCs # Master'!R6</f>
        <v>0085</v>
      </c>
      <c r="U5" s="34" t="str">
        <f>+'CCs # Master'!S6</f>
        <v>0105</v>
      </c>
      <c r="V5" s="34" t="str">
        <f>+'CCs # Master'!T6</f>
        <v>0172</v>
      </c>
      <c r="W5" s="34" t="str">
        <f>+'CCs # Master'!U6</f>
        <v>0179</v>
      </c>
      <c r="X5" s="34" t="str">
        <f>+'CCs # Master'!V6</f>
        <v>0366</v>
      </c>
      <c r="Y5" s="239" t="s">
        <v>529</v>
      </c>
      <c r="Z5" s="34" t="str">
        <f>+'CCs # Master'!X6</f>
        <v>0413</v>
      </c>
      <c r="AA5" s="34" t="str">
        <f>+'CCs # Master'!Y6</f>
        <v>0419</v>
      </c>
      <c r="AB5" s="34" t="str">
        <f>+'CCs # Master'!Z6</f>
        <v>0436</v>
      </c>
      <c r="AC5" s="34" t="str">
        <f>+'CCs # Master'!AA6</f>
        <v>0460</v>
      </c>
      <c r="AD5" s="34" t="str">
        <f>+'CCs # Master'!AB6</f>
        <v>0912</v>
      </c>
      <c r="AE5" s="34" t="str">
        <f>+'CCs # Master'!AC6</f>
        <v>0969</v>
      </c>
      <c r="AF5" s="34" t="str">
        <f>+'CCs # Master'!AD6</f>
        <v>0985</v>
      </c>
      <c r="AG5" s="34" t="str">
        <f>+'CCs # Master'!AE6</f>
        <v>017H</v>
      </c>
      <c r="AH5" s="34" t="str">
        <f>+'CCs # Master'!AF6</f>
        <v>01F8</v>
      </c>
      <c r="AI5" s="34" t="str">
        <f>+'CCs # Master'!AG6</f>
        <v>040Y</v>
      </c>
      <c r="AJ5" s="34" t="str">
        <f>+'CCs # Master'!AH6</f>
        <v>061M</v>
      </c>
      <c r="AK5" s="34" t="str">
        <f>+'CCs # Master'!AI6</f>
        <v>061N</v>
      </c>
      <c r="AL5" s="34" t="str">
        <f>+'CCs # Master'!AJ6</f>
        <v>061P</v>
      </c>
      <c r="AM5" s="34" t="str">
        <f>+'CCs # Master'!AK6</f>
        <v>063Q</v>
      </c>
      <c r="AN5" s="34" t="str">
        <f>+'CCs # Master'!AL6</f>
        <v>067S</v>
      </c>
      <c r="AO5" s="34" t="str">
        <f>+'CCs # Master'!AM6</f>
        <v>083E</v>
      </c>
      <c r="AP5" s="34" t="str">
        <f>+'CCs # Master'!AN6</f>
        <v>016R</v>
      </c>
      <c r="AQ5" s="34" t="str">
        <f>+'CCs # Master'!AO6</f>
        <v>1105</v>
      </c>
      <c r="AR5" s="34">
        <f>+'CCs # Master'!AP6</f>
        <v>0</v>
      </c>
      <c r="AS5" s="34" t="str">
        <f>+'CCs # Master'!AQ6</f>
        <v>0119</v>
      </c>
      <c r="AT5" s="34" t="str">
        <f>+'CCs # Master'!AR6</f>
        <v>0901</v>
      </c>
      <c r="AU5" s="34">
        <f>+'CCs # Master'!AS6</f>
        <v>0</v>
      </c>
      <c r="AV5" s="34" t="str">
        <f>+'CCs # Master'!AT6</f>
        <v>0001</v>
      </c>
      <c r="AW5" s="34"/>
      <c r="AX5" s="12"/>
      <c r="BA5" s="34"/>
    </row>
    <row r="6" spans="1:60" ht="12.75" customHeight="1" x14ac:dyDescent="0.2">
      <c r="A6" s="198" t="str">
        <f>+'CCs # Master'!A5</f>
        <v>FIFTH DISTRIBUTION-FINAL</v>
      </c>
      <c r="E6" s="11" t="s">
        <v>365</v>
      </c>
      <c r="F6" s="11"/>
      <c r="G6" s="11"/>
      <c r="H6" s="11"/>
      <c r="I6" s="11"/>
      <c r="J6" s="11"/>
      <c r="K6" s="11" t="s">
        <v>85</v>
      </c>
      <c r="M6" s="13"/>
      <c r="N6" s="237">
        <f>+'CCs # Master'!AW7</f>
        <v>0</v>
      </c>
      <c r="O6" s="237"/>
      <c r="P6" s="237" t="str">
        <f>+'CCs # Master'!N7</f>
        <v>FAR</v>
      </c>
      <c r="Q6" s="237" t="str">
        <f>+'CCs # Master'!O7</f>
        <v>FAR</v>
      </c>
      <c r="R6" s="237">
        <f>+'CCs # Master'!P7</f>
        <v>102276</v>
      </c>
      <c r="S6" s="237">
        <v>102343</v>
      </c>
      <c r="T6" s="237" t="str">
        <f>+'CCs # Master'!R7</f>
        <v>FAR</v>
      </c>
      <c r="U6" s="237">
        <f>+'CCs # Master'!S7</f>
        <v>100256</v>
      </c>
      <c r="V6" s="237" t="str">
        <f>+'CCs # Master'!T7</f>
        <v>FAR</v>
      </c>
      <c r="W6" s="237" t="str">
        <f>+'CCs # Master'!U7</f>
        <v>FAR</v>
      </c>
      <c r="X6" s="237">
        <f>+'CCs # Master'!V7</f>
        <v>111723</v>
      </c>
      <c r="Y6" s="242">
        <v>112021</v>
      </c>
      <c r="Z6" s="237">
        <f>+'CCs # Master'!X7</f>
        <v>105717</v>
      </c>
      <c r="AA6" s="237">
        <f>+'CCs # Master'!Y7</f>
        <v>106041</v>
      </c>
      <c r="AB6" s="237">
        <f>+'CCs # Master'!Z7</f>
        <v>111824</v>
      </c>
      <c r="AC6" s="237">
        <f>+'CCs # Master'!AA7</f>
        <v>120459</v>
      </c>
      <c r="AD6" s="237">
        <f>+'CCs # Master'!AB7</f>
        <v>100672</v>
      </c>
      <c r="AE6" s="237">
        <f>+'CCs # Master'!AC7</f>
        <v>106196</v>
      </c>
      <c r="AF6" s="237">
        <f>+'CCs # Master'!AD7</f>
        <v>105285</v>
      </c>
      <c r="AG6" s="237">
        <f>+'CCs # Master'!AE7</f>
        <v>104151</v>
      </c>
      <c r="AH6" s="237">
        <f>+'CCs # Master'!AF7</f>
        <v>107629</v>
      </c>
      <c r="AI6" s="237">
        <f>+'CCs # Master'!AG7</f>
        <v>100290</v>
      </c>
      <c r="AJ6" s="237">
        <f>+'CCs # Master'!AH7</f>
        <v>102055</v>
      </c>
      <c r="AK6" s="237">
        <f>+'CCs # Master'!AI7</f>
        <v>102564</v>
      </c>
      <c r="AL6" s="237">
        <f>+'CCs # Master'!AJ7</f>
        <v>102247</v>
      </c>
      <c r="AM6" s="237">
        <f>+'CCs # Master'!AK7</f>
        <v>102352</v>
      </c>
      <c r="AN6" s="237">
        <f>+'CCs # Master'!AL7</f>
        <v>102183</v>
      </c>
      <c r="AO6" s="237">
        <f>+'CCs # Master'!AM7</f>
        <v>103353</v>
      </c>
      <c r="AP6" s="237">
        <f>+'CCs # Master'!AN7</f>
        <v>0</v>
      </c>
      <c r="AQ6" s="237">
        <f>+'CCs # Master'!AO7</f>
        <v>120459</v>
      </c>
      <c r="AR6" s="237">
        <f>+'CCs # Master'!AP7</f>
        <v>0</v>
      </c>
      <c r="AS6" s="237">
        <f>+'CCs # Master'!AQ7</f>
        <v>0</v>
      </c>
      <c r="AT6" s="237">
        <f>+'CCs # Master'!AR7</f>
        <v>100184</v>
      </c>
      <c r="AU6" s="237">
        <f>+'CCs # Master'!AS7</f>
        <v>0</v>
      </c>
      <c r="AV6" s="237">
        <f>+'CCs # Master'!AT7</f>
        <v>100003</v>
      </c>
      <c r="AW6" s="237"/>
      <c r="AX6" s="12"/>
      <c r="BA6" s="14"/>
    </row>
    <row r="7" spans="1:60" s="16" customFormat="1" ht="24.75" customHeight="1" x14ac:dyDescent="0.2">
      <c r="A7" s="38" t="s">
        <v>269</v>
      </c>
      <c r="B7" s="15" t="s">
        <v>270</v>
      </c>
      <c r="C7" s="15" t="s">
        <v>268</v>
      </c>
      <c r="D7" s="190" t="s">
        <v>265</v>
      </c>
      <c r="E7" s="202" t="s">
        <v>284</v>
      </c>
      <c r="F7" s="15" t="s">
        <v>10</v>
      </c>
      <c r="G7" s="15" t="s">
        <v>156</v>
      </c>
      <c r="H7" s="202" t="s">
        <v>282</v>
      </c>
      <c r="I7" s="202" t="s">
        <v>283</v>
      </c>
      <c r="J7" s="15" t="s">
        <v>2</v>
      </c>
      <c r="K7" s="193" t="s">
        <v>366</v>
      </c>
      <c r="L7" s="17"/>
      <c r="M7" s="15" t="s">
        <v>271</v>
      </c>
      <c r="N7" s="33" t="str">
        <f>+'CCs # Master'!AW8</f>
        <v>Enron Corp</v>
      </c>
      <c r="O7" s="33" t="str">
        <f>'CCs # Master'!AX8</f>
        <v xml:space="preserve">A&amp;A Costs </v>
      </c>
      <c r="P7" s="33" t="str">
        <f>+'CCs # Master'!N8</f>
        <v>TW</v>
      </c>
      <c r="Q7" s="33" t="str">
        <f>+'CCs # Master'!O8</f>
        <v>FGT</v>
      </c>
      <c r="R7" s="33" t="str">
        <f>+'CCs # Master'!P8</f>
        <v>EE&amp;CC</v>
      </c>
      <c r="S7" s="33" t="s">
        <v>515</v>
      </c>
      <c r="T7" s="33" t="str">
        <f>+'CCs # Master'!R8</f>
        <v>Citrus</v>
      </c>
      <c r="U7" s="33" t="str">
        <f>+'CCs # Master'!S8</f>
        <v>EOTT</v>
      </c>
      <c r="V7" s="33" t="str">
        <f>+'CCs # Master'!T8</f>
        <v>Northern Plains</v>
      </c>
      <c r="W7" s="33" t="str">
        <f>+'CCs # Master'!U8</f>
        <v>NNG</v>
      </c>
      <c r="X7" s="33" t="str">
        <f>+'CCs # Master'!V8</f>
        <v>GPG Executive</v>
      </c>
      <c r="Y7" s="33" t="s">
        <v>530</v>
      </c>
      <c r="Z7" s="33" t="str">
        <f>+'CCs # Master'!X8</f>
        <v>ENA</v>
      </c>
      <c r="AA7" s="33" t="str">
        <f>+'CCs # Master'!Y8</f>
        <v>Financial Initiatives</v>
      </c>
      <c r="AB7" s="33" t="str">
        <f>+'CCs # Master'!Z8</f>
        <v>Clean Fuels</v>
      </c>
      <c r="AC7" s="33" t="str">
        <f>+'CCs # Master'!AA8</f>
        <v>Global Products</v>
      </c>
      <c r="AD7" s="33" t="str">
        <f>+'CCs # Master'!AB8</f>
        <v>Enron Europe</v>
      </c>
      <c r="AE7" s="33" t="str">
        <f>+'CCs # Master'!AC8</f>
        <v>Global Finance</v>
      </c>
      <c r="AF7" s="33" t="str">
        <f>+'CCs # Master'!AD8</f>
        <v>EES</v>
      </c>
      <c r="AG7" s="33" t="str">
        <f>+'CCs # Master'!AE8</f>
        <v>EBS</v>
      </c>
      <c r="AH7" s="33" t="str">
        <f>+'CCs # Master'!AF8</f>
        <v>Renewable Energy</v>
      </c>
      <c r="AI7" s="33" t="str">
        <f>+'CCs # Master'!AG8</f>
        <v>AZURIX</v>
      </c>
      <c r="AJ7" s="33" t="str">
        <f>+'CCs # Master'!AH8</f>
        <v>APACHE</v>
      </c>
      <c r="AK7" s="33" t="str">
        <f>+'CCs # Master'!AI8</f>
        <v>South America</v>
      </c>
      <c r="AL7" s="33" t="str">
        <f>+'CCs # Master'!AJ8</f>
        <v>India</v>
      </c>
      <c r="AM7" s="33" t="str">
        <f>+'CCs # Master'!AK8</f>
        <v>Global E&amp;P</v>
      </c>
      <c r="AN7" s="33" t="str">
        <f>+'CCs # Master'!AL8</f>
        <v>CALME</v>
      </c>
      <c r="AO7" s="33" t="str">
        <f>+'CCs # Master'!AM8</f>
        <v>Networks</v>
      </c>
      <c r="AP7" s="33" t="str">
        <f>+'CCs # Master'!AN8</f>
        <v>PGE</v>
      </c>
      <c r="AQ7" s="33" t="str">
        <f>+'CCs # Master'!AO8</f>
        <v>Global Markets</v>
      </c>
      <c r="AR7" s="33" t="str">
        <f>+'CCs # Master'!AP8</f>
        <v>IndustrialMarkets</v>
      </c>
      <c r="AS7" s="33" t="str">
        <f>+'CCs # Master'!AQ8</f>
        <v>EOG</v>
      </c>
      <c r="AT7" s="33" t="str">
        <f>+'CCs # Master'!AR8</f>
        <v>EPSC</v>
      </c>
      <c r="AU7" s="33" t="str">
        <f>+'CCs # Master'!AS8</f>
        <v>The New Power Co</v>
      </c>
      <c r="AV7" s="33" t="str">
        <f>+'CCs # Master'!AT8</f>
        <v>EMI</v>
      </c>
      <c r="AW7" s="216"/>
      <c r="AX7" s="18" t="s">
        <v>18</v>
      </c>
      <c r="AY7" s="18" t="s">
        <v>11</v>
      </c>
      <c r="BA7" s="33" t="s">
        <v>350</v>
      </c>
      <c r="BB7" s="15" t="s">
        <v>217</v>
      </c>
      <c r="BC7" s="202" t="s">
        <v>356</v>
      </c>
      <c r="BE7" s="202" t="s">
        <v>357</v>
      </c>
      <c r="BF7" s="202"/>
      <c r="BG7" s="232" t="s">
        <v>358</v>
      </c>
      <c r="BH7" s="15" t="s">
        <v>11</v>
      </c>
    </row>
    <row r="8" spans="1:60" s="191" customFormat="1" ht="12.95" customHeight="1" x14ac:dyDescent="0.2">
      <c r="A8" s="201"/>
      <c r="B8" s="192"/>
      <c r="D8" s="204"/>
      <c r="F8" s="73"/>
      <c r="G8" s="73"/>
      <c r="K8" s="73"/>
      <c r="N8" s="73"/>
      <c r="O8" s="73"/>
      <c r="P8" s="73"/>
      <c r="Q8" s="73"/>
      <c r="R8" s="73"/>
      <c r="S8" s="73"/>
      <c r="T8" s="73"/>
      <c r="U8" s="73"/>
      <c r="V8" s="73"/>
      <c r="W8" s="73"/>
      <c r="X8" s="73"/>
      <c r="Y8" s="73"/>
      <c r="Z8" s="73"/>
      <c r="AA8" s="73"/>
      <c r="AB8" s="73"/>
      <c r="AC8" s="73"/>
      <c r="AD8" s="73"/>
      <c r="AE8" s="73"/>
      <c r="AF8" s="73"/>
      <c r="AG8" s="73"/>
      <c r="AH8" s="73"/>
      <c r="AI8" s="73"/>
      <c r="AJ8" s="73"/>
      <c r="AK8" s="73"/>
      <c r="AL8" s="73"/>
      <c r="AM8" s="73"/>
      <c r="AN8" s="21"/>
      <c r="AO8" s="21"/>
      <c r="AP8" s="21"/>
      <c r="AQ8" s="21"/>
      <c r="AR8" s="21"/>
      <c r="AS8" s="21"/>
      <c r="AT8" s="21"/>
      <c r="AU8" s="21"/>
      <c r="AV8" s="21"/>
      <c r="AW8" s="173"/>
      <c r="AX8" s="73"/>
      <c r="AY8" s="73"/>
      <c r="BA8" s="73"/>
      <c r="BG8" s="233"/>
    </row>
    <row r="9" spans="1:60" s="19" customFormat="1" ht="12.95" customHeight="1" x14ac:dyDescent="0.2">
      <c r="A9" s="207" t="s">
        <v>337</v>
      </c>
      <c r="B9" s="29"/>
      <c r="D9" s="205"/>
      <c r="F9" s="21"/>
      <c r="G9" s="21"/>
      <c r="K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c r="AX9" s="21"/>
      <c r="AY9" s="21"/>
      <c r="BA9" s="21"/>
      <c r="BG9" s="234"/>
    </row>
    <row r="10" spans="1:60" s="19" customFormat="1" ht="12.95" customHeight="1" x14ac:dyDescent="0.2">
      <c r="A10" s="85">
        <f>+'CCs # Master'!A15</f>
        <v>11</v>
      </c>
      <c r="B10" s="19" t="str">
        <f>+'CCs # Master'!B15</f>
        <v>Executive Consultants</v>
      </c>
      <c r="C10" s="19" t="str">
        <f>+'CCs # Master'!C15</f>
        <v xml:space="preserve">Urquhart, Jack </v>
      </c>
      <c r="D10" s="205">
        <f>+'CCs # Master'!D15</f>
        <v>100009</v>
      </c>
      <c r="E10" s="19">
        <f>+'CCs # Master'!E15</f>
        <v>0</v>
      </c>
      <c r="F10" s="19">
        <f>+'CCs # Master'!F15</f>
        <v>628</v>
      </c>
      <c r="G10" s="19">
        <f>+'CCs # Master'!G15</f>
        <v>0</v>
      </c>
      <c r="H10" s="19">
        <f>+'CCs # Master'!H15</f>
        <v>800</v>
      </c>
      <c r="I10" s="19">
        <f>+'CCs # Master'!I15</f>
        <v>1</v>
      </c>
      <c r="J10" s="19">
        <f>+'CCs # Master'!J15</f>
        <v>0</v>
      </c>
      <c r="K10" s="19">
        <f>SUM(E10:J10)</f>
        <v>1429</v>
      </c>
      <c r="M10" s="19" t="str">
        <f>+'CCs # Master'!M15</f>
        <v>Retained At Corp</v>
      </c>
      <c r="N10" s="19">
        <f>+'CCs # Master'!AW15</f>
        <v>1429</v>
      </c>
      <c r="O10" s="19">
        <v>0</v>
      </c>
      <c r="P10" s="19">
        <f>+'CCs # Master'!N15</f>
        <v>0</v>
      </c>
      <c r="Q10" s="19">
        <f>+'CCs # Master'!O15</f>
        <v>0</v>
      </c>
      <c r="R10" s="19">
        <f>+'CCs # Master'!P15</f>
        <v>0</v>
      </c>
      <c r="S10" s="19">
        <f>+'CCs # Master'!Q15</f>
        <v>0</v>
      </c>
      <c r="T10" s="19">
        <f>+'CCs # Master'!R15</f>
        <v>0</v>
      </c>
      <c r="U10" s="19">
        <f>+'CCs # Master'!S15</f>
        <v>0</v>
      </c>
      <c r="V10" s="19">
        <f>+'CCs # Master'!T15</f>
        <v>0</v>
      </c>
      <c r="W10" s="19">
        <f>+'CCs # Master'!U15</f>
        <v>0</v>
      </c>
      <c r="X10" s="19">
        <f>+'CCs # Master'!V15</f>
        <v>0</v>
      </c>
      <c r="Y10" s="19">
        <f>+'CCs # Master'!W15</f>
        <v>0</v>
      </c>
      <c r="Z10" s="19">
        <f>+'CCs # Master'!X15</f>
        <v>0</v>
      </c>
      <c r="AA10" s="19">
        <f>+'CCs # Master'!Y15</f>
        <v>0</v>
      </c>
      <c r="AB10" s="19">
        <f>+'CCs # Master'!Z15</f>
        <v>0</v>
      </c>
      <c r="AC10" s="19">
        <f>+'CCs # Master'!AA15</f>
        <v>0</v>
      </c>
      <c r="AD10" s="19">
        <f>+'CCs # Master'!AB15</f>
        <v>0</v>
      </c>
      <c r="AE10" s="19">
        <f>+'CCs # Master'!AC15</f>
        <v>0</v>
      </c>
      <c r="AF10" s="19">
        <f>+'CCs # Master'!AD15</f>
        <v>0</v>
      </c>
      <c r="AG10" s="19">
        <f>+'CCs # Master'!AE15</f>
        <v>0</v>
      </c>
      <c r="AH10" s="19">
        <f>+'CCs # Master'!AF15</f>
        <v>0</v>
      </c>
      <c r="AI10" s="19">
        <f>+'CCs # Master'!AG15</f>
        <v>0</v>
      </c>
      <c r="AJ10" s="19">
        <f>+'CCs # Master'!AH15</f>
        <v>0</v>
      </c>
      <c r="AK10" s="19">
        <f>+'CCs # Master'!AI15</f>
        <v>0</v>
      </c>
      <c r="AL10" s="19">
        <f>+'CCs # Master'!AJ15</f>
        <v>0</v>
      </c>
      <c r="AM10" s="19">
        <f>+'CCs # Master'!AK15</f>
        <v>0</v>
      </c>
      <c r="AN10" s="19">
        <f>+'CCs # Master'!AL15</f>
        <v>0</v>
      </c>
      <c r="AO10" s="19">
        <f>+'CCs # Master'!AM15</f>
        <v>0</v>
      </c>
      <c r="AP10" s="19">
        <f>+'CCs # Master'!AN15</f>
        <v>0</v>
      </c>
      <c r="AQ10" s="19">
        <f>+'CCs # Master'!AO15</f>
        <v>0</v>
      </c>
      <c r="AR10" s="19">
        <f>+'CCs # Master'!AP15</f>
        <v>0</v>
      </c>
      <c r="AS10" s="19">
        <f>+'CCs # Master'!AQ15</f>
        <v>0</v>
      </c>
      <c r="AT10" s="19">
        <f>+'CCs # Master'!AR15</f>
        <v>0</v>
      </c>
      <c r="AU10" s="19">
        <f>+'CCs # Master'!AS15</f>
        <v>0</v>
      </c>
      <c r="AV10" s="19">
        <f>+'CCs # Master'!AT15</f>
        <v>0</v>
      </c>
      <c r="AW10"/>
      <c r="AX10" s="21">
        <f t="shared" ref="AX10:AX20" si="0">SUM(N10:AW10)</f>
        <v>1429</v>
      </c>
      <c r="AY10" s="21">
        <f t="shared" ref="AY10:AY20" si="1">+K10-AX10</f>
        <v>0</v>
      </c>
      <c r="BA10" s="19">
        <f>+P10+Q10+T10+U10+V10+W10+X10+Y10</f>
        <v>0</v>
      </c>
      <c r="BB10" s="19">
        <f t="shared" ref="BB10:BB20" si="2">N10</f>
        <v>1429</v>
      </c>
      <c r="BC10" s="19">
        <f t="shared" ref="BC10:BC20" si="3">SUM(P10:AW10)</f>
        <v>0</v>
      </c>
      <c r="BE10" s="19">
        <f t="shared" ref="BE10:BE20" si="4">SUM(BB10:BC10)</f>
        <v>1429</v>
      </c>
      <c r="BG10" s="234">
        <f t="shared" ref="BG10:BG18" si="5">SUM(N10:AW10)</f>
        <v>1429</v>
      </c>
      <c r="BH10" s="19">
        <f t="shared" ref="BH10:BH20" si="6">BE10-BG10</f>
        <v>0</v>
      </c>
    </row>
    <row r="11" spans="1:60" s="19" customFormat="1" ht="12.95" customHeight="1" x14ac:dyDescent="0.2">
      <c r="A11" s="85">
        <f>+'CCs # Master'!A19</f>
        <v>11</v>
      </c>
      <c r="B11" s="19" t="str">
        <f>+'CCs # Master'!B19</f>
        <v>President and COO</v>
      </c>
      <c r="C11" s="19" t="str">
        <f>+'CCs # Master'!C19</f>
        <v xml:space="preserve">Skilling,Jeff </v>
      </c>
      <c r="D11" s="205">
        <f>+'CCs # Master'!D19</f>
        <v>100017</v>
      </c>
      <c r="E11" s="19">
        <f>+'CCs # Master'!E19</f>
        <v>1228</v>
      </c>
      <c r="F11" s="19">
        <f>+'CCs # Master'!F19</f>
        <v>692</v>
      </c>
      <c r="G11" s="19">
        <f>+'CCs # Master'!G19</f>
        <v>10</v>
      </c>
      <c r="H11" s="19">
        <f>+'CCs # Master'!H19</f>
        <v>1323</v>
      </c>
      <c r="I11" s="19">
        <f>+'CCs # Master'!I19</f>
        <v>106</v>
      </c>
      <c r="J11" s="19">
        <f>+'CCs # Master'!J19</f>
        <v>41</v>
      </c>
      <c r="K11" s="19">
        <f t="shared" ref="K11:K20" si="7">SUM(E11:J11)</f>
        <v>3400</v>
      </c>
      <c r="M11" s="19" t="str">
        <f>+'CCs # Master'!M19</f>
        <v>MMF</v>
      </c>
      <c r="N11" s="19">
        <f>+'CCs # Master'!AW19</f>
        <v>3400</v>
      </c>
      <c r="O11" s="19">
        <v>0</v>
      </c>
      <c r="P11" s="19">
        <f>+'CCs # Master'!N19</f>
        <v>0</v>
      </c>
      <c r="Q11" s="19">
        <f>+'CCs # Master'!O19</f>
        <v>0</v>
      </c>
      <c r="R11" s="19">
        <f>+'CCs # Master'!P19</f>
        <v>0</v>
      </c>
      <c r="S11" s="19">
        <f>+'CCs # Master'!Q19</f>
        <v>0</v>
      </c>
      <c r="T11" s="19">
        <f>+'CCs # Master'!R19</f>
        <v>0</v>
      </c>
      <c r="U11" s="19">
        <f>+'CCs # Master'!S19</f>
        <v>0</v>
      </c>
      <c r="V11" s="19">
        <f>+'CCs # Master'!T19</f>
        <v>0</v>
      </c>
      <c r="W11" s="19">
        <f>+'CCs # Master'!U19</f>
        <v>0</v>
      </c>
      <c r="X11" s="19">
        <f>+'CCs # Master'!V19</f>
        <v>0</v>
      </c>
      <c r="Y11" s="19">
        <f>+'CCs # Master'!W19</f>
        <v>0</v>
      </c>
      <c r="Z11" s="19">
        <f>+'CCs # Master'!X19</f>
        <v>0</v>
      </c>
      <c r="AA11" s="19">
        <f>+'CCs # Master'!Y19</f>
        <v>0</v>
      </c>
      <c r="AB11" s="19">
        <f>+'CCs # Master'!Z19</f>
        <v>0</v>
      </c>
      <c r="AC11" s="19">
        <f>+'CCs # Master'!AA19</f>
        <v>0</v>
      </c>
      <c r="AD11" s="19">
        <f>+'CCs # Master'!AB19</f>
        <v>0</v>
      </c>
      <c r="AE11" s="19">
        <f>+'CCs # Master'!AC19</f>
        <v>0</v>
      </c>
      <c r="AF11" s="19">
        <f>+'CCs # Master'!AD19</f>
        <v>0</v>
      </c>
      <c r="AG11" s="19">
        <f>+'CCs # Master'!AE19</f>
        <v>0</v>
      </c>
      <c r="AH11" s="19">
        <f>+'CCs # Master'!AF19</f>
        <v>0</v>
      </c>
      <c r="AI11" s="19">
        <f>+'CCs # Master'!AG19</f>
        <v>0</v>
      </c>
      <c r="AJ11" s="19">
        <f>+'CCs # Master'!AH19</f>
        <v>0</v>
      </c>
      <c r="AK11" s="19">
        <f>+'CCs # Master'!AI19</f>
        <v>0</v>
      </c>
      <c r="AL11" s="19">
        <f>+'CCs # Master'!AJ19</f>
        <v>0</v>
      </c>
      <c r="AM11" s="19">
        <f>+'CCs # Master'!AK19</f>
        <v>0</v>
      </c>
      <c r="AN11" s="19">
        <f>+'CCs # Master'!AL19</f>
        <v>0</v>
      </c>
      <c r="AO11" s="19">
        <f>+'CCs # Master'!AM19</f>
        <v>0</v>
      </c>
      <c r="AP11" s="19">
        <f>+'CCs # Master'!AN19</f>
        <v>0</v>
      </c>
      <c r="AQ11" s="19">
        <f>+'CCs # Master'!AO19</f>
        <v>0</v>
      </c>
      <c r="AR11" s="19">
        <f>+'CCs # Master'!AP19</f>
        <v>0</v>
      </c>
      <c r="AS11" s="19">
        <f>+'CCs # Master'!AQ19</f>
        <v>0</v>
      </c>
      <c r="AT11" s="19">
        <f>+'CCs # Master'!AR19</f>
        <v>0</v>
      </c>
      <c r="AU11" s="19">
        <f>+'CCs # Master'!AS19</f>
        <v>0</v>
      </c>
      <c r="AV11" s="19">
        <f>+'CCs # Master'!AT19</f>
        <v>0</v>
      </c>
      <c r="AW11"/>
      <c r="AX11" s="21">
        <f t="shared" si="0"/>
        <v>3400</v>
      </c>
      <c r="AY11" s="21">
        <f t="shared" si="1"/>
        <v>0</v>
      </c>
      <c r="BA11" s="19">
        <f t="shared" ref="BA11:BA20" si="8">+P11+Q11+T11+U11+V11+W11+X11+Y11</f>
        <v>0</v>
      </c>
      <c r="BB11" s="19">
        <f>N11</f>
        <v>3400</v>
      </c>
      <c r="BC11" s="19">
        <f t="shared" si="3"/>
        <v>0</v>
      </c>
      <c r="BE11" s="19">
        <f t="shared" si="4"/>
        <v>3400</v>
      </c>
      <c r="BG11" s="234">
        <f t="shared" si="5"/>
        <v>3400</v>
      </c>
      <c r="BH11" s="19">
        <f>BE12-BG12</f>
        <v>0</v>
      </c>
    </row>
    <row r="12" spans="1:60" s="19" customFormat="1" ht="12.95" customHeight="1" x14ac:dyDescent="0.2">
      <c r="A12" s="85">
        <f>+'CCs # Master'!A20</f>
        <v>11</v>
      </c>
      <c r="B12" s="19" t="str">
        <f>+'CCs # Master'!B20</f>
        <v>Vice Chairman</v>
      </c>
      <c r="C12" s="19" t="str">
        <f>+'CCs # Master'!C20</f>
        <v xml:space="preserve">Urquhart, Jack </v>
      </c>
      <c r="D12" s="205">
        <f>+'CCs # Master'!D20</f>
        <v>100018</v>
      </c>
      <c r="E12" s="19">
        <f>+'CCs # Master'!E20</f>
        <v>115</v>
      </c>
      <c r="F12" s="19">
        <f>+'CCs # Master'!F20</f>
        <v>8</v>
      </c>
      <c r="G12" s="19">
        <f>+'CCs # Master'!G20</f>
        <v>4</v>
      </c>
      <c r="H12" s="19">
        <f>+'CCs # Master'!H20</f>
        <v>1</v>
      </c>
      <c r="I12" s="19">
        <f>+'CCs # Master'!I20</f>
        <v>143</v>
      </c>
      <c r="J12" s="19">
        <f>+'CCs # Master'!J20</f>
        <v>0</v>
      </c>
      <c r="K12" s="19">
        <f t="shared" si="7"/>
        <v>271</v>
      </c>
      <c r="M12" s="19" t="str">
        <f>+'CCs # Master'!M20</f>
        <v>MMF</v>
      </c>
      <c r="N12" s="19">
        <f>+'CCs # Master'!AW20</f>
        <v>271</v>
      </c>
      <c r="O12" s="19">
        <v>0</v>
      </c>
      <c r="P12" s="19">
        <f>+'CCs # Master'!N20</f>
        <v>0</v>
      </c>
      <c r="Q12" s="19">
        <f>+'CCs # Master'!O20</f>
        <v>0</v>
      </c>
      <c r="R12" s="19">
        <f>+'CCs # Master'!P20</f>
        <v>0</v>
      </c>
      <c r="S12" s="19">
        <f>+'CCs # Master'!Q20</f>
        <v>0</v>
      </c>
      <c r="T12" s="19">
        <f>+'CCs # Master'!R20</f>
        <v>0</v>
      </c>
      <c r="U12" s="19">
        <f>+'CCs # Master'!S20</f>
        <v>0</v>
      </c>
      <c r="V12" s="19">
        <f>+'CCs # Master'!T20</f>
        <v>0</v>
      </c>
      <c r="W12" s="19">
        <f>+'CCs # Master'!U20</f>
        <v>0</v>
      </c>
      <c r="X12" s="19">
        <f>+'CCs # Master'!V20</f>
        <v>0</v>
      </c>
      <c r="Y12" s="19">
        <f>+'CCs # Master'!W20</f>
        <v>0</v>
      </c>
      <c r="Z12" s="19">
        <f>+'CCs # Master'!X20</f>
        <v>0</v>
      </c>
      <c r="AA12" s="19">
        <f>+'CCs # Master'!Y20</f>
        <v>0</v>
      </c>
      <c r="AB12" s="19">
        <f>+'CCs # Master'!Z20</f>
        <v>0</v>
      </c>
      <c r="AC12" s="19">
        <f>+'CCs # Master'!AA20</f>
        <v>0</v>
      </c>
      <c r="AD12" s="19">
        <f>+'CCs # Master'!AB20</f>
        <v>0</v>
      </c>
      <c r="AE12" s="19">
        <f>+'CCs # Master'!AC20</f>
        <v>0</v>
      </c>
      <c r="AF12" s="19">
        <f>+'CCs # Master'!AD20</f>
        <v>0</v>
      </c>
      <c r="AG12" s="19">
        <f>+'CCs # Master'!AE20</f>
        <v>0</v>
      </c>
      <c r="AH12" s="19">
        <f>+'CCs # Master'!AF20</f>
        <v>0</v>
      </c>
      <c r="AI12" s="19">
        <f>+'CCs # Master'!AG20</f>
        <v>0</v>
      </c>
      <c r="AJ12" s="19">
        <f>+'CCs # Master'!AH20</f>
        <v>0</v>
      </c>
      <c r="AK12" s="19">
        <f>+'CCs # Master'!AI20</f>
        <v>0</v>
      </c>
      <c r="AL12" s="19">
        <f>+'CCs # Master'!AJ20</f>
        <v>0</v>
      </c>
      <c r="AM12" s="19">
        <f>+'CCs # Master'!AK20</f>
        <v>0</v>
      </c>
      <c r="AN12" s="19">
        <f>+'CCs # Master'!AL20</f>
        <v>0</v>
      </c>
      <c r="AO12" s="19">
        <f>+'CCs # Master'!AM20</f>
        <v>0</v>
      </c>
      <c r="AP12" s="19">
        <f>+'CCs # Master'!AN20</f>
        <v>0</v>
      </c>
      <c r="AQ12" s="19">
        <f>+'CCs # Master'!AO20</f>
        <v>0</v>
      </c>
      <c r="AR12" s="19">
        <f>+'CCs # Master'!AP20</f>
        <v>0</v>
      </c>
      <c r="AS12" s="19">
        <f>+'CCs # Master'!AQ20</f>
        <v>0</v>
      </c>
      <c r="AT12" s="19">
        <f>+'CCs # Master'!AR20</f>
        <v>0</v>
      </c>
      <c r="AU12" s="19">
        <f>+'CCs # Master'!AS20</f>
        <v>0</v>
      </c>
      <c r="AV12" s="19">
        <f>+'CCs # Master'!AT20</f>
        <v>0</v>
      </c>
      <c r="AW12"/>
      <c r="AX12" s="21">
        <f t="shared" si="0"/>
        <v>271</v>
      </c>
      <c r="AY12" s="21">
        <f t="shared" si="1"/>
        <v>0</v>
      </c>
      <c r="BA12" s="19">
        <f t="shared" si="8"/>
        <v>0</v>
      </c>
      <c r="BB12" s="19">
        <f t="shared" si="2"/>
        <v>271</v>
      </c>
      <c r="BC12" s="19">
        <f t="shared" si="3"/>
        <v>0</v>
      </c>
      <c r="BE12" s="19">
        <f t="shared" si="4"/>
        <v>271</v>
      </c>
      <c r="BG12" s="234">
        <f t="shared" si="5"/>
        <v>271</v>
      </c>
      <c r="BH12" s="19">
        <f>BE13-BG13</f>
        <v>0</v>
      </c>
    </row>
    <row r="13" spans="1:60" s="19" customFormat="1" ht="12.95" customHeight="1" x14ac:dyDescent="0.2">
      <c r="A13" s="85">
        <f>+'CCs # Master'!A22</f>
        <v>11</v>
      </c>
      <c r="B13" s="19" t="str">
        <f>+'CCs # Master'!B22</f>
        <v>Executive Reception</v>
      </c>
      <c r="C13" s="19" t="str">
        <f>+'CCs # Master'!C22</f>
        <v>Lay, Ken</v>
      </c>
      <c r="D13" s="205">
        <f>+'CCs # Master'!D22</f>
        <v>100020</v>
      </c>
      <c r="E13" s="19">
        <f>+'CCs # Master'!E22</f>
        <v>154</v>
      </c>
      <c r="F13" s="19">
        <f>+'CCs # Master'!F22</f>
        <v>601</v>
      </c>
      <c r="G13" s="19">
        <f>+'CCs # Master'!G22</f>
        <v>48</v>
      </c>
      <c r="H13" s="19">
        <f>+'CCs # Master'!H22</f>
        <v>141</v>
      </c>
      <c r="I13" s="19">
        <f>+'CCs # Master'!I22</f>
        <v>63</v>
      </c>
      <c r="J13" s="19">
        <f>+'CCs # Master'!J22</f>
        <v>493</v>
      </c>
      <c r="K13" s="19">
        <f t="shared" si="7"/>
        <v>1500</v>
      </c>
      <c r="M13" s="19" t="str">
        <f>+'CCs # Master'!M22</f>
        <v>MMF</v>
      </c>
      <c r="N13" s="19">
        <f>+'CCs # Master'!AW22</f>
        <v>1500</v>
      </c>
      <c r="O13" s="19">
        <v>0</v>
      </c>
      <c r="P13" s="19">
        <f>+'CCs # Master'!N22</f>
        <v>0</v>
      </c>
      <c r="Q13" s="19">
        <f>+'CCs # Master'!O22</f>
        <v>0</v>
      </c>
      <c r="R13" s="19">
        <f>+'CCs # Master'!P22</f>
        <v>0</v>
      </c>
      <c r="S13" s="19">
        <f>+'CCs # Master'!Q22</f>
        <v>0</v>
      </c>
      <c r="T13" s="19">
        <f>+'CCs # Master'!R22</f>
        <v>0</v>
      </c>
      <c r="U13" s="19">
        <f>+'CCs # Master'!S22</f>
        <v>0</v>
      </c>
      <c r="V13" s="19">
        <f>+'CCs # Master'!T22</f>
        <v>0</v>
      </c>
      <c r="W13" s="19">
        <f>+'CCs # Master'!U22</f>
        <v>0</v>
      </c>
      <c r="X13" s="19">
        <f>+'CCs # Master'!V22</f>
        <v>0</v>
      </c>
      <c r="Y13" s="19">
        <f>+'CCs # Master'!W22</f>
        <v>0</v>
      </c>
      <c r="Z13" s="19">
        <f>+'CCs # Master'!X22</f>
        <v>0</v>
      </c>
      <c r="AA13" s="19">
        <f>+'CCs # Master'!Y22</f>
        <v>0</v>
      </c>
      <c r="AB13" s="19">
        <f>+'CCs # Master'!Z22</f>
        <v>0</v>
      </c>
      <c r="AC13" s="19">
        <f>+'CCs # Master'!AA22</f>
        <v>0</v>
      </c>
      <c r="AD13" s="19">
        <f>+'CCs # Master'!AB22</f>
        <v>0</v>
      </c>
      <c r="AE13" s="19">
        <f>+'CCs # Master'!AC22</f>
        <v>0</v>
      </c>
      <c r="AF13" s="19">
        <f>+'CCs # Master'!AD22</f>
        <v>0</v>
      </c>
      <c r="AG13" s="19">
        <f>+'CCs # Master'!AE22</f>
        <v>0</v>
      </c>
      <c r="AH13" s="19">
        <f>+'CCs # Master'!AF22</f>
        <v>0</v>
      </c>
      <c r="AI13" s="19">
        <f>+'CCs # Master'!AG22</f>
        <v>0</v>
      </c>
      <c r="AJ13" s="19">
        <f>+'CCs # Master'!AH22</f>
        <v>0</v>
      </c>
      <c r="AK13" s="19">
        <f>+'CCs # Master'!AI22</f>
        <v>0</v>
      </c>
      <c r="AL13" s="19">
        <f>+'CCs # Master'!AJ22</f>
        <v>0</v>
      </c>
      <c r="AM13" s="19">
        <f>+'CCs # Master'!AK22</f>
        <v>0</v>
      </c>
      <c r="AN13" s="19">
        <f>+'CCs # Master'!AL22</f>
        <v>0</v>
      </c>
      <c r="AO13" s="19">
        <f>+'CCs # Master'!AM22</f>
        <v>0</v>
      </c>
      <c r="AP13" s="19">
        <f>+'CCs # Master'!AN22</f>
        <v>0</v>
      </c>
      <c r="AQ13" s="19">
        <f>+'CCs # Master'!AO22</f>
        <v>0</v>
      </c>
      <c r="AR13" s="19">
        <f>+'CCs # Master'!AP22</f>
        <v>0</v>
      </c>
      <c r="AS13" s="19">
        <f>+'CCs # Master'!AQ22</f>
        <v>0</v>
      </c>
      <c r="AT13" s="19">
        <f>+'CCs # Master'!AR22</f>
        <v>0</v>
      </c>
      <c r="AU13" s="19">
        <f>+'CCs # Master'!AS22</f>
        <v>0</v>
      </c>
      <c r="AV13" s="19">
        <f>+'CCs # Master'!AT22</f>
        <v>0</v>
      </c>
      <c r="AW13"/>
      <c r="AX13" s="21">
        <f t="shared" si="0"/>
        <v>1500</v>
      </c>
      <c r="AY13" s="21">
        <f t="shared" si="1"/>
        <v>0</v>
      </c>
      <c r="BA13" s="19">
        <f t="shared" si="8"/>
        <v>0</v>
      </c>
      <c r="BB13" s="19">
        <f t="shared" si="2"/>
        <v>1500</v>
      </c>
      <c r="BC13" s="19">
        <f t="shared" si="3"/>
        <v>0</v>
      </c>
      <c r="BE13" s="19">
        <f t="shared" si="4"/>
        <v>1500</v>
      </c>
      <c r="BG13" s="234">
        <f t="shared" si="5"/>
        <v>1500</v>
      </c>
      <c r="BH13" s="19">
        <f t="shared" si="6"/>
        <v>0</v>
      </c>
    </row>
    <row r="14" spans="1:60" s="19" customFormat="1" ht="12.95" customHeight="1" x14ac:dyDescent="0.2">
      <c r="A14" s="85">
        <f>+'CCs # Master'!A40</f>
        <v>11</v>
      </c>
      <c r="B14" s="19" t="str">
        <f>+'CCs # Master'!B40</f>
        <v xml:space="preserve">Chairman and CEO </v>
      </c>
      <c r="C14" s="19" t="str">
        <f>+'CCs # Master'!C40</f>
        <v>Lay, Ken</v>
      </c>
      <c r="D14" s="205">
        <f>+'CCs # Master'!D40</f>
        <v>100044</v>
      </c>
      <c r="E14" s="19">
        <f>+'CCs # Master'!E40</f>
        <v>1970</v>
      </c>
      <c r="F14" s="19">
        <f>+'CCs # Master'!F40</f>
        <v>41</v>
      </c>
      <c r="G14" s="19">
        <f>+'CCs # Master'!G40</f>
        <v>1</v>
      </c>
      <c r="H14" s="19">
        <f>+'CCs # Master'!H40</f>
        <v>558</v>
      </c>
      <c r="I14" s="19">
        <f>+'CCs # Master'!I40</f>
        <v>288</v>
      </c>
      <c r="J14" s="19">
        <f>+'CCs # Master'!J40</f>
        <v>542</v>
      </c>
      <c r="K14" s="19">
        <f t="shared" si="7"/>
        <v>3400</v>
      </c>
      <c r="M14" s="19" t="str">
        <f>+'CCs # Master'!M40</f>
        <v>MMF</v>
      </c>
      <c r="N14" s="19">
        <f>+'CCs # Master'!AW40</f>
        <v>3400</v>
      </c>
      <c r="O14" s="19">
        <v>0</v>
      </c>
      <c r="P14" s="19">
        <f>+'CCs # Master'!N40</f>
        <v>0</v>
      </c>
      <c r="Q14" s="19">
        <f>+'CCs # Master'!O40</f>
        <v>0</v>
      </c>
      <c r="R14" s="19">
        <f>+'CCs # Master'!P40</f>
        <v>0</v>
      </c>
      <c r="S14" s="19">
        <f>+'CCs # Master'!Q40</f>
        <v>0</v>
      </c>
      <c r="T14" s="19">
        <f>+'CCs # Master'!R40</f>
        <v>0</v>
      </c>
      <c r="U14" s="19">
        <f>+'CCs # Master'!S40</f>
        <v>0</v>
      </c>
      <c r="V14" s="19">
        <f>+'CCs # Master'!T40</f>
        <v>0</v>
      </c>
      <c r="W14" s="19">
        <f>+'CCs # Master'!U40</f>
        <v>0</v>
      </c>
      <c r="X14" s="19">
        <f>+'CCs # Master'!V40</f>
        <v>0</v>
      </c>
      <c r="Y14" s="19">
        <f>+'CCs # Master'!W40</f>
        <v>0</v>
      </c>
      <c r="Z14" s="19">
        <f>+'CCs # Master'!X40</f>
        <v>0</v>
      </c>
      <c r="AA14" s="19">
        <f>+'CCs # Master'!Y40</f>
        <v>0</v>
      </c>
      <c r="AB14" s="19">
        <f>+'CCs # Master'!Z40</f>
        <v>0</v>
      </c>
      <c r="AC14" s="19">
        <f>+'CCs # Master'!AA40</f>
        <v>0</v>
      </c>
      <c r="AD14" s="19">
        <f>+'CCs # Master'!AB40</f>
        <v>0</v>
      </c>
      <c r="AE14" s="19">
        <f>+'CCs # Master'!AC40</f>
        <v>0</v>
      </c>
      <c r="AF14" s="19">
        <f>+'CCs # Master'!AD40</f>
        <v>0</v>
      </c>
      <c r="AG14" s="19">
        <f>+'CCs # Master'!AE40</f>
        <v>0</v>
      </c>
      <c r="AH14" s="19">
        <f>+'CCs # Master'!AF40</f>
        <v>0</v>
      </c>
      <c r="AI14" s="19">
        <f>+'CCs # Master'!AG40</f>
        <v>0</v>
      </c>
      <c r="AJ14" s="19">
        <f>+'CCs # Master'!AH40</f>
        <v>0</v>
      </c>
      <c r="AK14" s="19">
        <f>+'CCs # Master'!AI40</f>
        <v>0</v>
      </c>
      <c r="AL14" s="19">
        <f>+'CCs # Master'!AJ40</f>
        <v>0</v>
      </c>
      <c r="AM14" s="19">
        <f>+'CCs # Master'!AK40</f>
        <v>0</v>
      </c>
      <c r="AN14" s="19">
        <f>+'CCs # Master'!AL40</f>
        <v>0</v>
      </c>
      <c r="AO14" s="19">
        <f>+'CCs # Master'!AM40</f>
        <v>0</v>
      </c>
      <c r="AP14" s="19">
        <f>+'CCs # Master'!AN40</f>
        <v>0</v>
      </c>
      <c r="AQ14" s="19">
        <f>+'CCs # Master'!AO40</f>
        <v>0</v>
      </c>
      <c r="AR14" s="19">
        <f>+'CCs # Master'!AP40</f>
        <v>0</v>
      </c>
      <c r="AS14" s="19">
        <f>+'CCs # Master'!AQ40</f>
        <v>0</v>
      </c>
      <c r="AT14" s="19">
        <f>+'CCs # Master'!AR40</f>
        <v>0</v>
      </c>
      <c r="AU14" s="19">
        <f>+'CCs # Master'!AS40</f>
        <v>0</v>
      </c>
      <c r="AV14" s="19">
        <f>+'CCs # Master'!AT40</f>
        <v>0</v>
      </c>
      <c r="AW14"/>
      <c r="AX14" s="21">
        <f t="shared" si="0"/>
        <v>3400</v>
      </c>
      <c r="AY14" s="21">
        <f t="shared" si="1"/>
        <v>0</v>
      </c>
      <c r="BA14" s="19">
        <f t="shared" si="8"/>
        <v>0</v>
      </c>
      <c r="BB14" s="19">
        <f t="shared" si="2"/>
        <v>3400</v>
      </c>
      <c r="BC14" s="19">
        <f t="shared" si="3"/>
        <v>0</v>
      </c>
      <c r="BE14" s="19">
        <f t="shared" si="4"/>
        <v>3400</v>
      </c>
      <c r="BG14" s="234">
        <f t="shared" si="5"/>
        <v>3400</v>
      </c>
      <c r="BH14" s="19">
        <f t="shared" si="6"/>
        <v>0</v>
      </c>
    </row>
    <row r="15" spans="1:60" s="19" customFormat="1" ht="12.95" customHeight="1" x14ac:dyDescent="0.2">
      <c r="A15" s="85">
        <f>+'CCs # Master'!A54</f>
        <v>11</v>
      </c>
      <c r="B15" s="19" t="str">
        <f>+'CCs # Master'!B54</f>
        <v>Management Conference</v>
      </c>
      <c r="C15" s="19" t="str">
        <f>+'CCs # Master'!C54</f>
        <v>Lay, Ken</v>
      </c>
      <c r="D15" s="205">
        <f>+'CCs # Master'!D54</f>
        <v>100066</v>
      </c>
      <c r="E15" s="19">
        <f>+'CCs # Master'!E54</f>
        <v>0</v>
      </c>
      <c r="F15" s="19">
        <f>+'CCs # Master'!F54</f>
        <v>740</v>
      </c>
      <c r="G15" s="19">
        <f>+'CCs # Master'!G54</f>
        <v>0</v>
      </c>
      <c r="H15" s="19">
        <f>+'CCs # Master'!H54</f>
        <v>0</v>
      </c>
      <c r="I15" s="19">
        <f>+'CCs # Master'!I54</f>
        <v>20</v>
      </c>
      <c r="J15" s="19">
        <f>+'CCs # Master'!J54</f>
        <v>0</v>
      </c>
      <c r="K15" s="19">
        <f t="shared" si="7"/>
        <v>760</v>
      </c>
      <c r="M15" s="19" t="str">
        <f>+'CCs # Master'!M54</f>
        <v>% of Attendees</v>
      </c>
      <c r="N15" s="19">
        <f>+'CCs # Master'!AW54</f>
        <v>232</v>
      </c>
      <c r="O15" s="19">
        <v>0</v>
      </c>
      <c r="P15" s="19">
        <f>+'CCs # Master'!N54</f>
        <v>2</v>
      </c>
      <c r="Q15" s="19">
        <f>+'CCs # Master'!O54</f>
        <v>4</v>
      </c>
      <c r="R15" s="19">
        <f>+'CCs # Master'!P54</f>
        <v>30</v>
      </c>
      <c r="S15" s="19">
        <f>+'CCs # Master'!Q54</f>
        <v>0</v>
      </c>
      <c r="T15" s="19">
        <f>+'CCs # Master'!R54</f>
        <v>4</v>
      </c>
      <c r="U15" s="19">
        <f>+'CCs # Master'!S54</f>
        <v>0</v>
      </c>
      <c r="V15" s="19">
        <f>+'CCs # Master'!T54</f>
        <v>7</v>
      </c>
      <c r="W15" s="19">
        <f>+'CCs # Master'!U54</f>
        <v>7</v>
      </c>
      <c r="X15" s="19">
        <f>+'CCs # Master'!V54</f>
        <v>20</v>
      </c>
      <c r="Y15" s="19">
        <f>+'CCs # Master'!W54</f>
        <v>0</v>
      </c>
      <c r="Z15" s="19">
        <f>+'CCs # Master'!X54</f>
        <v>138</v>
      </c>
      <c r="AA15" s="19">
        <f>+'CCs # Master'!Y54</f>
        <v>4</v>
      </c>
      <c r="AB15" s="19">
        <f>+'CCs # Master'!Z54</f>
        <v>1</v>
      </c>
      <c r="AC15" s="19">
        <f>+'CCs # Master'!AA54</f>
        <v>0</v>
      </c>
      <c r="AD15" s="19">
        <f>+'CCs # Master'!AB54</f>
        <v>0</v>
      </c>
      <c r="AE15" s="19">
        <f>+'CCs # Master'!AC54</f>
        <v>13</v>
      </c>
      <c r="AF15" s="19">
        <f>+'CCs # Master'!AD54</f>
        <v>64</v>
      </c>
      <c r="AG15" s="19">
        <f>+'CCs # Master'!AE54</f>
        <v>72</v>
      </c>
      <c r="AH15" s="19">
        <f>+'CCs # Master'!AF54</f>
        <v>5</v>
      </c>
      <c r="AI15" s="19">
        <f>+'CCs # Master'!AG54</f>
        <v>0</v>
      </c>
      <c r="AJ15" s="19">
        <f>+'CCs # Master'!AH54</f>
        <v>26</v>
      </c>
      <c r="AK15" s="19">
        <f>+'CCs # Master'!AI54</f>
        <v>35</v>
      </c>
      <c r="AL15" s="19">
        <f>+'CCs # Master'!AJ54</f>
        <v>13</v>
      </c>
      <c r="AM15" s="19">
        <f>+'CCs # Master'!AK54</f>
        <v>8</v>
      </c>
      <c r="AN15" s="19">
        <f>+'CCs # Master'!AL54</f>
        <v>13</v>
      </c>
      <c r="AO15" s="19">
        <f>+'CCs # Master'!AM54</f>
        <v>23</v>
      </c>
      <c r="AP15" s="19">
        <f>+'CCs # Master'!AN54</f>
        <v>0</v>
      </c>
      <c r="AQ15" s="19">
        <f>+'CCs # Master'!AO54</f>
        <v>28</v>
      </c>
      <c r="AR15" s="19">
        <f>+'CCs # Master'!AP54</f>
        <v>9</v>
      </c>
      <c r="AS15" s="19">
        <f>+'CCs # Master'!AQ54</f>
        <v>0</v>
      </c>
      <c r="AT15" s="19">
        <f>+'CCs # Master'!AR54</f>
        <v>2</v>
      </c>
      <c r="AU15" s="19">
        <f>+'CCs # Master'!AS54</f>
        <v>0</v>
      </c>
      <c r="AV15" s="19">
        <f>+'CCs # Master'!AT54</f>
        <v>0</v>
      </c>
      <c r="AW15"/>
      <c r="AX15" s="21">
        <f t="shared" si="0"/>
        <v>760</v>
      </c>
      <c r="AY15" s="21">
        <f t="shared" si="1"/>
        <v>0</v>
      </c>
      <c r="BA15" s="19">
        <f t="shared" si="8"/>
        <v>44</v>
      </c>
      <c r="BB15" s="19">
        <f t="shared" si="2"/>
        <v>232</v>
      </c>
      <c r="BC15" s="19">
        <f t="shared" si="3"/>
        <v>528</v>
      </c>
      <c r="BE15" s="19">
        <f t="shared" si="4"/>
        <v>760</v>
      </c>
      <c r="BG15" s="234">
        <f t="shared" si="5"/>
        <v>760</v>
      </c>
      <c r="BH15" s="19">
        <f t="shared" si="6"/>
        <v>0</v>
      </c>
    </row>
    <row r="16" spans="1:60" s="19" customFormat="1" ht="12.95" customHeight="1" x14ac:dyDescent="0.2">
      <c r="A16" s="85">
        <f>+'CCs # Master'!A104</f>
        <v>11</v>
      </c>
      <c r="B16" s="19" t="str">
        <f>+'CCs # Master'!B104</f>
        <v>Corporate Aircraft Usage</v>
      </c>
      <c r="C16" s="19" t="str">
        <f>+'CCs # Master'!C104</f>
        <v>Lay, Ken</v>
      </c>
      <c r="D16" s="205">
        <f>+'CCs # Master'!D104</f>
        <v>100207</v>
      </c>
      <c r="E16" s="19">
        <f>+'CCs # Master'!E104</f>
        <v>0</v>
      </c>
      <c r="F16" s="19">
        <f>+'CCs # Master'!F104</f>
        <v>136</v>
      </c>
      <c r="G16" s="19">
        <f>+'CCs # Master'!G104</f>
        <v>0</v>
      </c>
      <c r="H16" s="19">
        <f>+'CCs # Master'!H104</f>
        <v>16</v>
      </c>
      <c r="I16" s="19">
        <f>+'CCs # Master'!I104</f>
        <v>0</v>
      </c>
      <c r="J16" s="19">
        <f>+'CCs # Master'!J104</f>
        <v>4848</v>
      </c>
      <c r="K16" s="19">
        <f t="shared" si="7"/>
        <v>5000</v>
      </c>
      <c r="M16" s="19" t="str">
        <f>+'CCs # Master'!M104</f>
        <v>MMF</v>
      </c>
      <c r="N16" s="19">
        <f>+'CCs # Master'!AW104</f>
        <v>5000</v>
      </c>
      <c r="O16" s="19">
        <v>0</v>
      </c>
      <c r="P16" s="19">
        <f>+'CCs # Master'!N104</f>
        <v>0</v>
      </c>
      <c r="Q16" s="19">
        <f>+'CCs # Master'!O104</f>
        <v>0</v>
      </c>
      <c r="R16" s="19">
        <f>+'CCs # Master'!P104</f>
        <v>0</v>
      </c>
      <c r="S16" s="19">
        <f>+'CCs # Master'!Q104</f>
        <v>0</v>
      </c>
      <c r="T16" s="19">
        <f>+'CCs # Master'!R104</f>
        <v>0</v>
      </c>
      <c r="U16" s="19">
        <f>+'CCs # Master'!S104</f>
        <v>0</v>
      </c>
      <c r="V16" s="19">
        <f>+'CCs # Master'!T104</f>
        <v>0</v>
      </c>
      <c r="W16" s="19">
        <f>+'CCs # Master'!U104</f>
        <v>0</v>
      </c>
      <c r="X16" s="19">
        <f>+'CCs # Master'!V104</f>
        <v>0</v>
      </c>
      <c r="Y16" s="19">
        <f>+'CCs # Master'!W104</f>
        <v>0</v>
      </c>
      <c r="Z16" s="19">
        <f>+'CCs # Master'!X104</f>
        <v>0</v>
      </c>
      <c r="AA16" s="19">
        <f>+'CCs # Master'!Y104</f>
        <v>0</v>
      </c>
      <c r="AB16" s="19">
        <f>+'CCs # Master'!Z104</f>
        <v>0</v>
      </c>
      <c r="AC16" s="19">
        <f>+'CCs # Master'!AA104</f>
        <v>0</v>
      </c>
      <c r="AD16" s="19">
        <f>+'CCs # Master'!AB104</f>
        <v>0</v>
      </c>
      <c r="AE16" s="19">
        <f>+'CCs # Master'!AC104</f>
        <v>0</v>
      </c>
      <c r="AF16" s="19">
        <f>+'CCs # Master'!AD104</f>
        <v>0</v>
      </c>
      <c r="AG16" s="19">
        <f>+'CCs # Master'!AE104</f>
        <v>0</v>
      </c>
      <c r="AH16" s="19">
        <f>+'CCs # Master'!AF104</f>
        <v>0</v>
      </c>
      <c r="AI16" s="19">
        <f>+'CCs # Master'!AG104</f>
        <v>0</v>
      </c>
      <c r="AJ16" s="19">
        <f>+'CCs # Master'!AH104</f>
        <v>0</v>
      </c>
      <c r="AK16" s="19">
        <f>+'CCs # Master'!AI104</f>
        <v>0</v>
      </c>
      <c r="AL16" s="19">
        <f>+'CCs # Master'!AJ104</f>
        <v>0</v>
      </c>
      <c r="AM16" s="19">
        <f>+'CCs # Master'!AK104</f>
        <v>0</v>
      </c>
      <c r="AN16" s="19">
        <f>+'CCs # Master'!AL104</f>
        <v>0</v>
      </c>
      <c r="AO16" s="19">
        <f>+'CCs # Master'!AM104</f>
        <v>0</v>
      </c>
      <c r="AP16" s="19">
        <f>+'CCs # Master'!AN104</f>
        <v>0</v>
      </c>
      <c r="AQ16" s="19">
        <f>+'CCs # Master'!AO104</f>
        <v>0</v>
      </c>
      <c r="AR16" s="19">
        <f>+'CCs # Master'!AP104</f>
        <v>0</v>
      </c>
      <c r="AS16" s="19">
        <f>+'CCs # Master'!AQ104</f>
        <v>0</v>
      </c>
      <c r="AT16" s="19">
        <f>+'CCs # Master'!AR104</f>
        <v>0</v>
      </c>
      <c r="AU16" s="19">
        <f>+'CCs # Master'!AS104</f>
        <v>0</v>
      </c>
      <c r="AV16" s="19">
        <f>+'CCs # Master'!AT104</f>
        <v>0</v>
      </c>
      <c r="AW16"/>
      <c r="AX16" s="21">
        <f t="shared" si="0"/>
        <v>5000</v>
      </c>
      <c r="AY16" s="21">
        <f t="shared" si="1"/>
        <v>0</v>
      </c>
      <c r="BA16" s="19">
        <f t="shared" si="8"/>
        <v>0</v>
      </c>
      <c r="BB16" s="19">
        <f t="shared" si="2"/>
        <v>5000</v>
      </c>
      <c r="BC16" s="19">
        <f t="shared" si="3"/>
        <v>0</v>
      </c>
      <c r="BE16" s="19">
        <f t="shared" si="4"/>
        <v>5000</v>
      </c>
      <c r="BG16" s="234">
        <f t="shared" si="5"/>
        <v>5000</v>
      </c>
      <c r="BH16" s="19">
        <f t="shared" si="6"/>
        <v>0</v>
      </c>
    </row>
    <row r="17" spans="1:60" s="19" customFormat="1" ht="12.95" customHeight="1" x14ac:dyDescent="0.2">
      <c r="A17" s="85">
        <v>11</v>
      </c>
      <c r="B17" s="19" t="str">
        <f>'CCs # Master'!B113</f>
        <v>Corp Strategic Initiatives</v>
      </c>
      <c r="C17" s="19" t="str">
        <f>'CCs # Master'!C113</f>
        <v>Becker, Melissa</v>
      </c>
      <c r="D17" s="205">
        <f>'CCs # Master'!D113</f>
        <v>100236</v>
      </c>
      <c r="E17" s="19">
        <f>+'CCs # Master'!E113</f>
        <v>247</v>
      </c>
      <c r="F17" s="19">
        <f>+'CCs # Master'!F113</f>
        <v>37</v>
      </c>
      <c r="G17" s="19">
        <f>+'CCs # Master'!G113</f>
        <v>6</v>
      </c>
      <c r="H17" s="19">
        <f>+'CCs # Master'!H113</f>
        <v>0</v>
      </c>
      <c r="I17" s="19">
        <f>+'CCs # Master'!I113</f>
        <v>0</v>
      </c>
      <c r="J17" s="19">
        <f>+'CCs # Master'!J113</f>
        <v>3000</v>
      </c>
      <c r="K17" s="19">
        <f>+'CCs # Master'!K113</f>
        <v>3290</v>
      </c>
      <c r="M17" s="19" t="str">
        <f>+'CCs # Master'!M105</f>
        <v>MMF</v>
      </c>
      <c r="N17" s="19">
        <f>+'CCs # Master'!AW113</f>
        <v>3290</v>
      </c>
      <c r="O17" s="19">
        <v>0</v>
      </c>
      <c r="P17" s="19">
        <f>+'CCs # Master'!N113</f>
        <v>0</v>
      </c>
      <c r="Q17" s="19">
        <f>+'CCs # Master'!O113</f>
        <v>0</v>
      </c>
      <c r="R17" s="19">
        <f>+'CCs # Master'!P113</f>
        <v>0</v>
      </c>
      <c r="S17" s="19">
        <f>+'CCs # Master'!Q113</f>
        <v>0</v>
      </c>
      <c r="T17" s="19">
        <f>+'CCs # Master'!R113</f>
        <v>0</v>
      </c>
      <c r="U17" s="19">
        <f>+'CCs # Master'!S113</f>
        <v>0</v>
      </c>
      <c r="V17" s="19">
        <f>+'CCs # Master'!T113</f>
        <v>0</v>
      </c>
      <c r="W17" s="19">
        <f>+'CCs # Master'!U113</f>
        <v>0</v>
      </c>
      <c r="X17" s="19">
        <f>+'CCs # Master'!V113</f>
        <v>0</v>
      </c>
      <c r="Y17" s="19">
        <f>+'CCs # Master'!W113</f>
        <v>0</v>
      </c>
      <c r="Z17" s="19">
        <f>+'CCs # Master'!X113</f>
        <v>0</v>
      </c>
      <c r="AA17" s="19">
        <f>+'CCs # Master'!Y113</f>
        <v>0</v>
      </c>
      <c r="AB17" s="19">
        <f>+'CCs # Master'!Z113</f>
        <v>0</v>
      </c>
      <c r="AC17" s="19">
        <f>+'CCs # Master'!AA113</f>
        <v>0</v>
      </c>
      <c r="AD17" s="19">
        <f>+'CCs # Master'!AB113</f>
        <v>0</v>
      </c>
      <c r="AE17" s="19">
        <f>+'CCs # Master'!AC113</f>
        <v>0</v>
      </c>
      <c r="AF17" s="19">
        <f>+'CCs # Master'!AD113</f>
        <v>0</v>
      </c>
      <c r="AG17" s="19">
        <f>+'CCs # Master'!AE113</f>
        <v>0</v>
      </c>
      <c r="AH17" s="19">
        <f>+'CCs # Master'!AF113</f>
        <v>0</v>
      </c>
      <c r="AI17" s="19">
        <f>+'CCs # Master'!AG113</f>
        <v>0</v>
      </c>
      <c r="AJ17" s="19">
        <f>+'CCs # Master'!AH113</f>
        <v>0</v>
      </c>
      <c r="AK17" s="19">
        <f>+'CCs # Master'!AI113</f>
        <v>0</v>
      </c>
      <c r="AL17" s="19">
        <f>+'CCs # Master'!AJ113</f>
        <v>0</v>
      </c>
      <c r="AM17" s="19">
        <f>+'CCs # Master'!AK113</f>
        <v>0</v>
      </c>
      <c r="AN17" s="19">
        <f>+'CCs # Master'!AL113</f>
        <v>0</v>
      </c>
      <c r="AO17" s="19">
        <f>+'CCs # Master'!AM113</f>
        <v>0</v>
      </c>
      <c r="AP17" s="19">
        <f>+'CCs # Master'!AN113</f>
        <v>0</v>
      </c>
      <c r="AQ17" s="19">
        <f>+'CCs # Master'!AO113</f>
        <v>0</v>
      </c>
      <c r="AR17" s="19">
        <f>+'CCs # Master'!AP113</f>
        <v>0</v>
      </c>
      <c r="AS17" s="19">
        <f>+'CCs # Master'!AQ113</f>
        <v>0</v>
      </c>
      <c r="AT17" s="19">
        <f>+'CCs # Master'!AR113</f>
        <v>0</v>
      </c>
      <c r="AU17" s="19">
        <f>+'CCs # Master'!AS113</f>
        <v>0</v>
      </c>
      <c r="AV17" s="19">
        <f>+'CCs # Master'!AT113</f>
        <v>0</v>
      </c>
      <c r="AW17"/>
      <c r="AX17" s="21">
        <f t="shared" si="0"/>
        <v>3290</v>
      </c>
      <c r="AY17" s="21">
        <f t="shared" si="1"/>
        <v>0</v>
      </c>
      <c r="BA17" s="19">
        <f t="shared" si="8"/>
        <v>0</v>
      </c>
      <c r="BB17" s="19">
        <f>N17</f>
        <v>3290</v>
      </c>
      <c r="BC17" s="19">
        <f>SUM(P17:AW17)</f>
        <v>0</v>
      </c>
      <c r="BE17" s="19">
        <f>SUM(BB17:BC17)</f>
        <v>3290</v>
      </c>
      <c r="BG17" s="234">
        <f>SUM(N17:AW17)</f>
        <v>3290</v>
      </c>
      <c r="BH17" s="19">
        <f>BE17-BG17</f>
        <v>0</v>
      </c>
    </row>
    <row r="18" spans="1:60" s="19" customFormat="1" ht="12.95" customHeight="1" x14ac:dyDescent="0.2">
      <c r="A18" s="85">
        <f>+'CCs # Master'!A109</f>
        <v>11</v>
      </c>
      <c r="B18" s="19" t="str">
        <f>+'CCs # Master'!B109</f>
        <v>Vision &amp; Values Task Force</v>
      </c>
      <c r="C18" s="19" t="str">
        <f>+'CCs # Master'!C109</f>
        <v>Kean, Steve</v>
      </c>
      <c r="D18" s="205">
        <f>+'CCs # Master'!D109</f>
        <v>100230</v>
      </c>
      <c r="E18" s="19">
        <f>+'CCs # Master'!E109</f>
        <v>0</v>
      </c>
      <c r="F18" s="19">
        <f>+'CCs # Master'!F109</f>
        <v>17</v>
      </c>
      <c r="G18" s="19">
        <f>+'CCs # Master'!G109</f>
        <v>80</v>
      </c>
      <c r="H18" s="19">
        <f>+'CCs # Master'!H109</f>
        <v>253</v>
      </c>
      <c r="I18" s="19">
        <f>+'CCs # Master'!I109</f>
        <v>0</v>
      </c>
      <c r="J18" s="19">
        <f>+'CCs # Master'!J109</f>
        <v>0</v>
      </c>
      <c r="K18" s="19">
        <f t="shared" si="7"/>
        <v>350</v>
      </c>
      <c r="M18" s="19" t="str">
        <f>+'CCs # Master'!M109</f>
        <v>MMF</v>
      </c>
      <c r="N18" s="19">
        <f>+'CCs # Master'!AW109</f>
        <v>350</v>
      </c>
      <c r="O18" s="19">
        <v>0</v>
      </c>
      <c r="P18" s="19">
        <f>+'CCs # Master'!N109</f>
        <v>0</v>
      </c>
      <c r="Q18" s="19">
        <f>+'CCs # Master'!O109</f>
        <v>0</v>
      </c>
      <c r="R18" s="19">
        <f>+'CCs # Master'!P109</f>
        <v>0</v>
      </c>
      <c r="S18" s="19">
        <f>+'CCs # Master'!Q109</f>
        <v>0</v>
      </c>
      <c r="T18" s="19">
        <f>+'CCs # Master'!R109</f>
        <v>0</v>
      </c>
      <c r="U18" s="19">
        <f>+'CCs # Master'!S109</f>
        <v>0</v>
      </c>
      <c r="V18" s="19">
        <f>+'CCs # Master'!T109</f>
        <v>0</v>
      </c>
      <c r="W18" s="19">
        <f>+'CCs # Master'!U109</f>
        <v>0</v>
      </c>
      <c r="X18" s="19">
        <f>+'CCs # Master'!V109</f>
        <v>0</v>
      </c>
      <c r="Y18" s="19">
        <f>+'CCs # Master'!W109</f>
        <v>0</v>
      </c>
      <c r="Z18" s="19">
        <f>+'CCs # Master'!X109</f>
        <v>0</v>
      </c>
      <c r="AA18" s="19">
        <f>+'CCs # Master'!Y109</f>
        <v>0</v>
      </c>
      <c r="AB18" s="19">
        <f>+'CCs # Master'!Z109</f>
        <v>0</v>
      </c>
      <c r="AC18" s="19">
        <f>+'CCs # Master'!AA109</f>
        <v>0</v>
      </c>
      <c r="AD18" s="19">
        <f>+'CCs # Master'!AB109</f>
        <v>0</v>
      </c>
      <c r="AE18" s="19">
        <f>+'CCs # Master'!AC109</f>
        <v>0</v>
      </c>
      <c r="AF18" s="19">
        <f>+'CCs # Master'!AD109</f>
        <v>0</v>
      </c>
      <c r="AG18" s="19">
        <f>+'CCs # Master'!AE109</f>
        <v>0</v>
      </c>
      <c r="AH18" s="19">
        <f>+'CCs # Master'!AF109</f>
        <v>0</v>
      </c>
      <c r="AI18" s="19">
        <f>+'CCs # Master'!AG109</f>
        <v>0</v>
      </c>
      <c r="AJ18" s="19">
        <f>+'CCs # Master'!AH109</f>
        <v>0</v>
      </c>
      <c r="AK18" s="19">
        <f>+'CCs # Master'!AI109</f>
        <v>0</v>
      </c>
      <c r="AL18" s="19">
        <f>+'CCs # Master'!AJ109</f>
        <v>0</v>
      </c>
      <c r="AM18" s="19">
        <f>+'CCs # Master'!AK109</f>
        <v>0</v>
      </c>
      <c r="AN18" s="19">
        <f>+'CCs # Master'!AL109</f>
        <v>0</v>
      </c>
      <c r="AO18" s="19">
        <f>+'CCs # Master'!AM109</f>
        <v>0</v>
      </c>
      <c r="AP18" s="19">
        <f>+'CCs # Master'!AN109</f>
        <v>0</v>
      </c>
      <c r="AQ18" s="19">
        <f>+'CCs # Master'!AO109</f>
        <v>0</v>
      </c>
      <c r="AR18" s="19">
        <f>+'CCs # Master'!AP109</f>
        <v>0</v>
      </c>
      <c r="AS18" s="19">
        <f>+'CCs # Master'!AQ109</f>
        <v>0</v>
      </c>
      <c r="AT18" s="19">
        <f>+'CCs # Master'!AR109</f>
        <v>0</v>
      </c>
      <c r="AU18" s="19">
        <f>+'CCs # Master'!AS109</f>
        <v>0</v>
      </c>
      <c r="AV18" s="19">
        <f>+'CCs # Master'!AT109</f>
        <v>0</v>
      </c>
      <c r="AW18"/>
      <c r="AX18" s="21">
        <f t="shared" si="0"/>
        <v>350</v>
      </c>
      <c r="AY18" s="21">
        <f t="shared" si="1"/>
        <v>0</v>
      </c>
      <c r="BA18" s="19">
        <f t="shared" si="8"/>
        <v>0</v>
      </c>
      <c r="BB18" s="19">
        <f t="shared" si="2"/>
        <v>350</v>
      </c>
      <c r="BC18" s="19">
        <f t="shared" si="3"/>
        <v>0</v>
      </c>
      <c r="BE18" s="19">
        <f t="shared" si="4"/>
        <v>350</v>
      </c>
      <c r="BG18" s="234">
        <f t="shared" si="5"/>
        <v>350</v>
      </c>
      <c r="BH18" s="19">
        <f t="shared" si="6"/>
        <v>0</v>
      </c>
    </row>
    <row r="19" spans="1:60" s="19" customFormat="1" ht="12.95" customHeight="1" x14ac:dyDescent="0.2">
      <c r="A19" s="85">
        <v>11</v>
      </c>
      <c r="B19" s="19" t="str">
        <f>'CCs # Master'!B148</f>
        <v>EVP &amp; Chief Strategy Officer</v>
      </c>
      <c r="C19" s="19" t="str">
        <f>'CCs # Master'!C148</f>
        <v>Baxter, C</v>
      </c>
      <c r="D19" s="205">
        <f>'CCs # Master'!D148</f>
        <v>102817</v>
      </c>
      <c r="E19" s="19">
        <f>+'CCs # Master'!E148</f>
        <v>423</v>
      </c>
      <c r="F19" s="19">
        <f>+'CCs # Master'!F148</f>
        <v>380</v>
      </c>
      <c r="G19" s="19">
        <f>+'CCs # Master'!G148</f>
        <v>11</v>
      </c>
      <c r="H19" s="19">
        <f>+'CCs # Master'!H148</f>
        <v>262</v>
      </c>
      <c r="I19" s="19">
        <f>+'CCs # Master'!I148</f>
        <v>55</v>
      </c>
      <c r="J19" s="19">
        <f>+'CCs # Master'!J148</f>
        <v>419</v>
      </c>
      <c r="K19" s="19">
        <f t="shared" si="7"/>
        <v>1550</v>
      </c>
      <c r="M19" s="19" t="s">
        <v>182</v>
      </c>
      <c r="N19" s="19">
        <f>+'CCs # Master'!AW148</f>
        <v>1550</v>
      </c>
      <c r="O19" s="19">
        <v>0</v>
      </c>
      <c r="P19" s="19">
        <v>0</v>
      </c>
      <c r="Q19" s="19">
        <v>0</v>
      </c>
      <c r="R19" s="19">
        <v>0</v>
      </c>
      <c r="S19" s="19">
        <v>0</v>
      </c>
      <c r="T19" s="19">
        <v>0</v>
      </c>
      <c r="U19" s="19">
        <v>0</v>
      </c>
      <c r="V19" s="19">
        <v>0</v>
      </c>
      <c r="W19" s="19">
        <v>0</v>
      </c>
      <c r="X19" s="19">
        <v>0</v>
      </c>
      <c r="Y19" s="19">
        <v>0</v>
      </c>
      <c r="Z19" s="19">
        <v>0</v>
      </c>
      <c r="AA19" s="19">
        <v>0</v>
      </c>
      <c r="AB19" s="19">
        <v>0</v>
      </c>
      <c r="AC19" s="19">
        <v>0</v>
      </c>
      <c r="AD19" s="19">
        <v>0</v>
      </c>
      <c r="AE19" s="19">
        <v>0</v>
      </c>
      <c r="AF19" s="19">
        <v>0</v>
      </c>
      <c r="AG19" s="19">
        <v>0</v>
      </c>
      <c r="AH19" s="19">
        <v>0</v>
      </c>
      <c r="AI19" s="19">
        <v>0</v>
      </c>
      <c r="AJ19" s="19">
        <v>0</v>
      </c>
      <c r="AK19" s="19">
        <v>0</v>
      </c>
      <c r="AL19" s="19">
        <v>0</v>
      </c>
      <c r="AM19" s="19">
        <v>0</v>
      </c>
      <c r="AN19" s="19">
        <v>0</v>
      </c>
      <c r="AO19" s="19">
        <v>0</v>
      </c>
      <c r="AP19" s="19">
        <v>0</v>
      </c>
      <c r="AQ19" s="19">
        <v>0</v>
      </c>
      <c r="AR19" s="19">
        <v>0</v>
      </c>
      <c r="AS19" s="19">
        <v>0</v>
      </c>
      <c r="AT19" s="19">
        <v>0</v>
      </c>
      <c r="AU19" s="19">
        <v>0</v>
      </c>
      <c r="AV19" s="19">
        <v>0</v>
      </c>
      <c r="AW19"/>
      <c r="AX19" s="21">
        <f t="shared" si="0"/>
        <v>1550</v>
      </c>
      <c r="AY19" s="21">
        <f t="shared" si="1"/>
        <v>0</v>
      </c>
      <c r="BA19" s="19">
        <f t="shared" si="8"/>
        <v>0</v>
      </c>
      <c r="BB19" s="19">
        <f>N19</f>
        <v>1550</v>
      </c>
      <c r="BC19" s="19">
        <f>SUM(P19:AW19)</f>
        <v>0</v>
      </c>
      <c r="BE19" s="19">
        <f>SUM(BB19:BC19)</f>
        <v>1550</v>
      </c>
      <c r="BG19" s="234">
        <f>SUM(N19:AW19)</f>
        <v>1550</v>
      </c>
      <c r="BH19" s="19">
        <f>BE19-BG19</f>
        <v>0</v>
      </c>
    </row>
    <row r="20" spans="1:60" s="19" customFormat="1" ht="12.95" customHeight="1" x14ac:dyDescent="0.2">
      <c r="A20" s="85">
        <f>+'CCs # Master'!A117</f>
        <v>11</v>
      </c>
      <c r="B20" s="19" t="str">
        <f>+'CCs # Master'!B117</f>
        <v>Vice- Chairman  (Sutton)</v>
      </c>
      <c r="C20" s="19" t="str">
        <f>+'CCs # Master'!C117</f>
        <v>Sutton, Joe</v>
      </c>
      <c r="D20" s="205">
        <f>+'CCs # Master'!D117</f>
        <v>100281</v>
      </c>
      <c r="E20" s="19">
        <f>+'CCs # Master'!E117</f>
        <v>0</v>
      </c>
      <c r="F20" s="19">
        <f>+'CCs # Master'!F117</f>
        <v>0</v>
      </c>
      <c r="G20" s="19">
        <f>+'CCs # Master'!G117</f>
        <v>0</v>
      </c>
      <c r="H20" s="19">
        <f>+'CCs # Master'!H117</f>
        <v>0</v>
      </c>
      <c r="I20" s="19">
        <f>+'CCs # Master'!I117</f>
        <v>0</v>
      </c>
      <c r="J20" s="19">
        <f>+'CCs # Master'!J117</f>
        <v>0</v>
      </c>
      <c r="K20" s="19">
        <f t="shared" si="7"/>
        <v>0</v>
      </c>
      <c r="M20" s="19" t="str">
        <f>+'CCs # Master'!M117</f>
        <v>MMF</v>
      </c>
      <c r="N20" s="19">
        <f>+'CCs # Master'!AW117</f>
        <v>0</v>
      </c>
      <c r="O20" s="19">
        <v>0</v>
      </c>
      <c r="P20" s="19">
        <f>+'CCs # Master'!N117</f>
        <v>0</v>
      </c>
      <c r="Q20" s="19">
        <f>+'CCs # Master'!O117</f>
        <v>0</v>
      </c>
      <c r="R20" s="19">
        <f>+'CCs # Master'!P117</f>
        <v>0</v>
      </c>
      <c r="S20" s="19">
        <f>+'CCs # Master'!Q117</f>
        <v>0</v>
      </c>
      <c r="T20" s="19">
        <f>+'CCs # Master'!R117</f>
        <v>0</v>
      </c>
      <c r="U20" s="19">
        <f>+'CCs # Master'!S117</f>
        <v>0</v>
      </c>
      <c r="V20" s="19">
        <f>+'CCs # Master'!T117</f>
        <v>0</v>
      </c>
      <c r="W20" s="19">
        <f>+'CCs # Master'!U117</f>
        <v>0</v>
      </c>
      <c r="X20" s="19">
        <f>+'CCs # Master'!V117</f>
        <v>0</v>
      </c>
      <c r="Y20" s="19">
        <f>+'CCs # Master'!W117</f>
        <v>0</v>
      </c>
      <c r="Z20" s="19">
        <f>+'CCs # Master'!X117</f>
        <v>0</v>
      </c>
      <c r="AA20" s="19">
        <f>+'CCs # Master'!Y117</f>
        <v>0</v>
      </c>
      <c r="AB20" s="19">
        <f>+'CCs # Master'!Z117</f>
        <v>0</v>
      </c>
      <c r="AC20" s="19">
        <f>+'CCs # Master'!AA117</f>
        <v>0</v>
      </c>
      <c r="AD20" s="19">
        <f>+'CCs # Master'!AB117</f>
        <v>0</v>
      </c>
      <c r="AE20" s="19">
        <f>+'CCs # Master'!AC117</f>
        <v>0</v>
      </c>
      <c r="AF20" s="19">
        <f>+'CCs # Master'!AD117</f>
        <v>0</v>
      </c>
      <c r="AG20" s="19">
        <f>+'CCs # Master'!AE117</f>
        <v>0</v>
      </c>
      <c r="AH20" s="19">
        <f>+'CCs # Master'!AF117</f>
        <v>0</v>
      </c>
      <c r="AI20" s="19">
        <f>+'CCs # Master'!AG117</f>
        <v>0</v>
      </c>
      <c r="AJ20" s="19">
        <f>+'CCs # Master'!AH117</f>
        <v>0</v>
      </c>
      <c r="AK20" s="19">
        <f>+'CCs # Master'!AI117</f>
        <v>0</v>
      </c>
      <c r="AL20" s="19">
        <f>+'CCs # Master'!AJ117</f>
        <v>0</v>
      </c>
      <c r="AM20" s="19">
        <f>+'CCs # Master'!AK117</f>
        <v>0</v>
      </c>
      <c r="AN20" s="19">
        <f>+'CCs # Master'!AL117</f>
        <v>0</v>
      </c>
      <c r="AO20" s="19">
        <f>+'CCs # Master'!AM117</f>
        <v>0</v>
      </c>
      <c r="AP20" s="19">
        <f>+'CCs # Master'!AN117</f>
        <v>0</v>
      </c>
      <c r="AQ20" s="19">
        <f>+'CCs # Master'!AO117</f>
        <v>0</v>
      </c>
      <c r="AR20" s="19">
        <f>+'CCs # Master'!AP117</f>
        <v>0</v>
      </c>
      <c r="AS20" s="19">
        <f>+'CCs # Master'!AQ117</f>
        <v>0</v>
      </c>
      <c r="AT20" s="19">
        <f>+'CCs # Master'!AR117</f>
        <v>0</v>
      </c>
      <c r="AU20" s="19">
        <f>+'CCs # Master'!AS117</f>
        <v>0</v>
      </c>
      <c r="AV20" s="19">
        <f>+'CCs # Master'!AT117</f>
        <v>0</v>
      </c>
      <c r="AW20"/>
      <c r="AX20" s="21">
        <f t="shared" si="0"/>
        <v>0</v>
      </c>
      <c r="AY20" s="21">
        <f t="shared" si="1"/>
        <v>0</v>
      </c>
      <c r="BA20" s="19">
        <f t="shared" si="8"/>
        <v>0</v>
      </c>
      <c r="BB20" s="19">
        <f t="shared" si="2"/>
        <v>0</v>
      </c>
      <c r="BC20" s="227">
        <f t="shared" si="3"/>
        <v>0</v>
      </c>
      <c r="BE20" s="227">
        <f t="shared" si="4"/>
        <v>0</v>
      </c>
      <c r="BG20" s="249">
        <f>SUM(N20:AW20)</f>
        <v>0</v>
      </c>
      <c r="BH20" s="19">
        <f t="shared" si="6"/>
        <v>0</v>
      </c>
    </row>
    <row r="21" spans="1:60" s="19" customFormat="1" ht="8.1" customHeight="1" x14ac:dyDescent="0.2">
      <c r="A21" s="85"/>
      <c r="D21" s="205"/>
      <c r="E21" s="191"/>
      <c r="F21" s="191"/>
      <c r="G21" s="191"/>
      <c r="H21" s="191"/>
      <c r="I21" s="191"/>
      <c r="J21" s="191"/>
      <c r="K21" s="191"/>
      <c r="N21" s="191"/>
      <c r="O21" s="191"/>
      <c r="P21" s="191"/>
      <c r="Q21" s="191"/>
      <c r="R21" s="191"/>
      <c r="S21" s="191"/>
      <c r="T21" s="191"/>
      <c r="U21" s="191"/>
      <c r="V21" s="191"/>
      <c r="W21" s="191"/>
      <c r="X21" s="191"/>
      <c r="Y21" s="191"/>
      <c r="Z21" s="191"/>
      <c r="AA21" s="191"/>
      <c r="AB21" s="191"/>
      <c r="AC21" s="191"/>
      <c r="AD21" s="191"/>
      <c r="AE21" s="191"/>
      <c r="AF21" s="191"/>
      <c r="AG21" s="191"/>
      <c r="AH21" s="191"/>
      <c r="AI21" s="191"/>
      <c r="AJ21" s="191"/>
      <c r="AK21" s="191"/>
      <c r="AL21" s="191"/>
      <c r="AM21" s="191"/>
      <c r="AN21" s="191"/>
      <c r="AO21" s="191"/>
      <c r="AP21" s="191"/>
      <c r="AQ21" s="191"/>
      <c r="AR21" s="191"/>
      <c r="AS21" s="191"/>
      <c r="AT21" s="191"/>
      <c r="AU21" s="191"/>
      <c r="AV21" s="191"/>
      <c r="AW21"/>
      <c r="AX21" s="191"/>
      <c r="AY21" s="191"/>
      <c r="BA21" s="191"/>
      <c r="BB21" s="191"/>
      <c r="BG21" s="234"/>
    </row>
    <row r="22" spans="1:60" s="19" customFormat="1" ht="12.95" customHeight="1" x14ac:dyDescent="0.2">
      <c r="A22" s="85"/>
      <c r="D22" s="205"/>
      <c r="E22" s="227">
        <f>SUM(E10:E21)</f>
        <v>4137</v>
      </c>
      <c r="F22" s="227">
        <f t="shared" ref="F22:K22" si="9">SUM(F10:F21)</f>
        <v>3280</v>
      </c>
      <c r="G22" s="227">
        <f t="shared" si="9"/>
        <v>160</v>
      </c>
      <c r="H22" s="227">
        <f t="shared" si="9"/>
        <v>3354</v>
      </c>
      <c r="I22" s="227">
        <f t="shared" si="9"/>
        <v>676</v>
      </c>
      <c r="J22" s="227">
        <f t="shared" si="9"/>
        <v>9343</v>
      </c>
      <c r="K22" s="227">
        <f t="shared" si="9"/>
        <v>20950</v>
      </c>
      <c r="N22" s="227">
        <f>SUM(N10:N21)</f>
        <v>20422</v>
      </c>
      <c r="O22" s="227">
        <f t="shared" ref="O22:AR22" si="10">SUM(O10:O21)</f>
        <v>0</v>
      </c>
      <c r="P22" s="227">
        <f t="shared" si="10"/>
        <v>2</v>
      </c>
      <c r="Q22" s="227">
        <f t="shared" si="10"/>
        <v>4</v>
      </c>
      <c r="R22" s="227">
        <f t="shared" si="10"/>
        <v>30</v>
      </c>
      <c r="S22" s="227">
        <f t="shared" si="10"/>
        <v>0</v>
      </c>
      <c r="T22" s="227">
        <f t="shared" si="10"/>
        <v>4</v>
      </c>
      <c r="U22" s="227">
        <f t="shared" si="10"/>
        <v>0</v>
      </c>
      <c r="V22" s="227">
        <f t="shared" si="10"/>
        <v>7</v>
      </c>
      <c r="W22" s="227">
        <f t="shared" si="10"/>
        <v>7</v>
      </c>
      <c r="X22" s="227">
        <f t="shared" si="10"/>
        <v>20</v>
      </c>
      <c r="Y22" s="227">
        <f t="shared" si="10"/>
        <v>0</v>
      </c>
      <c r="Z22" s="227">
        <f t="shared" si="10"/>
        <v>138</v>
      </c>
      <c r="AA22" s="227">
        <f t="shared" si="10"/>
        <v>4</v>
      </c>
      <c r="AB22" s="227">
        <f t="shared" si="10"/>
        <v>1</v>
      </c>
      <c r="AC22" s="227">
        <f t="shared" si="10"/>
        <v>0</v>
      </c>
      <c r="AD22" s="227">
        <f t="shared" si="10"/>
        <v>0</v>
      </c>
      <c r="AE22" s="227">
        <f t="shared" si="10"/>
        <v>13</v>
      </c>
      <c r="AF22" s="227">
        <f t="shared" si="10"/>
        <v>64</v>
      </c>
      <c r="AG22" s="227">
        <f t="shared" si="10"/>
        <v>72</v>
      </c>
      <c r="AH22" s="227">
        <f t="shared" si="10"/>
        <v>5</v>
      </c>
      <c r="AI22" s="227">
        <f t="shared" si="10"/>
        <v>0</v>
      </c>
      <c r="AJ22" s="227">
        <f t="shared" si="10"/>
        <v>26</v>
      </c>
      <c r="AK22" s="227">
        <f t="shared" si="10"/>
        <v>35</v>
      </c>
      <c r="AL22" s="227">
        <f t="shared" si="10"/>
        <v>13</v>
      </c>
      <c r="AM22" s="227">
        <f t="shared" si="10"/>
        <v>8</v>
      </c>
      <c r="AN22" s="227">
        <f t="shared" si="10"/>
        <v>13</v>
      </c>
      <c r="AO22" s="227">
        <f t="shared" si="10"/>
        <v>23</v>
      </c>
      <c r="AP22" s="227">
        <f t="shared" si="10"/>
        <v>0</v>
      </c>
      <c r="AQ22" s="227">
        <f t="shared" si="10"/>
        <v>28</v>
      </c>
      <c r="AR22" s="227">
        <f t="shared" si="10"/>
        <v>9</v>
      </c>
      <c r="AS22" s="227">
        <f>SUM(AS10:AS21)</f>
        <v>0</v>
      </c>
      <c r="AT22" s="227">
        <f>SUM(AT10:AT21)</f>
        <v>2</v>
      </c>
      <c r="AU22" s="227">
        <f>SUM(AU10:AU21)</f>
        <v>0</v>
      </c>
      <c r="AV22" s="227">
        <f>SUM(AV10:AV21)</f>
        <v>0</v>
      </c>
      <c r="AW22"/>
      <c r="AX22" s="227">
        <f>SUM(AX10:AX21)</f>
        <v>20950</v>
      </c>
      <c r="AY22" s="227">
        <f>SUM(AY10:AY21)</f>
        <v>0</v>
      </c>
      <c r="BA22" s="227">
        <f>SUM(BA10:BA21)</f>
        <v>44</v>
      </c>
      <c r="BB22" s="227">
        <f>SUM(BB10:BB21)</f>
        <v>20422</v>
      </c>
      <c r="BC22" s="227">
        <f>SUM(BC10:BC21)</f>
        <v>528</v>
      </c>
      <c r="BE22" s="227">
        <f>SUM(BE10:BE21)</f>
        <v>20950</v>
      </c>
      <c r="BG22" s="249">
        <f>SUM(N22:AV22)</f>
        <v>20950</v>
      </c>
      <c r="BH22" s="19">
        <f>BE22-BG22</f>
        <v>0</v>
      </c>
    </row>
    <row r="23" spans="1:60" s="19" customFormat="1" ht="8.1" customHeight="1" x14ac:dyDescent="0.2">
      <c r="A23" s="85"/>
      <c r="D23" s="205"/>
      <c r="K23" s="21"/>
      <c r="AW23"/>
      <c r="AX23" s="21"/>
      <c r="AY23" s="21"/>
      <c r="BG23" s="234"/>
    </row>
    <row r="24" spans="1:60" s="19" customFormat="1" ht="12.95" customHeight="1" x14ac:dyDescent="0.2">
      <c r="A24" s="207" t="s">
        <v>338</v>
      </c>
      <c r="B24" s="29"/>
      <c r="D24" s="205"/>
      <c r="F24" s="21"/>
      <c r="G24" s="21"/>
      <c r="K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c r="AX24" s="21"/>
      <c r="AY24" s="21"/>
      <c r="BA24" s="21"/>
      <c r="BB24" s="21"/>
      <c r="BC24" s="21"/>
      <c r="BE24" s="21"/>
      <c r="BF24" s="21"/>
      <c r="BG24" s="234"/>
    </row>
    <row r="25" spans="1:60" s="19" customFormat="1" ht="12.95" customHeight="1" x14ac:dyDescent="0.2">
      <c r="A25" s="85">
        <f>+'CCs # Master'!A30</f>
        <v>11</v>
      </c>
      <c r="B25" s="19" t="str">
        <f>+'CCs # Master'!B30</f>
        <v>Corporate Secretary</v>
      </c>
      <c r="C25" s="19" t="str">
        <f>+'CCs # Master'!C30</f>
        <v>Menchaca, P</v>
      </c>
      <c r="D25" s="205">
        <f>+'CCs # Master'!D30</f>
        <v>100030</v>
      </c>
      <c r="E25" s="19">
        <f>+'CCs # Master'!E30</f>
        <v>1697</v>
      </c>
      <c r="F25" s="19">
        <f>+'CCs # Master'!F30</f>
        <v>45</v>
      </c>
      <c r="G25" s="19">
        <f>+'CCs # Master'!G30</f>
        <v>6</v>
      </c>
      <c r="H25" s="19">
        <f>+'CCs # Master'!H30</f>
        <v>1760</v>
      </c>
      <c r="I25" s="19">
        <f>+'CCs # Master'!I30</f>
        <v>210</v>
      </c>
      <c r="J25" s="19">
        <f>+'CCs # Master'!J30</f>
        <v>900</v>
      </c>
      <c r="K25" s="19">
        <f>SUM(E25:J25)</f>
        <v>4618</v>
      </c>
      <c r="M25" s="19" t="str">
        <f>+'CCs # Master'!M30</f>
        <v>Anticipated Resources/Company Numbers</v>
      </c>
      <c r="N25" s="19">
        <f>+'CCs # Master'!AW30</f>
        <v>3805</v>
      </c>
      <c r="O25" s="19">
        <v>0</v>
      </c>
      <c r="P25" s="19">
        <f>+'CCs # Master'!N30</f>
        <v>0</v>
      </c>
      <c r="Q25" s="19">
        <f>+'CCs # Master'!O30</f>
        <v>0</v>
      </c>
      <c r="R25" s="19">
        <f>+'CCs # Master'!P30</f>
        <v>0</v>
      </c>
      <c r="S25" s="19">
        <f>+'CCs # Master'!Q30</f>
        <v>0</v>
      </c>
      <c r="T25" s="19">
        <f>+'CCs # Master'!R30</f>
        <v>0</v>
      </c>
      <c r="U25" s="19">
        <f>+'CCs # Master'!S30</f>
        <v>17</v>
      </c>
      <c r="V25" s="19">
        <f>+'CCs # Master'!T30</f>
        <v>0</v>
      </c>
      <c r="W25" s="19">
        <f>+'CCs # Master'!U30</f>
        <v>0</v>
      </c>
      <c r="X25" s="19">
        <f>+'CCs # Master'!V30</f>
        <v>67</v>
      </c>
      <c r="Y25" s="19">
        <f>+'CCs # Master'!W30</f>
        <v>0</v>
      </c>
      <c r="Z25" s="19">
        <f>+'CCs # Master'!X30</f>
        <v>278</v>
      </c>
      <c r="AA25" s="19">
        <f>+'CCs # Master'!Y30</f>
        <v>0</v>
      </c>
      <c r="AB25" s="19">
        <f>+'CCs # Master'!Z30</f>
        <v>0</v>
      </c>
      <c r="AC25" s="19">
        <f>+'CCs # Master'!AA30</f>
        <v>0</v>
      </c>
      <c r="AD25" s="19">
        <f>+'CCs # Master'!AB30</f>
        <v>0</v>
      </c>
      <c r="AE25" s="19">
        <f>+'CCs # Master'!AC30</f>
        <v>0</v>
      </c>
      <c r="AF25" s="19">
        <f>+'CCs # Master'!AD30</f>
        <v>73</v>
      </c>
      <c r="AG25" s="19">
        <f>+'CCs # Master'!AE30</f>
        <v>67</v>
      </c>
      <c r="AH25" s="19">
        <f>+'CCs # Master'!AF30</f>
        <v>0</v>
      </c>
      <c r="AI25" s="19">
        <f>+'CCs # Master'!AG30</f>
        <v>67</v>
      </c>
      <c r="AJ25" s="19">
        <f>+'CCs # Master'!AH30</f>
        <v>67</v>
      </c>
      <c r="AK25" s="19">
        <f>+'CCs # Master'!AI30</f>
        <v>67</v>
      </c>
      <c r="AL25" s="19">
        <f>+'CCs # Master'!AJ30</f>
        <v>0</v>
      </c>
      <c r="AM25" s="19">
        <f>+'CCs # Master'!AK30</f>
        <v>0</v>
      </c>
      <c r="AN25" s="19">
        <f>+'CCs # Master'!AL30</f>
        <v>30</v>
      </c>
      <c r="AO25" s="19">
        <f>+'CCs # Master'!AM30</f>
        <v>0</v>
      </c>
      <c r="AP25" s="19">
        <f>+'CCs # Master'!AN30</f>
        <v>0</v>
      </c>
      <c r="AQ25" s="19">
        <f>+'CCs # Master'!AO30</f>
        <v>37</v>
      </c>
      <c r="AR25" s="19">
        <f>+'CCs # Master'!AP30</f>
        <v>26</v>
      </c>
      <c r="AS25" s="19">
        <f>+'CCs # Master'!AQ30</f>
        <v>0</v>
      </c>
      <c r="AT25" s="19">
        <f>+'CCs # Master'!AR30</f>
        <v>17</v>
      </c>
      <c r="AU25" s="19">
        <f>+'CCs # Master'!AS30</f>
        <v>0</v>
      </c>
      <c r="AV25" s="19">
        <f>+'CCs # Master'!AT30</f>
        <v>0</v>
      </c>
      <c r="AW25"/>
      <c r="AX25" s="21">
        <f t="shared" ref="AX25:AX31" si="11">SUM(N25:AW25)</f>
        <v>4618</v>
      </c>
      <c r="AY25" s="21">
        <f t="shared" ref="AY25:AY32" si="12">+K25-AX25</f>
        <v>0</v>
      </c>
      <c r="BA25" s="19">
        <f t="shared" ref="BA25:BA32" si="13">+P25+Q25+T25+U25+V25+W25+X25+Y25</f>
        <v>84</v>
      </c>
      <c r="BB25" s="19">
        <f t="shared" ref="BB25:BB31" si="14">N25</f>
        <v>3805</v>
      </c>
      <c r="BC25" s="19">
        <f t="shared" ref="BC25:BC32" si="15">SUM(P25:AW25)</f>
        <v>813</v>
      </c>
      <c r="BE25" s="19">
        <f t="shared" ref="BE25:BE32" si="16">SUM(BB25:BC25)</f>
        <v>4618</v>
      </c>
      <c r="BG25" s="234">
        <f t="shared" ref="BG25:BG32" si="17">SUM(N25:AW25)</f>
        <v>4618</v>
      </c>
      <c r="BH25" s="19">
        <f t="shared" ref="BH25:BH31" si="18">BE25-BG25</f>
        <v>0</v>
      </c>
    </row>
    <row r="26" spans="1:60" s="19" customFormat="1" ht="12.95" customHeight="1" x14ac:dyDescent="0.2">
      <c r="A26" s="85">
        <f>+'CCs # Master'!A31</f>
        <v>11</v>
      </c>
      <c r="B26" s="19" t="str">
        <f>+'CCs # Master'!B31</f>
        <v>MLP Services</v>
      </c>
      <c r="C26" s="19" t="str">
        <f>+'CCs # Master'!C31</f>
        <v>Davis, Hardie</v>
      </c>
      <c r="D26" s="205">
        <f>+'CCs # Master'!D31</f>
        <v>100031</v>
      </c>
      <c r="E26" s="19">
        <f>+'CCs # Master'!E31</f>
        <v>355</v>
      </c>
      <c r="F26" s="19">
        <f>+'CCs # Master'!F31</f>
        <v>20</v>
      </c>
      <c r="G26" s="19">
        <f>+'CCs # Master'!G31</f>
        <v>6</v>
      </c>
      <c r="H26" s="19">
        <f>+'CCs # Master'!H31</f>
        <v>106</v>
      </c>
      <c r="I26" s="19">
        <f>+'CCs # Master'!I31</f>
        <v>55</v>
      </c>
      <c r="J26" s="19">
        <f>+'CCs # Master'!J31</f>
        <v>0</v>
      </c>
      <c r="K26" s="19">
        <f t="shared" ref="K26:K32" si="19">SUM(E26:J26)</f>
        <v>542</v>
      </c>
      <c r="M26" s="19" t="str">
        <f>+'CCs # Master'!M31</f>
        <v>MMF/MLP Direct</v>
      </c>
      <c r="N26" s="19">
        <f>+'CCs # Master'!AW31</f>
        <v>216</v>
      </c>
      <c r="O26" s="19">
        <v>0</v>
      </c>
      <c r="P26" s="19">
        <f>+'CCs # Master'!N31</f>
        <v>0</v>
      </c>
      <c r="Q26" s="19">
        <f>+'CCs # Master'!O31</f>
        <v>0</v>
      </c>
      <c r="R26" s="19">
        <f>+'CCs # Master'!P31</f>
        <v>0</v>
      </c>
      <c r="S26" s="19">
        <f>+'CCs # Master'!Q31</f>
        <v>0</v>
      </c>
      <c r="T26" s="19">
        <f>+'CCs # Master'!R31</f>
        <v>0</v>
      </c>
      <c r="U26" s="19">
        <f>+'CCs # Master'!S31</f>
        <v>136</v>
      </c>
      <c r="V26" s="19">
        <f>+'CCs # Master'!T31</f>
        <v>190</v>
      </c>
      <c r="W26" s="19">
        <f>+'CCs # Master'!U31</f>
        <v>0</v>
      </c>
      <c r="X26" s="19">
        <f>+'CCs # Master'!V31</f>
        <v>0</v>
      </c>
      <c r="Y26" s="19">
        <f>+'CCs # Master'!W31</f>
        <v>0</v>
      </c>
      <c r="Z26" s="19">
        <f>+'CCs # Master'!X31</f>
        <v>0</v>
      </c>
      <c r="AA26" s="19">
        <f>+'CCs # Master'!Y31</f>
        <v>0</v>
      </c>
      <c r="AB26" s="19">
        <f>+'CCs # Master'!Z31</f>
        <v>0</v>
      </c>
      <c r="AC26" s="19">
        <f>+'CCs # Master'!AA31</f>
        <v>0</v>
      </c>
      <c r="AD26" s="19">
        <f>+'CCs # Master'!AB31</f>
        <v>0</v>
      </c>
      <c r="AE26" s="19">
        <f>+'CCs # Master'!AC31</f>
        <v>0</v>
      </c>
      <c r="AF26" s="19">
        <f>+'CCs # Master'!AD31</f>
        <v>0</v>
      </c>
      <c r="AG26" s="19">
        <f>+'CCs # Master'!AE31</f>
        <v>0</v>
      </c>
      <c r="AH26" s="19">
        <f>+'CCs # Master'!AF31</f>
        <v>0</v>
      </c>
      <c r="AI26" s="19">
        <f>+'CCs # Master'!AG31</f>
        <v>0</v>
      </c>
      <c r="AJ26" s="19">
        <f>+'CCs # Master'!AH31</f>
        <v>0</v>
      </c>
      <c r="AK26" s="19">
        <f>+'CCs # Master'!AI31</f>
        <v>0</v>
      </c>
      <c r="AL26" s="19">
        <f>+'CCs # Master'!AJ31</f>
        <v>0</v>
      </c>
      <c r="AM26" s="19">
        <f>+'CCs # Master'!AK31</f>
        <v>0</v>
      </c>
      <c r="AN26" s="19">
        <f>+'CCs # Master'!AL31</f>
        <v>0</v>
      </c>
      <c r="AO26" s="19">
        <f>+'CCs # Master'!AM31</f>
        <v>0</v>
      </c>
      <c r="AP26" s="19">
        <f>+'CCs # Master'!AN31</f>
        <v>0</v>
      </c>
      <c r="AQ26" s="19">
        <f>+'CCs # Master'!AO31</f>
        <v>0</v>
      </c>
      <c r="AR26" s="19">
        <f>+'CCs # Master'!AP31</f>
        <v>0</v>
      </c>
      <c r="AS26" s="19">
        <f>+'CCs # Master'!AQ31</f>
        <v>0</v>
      </c>
      <c r="AT26" s="19">
        <f>+'CCs # Master'!AR31</f>
        <v>0</v>
      </c>
      <c r="AU26" s="19">
        <f>+'CCs # Master'!AS31</f>
        <v>0</v>
      </c>
      <c r="AV26" s="19">
        <f>+'CCs # Master'!AT31</f>
        <v>0</v>
      </c>
      <c r="AW26"/>
      <c r="AX26" s="21">
        <f t="shared" si="11"/>
        <v>542</v>
      </c>
      <c r="AY26" s="21">
        <f t="shared" si="12"/>
        <v>0</v>
      </c>
      <c r="BA26" s="19">
        <f t="shared" si="13"/>
        <v>326</v>
      </c>
      <c r="BB26" s="19">
        <f t="shared" si="14"/>
        <v>216</v>
      </c>
      <c r="BC26" s="19">
        <f t="shared" si="15"/>
        <v>326</v>
      </c>
      <c r="BE26" s="19">
        <f t="shared" si="16"/>
        <v>542</v>
      </c>
      <c r="BG26" s="234">
        <f t="shared" si="17"/>
        <v>542</v>
      </c>
      <c r="BH26" s="19">
        <f t="shared" si="18"/>
        <v>0</v>
      </c>
    </row>
    <row r="27" spans="1:60" s="19" customFormat="1" ht="12.95" customHeight="1" x14ac:dyDescent="0.2">
      <c r="A27" s="85" t="str">
        <f>+'CCs # Master'!A36</f>
        <v>0011</v>
      </c>
      <c r="B27" s="19" t="str">
        <f>+'CCs # Master'!B36</f>
        <v>Legal - Litigations</v>
      </c>
      <c r="C27" s="19" t="str">
        <f>+'CCs # Master'!C36</f>
        <v>Cheek, Chuck</v>
      </c>
      <c r="D27" s="205">
        <f>+'CCs # Master'!D36</f>
        <v>100039</v>
      </c>
      <c r="E27" s="19">
        <f>+'CCs # Master'!E36</f>
        <v>2459</v>
      </c>
      <c r="F27" s="19">
        <f>+'CCs # Master'!F36</f>
        <v>100</v>
      </c>
      <c r="G27" s="19">
        <f>+'CCs # Master'!G36</f>
        <v>24</v>
      </c>
      <c r="H27" s="19">
        <f>+'CCs # Master'!H36</f>
        <v>1099</v>
      </c>
      <c r="I27" s="19">
        <f>+'CCs # Master'!I36</f>
        <v>405</v>
      </c>
      <c r="J27" s="19">
        <f>+'CCs # Master'!J36</f>
        <v>43</v>
      </c>
      <c r="K27" s="19">
        <f t="shared" si="19"/>
        <v>4130</v>
      </c>
      <c r="M27" s="19" t="str">
        <f>+'CCs # Master'!M36</f>
        <v>Usage</v>
      </c>
      <c r="N27" s="19">
        <f>+'CCs # Master'!AW36</f>
        <v>824</v>
      </c>
      <c r="O27" s="19">
        <v>0</v>
      </c>
      <c r="P27" s="19">
        <f>+'CCs # Master'!N36</f>
        <v>0</v>
      </c>
      <c r="Q27" s="19">
        <f>+'CCs # Master'!O36</f>
        <v>0</v>
      </c>
      <c r="R27" s="19">
        <f>+'CCs # Master'!P36</f>
        <v>0</v>
      </c>
      <c r="S27" s="19">
        <f>+'CCs # Master'!Q36</f>
        <v>0</v>
      </c>
      <c r="T27" s="19">
        <f>+'CCs # Master'!R36</f>
        <v>0</v>
      </c>
      <c r="U27" s="19">
        <f>+'CCs # Master'!S36</f>
        <v>25</v>
      </c>
      <c r="V27" s="19">
        <f>+'CCs # Master'!T36</f>
        <v>150</v>
      </c>
      <c r="W27" s="19">
        <f>+'CCs # Master'!U36</f>
        <v>0</v>
      </c>
      <c r="X27" s="19">
        <f>+'CCs # Master'!V36</f>
        <v>900</v>
      </c>
      <c r="Y27" s="19">
        <f>+'CCs # Master'!W36</f>
        <v>0</v>
      </c>
      <c r="Z27" s="19">
        <f>+'CCs # Master'!X36</f>
        <v>458</v>
      </c>
      <c r="AA27" s="19">
        <f>+'CCs # Master'!Y36</f>
        <v>0</v>
      </c>
      <c r="AB27" s="19">
        <f>+'CCs # Master'!Z36</f>
        <v>0</v>
      </c>
      <c r="AC27" s="19">
        <f>+'CCs # Master'!AA36</f>
        <v>0</v>
      </c>
      <c r="AD27" s="19">
        <f>+'CCs # Master'!AB36</f>
        <v>0</v>
      </c>
      <c r="AE27" s="19">
        <f>+'CCs # Master'!AC36</f>
        <v>0</v>
      </c>
      <c r="AF27" s="19">
        <f>+'CCs # Master'!AD36</f>
        <v>30</v>
      </c>
      <c r="AG27" s="19">
        <f>+'CCs # Master'!AE36</f>
        <v>250</v>
      </c>
      <c r="AH27" s="19">
        <f>+'CCs # Master'!AF36</f>
        <v>1</v>
      </c>
      <c r="AI27" s="19">
        <f>+'CCs # Master'!AG36</f>
        <v>180</v>
      </c>
      <c r="AJ27" s="19">
        <f>+'CCs # Master'!AH36</f>
        <v>0</v>
      </c>
      <c r="AK27" s="19">
        <f>+'CCs # Master'!AI36</f>
        <v>440</v>
      </c>
      <c r="AL27" s="19">
        <f>+'CCs # Master'!AJ36</f>
        <v>0</v>
      </c>
      <c r="AM27" s="19">
        <f>+'CCs # Master'!AK36</f>
        <v>0</v>
      </c>
      <c r="AN27" s="19">
        <f>+'CCs # Master'!AL36</f>
        <v>257</v>
      </c>
      <c r="AO27" s="19">
        <f>+'CCs # Master'!AM36</f>
        <v>0</v>
      </c>
      <c r="AP27" s="19">
        <f>+'CCs # Master'!AN36</f>
        <v>0</v>
      </c>
      <c r="AQ27" s="19">
        <f>+'CCs # Master'!AO36</f>
        <v>513</v>
      </c>
      <c r="AR27" s="19">
        <f>+'CCs # Master'!AP36</f>
        <v>42</v>
      </c>
      <c r="AS27" s="19">
        <f>+'CCs # Master'!AQ36</f>
        <v>30</v>
      </c>
      <c r="AT27" s="19">
        <f>+'CCs # Master'!AR36</f>
        <v>5</v>
      </c>
      <c r="AU27" s="19">
        <f>+'CCs # Master'!AS36</f>
        <v>25</v>
      </c>
      <c r="AV27" s="19">
        <f>+'CCs # Master'!AT36</f>
        <v>0</v>
      </c>
      <c r="AW27"/>
      <c r="AX27" s="21">
        <f t="shared" si="11"/>
        <v>4130</v>
      </c>
      <c r="AY27" s="21">
        <f t="shared" si="12"/>
        <v>0</v>
      </c>
      <c r="BA27" s="19">
        <f t="shared" si="13"/>
        <v>1075</v>
      </c>
      <c r="BB27" s="19">
        <f t="shared" si="14"/>
        <v>824</v>
      </c>
      <c r="BC27" s="19">
        <f t="shared" si="15"/>
        <v>3306</v>
      </c>
      <c r="BE27" s="19">
        <f t="shared" si="16"/>
        <v>4130</v>
      </c>
      <c r="BG27" s="234">
        <f t="shared" si="17"/>
        <v>4130</v>
      </c>
      <c r="BH27" s="19">
        <f t="shared" si="18"/>
        <v>0</v>
      </c>
    </row>
    <row r="28" spans="1:60" s="19" customFormat="1" ht="12.95" customHeight="1" x14ac:dyDescent="0.2">
      <c r="A28" s="85">
        <f>+'CCs # Master'!A37</f>
        <v>11</v>
      </c>
      <c r="B28" s="19" t="str">
        <f>+'CCs # Master'!B37</f>
        <v>Corporate Legal</v>
      </c>
      <c r="C28" s="19" t="str">
        <f>+'CCs # Master'!C37</f>
        <v>Derrick, Jim</v>
      </c>
      <c r="D28" s="205">
        <f>+'CCs # Master'!D37</f>
        <v>100040</v>
      </c>
      <c r="E28" s="19">
        <f>+'CCs # Master'!E37</f>
        <v>3668</v>
      </c>
      <c r="F28" s="19">
        <f>+'CCs # Master'!F37</f>
        <v>517</v>
      </c>
      <c r="G28" s="19">
        <f>+'CCs # Master'!G37</f>
        <v>42</v>
      </c>
      <c r="H28" s="19">
        <f>+'CCs # Master'!H37</f>
        <v>751</v>
      </c>
      <c r="I28" s="19">
        <f>+'CCs # Master'!I37</f>
        <v>436</v>
      </c>
      <c r="J28" s="19">
        <f>+'CCs # Master'!J37</f>
        <v>56</v>
      </c>
      <c r="K28" s="19">
        <f t="shared" si="19"/>
        <v>5470</v>
      </c>
      <c r="M28" s="19" t="str">
        <f>+'CCs # Master'!M37</f>
        <v>Anticipated Resources</v>
      </c>
      <c r="N28" s="19">
        <f>+'CCs # Master'!AW37</f>
        <v>1368</v>
      </c>
      <c r="O28" s="19">
        <v>0</v>
      </c>
      <c r="P28" s="19">
        <f>+'CCs # Master'!N37</f>
        <v>0</v>
      </c>
      <c r="Q28" s="19">
        <f>+'CCs # Master'!O37</f>
        <v>0</v>
      </c>
      <c r="R28" s="19">
        <f>+'CCs # Master'!P37</f>
        <v>133</v>
      </c>
      <c r="S28" s="19">
        <f>+'CCs # Master'!Q37</f>
        <v>141</v>
      </c>
      <c r="T28" s="19">
        <f>+'CCs # Master'!R37</f>
        <v>0</v>
      </c>
      <c r="U28" s="19">
        <f>+'CCs # Master'!S37</f>
        <v>0</v>
      </c>
      <c r="V28" s="19">
        <f>+'CCs # Master'!T37</f>
        <v>0</v>
      </c>
      <c r="W28" s="19">
        <f>+'CCs # Master'!U37</f>
        <v>0</v>
      </c>
      <c r="X28" s="19">
        <f>+'CCs # Master'!V37</f>
        <v>0</v>
      </c>
      <c r="Y28" s="19">
        <f>+'CCs # Master'!W37</f>
        <v>0</v>
      </c>
      <c r="Z28" s="19">
        <f>+'CCs # Master'!X37</f>
        <v>990</v>
      </c>
      <c r="AA28" s="19">
        <f>+'CCs # Master'!Y37</f>
        <v>0</v>
      </c>
      <c r="AB28" s="19">
        <f>+'CCs # Master'!Z37</f>
        <v>0</v>
      </c>
      <c r="AC28" s="19">
        <f>+'CCs # Master'!AA37</f>
        <v>0</v>
      </c>
      <c r="AD28" s="19">
        <f>+'CCs # Master'!AB37</f>
        <v>274</v>
      </c>
      <c r="AE28" s="19">
        <f>+'CCs # Master'!AC37</f>
        <v>274</v>
      </c>
      <c r="AF28" s="19">
        <f>+'CCs # Master'!AD37</f>
        <v>546</v>
      </c>
      <c r="AG28" s="19">
        <f>+'CCs # Master'!AE37</f>
        <v>546</v>
      </c>
      <c r="AH28" s="19">
        <f>+'CCs # Master'!AF37</f>
        <v>0</v>
      </c>
      <c r="AI28" s="19">
        <f>+'CCs # Master'!AG37</f>
        <v>274</v>
      </c>
      <c r="AJ28" s="19">
        <f>+'CCs # Master'!AH37</f>
        <v>274</v>
      </c>
      <c r="AK28" s="19">
        <f>+'CCs # Master'!AI37</f>
        <v>274</v>
      </c>
      <c r="AL28" s="19">
        <f>+'CCs # Master'!AJ37</f>
        <v>274</v>
      </c>
      <c r="AM28" s="19">
        <f>+'CCs # Master'!AK37</f>
        <v>0</v>
      </c>
      <c r="AN28" s="19">
        <f>+'CCs # Master'!AL37</f>
        <v>0</v>
      </c>
      <c r="AO28" s="19">
        <f>+'CCs # Master'!AM37</f>
        <v>0</v>
      </c>
      <c r="AP28" s="19">
        <f>+'CCs # Master'!AN37</f>
        <v>0</v>
      </c>
      <c r="AQ28" s="19">
        <f>+'CCs # Master'!AO37</f>
        <v>0</v>
      </c>
      <c r="AR28" s="19">
        <f>+'CCs # Master'!AP37</f>
        <v>102</v>
      </c>
      <c r="AS28" s="19">
        <f>+'CCs # Master'!AQ37</f>
        <v>0</v>
      </c>
      <c r="AT28" s="19">
        <f>+'CCs # Master'!AR37</f>
        <v>0</v>
      </c>
      <c r="AU28" s="19">
        <f>+'CCs # Master'!AS37</f>
        <v>0</v>
      </c>
      <c r="AV28" s="19">
        <f>+'CCs # Master'!AT37</f>
        <v>0</v>
      </c>
      <c r="AW28"/>
      <c r="AX28" s="21">
        <f t="shared" si="11"/>
        <v>5470</v>
      </c>
      <c r="AY28" s="21">
        <f t="shared" si="12"/>
        <v>0</v>
      </c>
      <c r="BA28" s="19">
        <f t="shared" si="13"/>
        <v>0</v>
      </c>
      <c r="BB28" s="19">
        <f t="shared" si="14"/>
        <v>1368</v>
      </c>
      <c r="BC28" s="19">
        <f t="shared" si="15"/>
        <v>4102</v>
      </c>
      <c r="BE28" s="19">
        <f t="shared" si="16"/>
        <v>5470</v>
      </c>
      <c r="BG28" s="234">
        <f>SUM(N28:AW28)</f>
        <v>5470</v>
      </c>
      <c r="BH28" s="19">
        <f t="shared" si="18"/>
        <v>0</v>
      </c>
    </row>
    <row r="29" spans="1:60" s="19" customFormat="1" ht="12.95" customHeight="1" x14ac:dyDescent="0.2">
      <c r="A29" s="85" t="str">
        <f>+'CCs # Master'!A38</f>
        <v>0011</v>
      </c>
      <c r="B29" s="19" t="str">
        <f>+'CCs # Master'!B38</f>
        <v>Environmental Legal</v>
      </c>
      <c r="C29" s="19" t="str">
        <f>+'CCs # Master'!C38</f>
        <v>Derrick, Jim</v>
      </c>
      <c r="D29" s="205">
        <f>+'CCs # Master'!D38</f>
        <v>100041</v>
      </c>
      <c r="E29" s="19">
        <f>+'CCs # Master'!E38</f>
        <v>453</v>
      </c>
      <c r="F29" s="19">
        <f>+'CCs # Master'!F38</f>
        <v>25</v>
      </c>
      <c r="G29" s="19">
        <f>+'CCs # Master'!G38</f>
        <v>0</v>
      </c>
      <c r="H29" s="19">
        <f>+'CCs # Master'!H38</f>
        <v>15</v>
      </c>
      <c r="I29" s="19">
        <f>+'CCs # Master'!I38</f>
        <v>52</v>
      </c>
      <c r="J29" s="19">
        <f>+'CCs # Master'!J38</f>
        <v>0</v>
      </c>
      <c r="K29" s="19">
        <f t="shared" si="19"/>
        <v>545</v>
      </c>
      <c r="M29" s="19" t="str">
        <f>+'CCs # Master'!M38</f>
        <v>Anticipated Resources</v>
      </c>
      <c r="N29" s="19">
        <f>+'CCs # Master'!AW38</f>
        <v>3</v>
      </c>
      <c r="O29" s="19">
        <v>0</v>
      </c>
      <c r="P29" s="19">
        <f>+'CCs # Master'!N38</f>
        <v>27</v>
      </c>
      <c r="Q29" s="19">
        <f>+'CCs # Master'!O38</f>
        <v>81</v>
      </c>
      <c r="R29" s="19">
        <f>+'CCs # Master'!P38</f>
        <v>0</v>
      </c>
      <c r="S29" s="19">
        <f>+'CCs # Master'!Q38</f>
        <v>0</v>
      </c>
      <c r="T29" s="19">
        <f>+'CCs # Master'!R38</f>
        <v>0</v>
      </c>
      <c r="U29" s="19">
        <f>+'CCs # Master'!S38</f>
        <v>27</v>
      </c>
      <c r="V29" s="19">
        <f>+'CCs # Master'!T38</f>
        <v>27</v>
      </c>
      <c r="W29" s="19">
        <f>+'CCs # Master'!U38</f>
        <v>54</v>
      </c>
      <c r="X29" s="19">
        <f>+'CCs # Master'!V38</f>
        <v>0</v>
      </c>
      <c r="Y29" s="19">
        <f>+'CCs # Master'!W38</f>
        <v>0</v>
      </c>
      <c r="Z29" s="19">
        <f>+'CCs # Master'!X38</f>
        <v>76</v>
      </c>
      <c r="AA29" s="19">
        <f>+'CCs # Master'!Y38</f>
        <v>0</v>
      </c>
      <c r="AB29" s="19">
        <f>+'CCs # Master'!Z38</f>
        <v>0</v>
      </c>
      <c r="AC29" s="19">
        <f>+'CCs # Master'!AA38</f>
        <v>0</v>
      </c>
      <c r="AD29" s="19">
        <f>+'CCs # Master'!AB38</f>
        <v>0</v>
      </c>
      <c r="AE29" s="19">
        <f>+'CCs # Master'!AC38</f>
        <v>0</v>
      </c>
      <c r="AF29" s="19">
        <f>+'CCs # Master'!AD38</f>
        <v>81</v>
      </c>
      <c r="AG29" s="19">
        <f>+'CCs # Master'!AE38</f>
        <v>27</v>
      </c>
      <c r="AH29" s="19">
        <f>+'CCs # Master'!AF38</f>
        <v>0</v>
      </c>
      <c r="AI29" s="19">
        <f>+'CCs # Master'!AG38</f>
        <v>0</v>
      </c>
      <c r="AJ29" s="19">
        <f>+'CCs # Master'!AH38</f>
        <v>27</v>
      </c>
      <c r="AK29" s="19">
        <f>+'CCs # Master'!AI38</f>
        <v>54</v>
      </c>
      <c r="AL29" s="19">
        <f>+'CCs # Master'!AJ38</f>
        <v>27</v>
      </c>
      <c r="AM29" s="19">
        <f>+'CCs # Master'!AK38</f>
        <v>0</v>
      </c>
      <c r="AN29" s="19">
        <f>+'CCs # Master'!AL38</f>
        <v>12</v>
      </c>
      <c r="AO29" s="19">
        <f>+'CCs # Master'!AM38</f>
        <v>0</v>
      </c>
      <c r="AP29" s="19">
        <f>+'CCs # Master'!AN38</f>
        <v>0</v>
      </c>
      <c r="AQ29" s="19">
        <f>+'CCs # Master'!AO38</f>
        <v>15</v>
      </c>
      <c r="AR29" s="19">
        <f>+'CCs # Master'!AP38</f>
        <v>7</v>
      </c>
      <c r="AS29" s="19">
        <f>+'CCs # Master'!AQ38</f>
        <v>0</v>
      </c>
      <c r="AT29" s="19">
        <f>+'CCs # Master'!AR38</f>
        <v>0</v>
      </c>
      <c r="AU29" s="19">
        <f>+'CCs # Master'!AS38</f>
        <v>0</v>
      </c>
      <c r="AV29" s="19">
        <f>+'CCs # Master'!AT38</f>
        <v>0</v>
      </c>
      <c r="AW29"/>
      <c r="AX29" s="21">
        <f t="shared" si="11"/>
        <v>545</v>
      </c>
      <c r="AY29" s="21">
        <f t="shared" si="12"/>
        <v>0</v>
      </c>
      <c r="BA29" s="19">
        <f t="shared" si="13"/>
        <v>216</v>
      </c>
      <c r="BB29" s="19">
        <f t="shared" si="14"/>
        <v>3</v>
      </c>
      <c r="BC29" s="19">
        <f t="shared" si="15"/>
        <v>542</v>
      </c>
      <c r="BE29" s="19">
        <f t="shared" si="16"/>
        <v>545</v>
      </c>
      <c r="BG29" s="234">
        <f t="shared" si="17"/>
        <v>545</v>
      </c>
      <c r="BH29" s="19">
        <f t="shared" si="18"/>
        <v>0</v>
      </c>
    </row>
    <row r="30" spans="1:60" s="19" customFormat="1" ht="12.95" customHeight="1" x14ac:dyDescent="0.2">
      <c r="A30" s="85" t="str">
        <f>+'CCs # Master'!A97</f>
        <v>0011</v>
      </c>
      <c r="B30" s="19" t="str">
        <f>+'CCs # Master'!B97</f>
        <v>Legal Library</v>
      </c>
      <c r="C30" s="19" t="str">
        <f>+'CCs # Master'!C97</f>
        <v>Hu, Sylvia</v>
      </c>
      <c r="D30" s="205">
        <f>+'CCs # Master'!D97</f>
        <v>100139</v>
      </c>
      <c r="E30" s="19">
        <f>+'CCs # Master'!E97</f>
        <v>176</v>
      </c>
      <c r="F30" s="19">
        <f>+'CCs # Master'!F97</f>
        <v>8</v>
      </c>
      <c r="G30" s="19">
        <f>+'CCs # Master'!G97</f>
        <v>26</v>
      </c>
      <c r="H30" s="19">
        <f>+'CCs # Master'!H97</f>
        <v>53</v>
      </c>
      <c r="I30" s="19">
        <f>+'CCs # Master'!I97</f>
        <v>218</v>
      </c>
      <c r="J30" s="19">
        <f>+'CCs # Master'!J97</f>
        <v>234</v>
      </c>
      <c r="K30" s="19">
        <f t="shared" si="19"/>
        <v>715</v>
      </c>
      <c r="M30" s="19" t="str">
        <f>+'CCs # Master'!M97</f>
        <v>% DT Attorneys</v>
      </c>
      <c r="N30" s="19">
        <f>+'CCs # Master'!AW97</f>
        <v>129</v>
      </c>
      <c r="O30" s="19">
        <v>0</v>
      </c>
      <c r="P30" s="19">
        <f>+'CCs # Master'!N97</f>
        <v>0</v>
      </c>
      <c r="Q30" s="19">
        <f>+'CCs # Master'!O97</f>
        <v>0</v>
      </c>
      <c r="R30" s="19">
        <f>+'CCs # Master'!P97</f>
        <v>14</v>
      </c>
      <c r="S30" s="19">
        <f>+'CCs # Master'!Q97</f>
        <v>0</v>
      </c>
      <c r="T30" s="19">
        <f>+'CCs # Master'!R97</f>
        <v>0</v>
      </c>
      <c r="U30" s="19">
        <f>+'CCs # Master'!S97</f>
        <v>0</v>
      </c>
      <c r="V30" s="19">
        <f>+'CCs # Master'!T97</f>
        <v>14</v>
      </c>
      <c r="W30" s="19">
        <f>+'CCs # Master'!U97</f>
        <v>14</v>
      </c>
      <c r="X30" s="19">
        <f>+'CCs # Master'!V97</f>
        <v>57</v>
      </c>
      <c r="Y30" s="19">
        <f>+'CCs # Master'!W97</f>
        <v>0</v>
      </c>
      <c r="Z30" s="19">
        <f>+'CCs # Master'!X97</f>
        <v>217</v>
      </c>
      <c r="AA30" s="19">
        <f>+'CCs # Master'!Y97</f>
        <v>0</v>
      </c>
      <c r="AB30" s="19">
        <f>+'CCs # Master'!Z97</f>
        <v>0</v>
      </c>
      <c r="AC30" s="19">
        <f>+'CCs # Master'!AA97</f>
        <v>0</v>
      </c>
      <c r="AD30" s="19">
        <f>+'CCs # Master'!AB97</f>
        <v>0</v>
      </c>
      <c r="AE30" s="19">
        <f>+'CCs # Master'!AC97</f>
        <v>29</v>
      </c>
      <c r="AF30" s="19">
        <f>+'CCs # Master'!AD97</f>
        <v>65</v>
      </c>
      <c r="AG30" s="19">
        <f>+'CCs # Master'!AE97</f>
        <v>36</v>
      </c>
      <c r="AH30" s="19">
        <f>+'CCs # Master'!AF97</f>
        <v>0</v>
      </c>
      <c r="AI30" s="19">
        <f>+'CCs # Master'!AG97</f>
        <v>14</v>
      </c>
      <c r="AJ30" s="19">
        <f>+'CCs # Master'!AH97</f>
        <v>29</v>
      </c>
      <c r="AK30" s="19">
        <f>+'CCs # Master'!AI97</f>
        <v>21</v>
      </c>
      <c r="AL30" s="19">
        <f>+'CCs # Master'!AJ97</f>
        <v>14</v>
      </c>
      <c r="AM30" s="19">
        <f>+'CCs # Master'!AK97</f>
        <v>21</v>
      </c>
      <c r="AN30" s="19">
        <f>+'CCs # Master'!AL97</f>
        <v>9</v>
      </c>
      <c r="AO30" s="19">
        <f>+'CCs # Master'!AM97</f>
        <v>0</v>
      </c>
      <c r="AP30" s="19">
        <f>+'CCs # Master'!AN97</f>
        <v>0</v>
      </c>
      <c r="AQ30" s="19">
        <f>+'CCs # Master'!AO97</f>
        <v>12</v>
      </c>
      <c r="AR30" s="19">
        <f>+'CCs # Master'!AP97</f>
        <v>20</v>
      </c>
      <c r="AS30" s="19">
        <f>+'CCs # Master'!AQ97</f>
        <v>0</v>
      </c>
      <c r="AT30" s="19">
        <f>+'CCs # Master'!AR97</f>
        <v>0</v>
      </c>
      <c r="AU30" s="19">
        <f>+'CCs # Master'!AS97</f>
        <v>0</v>
      </c>
      <c r="AV30" s="19">
        <f>+'CCs # Master'!AT97</f>
        <v>0</v>
      </c>
      <c r="AW30"/>
      <c r="AX30" s="21">
        <f t="shared" si="11"/>
        <v>715</v>
      </c>
      <c r="AY30" s="21">
        <f t="shared" si="12"/>
        <v>0</v>
      </c>
      <c r="BA30" s="19">
        <f t="shared" si="13"/>
        <v>85</v>
      </c>
      <c r="BB30" s="19">
        <f t="shared" si="14"/>
        <v>129</v>
      </c>
      <c r="BC30" s="19">
        <f t="shared" si="15"/>
        <v>586</v>
      </c>
      <c r="BE30" s="19">
        <f t="shared" si="16"/>
        <v>715</v>
      </c>
      <c r="BG30" s="234">
        <f t="shared" si="17"/>
        <v>715</v>
      </c>
      <c r="BH30" s="19">
        <f t="shared" si="18"/>
        <v>0</v>
      </c>
    </row>
    <row r="31" spans="1:60" s="19" customFormat="1" ht="12.95" customHeight="1" x14ac:dyDescent="0.2">
      <c r="A31" s="85">
        <f>+'CCs # Master'!A98</f>
        <v>11</v>
      </c>
      <c r="B31" s="19" t="str">
        <f>+'CCs # Master'!B98</f>
        <v>Executive Board Meeting Exp</v>
      </c>
      <c r="C31" s="19" t="str">
        <f>+'CCs # Master'!C98</f>
        <v>Menchaca, P</v>
      </c>
      <c r="D31" s="205">
        <f>+'CCs # Master'!D98</f>
        <v>100140</v>
      </c>
      <c r="E31" s="19">
        <f>+'CCs # Master'!E98</f>
        <v>0</v>
      </c>
      <c r="F31" s="19">
        <f>+'CCs # Master'!F98</f>
        <v>35</v>
      </c>
      <c r="G31" s="19">
        <f>+'CCs # Master'!G98</f>
        <v>0</v>
      </c>
      <c r="H31" s="19">
        <f>+'CCs # Master'!H98</f>
        <v>2300</v>
      </c>
      <c r="I31" s="19">
        <f>+'CCs # Master'!I98</f>
        <v>10</v>
      </c>
      <c r="J31" s="19">
        <f>+'CCs # Master'!J98</f>
        <v>0</v>
      </c>
      <c r="K31" s="19">
        <f t="shared" si="19"/>
        <v>2345</v>
      </c>
      <c r="M31" s="19" t="str">
        <f>+'CCs # Master'!M98</f>
        <v>MMF</v>
      </c>
      <c r="N31" s="19">
        <f>+'CCs # Master'!AW98</f>
        <v>2345</v>
      </c>
      <c r="O31" s="19">
        <v>0</v>
      </c>
      <c r="P31" s="19">
        <f>+'CCs # Master'!N98</f>
        <v>0</v>
      </c>
      <c r="Q31" s="19">
        <f>+'CCs # Master'!O98</f>
        <v>0</v>
      </c>
      <c r="R31" s="19">
        <f>+'CCs # Master'!P98</f>
        <v>0</v>
      </c>
      <c r="S31" s="19">
        <f>+'CCs # Master'!Q98</f>
        <v>0</v>
      </c>
      <c r="T31" s="19">
        <f>+'CCs # Master'!R98</f>
        <v>0</v>
      </c>
      <c r="U31" s="19">
        <f>+'CCs # Master'!S98</f>
        <v>0</v>
      </c>
      <c r="V31" s="19">
        <f>+'CCs # Master'!T98</f>
        <v>0</v>
      </c>
      <c r="W31" s="19">
        <f>+'CCs # Master'!U98</f>
        <v>0</v>
      </c>
      <c r="X31" s="19">
        <f>+'CCs # Master'!V98</f>
        <v>0</v>
      </c>
      <c r="Y31" s="19">
        <f>+'CCs # Master'!W98</f>
        <v>0</v>
      </c>
      <c r="Z31" s="19">
        <f>+'CCs # Master'!X98</f>
        <v>0</v>
      </c>
      <c r="AA31" s="19">
        <f>+'CCs # Master'!Y98</f>
        <v>0</v>
      </c>
      <c r="AB31" s="19">
        <f>+'CCs # Master'!Z98</f>
        <v>0</v>
      </c>
      <c r="AC31" s="19">
        <f>+'CCs # Master'!AA98</f>
        <v>0</v>
      </c>
      <c r="AD31" s="19">
        <f>+'CCs # Master'!AB98</f>
        <v>0</v>
      </c>
      <c r="AE31" s="19">
        <f>+'CCs # Master'!AC98</f>
        <v>0</v>
      </c>
      <c r="AF31" s="19">
        <f>+'CCs # Master'!AD98</f>
        <v>0</v>
      </c>
      <c r="AG31" s="19">
        <f>+'CCs # Master'!AE98</f>
        <v>0</v>
      </c>
      <c r="AH31" s="19">
        <f>+'CCs # Master'!AF98</f>
        <v>0</v>
      </c>
      <c r="AI31" s="19">
        <f>+'CCs # Master'!AG98</f>
        <v>0</v>
      </c>
      <c r="AJ31" s="19">
        <f>+'CCs # Master'!AH98</f>
        <v>0</v>
      </c>
      <c r="AK31" s="19">
        <f>+'CCs # Master'!AI98</f>
        <v>0</v>
      </c>
      <c r="AL31" s="19">
        <f>+'CCs # Master'!AJ98</f>
        <v>0</v>
      </c>
      <c r="AM31" s="19">
        <f>+'CCs # Master'!AK98</f>
        <v>0</v>
      </c>
      <c r="AN31" s="19">
        <f>+'CCs # Master'!AL98</f>
        <v>0</v>
      </c>
      <c r="AO31" s="19">
        <f>+'CCs # Master'!AM98</f>
        <v>0</v>
      </c>
      <c r="AP31" s="19">
        <f>+'CCs # Master'!AN98</f>
        <v>0</v>
      </c>
      <c r="AQ31" s="19">
        <f>+'CCs # Master'!AO98</f>
        <v>0</v>
      </c>
      <c r="AR31" s="19">
        <f>+'CCs # Master'!AP98</f>
        <v>0</v>
      </c>
      <c r="AS31" s="19">
        <f>+'CCs # Master'!AQ98</f>
        <v>0</v>
      </c>
      <c r="AT31" s="19">
        <f>+'CCs # Master'!AR98</f>
        <v>0</v>
      </c>
      <c r="AU31" s="19">
        <f>+'CCs # Master'!AS98</f>
        <v>0</v>
      </c>
      <c r="AV31" s="19">
        <f>+'CCs # Master'!AT98</f>
        <v>0</v>
      </c>
      <c r="AW31"/>
      <c r="AX31" s="21">
        <f t="shared" si="11"/>
        <v>2345</v>
      </c>
      <c r="AY31" s="21">
        <f t="shared" si="12"/>
        <v>0</v>
      </c>
      <c r="BA31" s="19">
        <f t="shared" si="13"/>
        <v>0</v>
      </c>
      <c r="BB31" s="19">
        <f t="shared" si="14"/>
        <v>2345</v>
      </c>
      <c r="BC31" s="19">
        <f t="shared" si="15"/>
        <v>0</v>
      </c>
      <c r="BE31" s="19">
        <f t="shared" si="16"/>
        <v>2345</v>
      </c>
      <c r="BG31" s="234">
        <f t="shared" si="17"/>
        <v>2345</v>
      </c>
      <c r="BH31" s="19">
        <f t="shared" si="18"/>
        <v>0</v>
      </c>
    </row>
    <row r="32" spans="1:60" s="19" customFormat="1" ht="12.95" customHeight="1" x14ac:dyDescent="0.2">
      <c r="A32" s="85">
        <f>+'CCs # Master'!A133</f>
        <v>11</v>
      </c>
      <c r="B32" s="226" t="str">
        <f>+'CCs # Master'!B133</f>
        <v>International Litigation</v>
      </c>
      <c r="C32" s="226" t="str">
        <f>+'CCs # Master'!C133</f>
        <v>Higgason, Kelly</v>
      </c>
      <c r="D32" s="85">
        <f>+'CCs # Master'!D133</f>
        <v>100818</v>
      </c>
      <c r="E32" s="19">
        <f>+'CCs # Master'!E133</f>
        <v>802</v>
      </c>
      <c r="F32" s="19">
        <f>+'CCs # Master'!F133</f>
        <v>203</v>
      </c>
      <c r="G32" s="19">
        <f>+'CCs # Master'!G133</f>
        <v>90</v>
      </c>
      <c r="H32" s="19">
        <f>+'CCs # Master'!H133</f>
        <v>31</v>
      </c>
      <c r="I32" s="19">
        <f>+'CCs # Master'!I133</f>
        <v>72</v>
      </c>
      <c r="J32" s="19">
        <f>+'CCs # Master'!J133</f>
        <v>183</v>
      </c>
      <c r="K32" s="19">
        <f t="shared" si="19"/>
        <v>1381</v>
      </c>
      <c r="M32" s="19" t="str">
        <f>+'CCs # Master'!M133</f>
        <v>Historical Usage</v>
      </c>
      <c r="N32" s="19">
        <f>+'CCs # Master'!AW133</f>
        <v>0</v>
      </c>
      <c r="O32" s="19">
        <v>0</v>
      </c>
      <c r="P32" s="19">
        <f>+'CCs # Master'!N133</f>
        <v>0</v>
      </c>
      <c r="Q32" s="19">
        <f>+'CCs # Master'!O133</f>
        <v>0</v>
      </c>
      <c r="R32" s="19">
        <f>+'CCs # Master'!P133</f>
        <v>0</v>
      </c>
      <c r="S32" s="19">
        <f>+'CCs # Master'!Q133</f>
        <v>0</v>
      </c>
      <c r="T32" s="19">
        <f>+'CCs # Master'!R133</f>
        <v>0</v>
      </c>
      <c r="U32" s="19">
        <f>+'CCs # Master'!S133</f>
        <v>0</v>
      </c>
      <c r="V32" s="19">
        <f>+'CCs # Master'!T133</f>
        <v>0</v>
      </c>
      <c r="W32" s="19">
        <f>+'CCs # Master'!U133</f>
        <v>0</v>
      </c>
      <c r="X32" s="19">
        <f>+'CCs # Master'!V133</f>
        <v>0</v>
      </c>
      <c r="Y32" s="19">
        <f>+'CCs # Master'!W133</f>
        <v>0</v>
      </c>
      <c r="Z32" s="19">
        <f>+'CCs # Master'!X133</f>
        <v>0</v>
      </c>
      <c r="AA32" s="19">
        <f>+'CCs # Master'!Y133</f>
        <v>0</v>
      </c>
      <c r="AB32" s="19">
        <f>+'CCs # Master'!Z133</f>
        <v>0</v>
      </c>
      <c r="AC32" s="19">
        <f>+'CCs # Master'!AA133</f>
        <v>0</v>
      </c>
      <c r="AD32" s="19">
        <f>+'CCs # Master'!AB133</f>
        <v>0</v>
      </c>
      <c r="AE32" s="19">
        <f>+'CCs # Master'!AC133</f>
        <v>0</v>
      </c>
      <c r="AF32" s="19">
        <f>+'CCs # Master'!AD133</f>
        <v>276</v>
      </c>
      <c r="AG32" s="19">
        <f>+'CCs # Master'!AE133</f>
        <v>276</v>
      </c>
      <c r="AH32" s="19">
        <f>+'CCs # Master'!AF133</f>
        <v>0</v>
      </c>
      <c r="AI32" s="19">
        <f>+'CCs # Master'!AG133</f>
        <v>0</v>
      </c>
      <c r="AJ32" s="19">
        <f>+'CCs # Master'!AH133</f>
        <v>0</v>
      </c>
      <c r="AK32" s="19">
        <f>+'CCs # Master'!AI133</f>
        <v>0</v>
      </c>
      <c r="AL32" s="19">
        <f>+'CCs # Master'!AJ133</f>
        <v>0</v>
      </c>
      <c r="AM32" s="19">
        <f>+'CCs # Master'!AK133</f>
        <v>0</v>
      </c>
      <c r="AN32" s="19">
        <f>+'CCs # Master'!AL133</f>
        <v>276</v>
      </c>
      <c r="AO32" s="19">
        <f>+'CCs # Master'!AM133</f>
        <v>0</v>
      </c>
      <c r="AP32" s="19">
        <f>+'CCs # Master'!AN133</f>
        <v>0</v>
      </c>
      <c r="AQ32" s="19">
        <f>+'CCs # Master'!AO133</f>
        <v>553</v>
      </c>
      <c r="AR32" s="19">
        <f>+'CCs # Master'!AP133</f>
        <v>0</v>
      </c>
      <c r="AS32" s="19">
        <f>+'CCs # Master'!AQ133</f>
        <v>0</v>
      </c>
      <c r="AT32" s="19">
        <f>+'CCs # Master'!AR133</f>
        <v>0</v>
      </c>
      <c r="AU32" s="19">
        <f>+'CCs # Master'!AS133</f>
        <v>0</v>
      </c>
      <c r="AV32" s="19">
        <f>+'CCs # Master'!AT133</f>
        <v>0</v>
      </c>
      <c r="AW32"/>
      <c r="AX32" s="21">
        <f>SUM(N32:AW32)</f>
        <v>1381</v>
      </c>
      <c r="AY32" s="21">
        <f t="shared" si="12"/>
        <v>0</v>
      </c>
      <c r="BA32" s="19">
        <f t="shared" si="13"/>
        <v>0</v>
      </c>
      <c r="BB32" s="19">
        <f>N32</f>
        <v>0</v>
      </c>
      <c r="BC32" s="227">
        <f t="shared" si="15"/>
        <v>1381</v>
      </c>
      <c r="BE32" s="227">
        <f t="shared" si="16"/>
        <v>1381</v>
      </c>
      <c r="BG32" s="249">
        <f t="shared" si="17"/>
        <v>1381</v>
      </c>
      <c r="BH32" s="19">
        <f>BE32-BG32</f>
        <v>0</v>
      </c>
    </row>
    <row r="33" spans="1:60" s="19" customFormat="1" ht="8.1" customHeight="1" x14ac:dyDescent="0.2">
      <c r="A33" s="85"/>
      <c r="D33" s="205"/>
      <c r="E33" s="191"/>
      <c r="F33" s="191"/>
      <c r="G33" s="191"/>
      <c r="H33" s="191"/>
      <c r="I33" s="191"/>
      <c r="J33" s="191"/>
      <c r="K33" s="191"/>
      <c r="N33" s="191"/>
      <c r="O33" s="191"/>
      <c r="P33" s="191"/>
      <c r="Q33" s="191"/>
      <c r="R33" s="191"/>
      <c r="S33" s="191"/>
      <c r="T33" s="191"/>
      <c r="U33" s="191"/>
      <c r="V33" s="191"/>
      <c r="W33" s="191"/>
      <c r="X33" s="191"/>
      <c r="Y33" s="191"/>
      <c r="Z33" s="191"/>
      <c r="AA33" s="191"/>
      <c r="AB33" s="191"/>
      <c r="AC33" s="191"/>
      <c r="AD33" s="191"/>
      <c r="AE33" s="191"/>
      <c r="AF33" s="191"/>
      <c r="AG33" s="191"/>
      <c r="AH33" s="191"/>
      <c r="AI33" s="191"/>
      <c r="AJ33" s="191"/>
      <c r="AK33" s="191"/>
      <c r="AL33" s="191"/>
      <c r="AM33" s="191"/>
      <c r="AN33" s="191"/>
      <c r="AO33" s="191"/>
      <c r="AP33" s="191"/>
      <c r="AQ33" s="191"/>
      <c r="AR33" s="191"/>
      <c r="AS33" s="191"/>
      <c r="AT33" s="191"/>
      <c r="AU33" s="191"/>
      <c r="AV33" s="191"/>
      <c r="AW33"/>
      <c r="AX33" s="191"/>
      <c r="AY33" s="191"/>
      <c r="BA33" s="191"/>
      <c r="BB33" s="191"/>
      <c r="BG33" s="234"/>
    </row>
    <row r="34" spans="1:60" s="19" customFormat="1" ht="12.95" customHeight="1" x14ac:dyDescent="0.2">
      <c r="A34" s="85"/>
      <c r="D34" s="205"/>
      <c r="E34" s="227">
        <f>SUM(E25:E33)</f>
        <v>9610</v>
      </c>
      <c r="F34" s="227">
        <f t="shared" ref="F34:K34" si="20">SUM(F25:F33)</f>
        <v>953</v>
      </c>
      <c r="G34" s="227">
        <f t="shared" si="20"/>
        <v>194</v>
      </c>
      <c r="H34" s="227">
        <f t="shared" si="20"/>
        <v>6115</v>
      </c>
      <c r="I34" s="227">
        <f t="shared" si="20"/>
        <v>1458</v>
      </c>
      <c r="J34" s="227">
        <f t="shared" si="20"/>
        <v>1416</v>
      </c>
      <c r="K34" s="227">
        <f t="shared" si="20"/>
        <v>19746</v>
      </c>
      <c r="N34" s="227">
        <f>SUM(N25:N33)</f>
        <v>8690</v>
      </c>
      <c r="O34" s="227">
        <f t="shared" ref="O34:AM34" si="21">SUM(O25:O33)</f>
        <v>0</v>
      </c>
      <c r="P34" s="227">
        <f t="shared" si="21"/>
        <v>27</v>
      </c>
      <c r="Q34" s="227">
        <f t="shared" si="21"/>
        <v>81</v>
      </c>
      <c r="R34" s="227">
        <f t="shared" si="21"/>
        <v>147</v>
      </c>
      <c r="S34" s="227">
        <f t="shared" si="21"/>
        <v>141</v>
      </c>
      <c r="T34" s="227">
        <f t="shared" si="21"/>
        <v>0</v>
      </c>
      <c r="U34" s="227">
        <f t="shared" si="21"/>
        <v>205</v>
      </c>
      <c r="V34" s="227">
        <f t="shared" si="21"/>
        <v>381</v>
      </c>
      <c r="W34" s="227">
        <f t="shared" si="21"/>
        <v>68</v>
      </c>
      <c r="X34" s="227">
        <f t="shared" si="21"/>
        <v>1024</v>
      </c>
      <c r="Y34" s="227">
        <f t="shared" si="21"/>
        <v>0</v>
      </c>
      <c r="Z34" s="227">
        <f t="shared" si="21"/>
        <v>2019</v>
      </c>
      <c r="AA34" s="227">
        <f t="shared" si="21"/>
        <v>0</v>
      </c>
      <c r="AB34" s="227">
        <f t="shared" si="21"/>
        <v>0</v>
      </c>
      <c r="AC34" s="227">
        <f t="shared" si="21"/>
        <v>0</v>
      </c>
      <c r="AD34" s="227">
        <f t="shared" si="21"/>
        <v>274</v>
      </c>
      <c r="AE34" s="227">
        <f t="shared" si="21"/>
        <v>303</v>
      </c>
      <c r="AF34" s="227">
        <f t="shared" si="21"/>
        <v>1071</v>
      </c>
      <c r="AG34" s="227">
        <f t="shared" si="21"/>
        <v>1202</v>
      </c>
      <c r="AH34" s="227">
        <f t="shared" si="21"/>
        <v>1</v>
      </c>
      <c r="AI34" s="227">
        <f t="shared" si="21"/>
        <v>535</v>
      </c>
      <c r="AJ34" s="227">
        <f>SUM(AJ25:AJ33)</f>
        <v>397</v>
      </c>
      <c r="AK34" s="227">
        <f>SUM(AK25:AK33)</f>
        <v>856</v>
      </c>
      <c r="AL34" s="227">
        <f>SUM(AL25:AL33)</f>
        <v>315</v>
      </c>
      <c r="AM34" s="227">
        <f t="shared" si="21"/>
        <v>21</v>
      </c>
      <c r="AN34" s="227">
        <f t="shared" ref="AN34:AV34" si="22">SUM(AN25:AN33)</f>
        <v>584</v>
      </c>
      <c r="AO34" s="227">
        <f t="shared" si="22"/>
        <v>0</v>
      </c>
      <c r="AP34" s="227">
        <f t="shared" si="22"/>
        <v>0</v>
      </c>
      <c r="AQ34" s="227">
        <f t="shared" si="22"/>
        <v>1130</v>
      </c>
      <c r="AR34" s="227">
        <f t="shared" si="22"/>
        <v>197</v>
      </c>
      <c r="AS34" s="227">
        <f t="shared" si="22"/>
        <v>30</v>
      </c>
      <c r="AT34" s="227">
        <f t="shared" si="22"/>
        <v>22</v>
      </c>
      <c r="AU34" s="227">
        <f t="shared" si="22"/>
        <v>25</v>
      </c>
      <c r="AV34" s="227">
        <f t="shared" si="22"/>
        <v>0</v>
      </c>
      <c r="AW34"/>
      <c r="AX34" s="227">
        <f>SUM(AX25:AX33)</f>
        <v>19746</v>
      </c>
      <c r="AY34" s="227">
        <f>SUM(AY25:AY33)</f>
        <v>0</v>
      </c>
      <c r="BA34" s="227">
        <f>SUM(BA25:BA33)</f>
        <v>1786</v>
      </c>
      <c r="BB34" s="227">
        <f>SUM(BB25:BB33)</f>
        <v>8690</v>
      </c>
      <c r="BC34" s="227">
        <f>SUM(BC25:BC32)</f>
        <v>11056</v>
      </c>
      <c r="BE34" s="227">
        <f>SUM(BE25:BE32)</f>
        <v>19746</v>
      </c>
      <c r="BG34" s="249">
        <f>SUM(BG25:BG32)</f>
        <v>19746</v>
      </c>
      <c r="BH34" s="19">
        <f>SUM(BH25:BH31)</f>
        <v>0</v>
      </c>
    </row>
    <row r="35" spans="1:60" s="19" customFormat="1" ht="8.1" customHeight="1" x14ac:dyDescent="0.2">
      <c r="A35" s="85"/>
      <c r="D35" s="205"/>
      <c r="K35" s="21"/>
      <c r="AW35"/>
      <c r="AX35" s="21"/>
      <c r="AY35" s="21"/>
      <c r="BG35" s="234"/>
    </row>
    <row r="36" spans="1:60" s="19" customFormat="1" ht="12.95" customHeight="1" x14ac:dyDescent="0.2">
      <c r="A36" s="207" t="s">
        <v>339</v>
      </c>
      <c r="B36" s="29"/>
      <c r="D36" s="205"/>
      <c r="F36" s="21"/>
      <c r="G36" s="21"/>
      <c r="K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c r="AX36" s="21"/>
      <c r="AY36" s="21"/>
      <c r="BA36" s="21"/>
      <c r="BB36" s="21"/>
      <c r="BC36" s="21"/>
      <c r="BE36" s="21"/>
      <c r="BF36" s="21"/>
      <c r="BG36" s="234"/>
    </row>
    <row r="37" spans="1:60" s="19" customFormat="1" ht="12.95" customHeight="1" x14ac:dyDescent="0.2">
      <c r="A37" s="85">
        <f>+'CCs # Master'!A16</f>
        <v>11</v>
      </c>
      <c r="B37" s="19" t="str">
        <f>+'CCs # Master'!B16</f>
        <v>Corp Accounting, Planning, &amp; Reporting</v>
      </c>
      <c r="C37" s="19" t="str">
        <f>+'CCs # Master'!C16</f>
        <v>Butts, Bob</v>
      </c>
      <c r="D37" s="205">
        <f>+'CCs # Master'!D16</f>
        <v>100012</v>
      </c>
      <c r="E37" s="19">
        <f>+'CCs # Master'!E16</f>
        <v>3658</v>
      </c>
      <c r="F37" s="19">
        <f>+'CCs # Master'!F16</f>
        <v>124</v>
      </c>
      <c r="G37" s="19">
        <f>+'CCs # Master'!G16</f>
        <v>50</v>
      </c>
      <c r="H37" s="19">
        <f>+'CCs # Master'!H16</f>
        <v>1701</v>
      </c>
      <c r="I37" s="19">
        <f>+'CCs # Master'!I16</f>
        <v>687</v>
      </c>
      <c r="J37" s="19">
        <f>+'CCs # Master'!J16</f>
        <v>40</v>
      </c>
      <c r="K37" s="19">
        <f>SUM(E37:J37)</f>
        <v>6260</v>
      </c>
      <c r="M37" s="19" t="str">
        <f>+'CCs # Master'!M16</f>
        <v>MMF</v>
      </c>
      <c r="N37" s="19">
        <f>+'CCs # Master'!AW16</f>
        <v>6260</v>
      </c>
      <c r="O37" s="19">
        <v>0</v>
      </c>
      <c r="P37" s="19">
        <f>+'CCs # Master'!N16</f>
        <v>0</v>
      </c>
      <c r="Q37" s="19">
        <f>+'CCs # Master'!O16</f>
        <v>0</v>
      </c>
      <c r="R37" s="19">
        <f>+'CCs # Master'!P16</f>
        <v>0</v>
      </c>
      <c r="S37" s="19">
        <f>+'CCs # Master'!Q16</f>
        <v>0</v>
      </c>
      <c r="T37" s="19">
        <f>+'CCs # Master'!R16</f>
        <v>0</v>
      </c>
      <c r="U37" s="19">
        <f>+'CCs # Master'!S16</f>
        <v>0</v>
      </c>
      <c r="V37" s="19">
        <f>+'CCs # Master'!T16</f>
        <v>0</v>
      </c>
      <c r="W37" s="19">
        <f>+'CCs # Master'!U16</f>
        <v>0</v>
      </c>
      <c r="X37" s="19">
        <f>+'CCs # Master'!V16</f>
        <v>0</v>
      </c>
      <c r="Y37" s="19">
        <f>+'CCs # Master'!W16</f>
        <v>0</v>
      </c>
      <c r="Z37" s="19">
        <f>+'CCs # Master'!X16</f>
        <v>0</v>
      </c>
      <c r="AA37" s="19">
        <f>+'CCs # Master'!Y16</f>
        <v>0</v>
      </c>
      <c r="AB37" s="19">
        <f>+'CCs # Master'!Z16</f>
        <v>0</v>
      </c>
      <c r="AC37" s="19">
        <f>+'CCs # Master'!AA16</f>
        <v>0</v>
      </c>
      <c r="AD37" s="19">
        <f>+'CCs # Master'!AB16</f>
        <v>0</v>
      </c>
      <c r="AE37" s="19">
        <f>+'CCs # Master'!AC16</f>
        <v>0</v>
      </c>
      <c r="AF37" s="19">
        <f>+'CCs # Master'!AD16</f>
        <v>0</v>
      </c>
      <c r="AG37" s="19">
        <f>+'CCs # Master'!AE16</f>
        <v>0</v>
      </c>
      <c r="AH37" s="19">
        <f>+'CCs # Master'!AF16</f>
        <v>0</v>
      </c>
      <c r="AI37" s="19">
        <f>+'CCs # Master'!AG16</f>
        <v>0</v>
      </c>
      <c r="AJ37" s="19">
        <f>+'CCs # Master'!AH16</f>
        <v>0</v>
      </c>
      <c r="AK37" s="19">
        <f>+'CCs # Master'!AI16</f>
        <v>0</v>
      </c>
      <c r="AL37" s="19">
        <f>+'CCs # Master'!AJ16</f>
        <v>0</v>
      </c>
      <c r="AM37" s="19">
        <f>+'CCs # Master'!AK16</f>
        <v>0</v>
      </c>
      <c r="AN37" s="19">
        <f>+'CCs # Master'!AL16</f>
        <v>0</v>
      </c>
      <c r="AO37" s="19">
        <f>+'CCs # Master'!AM16</f>
        <v>0</v>
      </c>
      <c r="AP37" s="19">
        <f>+'CCs # Master'!AN16</f>
        <v>0</v>
      </c>
      <c r="AQ37" s="19">
        <f>+'CCs # Master'!AO16</f>
        <v>0</v>
      </c>
      <c r="AR37" s="19">
        <f>+'CCs # Master'!AP16</f>
        <v>0</v>
      </c>
      <c r="AS37" s="19">
        <f>+'CCs # Master'!AQ16</f>
        <v>0</v>
      </c>
      <c r="AT37" s="19">
        <f>+'CCs # Master'!AR16</f>
        <v>0</v>
      </c>
      <c r="AU37" s="19">
        <f>+'CCs # Master'!AS16</f>
        <v>0</v>
      </c>
      <c r="AV37" s="19">
        <f>+'CCs # Master'!AT16</f>
        <v>0</v>
      </c>
      <c r="AW37"/>
      <c r="AX37" s="21">
        <f t="shared" ref="AX37:AX46" si="23">SUM(N37:AW37)</f>
        <v>6260</v>
      </c>
      <c r="AY37" s="21">
        <f t="shared" ref="AY37:AY70" si="24">+K37-AX37</f>
        <v>0</v>
      </c>
      <c r="BA37" s="19">
        <f t="shared" ref="BA37:BA70" si="25">+P37+Q37+T37+U37+V37+W37+X37+Y37</f>
        <v>0</v>
      </c>
      <c r="BB37" s="19">
        <f t="shared" ref="BB37:BB46" si="26">N37</f>
        <v>6260</v>
      </c>
      <c r="BC37" s="19">
        <f t="shared" ref="BC37:BC70" si="27">SUM(P37:AW37)</f>
        <v>0</v>
      </c>
      <c r="BE37" s="19">
        <f t="shared" ref="BE37:BE70" si="28">SUM(BB37:BC37)</f>
        <v>6260</v>
      </c>
      <c r="BG37" s="234">
        <f t="shared" ref="BG37:BG70" si="29">SUM(N37:AW37)</f>
        <v>6260</v>
      </c>
      <c r="BH37" s="19">
        <f t="shared" ref="BH37:BH46" si="30">BE37-BG37</f>
        <v>0</v>
      </c>
    </row>
    <row r="38" spans="1:60" s="19" customFormat="1" ht="12.95" customHeight="1" x14ac:dyDescent="0.2">
      <c r="A38" s="85">
        <f>+'CCs # Master'!A18</f>
        <v>11</v>
      </c>
      <c r="B38" s="19" t="str">
        <f>+'CCs # Master'!B18</f>
        <v>Sr. VP - Chief Accounting Officer</v>
      </c>
      <c r="C38" s="19" t="str">
        <f>+'CCs # Master'!C18</f>
        <v xml:space="preserve">Causey, Rick </v>
      </c>
      <c r="D38" s="205">
        <f>+'CCs # Master'!D18</f>
        <v>100016</v>
      </c>
      <c r="E38" s="19">
        <f>+'CCs # Master'!E18</f>
        <v>797</v>
      </c>
      <c r="F38" s="19">
        <f>+'CCs # Master'!F18</f>
        <v>167</v>
      </c>
      <c r="G38" s="19">
        <f>+'CCs # Master'!G18</f>
        <v>20</v>
      </c>
      <c r="H38" s="19">
        <f>+'CCs # Master'!H18</f>
        <v>693</v>
      </c>
      <c r="I38" s="19">
        <f>+'CCs # Master'!I18</f>
        <v>120</v>
      </c>
      <c r="J38" s="19">
        <f>+'CCs # Master'!J18</f>
        <v>36</v>
      </c>
      <c r="K38" s="19">
        <f t="shared" ref="K38:K70" si="31">SUM(E38:J38)</f>
        <v>1833</v>
      </c>
      <c r="M38" s="19" t="str">
        <f>+'CCs # Master'!M18</f>
        <v>MMF</v>
      </c>
      <c r="N38" s="19">
        <f>+'CCs # Master'!AW18</f>
        <v>1833</v>
      </c>
      <c r="O38" s="19">
        <v>0</v>
      </c>
      <c r="P38" s="19">
        <f>+'CCs # Master'!N18</f>
        <v>0</v>
      </c>
      <c r="Q38" s="19">
        <f>+'CCs # Master'!O18</f>
        <v>0</v>
      </c>
      <c r="R38" s="19">
        <f>+'CCs # Master'!P18</f>
        <v>0</v>
      </c>
      <c r="S38" s="19">
        <f>+'CCs # Master'!Q18</f>
        <v>0</v>
      </c>
      <c r="T38" s="19">
        <f>+'CCs # Master'!R18</f>
        <v>0</v>
      </c>
      <c r="U38" s="19">
        <f>+'CCs # Master'!S18</f>
        <v>0</v>
      </c>
      <c r="V38" s="19">
        <f>+'CCs # Master'!T18</f>
        <v>0</v>
      </c>
      <c r="W38" s="19">
        <f>+'CCs # Master'!U18</f>
        <v>0</v>
      </c>
      <c r="X38" s="19">
        <f>+'CCs # Master'!V18</f>
        <v>0</v>
      </c>
      <c r="Y38" s="19">
        <f>+'CCs # Master'!W18</f>
        <v>0</v>
      </c>
      <c r="Z38" s="19">
        <f>+'CCs # Master'!X18</f>
        <v>0</v>
      </c>
      <c r="AA38" s="19">
        <f>+'CCs # Master'!Y18</f>
        <v>0</v>
      </c>
      <c r="AB38" s="19">
        <f>+'CCs # Master'!Z18</f>
        <v>0</v>
      </c>
      <c r="AC38" s="19">
        <f>+'CCs # Master'!AA18</f>
        <v>0</v>
      </c>
      <c r="AD38" s="19">
        <f>+'CCs # Master'!AB18</f>
        <v>0</v>
      </c>
      <c r="AE38" s="19">
        <f>+'CCs # Master'!AC18</f>
        <v>0</v>
      </c>
      <c r="AF38" s="19">
        <f>+'CCs # Master'!AD18</f>
        <v>0</v>
      </c>
      <c r="AG38" s="19">
        <f>+'CCs # Master'!AE18</f>
        <v>0</v>
      </c>
      <c r="AH38" s="19">
        <f>+'CCs # Master'!AF18</f>
        <v>0</v>
      </c>
      <c r="AI38" s="19">
        <f>+'CCs # Master'!AG18</f>
        <v>0</v>
      </c>
      <c r="AJ38" s="19">
        <f>+'CCs # Master'!AH18</f>
        <v>0</v>
      </c>
      <c r="AK38" s="19">
        <f>+'CCs # Master'!AI18</f>
        <v>0</v>
      </c>
      <c r="AL38" s="19">
        <f>+'CCs # Master'!AJ18</f>
        <v>0</v>
      </c>
      <c r="AM38" s="19">
        <f>+'CCs # Master'!AK18</f>
        <v>0</v>
      </c>
      <c r="AN38" s="19">
        <f>+'CCs # Master'!AL18</f>
        <v>0</v>
      </c>
      <c r="AO38" s="19">
        <f>+'CCs # Master'!AM18</f>
        <v>0</v>
      </c>
      <c r="AP38" s="19">
        <f>+'CCs # Master'!AN18</f>
        <v>0</v>
      </c>
      <c r="AQ38" s="19">
        <f>+'CCs # Master'!AO18</f>
        <v>0</v>
      </c>
      <c r="AR38" s="19">
        <f>+'CCs # Master'!AP18</f>
        <v>0</v>
      </c>
      <c r="AS38" s="19">
        <f>+'CCs # Master'!AQ18</f>
        <v>0</v>
      </c>
      <c r="AT38" s="19">
        <f>+'CCs # Master'!AR18</f>
        <v>0</v>
      </c>
      <c r="AU38" s="19">
        <f>+'CCs # Master'!AS18</f>
        <v>0</v>
      </c>
      <c r="AV38" s="19">
        <f>+'CCs # Master'!AT18</f>
        <v>0</v>
      </c>
      <c r="AW38"/>
      <c r="AX38" s="21">
        <f t="shared" si="23"/>
        <v>1833</v>
      </c>
      <c r="AY38" s="21">
        <f t="shared" si="24"/>
        <v>0</v>
      </c>
      <c r="BA38" s="19">
        <f t="shared" si="25"/>
        <v>0</v>
      </c>
      <c r="BB38" s="19">
        <f t="shared" si="26"/>
        <v>1833</v>
      </c>
      <c r="BC38" s="19">
        <f t="shared" si="27"/>
        <v>0</v>
      </c>
      <c r="BE38" s="19">
        <f t="shared" si="28"/>
        <v>1833</v>
      </c>
      <c r="BG38" s="234">
        <f>SUM(N38:AW38)</f>
        <v>1833</v>
      </c>
      <c r="BH38" s="19">
        <f t="shared" si="30"/>
        <v>0</v>
      </c>
    </row>
    <row r="39" spans="1:60" s="19" customFormat="1" ht="12.95" customHeight="1" x14ac:dyDescent="0.2">
      <c r="A39" s="85" t="str">
        <f>+'CCs # Master'!A26</f>
        <v>0011</v>
      </c>
      <c r="B39" s="19" t="str">
        <f>+'CCs # Master'!B26</f>
        <v>State Tax Group</v>
      </c>
      <c r="C39" s="19" t="str">
        <f>+'CCs # Master'!C26</f>
        <v>Rice, Greek</v>
      </c>
      <c r="D39" s="205">
        <f>+'CCs # Master'!D26</f>
        <v>100026</v>
      </c>
      <c r="E39" s="19">
        <f>+'CCs # Master'!E26</f>
        <v>453</v>
      </c>
      <c r="F39" s="19">
        <f>+'CCs # Master'!F26</f>
        <v>25</v>
      </c>
      <c r="G39" s="19">
        <f>+'CCs # Master'!G26</f>
        <v>1</v>
      </c>
      <c r="H39" s="19">
        <f>+'CCs # Master'!H26</f>
        <v>63</v>
      </c>
      <c r="I39" s="19">
        <f>+'CCs # Master'!I26</f>
        <v>65</v>
      </c>
      <c r="J39" s="19">
        <f>+'CCs # Master'!J26</f>
        <v>0</v>
      </c>
      <c r="K39" s="19">
        <f t="shared" si="31"/>
        <v>607</v>
      </c>
      <c r="M39" s="19" t="str">
        <f>+'CCs # Master'!M26</f>
        <v>State tax returns, anticipated resources</v>
      </c>
      <c r="N39" s="19">
        <f>+'CCs # Master'!AW26</f>
        <v>137</v>
      </c>
      <c r="O39" s="19">
        <v>0</v>
      </c>
      <c r="P39" s="19">
        <f>+'CCs # Master'!N26</f>
        <v>15</v>
      </c>
      <c r="Q39" s="19">
        <f>+'CCs # Master'!O26</f>
        <v>39</v>
      </c>
      <c r="R39" s="19">
        <f>+'CCs # Master'!P26</f>
        <v>7</v>
      </c>
      <c r="S39" s="19">
        <f>+'CCs # Master'!Q26</f>
        <v>8</v>
      </c>
      <c r="T39" s="19">
        <f>+'CCs # Master'!R26</f>
        <v>0</v>
      </c>
      <c r="U39" s="19">
        <f>+'CCs # Master'!S26</f>
        <v>0</v>
      </c>
      <c r="V39" s="19">
        <f>+'CCs # Master'!T26</f>
        <v>0</v>
      </c>
      <c r="W39" s="19">
        <f>+'CCs # Master'!U26</f>
        <v>52</v>
      </c>
      <c r="X39" s="19">
        <f>+'CCs # Master'!V26</f>
        <v>0</v>
      </c>
      <c r="Y39" s="19">
        <f>+'CCs # Master'!W26</f>
        <v>0</v>
      </c>
      <c r="Z39" s="19">
        <f>+'CCs # Master'!X26</f>
        <v>228</v>
      </c>
      <c r="AA39" s="19">
        <f>+'CCs # Master'!Y26</f>
        <v>0</v>
      </c>
      <c r="AB39" s="19">
        <f>+'CCs # Master'!Z26</f>
        <v>0</v>
      </c>
      <c r="AC39" s="19">
        <f>+'CCs # Master'!AA26</f>
        <v>0</v>
      </c>
      <c r="AD39" s="19">
        <f>+'CCs # Master'!AB26</f>
        <v>0</v>
      </c>
      <c r="AE39" s="19">
        <f>+'CCs # Master'!AC26</f>
        <v>0</v>
      </c>
      <c r="AF39" s="19">
        <f>+'CCs # Master'!AD26</f>
        <v>43</v>
      </c>
      <c r="AG39" s="19">
        <f>+'CCs # Master'!AE26</f>
        <v>12</v>
      </c>
      <c r="AH39" s="19">
        <f>+'CCs # Master'!AF26</f>
        <v>42</v>
      </c>
      <c r="AI39" s="19">
        <f>+'CCs # Master'!AG26</f>
        <v>9</v>
      </c>
      <c r="AJ39" s="19">
        <f>+'CCs # Master'!AH26</f>
        <v>0</v>
      </c>
      <c r="AK39" s="19">
        <f>+'CCs # Master'!AI26</f>
        <v>0</v>
      </c>
      <c r="AL39" s="19">
        <f>+'CCs # Master'!AJ26</f>
        <v>0</v>
      </c>
      <c r="AM39" s="19">
        <f>+'CCs # Master'!AK26</f>
        <v>0</v>
      </c>
      <c r="AN39" s="19">
        <f>+'CCs # Master'!AL26</f>
        <v>0</v>
      </c>
      <c r="AO39" s="19">
        <f>+'CCs # Master'!AM26</f>
        <v>0</v>
      </c>
      <c r="AP39" s="19">
        <f>+'CCs # Master'!AN26</f>
        <v>0</v>
      </c>
      <c r="AQ39" s="19">
        <f>+'CCs # Master'!AO26</f>
        <v>0</v>
      </c>
      <c r="AR39" s="19">
        <f>+'CCs # Master'!AP26</f>
        <v>15</v>
      </c>
      <c r="AS39" s="19">
        <f>+'CCs # Master'!AQ26</f>
        <v>0</v>
      </c>
      <c r="AT39" s="19">
        <f>+'CCs # Master'!AR26</f>
        <v>0</v>
      </c>
      <c r="AU39" s="19">
        <f>+'CCs # Master'!AS26</f>
        <v>0</v>
      </c>
      <c r="AV39" s="19">
        <f>+'CCs # Master'!AT26</f>
        <v>0</v>
      </c>
      <c r="AW39"/>
      <c r="AX39" s="21">
        <f t="shared" si="23"/>
        <v>607</v>
      </c>
      <c r="AY39" s="21">
        <f t="shared" si="24"/>
        <v>0</v>
      </c>
      <c r="BA39" s="19">
        <f t="shared" si="25"/>
        <v>106</v>
      </c>
      <c r="BB39" s="19">
        <f t="shared" si="26"/>
        <v>137</v>
      </c>
      <c r="BC39" s="19">
        <f t="shared" si="27"/>
        <v>470</v>
      </c>
      <c r="BE39" s="19">
        <f t="shared" si="28"/>
        <v>607</v>
      </c>
      <c r="BG39" s="234">
        <f t="shared" si="29"/>
        <v>607</v>
      </c>
      <c r="BH39" s="19">
        <f t="shared" si="30"/>
        <v>0</v>
      </c>
    </row>
    <row r="40" spans="1:60" s="19" customFormat="1" ht="12.95" customHeight="1" x14ac:dyDescent="0.2">
      <c r="A40" s="85">
        <f>+'CCs # Master'!A27</f>
        <v>11</v>
      </c>
      <c r="B40" s="19" t="str">
        <f>+'CCs # Master'!B27</f>
        <v>Vice President - Tax</v>
      </c>
      <c r="C40" s="19" t="str">
        <f>+'CCs # Master'!C27</f>
        <v>Herman, Bob</v>
      </c>
      <c r="D40" s="205">
        <f>+'CCs # Master'!D27</f>
        <v>100027</v>
      </c>
      <c r="E40" s="19">
        <f>+'CCs # Master'!E27</f>
        <v>8669</v>
      </c>
      <c r="F40" s="19">
        <f>+'CCs # Master'!F27</f>
        <v>933</v>
      </c>
      <c r="G40" s="19">
        <f>+'CCs # Master'!G27</f>
        <v>114</v>
      </c>
      <c r="H40" s="19">
        <f>+'CCs # Master'!H27</f>
        <v>2967</v>
      </c>
      <c r="I40" s="19">
        <f>+'CCs # Master'!I27</f>
        <v>1317</v>
      </c>
      <c r="J40" s="19">
        <f>+'CCs # Master'!J27</f>
        <v>184</v>
      </c>
      <c r="K40" s="19">
        <f t="shared" si="31"/>
        <v>14184</v>
      </c>
      <c r="M40" s="19" t="str">
        <f>+'CCs # Master'!M27</f>
        <v>Anticipated Resources/MMF</v>
      </c>
      <c r="N40" s="19">
        <f>+'CCs # Master'!AW27</f>
        <v>9986</v>
      </c>
      <c r="O40" s="19">
        <v>0</v>
      </c>
      <c r="P40" s="19">
        <f>+'CCs # Master'!N27</f>
        <v>0</v>
      </c>
      <c r="Q40" s="19">
        <f>+'CCs # Master'!O27</f>
        <v>0</v>
      </c>
      <c r="R40" s="19">
        <f>+'CCs # Master'!P27</f>
        <v>0</v>
      </c>
      <c r="S40" s="19">
        <f>+'CCs # Master'!Q27</f>
        <v>0</v>
      </c>
      <c r="T40" s="19">
        <f>+'CCs # Master'!R27</f>
        <v>0</v>
      </c>
      <c r="U40" s="19">
        <f>+'CCs # Master'!S27</f>
        <v>0</v>
      </c>
      <c r="V40" s="19">
        <f>+'CCs # Master'!T27</f>
        <v>0</v>
      </c>
      <c r="W40" s="19">
        <f>+'CCs # Master'!U27</f>
        <v>0</v>
      </c>
      <c r="X40" s="19">
        <f>+'CCs # Master'!V27</f>
        <v>100</v>
      </c>
      <c r="Y40" s="19">
        <f>+'CCs # Master'!W27</f>
        <v>0</v>
      </c>
      <c r="Z40" s="19">
        <f>+'CCs # Master'!X27</f>
        <v>236</v>
      </c>
      <c r="AA40" s="19">
        <f>+'CCs # Master'!Y27</f>
        <v>0</v>
      </c>
      <c r="AB40" s="19">
        <f>+'CCs # Master'!Z27</f>
        <v>0</v>
      </c>
      <c r="AC40" s="19">
        <f>+'CCs # Master'!AA27</f>
        <v>0</v>
      </c>
      <c r="AD40" s="19">
        <f>+'CCs # Master'!AB27</f>
        <v>180</v>
      </c>
      <c r="AE40" s="19">
        <f>+'CCs # Master'!AC27</f>
        <v>0</v>
      </c>
      <c r="AF40" s="19">
        <f>+'CCs # Master'!AD27</f>
        <v>192</v>
      </c>
      <c r="AG40" s="19">
        <f>+'CCs # Master'!AE27</f>
        <v>67</v>
      </c>
      <c r="AH40" s="19">
        <f>+'CCs # Master'!AF27</f>
        <v>25</v>
      </c>
      <c r="AI40" s="19">
        <f>+'CCs # Master'!AG27</f>
        <v>0</v>
      </c>
      <c r="AJ40" s="19">
        <f>+'CCs # Master'!AH27</f>
        <v>907</v>
      </c>
      <c r="AK40" s="19">
        <f>+'CCs # Master'!AI27</f>
        <v>907</v>
      </c>
      <c r="AL40" s="19">
        <f>+'CCs # Master'!AJ27</f>
        <v>624</v>
      </c>
      <c r="AM40" s="19">
        <f>+'CCs # Master'!AK27</f>
        <v>38</v>
      </c>
      <c r="AN40" s="19">
        <f>+'CCs # Master'!AL27</f>
        <v>408</v>
      </c>
      <c r="AO40" s="19">
        <f>+'CCs # Master'!AM27</f>
        <v>0</v>
      </c>
      <c r="AP40" s="19">
        <f>+'CCs # Master'!AN27</f>
        <v>0</v>
      </c>
      <c r="AQ40" s="19">
        <f>+'CCs # Master'!AO27</f>
        <v>499</v>
      </c>
      <c r="AR40" s="19">
        <f>+'CCs # Master'!AP27</f>
        <v>15</v>
      </c>
      <c r="AS40" s="19">
        <f>+'CCs # Master'!AQ27</f>
        <v>0</v>
      </c>
      <c r="AT40" s="19">
        <f>+'CCs # Master'!AR27</f>
        <v>0</v>
      </c>
      <c r="AU40" s="19">
        <f>+'CCs # Master'!AS27</f>
        <v>0</v>
      </c>
      <c r="AV40" s="19">
        <f>+'CCs # Master'!AT27</f>
        <v>0</v>
      </c>
      <c r="AW40"/>
      <c r="AX40" s="21">
        <f t="shared" si="23"/>
        <v>14184</v>
      </c>
      <c r="AY40" s="21">
        <f t="shared" si="24"/>
        <v>0</v>
      </c>
      <c r="BA40" s="19">
        <f t="shared" si="25"/>
        <v>100</v>
      </c>
      <c r="BB40" s="19">
        <f t="shared" si="26"/>
        <v>9986</v>
      </c>
      <c r="BC40" s="19">
        <f t="shared" si="27"/>
        <v>4198</v>
      </c>
      <c r="BE40" s="19">
        <f t="shared" si="28"/>
        <v>14184</v>
      </c>
      <c r="BG40" s="234">
        <f t="shared" si="29"/>
        <v>14184</v>
      </c>
      <c r="BH40" s="19">
        <f t="shared" si="30"/>
        <v>0</v>
      </c>
    </row>
    <row r="41" spans="1:60" s="19" customFormat="1" ht="12.95" customHeight="1" x14ac:dyDescent="0.2">
      <c r="A41" s="85" t="str">
        <f>+'CCs # Master'!A29</f>
        <v>0011</v>
      </c>
      <c r="B41" s="19" t="str">
        <f>+'CCs # Master'!B29</f>
        <v>Ad Valorem Tax</v>
      </c>
      <c r="C41" s="19" t="str">
        <f>+'CCs # Master'!C29</f>
        <v>Russo, Gavin</v>
      </c>
      <c r="D41" s="205">
        <f>+'CCs # Master'!D29</f>
        <v>100029</v>
      </c>
      <c r="E41" s="19">
        <f>+'CCs # Master'!E29</f>
        <v>945</v>
      </c>
      <c r="F41" s="19">
        <f>+'CCs # Master'!F29</f>
        <v>176</v>
      </c>
      <c r="G41" s="19">
        <f>+'CCs # Master'!G29</f>
        <v>6</v>
      </c>
      <c r="H41" s="19">
        <f>+'CCs # Master'!H29</f>
        <v>143</v>
      </c>
      <c r="I41" s="19">
        <f>+'CCs # Master'!I29</f>
        <v>110</v>
      </c>
      <c r="J41" s="19">
        <f>+'CCs # Master'!J29</f>
        <v>8</v>
      </c>
      <c r="K41" s="19">
        <f t="shared" si="31"/>
        <v>1388</v>
      </c>
      <c r="M41" s="19" t="str">
        <f>+'CCs # Master'!M29</f>
        <v xml:space="preserve">Properties, Tax,  &amp; MMF </v>
      </c>
      <c r="N41" s="19">
        <f>+'CCs # Master'!AW29</f>
        <v>255</v>
      </c>
      <c r="O41" s="19">
        <v>0</v>
      </c>
      <c r="P41" s="19">
        <f>+'CCs # Master'!N29</f>
        <v>79</v>
      </c>
      <c r="Q41" s="19">
        <f>+'CCs # Master'!O29</f>
        <v>123</v>
      </c>
      <c r="R41" s="19">
        <f>+'CCs # Master'!P29</f>
        <v>0</v>
      </c>
      <c r="S41" s="19">
        <f>+'CCs # Master'!Q29</f>
        <v>0</v>
      </c>
      <c r="T41" s="19">
        <f>+'CCs # Master'!R29</f>
        <v>0</v>
      </c>
      <c r="U41" s="19">
        <f>+'CCs # Master'!S29</f>
        <v>0</v>
      </c>
      <c r="V41" s="19">
        <f>+'CCs # Master'!T29</f>
        <v>0</v>
      </c>
      <c r="W41" s="19">
        <f>+'CCs # Master'!U29</f>
        <v>304</v>
      </c>
      <c r="X41" s="19">
        <f>+'CCs # Master'!V29</f>
        <v>0</v>
      </c>
      <c r="Y41" s="19">
        <f>+'CCs # Master'!W29</f>
        <v>0</v>
      </c>
      <c r="Z41" s="19">
        <f>+'CCs # Master'!X29</f>
        <v>234</v>
      </c>
      <c r="AA41" s="19">
        <f>+'CCs # Master'!Y29</f>
        <v>0</v>
      </c>
      <c r="AB41" s="19">
        <f>+'CCs # Master'!Z29</f>
        <v>43</v>
      </c>
      <c r="AC41" s="19">
        <f>+'CCs # Master'!AA29</f>
        <v>0</v>
      </c>
      <c r="AD41" s="19">
        <f>+'CCs # Master'!AB29</f>
        <v>0</v>
      </c>
      <c r="AE41" s="19">
        <f>+'CCs # Master'!AC29</f>
        <v>0</v>
      </c>
      <c r="AF41" s="19">
        <f>+'CCs # Master'!AD29</f>
        <v>100</v>
      </c>
      <c r="AG41" s="19">
        <f>+'CCs # Master'!AE29</f>
        <v>150</v>
      </c>
      <c r="AH41" s="19">
        <f>+'CCs # Master'!AF29</f>
        <v>75</v>
      </c>
      <c r="AI41" s="19">
        <f>+'CCs # Master'!AG29</f>
        <v>10</v>
      </c>
      <c r="AJ41" s="19">
        <f>+'CCs # Master'!AH29</f>
        <v>0</v>
      </c>
      <c r="AK41" s="19">
        <f>+'CCs # Master'!AI29</f>
        <v>0</v>
      </c>
      <c r="AL41" s="19">
        <f>+'CCs # Master'!AJ29</f>
        <v>0</v>
      </c>
      <c r="AM41" s="19">
        <f>+'CCs # Master'!AK29</f>
        <v>0</v>
      </c>
      <c r="AN41" s="19">
        <f>+'CCs # Master'!AL29</f>
        <v>0</v>
      </c>
      <c r="AO41" s="19">
        <f>+'CCs # Master'!AM29</f>
        <v>0</v>
      </c>
      <c r="AP41" s="19">
        <f>+'CCs # Master'!AN29</f>
        <v>0</v>
      </c>
      <c r="AQ41" s="19">
        <f>+'CCs # Master'!AO29</f>
        <v>0</v>
      </c>
      <c r="AR41" s="19">
        <f>+'CCs # Master'!AP29</f>
        <v>15</v>
      </c>
      <c r="AS41" s="19">
        <f>+'CCs # Master'!AQ29</f>
        <v>0</v>
      </c>
      <c r="AT41" s="19">
        <f>+'CCs # Master'!AR29</f>
        <v>0</v>
      </c>
      <c r="AU41" s="19">
        <f>+'CCs # Master'!AS29</f>
        <v>0</v>
      </c>
      <c r="AV41" s="19">
        <f>+'CCs # Master'!AT29</f>
        <v>0</v>
      </c>
      <c r="AW41"/>
      <c r="AX41" s="21">
        <f t="shared" si="23"/>
        <v>1388</v>
      </c>
      <c r="AY41" s="21">
        <f t="shared" si="24"/>
        <v>0</v>
      </c>
      <c r="BA41" s="19">
        <f t="shared" si="25"/>
        <v>506</v>
      </c>
      <c r="BB41" s="19">
        <f t="shared" si="26"/>
        <v>255</v>
      </c>
      <c r="BC41" s="19">
        <f t="shared" si="27"/>
        <v>1133</v>
      </c>
      <c r="BE41" s="19">
        <f t="shared" si="28"/>
        <v>1388</v>
      </c>
      <c r="BG41" s="234">
        <f t="shared" si="29"/>
        <v>1388</v>
      </c>
      <c r="BH41" s="19">
        <f t="shared" si="30"/>
        <v>0</v>
      </c>
    </row>
    <row r="42" spans="1:60" s="19" customFormat="1" ht="12.95" customHeight="1" x14ac:dyDescent="0.2">
      <c r="A42" s="85">
        <f>+'CCs # Master'!A41</f>
        <v>11</v>
      </c>
      <c r="B42" s="19" t="str">
        <f>+'CCs # Master'!B41</f>
        <v>Tax - Analyst/Intern Recruiting</v>
      </c>
      <c r="C42" s="19" t="str">
        <f>+'CCs # Master'!C41</f>
        <v>Coats, Ed</v>
      </c>
      <c r="D42" s="205">
        <f>+'CCs # Master'!D41</f>
        <v>100045</v>
      </c>
      <c r="E42" s="19">
        <f>+'CCs # Master'!E41</f>
        <v>2154</v>
      </c>
      <c r="F42" s="19">
        <f>+'CCs # Master'!F41</f>
        <v>80</v>
      </c>
      <c r="G42" s="19">
        <f>+'CCs # Master'!G41</f>
        <v>5</v>
      </c>
      <c r="H42" s="19">
        <f>+'CCs # Master'!H41</f>
        <v>18</v>
      </c>
      <c r="I42" s="19">
        <f>+'CCs # Master'!I41</f>
        <v>62</v>
      </c>
      <c r="J42" s="19">
        <f>+'CCs # Master'!J41</f>
        <v>0</v>
      </c>
      <c r="K42" s="19">
        <f t="shared" si="31"/>
        <v>2319</v>
      </c>
      <c r="M42" s="19" t="str">
        <f>+'CCs # Master'!M41</f>
        <v>Resources &amp; Assignment</v>
      </c>
      <c r="N42" s="19">
        <f>+'CCs # Master'!AW41</f>
        <v>2319</v>
      </c>
      <c r="O42" s="19">
        <v>0</v>
      </c>
      <c r="P42" s="19">
        <f>+'CCs # Master'!N41</f>
        <v>0</v>
      </c>
      <c r="Q42" s="19">
        <f>+'CCs # Master'!O41</f>
        <v>0</v>
      </c>
      <c r="R42" s="19">
        <f>+'CCs # Master'!P41</f>
        <v>0</v>
      </c>
      <c r="S42" s="19">
        <f>+'CCs # Master'!Q41</f>
        <v>0</v>
      </c>
      <c r="T42" s="19">
        <f>+'CCs # Master'!R41</f>
        <v>0</v>
      </c>
      <c r="U42" s="19">
        <f>+'CCs # Master'!S41</f>
        <v>0</v>
      </c>
      <c r="V42" s="19">
        <f>+'CCs # Master'!T41</f>
        <v>0</v>
      </c>
      <c r="W42" s="19">
        <f>+'CCs # Master'!U41</f>
        <v>0</v>
      </c>
      <c r="X42" s="19">
        <f>+'CCs # Master'!V41</f>
        <v>0</v>
      </c>
      <c r="Y42" s="19">
        <f>+'CCs # Master'!W41</f>
        <v>0</v>
      </c>
      <c r="Z42" s="19">
        <f>+'CCs # Master'!X41</f>
        <v>0</v>
      </c>
      <c r="AA42" s="19">
        <f>+'CCs # Master'!Y41</f>
        <v>0</v>
      </c>
      <c r="AB42" s="19">
        <f>+'CCs # Master'!Z41</f>
        <v>0</v>
      </c>
      <c r="AC42" s="19">
        <f>+'CCs # Master'!AA41</f>
        <v>0</v>
      </c>
      <c r="AD42" s="19">
        <f>+'CCs # Master'!AB41</f>
        <v>0</v>
      </c>
      <c r="AE42" s="19">
        <f>+'CCs # Master'!AC41</f>
        <v>0</v>
      </c>
      <c r="AF42" s="19">
        <f>+'CCs # Master'!AD41</f>
        <v>0</v>
      </c>
      <c r="AG42" s="19">
        <f>+'CCs # Master'!AE41</f>
        <v>0</v>
      </c>
      <c r="AH42" s="19">
        <f>+'CCs # Master'!AF41</f>
        <v>0</v>
      </c>
      <c r="AI42" s="19">
        <f>+'CCs # Master'!AG41</f>
        <v>0</v>
      </c>
      <c r="AJ42" s="19">
        <f>+'CCs # Master'!AH41</f>
        <v>0</v>
      </c>
      <c r="AK42" s="19">
        <f>+'CCs # Master'!AI41</f>
        <v>0</v>
      </c>
      <c r="AL42" s="19">
        <f>+'CCs # Master'!AJ41</f>
        <v>0</v>
      </c>
      <c r="AM42" s="19">
        <f>+'CCs # Master'!AK41</f>
        <v>0</v>
      </c>
      <c r="AN42" s="19">
        <f>+'CCs # Master'!AL41</f>
        <v>0</v>
      </c>
      <c r="AO42" s="19">
        <f>+'CCs # Master'!AM41</f>
        <v>0</v>
      </c>
      <c r="AP42" s="19">
        <f>+'CCs # Master'!AN41</f>
        <v>0</v>
      </c>
      <c r="AQ42" s="19">
        <f>+'CCs # Master'!AO41</f>
        <v>0</v>
      </c>
      <c r="AR42" s="19">
        <f>+'CCs # Master'!AP41</f>
        <v>0</v>
      </c>
      <c r="AS42" s="19">
        <f>+'CCs # Master'!AQ41</f>
        <v>0</v>
      </c>
      <c r="AT42" s="19">
        <f>+'CCs # Master'!AR41</f>
        <v>0</v>
      </c>
      <c r="AU42" s="19">
        <f>+'CCs # Master'!AS41</f>
        <v>0</v>
      </c>
      <c r="AV42" s="19">
        <f>+'CCs # Master'!AT41</f>
        <v>0</v>
      </c>
      <c r="AW42"/>
      <c r="AX42" s="21">
        <f t="shared" si="23"/>
        <v>2319</v>
      </c>
      <c r="AY42" s="21">
        <f t="shared" si="24"/>
        <v>0</v>
      </c>
      <c r="BA42" s="19">
        <f t="shared" si="25"/>
        <v>0</v>
      </c>
      <c r="BB42" s="19">
        <f t="shared" si="26"/>
        <v>2319</v>
      </c>
      <c r="BC42" s="19">
        <f t="shared" si="27"/>
        <v>0</v>
      </c>
      <c r="BE42" s="19">
        <f t="shared" si="28"/>
        <v>2319</v>
      </c>
      <c r="BG42" s="234">
        <f t="shared" si="29"/>
        <v>2319</v>
      </c>
      <c r="BH42" s="19">
        <f t="shared" si="30"/>
        <v>0</v>
      </c>
    </row>
    <row r="43" spans="1:60" s="19" customFormat="1" ht="12.95" customHeight="1" x14ac:dyDescent="0.2">
      <c r="A43" s="85">
        <f>+'CCs # Master'!A127</f>
        <v>11</v>
      </c>
      <c r="B43" s="226" t="str">
        <f>+'CCs # Master'!B127</f>
        <v>CORP - IT Compliance</v>
      </c>
      <c r="C43" s="226" t="str">
        <f>+'CCs # Master'!C127</f>
        <v>Parsons, A</v>
      </c>
      <c r="D43" s="85">
        <f>+'CCs # Master'!D127</f>
        <v>100091</v>
      </c>
      <c r="E43" s="19">
        <f>+'CCs # Master'!E127</f>
        <v>500</v>
      </c>
      <c r="F43" s="19">
        <f>+'CCs # Master'!F127</f>
        <v>65</v>
      </c>
      <c r="G43" s="19">
        <f>+'CCs # Master'!G127</f>
        <v>6</v>
      </c>
      <c r="H43" s="19">
        <f>+'CCs # Master'!H127</f>
        <v>121</v>
      </c>
      <c r="I43" s="19">
        <f>+'CCs # Master'!I127</f>
        <v>18</v>
      </c>
      <c r="J43" s="19">
        <f>+'CCs # Master'!J127</f>
        <v>17</v>
      </c>
      <c r="K43" s="19">
        <f t="shared" si="31"/>
        <v>727</v>
      </c>
      <c r="M43" s="19" t="str">
        <f>+'CCs # Master'!M127</f>
        <v>Retained at Corp</v>
      </c>
      <c r="N43" s="19">
        <f>+'CCs # Master'!AW127</f>
        <v>727</v>
      </c>
      <c r="O43" s="19">
        <v>0</v>
      </c>
      <c r="P43" s="19">
        <f>+'CCs # Master'!N127</f>
        <v>0</v>
      </c>
      <c r="Q43" s="19">
        <f>+'CCs # Master'!O127</f>
        <v>0</v>
      </c>
      <c r="R43" s="19">
        <f>+'CCs # Master'!P127</f>
        <v>0</v>
      </c>
      <c r="S43" s="19">
        <f>+'CCs # Master'!Q127</f>
        <v>0</v>
      </c>
      <c r="T43" s="19">
        <f>+'CCs # Master'!R127</f>
        <v>0</v>
      </c>
      <c r="U43" s="19">
        <f>+'CCs # Master'!S127</f>
        <v>0</v>
      </c>
      <c r="V43" s="19">
        <f>+'CCs # Master'!T127</f>
        <v>0</v>
      </c>
      <c r="W43" s="19">
        <f>+'CCs # Master'!U127</f>
        <v>0</v>
      </c>
      <c r="X43" s="19">
        <f>+'CCs # Master'!V127</f>
        <v>0</v>
      </c>
      <c r="Y43" s="19">
        <f>+'CCs # Master'!W127</f>
        <v>0</v>
      </c>
      <c r="Z43" s="19">
        <f>+'CCs # Master'!X127</f>
        <v>0</v>
      </c>
      <c r="AA43" s="19">
        <f>+'CCs # Master'!Y127</f>
        <v>0</v>
      </c>
      <c r="AB43" s="19">
        <f>+'CCs # Master'!Z127</f>
        <v>0</v>
      </c>
      <c r="AC43" s="19">
        <f>+'CCs # Master'!AA127</f>
        <v>0</v>
      </c>
      <c r="AD43" s="19">
        <f>+'CCs # Master'!AB127</f>
        <v>0</v>
      </c>
      <c r="AE43" s="19">
        <f>+'CCs # Master'!AC127</f>
        <v>0</v>
      </c>
      <c r="AF43" s="19">
        <f>+'CCs # Master'!AD127</f>
        <v>0</v>
      </c>
      <c r="AG43" s="19">
        <f>+'CCs # Master'!AE127</f>
        <v>0</v>
      </c>
      <c r="AH43" s="19">
        <f>+'CCs # Master'!AF127</f>
        <v>0</v>
      </c>
      <c r="AI43" s="19">
        <f>+'CCs # Master'!AG127</f>
        <v>0</v>
      </c>
      <c r="AJ43" s="19">
        <f>+'CCs # Master'!AH127</f>
        <v>0</v>
      </c>
      <c r="AK43" s="19">
        <f>+'CCs # Master'!AI127</f>
        <v>0</v>
      </c>
      <c r="AL43" s="19">
        <f>+'CCs # Master'!AJ127</f>
        <v>0</v>
      </c>
      <c r="AM43" s="19">
        <f>+'CCs # Master'!AK127</f>
        <v>0</v>
      </c>
      <c r="AN43" s="19">
        <f>+'CCs # Master'!AL127</f>
        <v>0</v>
      </c>
      <c r="AO43" s="19">
        <f>+'CCs # Master'!AM127</f>
        <v>0</v>
      </c>
      <c r="AP43" s="19">
        <f>+'CCs # Master'!AN127</f>
        <v>0</v>
      </c>
      <c r="AQ43" s="19">
        <f>+'CCs # Master'!AO127</f>
        <v>0</v>
      </c>
      <c r="AR43" s="19">
        <f>+'CCs # Master'!AP127</f>
        <v>0</v>
      </c>
      <c r="AS43" s="19">
        <f>+'CCs # Master'!AQ127</f>
        <v>0</v>
      </c>
      <c r="AT43" s="19">
        <f>+'CCs # Master'!AR127</f>
        <v>0</v>
      </c>
      <c r="AU43" s="19">
        <f>+'CCs # Master'!AS127</f>
        <v>0</v>
      </c>
      <c r="AV43" s="19">
        <f>+'CCs # Master'!AT127</f>
        <v>0</v>
      </c>
      <c r="AW43"/>
      <c r="AX43" s="21">
        <f>SUM(N43:AW43)</f>
        <v>727</v>
      </c>
      <c r="AY43" s="21">
        <f>+K43-AX43</f>
        <v>0</v>
      </c>
      <c r="BA43" s="19">
        <f t="shared" si="25"/>
        <v>0</v>
      </c>
      <c r="BB43" s="19">
        <f>N43</f>
        <v>727</v>
      </c>
      <c r="BC43" s="19">
        <f>SUM(P43:AW43)</f>
        <v>0</v>
      </c>
      <c r="BE43" s="19">
        <f t="shared" si="28"/>
        <v>727</v>
      </c>
      <c r="BG43" s="234">
        <f t="shared" si="29"/>
        <v>727</v>
      </c>
      <c r="BH43" s="19">
        <f t="shared" si="30"/>
        <v>0</v>
      </c>
    </row>
    <row r="44" spans="1:60" s="19" customFormat="1" ht="12.95" customHeight="1" x14ac:dyDescent="0.2">
      <c r="A44" s="85" t="str">
        <f>+'CCs # Master'!A89</f>
        <v>0011</v>
      </c>
      <c r="B44" s="19" t="str">
        <f>+'CCs # Master'!B89</f>
        <v>Professional Accounting Fees</v>
      </c>
      <c r="C44" s="19" t="str">
        <f>+'CCs # Master'!C89</f>
        <v>Butts, Bob</v>
      </c>
      <c r="D44" s="205">
        <f>+'CCs # Master'!D89</f>
        <v>100127</v>
      </c>
      <c r="E44" s="19">
        <f>+'CCs # Master'!E89</f>
        <v>881</v>
      </c>
      <c r="F44" s="19">
        <f>+'CCs # Master'!F89</f>
        <v>81</v>
      </c>
      <c r="G44" s="19">
        <f>+'CCs # Master'!G89</f>
        <v>2</v>
      </c>
      <c r="H44" s="19">
        <f>+'CCs # Master'!H89</f>
        <v>11964</v>
      </c>
      <c r="I44" s="19">
        <f>+'CCs # Master'!I89</f>
        <v>132</v>
      </c>
      <c r="J44" s="19">
        <f>+'CCs # Master'!J89</f>
        <v>3</v>
      </c>
      <c r="K44" s="19">
        <f t="shared" si="31"/>
        <v>13063</v>
      </c>
      <c r="M44" s="19" t="str">
        <f>+'CCs # Master'!M89</f>
        <v>Contract Specific &amp; MMF</v>
      </c>
      <c r="N44" s="19">
        <f>+'CCs # Master'!AW89</f>
        <v>3969</v>
      </c>
      <c r="O44" s="19">
        <v>0</v>
      </c>
      <c r="P44" s="19">
        <f>+'CCs # Master'!N89</f>
        <v>0</v>
      </c>
      <c r="Q44" s="19">
        <f>+'CCs # Master'!O89</f>
        <v>0</v>
      </c>
      <c r="R44" s="19">
        <f>+'CCs # Master'!P89</f>
        <v>97</v>
      </c>
      <c r="S44" s="19">
        <f>+'CCs # Master'!Q89</f>
        <v>103</v>
      </c>
      <c r="T44" s="19">
        <f>+'CCs # Master'!R89</f>
        <v>0</v>
      </c>
      <c r="U44" s="19">
        <f>+'CCs # Master'!S89</f>
        <v>0</v>
      </c>
      <c r="V44" s="19">
        <f>+'CCs # Master'!T89</f>
        <v>0</v>
      </c>
      <c r="W44" s="19">
        <f>+'CCs # Master'!U89</f>
        <v>785</v>
      </c>
      <c r="X44" s="19">
        <f>+'CCs # Master'!V89</f>
        <v>0</v>
      </c>
      <c r="Y44" s="19">
        <f>+'CCs # Master'!W89</f>
        <v>0</v>
      </c>
      <c r="Z44" s="19">
        <f>+'CCs # Master'!X89</f>
        <v>3000</v>
      </c>
      <c r="AA44" s="19">
        <f>+'CCs # Master'!Y89</f>
        <v>0</v>
      </c>
      <c r="AB44" s="19">
        <f>+'CCs # Master'!Z89</f>
        <v>42</v>
      </c>
      <c r="AC44" s="19">
        <f>+'CCs # Master'!AA89</f>
        <v>0</v>
      </c>
      <c r="AD44" s="19">
        <f>+'CCs # Master'!AB89</f>
        <v>0</v>
      </c>
      <c r="AE44" s="19">
        <f>+'CCs # Master'!AC89</f>
        <v>215</v>
      </c>
      <c r="AF44" s="19">
        <f>+'CCs # Master'!AD89</f>
        <v>1300</v>
      </c>
      <c r="AG44" s="19">
        <f>+'CCs # Master'!AE89</f>
        <v>1000</v>
      </c>
      <c r="AH44" s="19">
        <f>+'CCs # Master'!AF89</f>
        <v>0</v>
      </c>
      <c r="AI44" s="19">
        <f>+'CCs # Master'!AG89</f>
        <v>0</v>
      </c>
      <c r="AJ44" s="19">
        <f>+'CCs # Master'!AH89</f>
        <v>150</v>
      </c>
      <c r="AK44" s="19">
        <f>+'CCs # Master'!AI89</f>
        <v>275</v>
      </c>
      <c r="AL44" s="19">
        <f>+'CCs # Master'!AJ89</f>
        <v>200</v>
      </c>
      <c r="AM44" s="19">
        <f>+'CCs # Master'!AK89</f>
        <v>60</v>
      </c>
      <c r="AN44" s="19">
        <f>+'CCs # Master'!AL89</f>
        <v>0</v>
      </c>
      <c r="AO44" s="19">
        <f>+'CCs # Master'!AM89</f>
        <v>49</v>
      </c>
      <c r="AP44" s="19">
        <f>+'CCs # Master'!AN89</f>
        <v>0</v>
      </c>
      <c r="AQ44" s="19">
        <f>+'CCs # Master'!AO89</f>
        <v>1500</v>
      </c>
      <c r="AR44" s="19">
        <f>+'CCs # Master'!AP89</f>
        <v>318</v>
      </c>
      <c r="AS44" s="19">
        <f>+'CCs # Master'!AQ89</f>
        <v>0</v>
      </c>
      <c r="AT44" s="19">
        <f>+'CCs # Master'!AR89</f>
        <v>0</v>
      </c>
      <c r="AU44" s="19">
        <f>+'CCs # Master'!AS89</f>
        <v>0</v>
      </c>
      <c r="AV44" s="19">
        <f>+'CCs # Master'!AT89</f>
        <v>0</v>
      </c>
      <c r="AW44"/>
      <c r="AX44" s="21">
        <f t="shared" si="23"/>
        <v>13063</v>
      </c>
      <c r="AY44" s="21">
        <f t="shared" si="24"/>
        <v>0</v>
      </c>
      <c r="BA44" s="19">
        <f t="shared" si="25"/>
        <v>785</v>
      </c>
      <c r="BB44" s="19">
        <f t="shared" si="26"/>
        <v>3969</v>
      </c>
      <c r="BC44" s="19">
        <f t="shared" si="27"/>
        <v>9094</v>
      </c>
      <c r="BE44" s="19">
        <f t="shared" si="28"/>
        <v>13063</v>
      </c>
      <c r="BG44" s="234">
        <f t="shared" si="29"/>
        <v>13063</v>
      </c>
      <c r="BH44" s="19">
        <f t="shared" si="30"/>
        <v>0</v>
      </c>
    </row>
    <row r="45" spans="1:60" s="19" customFormat="1" ht="12.95" customHeight="1" x14ac:dyDescent="0.2">
      <c r="A45" s="85">
        <f>+'CCs # Master'!A116</f>
        <v>11</v>
      </c>
      <c r="B45" s="19" t="str">
        <f>+'CCs # Master'!B116</f>
        <v>Sales &amp; Use Tax</v>
      </c>
      <c r="C45" s="19" t="str">
        <f>+'CCs # Master'!C116</f>
        <v>Moore, Jerry</v>
      </c>
      <c r="D45" s="205">
        <f>+'CCs # Master'!D116</f>
        <v>100280</v>
      </c>
      <c r="E45" s="19">
        <f>+'CCs # Master'!E116</f>
        <v>1384</v>
      </c>
      <c r="F45" s="19">
        <f>+'CCs # Master'!F116</f>
        <v>154</v>
      </c>
      <c r="G45" s="19">
        <f>+'CCs # Master'!G116</f>
        <v>12</v>
      </c>
      <c r="H45" s="19">
        <f>+'CCs # Master'!H116</f>
        <v>269</v>
      </c>
      <c r="I45" s="19">
        <f>+'CCs # Master'!I116</f>
        <v>110</v>
      </c>
      <c r="J45" s="19">
        <f>+'CCs # Master'!J116</f>
        <v>7</v>
      </c>
      <c r="K45" s="19">
        <f t="shared" si="31"/>
        <v>1936</v>
      </c>
      <c r="M45" s="19" t="str">
        <f>+'CCs # Master'!M116</f>
        <v>Anticipated Resources</v>
      </c>
      <c r="N45" s="19">
        <f>+'CCs # Master'!AW116</f>
        <v>163</v>
      </c>
      <c r="O45" s="19">
        <v>0</v>
      </c>
      <c r="P45" s="19">
        <f>+'CCs # Master'!N116</f>
        <v>9</v>
      </c>
      <c r="Q45" s="19">
        <f>+'CCs # Master'!O116</f>
        <v>123</v>
      </c>
      <c r="R45" s="19">
        <f>+'CCs # Master'!P116</f>
        <v>133</v>
      </c>
      <c r="S45" s="19">
        <f>+'CCs # Master'!Q116</f>
        <v>142</v>
      </c>
      <c r="T45" s="19">
        <f>+'CCs # Master'!R116</f>
        <v>0</v>
      </c>
      <c r="U45" s="19">
        <f>+'CCs # Master'!S116</f>
        <v>0</v>
      </c>
      <c r="V45" s="19">
        <f>+'CCs # Master'!T116</f>
        <v>0</v>
      </c>
      <c r="W45" s="19">
        <f>+'CCs # Master'!U116</f>
        <v>142</v>
      </c>
      <c r="X45" s="19">
        <f>+'CCs # Master'!V116</f>
        <v>0</v>
      </c>
      <c r="Y45" s="19">
        <f>+'CCs # Master'!W116</f>
        <v>0</v>
      </c>
      <c r="Z45" s="19">
        <f>+'CCs # Master'!X116</f>
        <v>821</v>
      </c>
      <c r="AA45" s="19">
        <f>+'CCs # Master'!Y116</f>
        <v>0</v>
      </c>
      <c r="AB45" s="19">
        <f>+'CCs # Master'!Z116</f>
        <v>75</v>
      </c>
      <c r="AC45" s="19">
        <f>+'CCs # Master'!AA116</f>
        <v>0</v>
      </c>
      <c r="AD45" s="19">
        <f>+'CCs # Master'!AB116</f>
        <v>0</v>
      </c>
      <c r="AE45" s="19">
        <f>+'CCs # Master'!AC116</f>
        <v>0</v>
      </c>
      <c r="AF45" s="19">
        <f>+'CCs # Master'!AD116</f>
        <v>275</v>
      </c>
      <c r="AG45" s="19">
        <f>+'CCs # Master'!AE116</f>
        <v>0</v>
      </c>
      <c r="AH45" s="19">
        <f>+'CCs # Master'!AF116</f>
        <v>0</v>
      </c>
      <c r="AI45" s="19">
        <f>+'CCs # Master'!AG116</f>
        <v>0</v>
      </c>
      <c r="AJ45" s="19">
        <f>+'CCs # Master'!AH116</f>
        <v>0</v>
      </c>
      <c r="AK45" s="19">
        <f>+'CCs # Master'!AI116</f>
        <v>0</v>
      </c>
      <c r="AL45" s="19">
        <f>+'CCs # Master'!AJ116</f>
        <v>0</v>
      </c>
      <c r="AM45" s="19">
        <f>+'CCs # Master'!AK116</f>
        <v>0</v>
      </c>
      <c r="AN45" s="19">
        <f>+'CCs # Master'!AL116</f>
        <v>0</v>
      </c>
      <c r="AO45" s="19">
        <f>+'CCs # Master'!AM116</f>
        <v>0</v>
      </c>
      <c r="AP45" s="19">
        <f>+'CCs # Master'!AN116</f>
        <v>0</v>
      </c>
      <c r="AQ45" s="19">
        <f>+'CCs # Master'!AO116</f>
        <v>0</v>
      </c>
      <c r="AR45" s="19">
        <f>+'CCs # Master'!AP116</f>
        <v>53</v>
      </c>
      <c r="AS45" s="19">
        <f>+'CCs # Master'!AQ116</f>
        <v>0</v>
      </c>
      <c r="AT45" s="19">
        <f>+'CCs # Master'!AR116</f>
        <v>0</v>
      </c>
      <c r="AU45" s="19">
        <f>+'CCs # Master'!AS116</f>
        <v>0</v>
      </c>
      <c r="AV45" s="19">
        <f>+'CCs # Master'!AT116</f>
        <v>0</v>
      </c>
      <c r="AW45"/>
      <c r="AX45" s="21">
        <f t="shared" si="23"/>
        <v>1936</v>
      </c>
      <c r="AY45" s="21">
        <f t="shared" si="24"/>
        <v>0</v>
      </c>
      <c r="BA45" s="19">
        <f t="shared" si="25"/>
        <v>274</v>
      </c>
      <c r="BB45" s="19">
        <f t="shared" si="26"/>
        <v>163</v>
      </c>
      <c r="BC45" s="19">
        <f t="shared" si="27"/>
        <v>1773</v>
      </c>
      <c r="BE45" s="19">
        <f t="shared" si="28"/>
        <v>1936</v>
      </c>
      <c r="BG45" s="234">
        <f t="shared" si="29"/>
        <v>1936</v>
      </c>
      <c r="BH45" s="19">
        <f t="shared" si="30"/>
        <v>0</v>
      </c>
    </row>
    <row r="46" spans="1:60" s="19" customFormat="1" ht="12.95" customHeight="1" x14ac:dyDescent="0.2">
      <c r="A46" s="85">
        <f>+'CCs # Master'!A118</f>
        <v>11</v>
      </c>
      <c r="B46" s="19" t="str">
        <f>+'CCs # Master'!B118</f>
        <v>Accounts Payable - Executive</v>
      </c>
      <c r="C46" s="19" t="str">
        <f>+'CCs # Master'!C118</f>
        <v>Dallman, Larry</v>
      </c>
      <c r="D46" s="205">
        <f>+'CCs # Master'!D118</f>
        <v>100801</v>
      </c>
      <c r="E46" s="19">
        <f>+'CCs # Master'!E118</f>
        <v>2383</v>
      </c>
      <c r="F46" s="19">
        <f>+'CCs # Master'!F118</f>
        <v>59</v>
      </c>
      <c r="G46" s="19">
        <f>+'CCs # Master'!G118</f>
        <v>28</v>
      </c>
      <c r="H46" s="19">
        <f>+'CCs # Master'!H118</f>
        <v>174</v>
      </c>
      <c r="I46" s="19">
        <f>+'CCs # Master'!I118</f>
        <v>281</v>
      </c>
      <c r="J46" s="19">
        <f>+'CCs # Master'!J118</f>
        <v>0</v>
      </c>
      <c r="K46" s="19">
        <f t="shared" si="31"/>
        <v>2925</v>
      </c>
      <c r="M46" s="19" t="str">
        <f>+'CCs # Master'!M118</f>
        <v>Prorata to MSA/SAP &amp; SUN support CC's</v>
      </c>
      <c r="N46" s="19">
        <f>+'CCs # Master'!AW118</f>
        <v>459</v>
      </c>
      <c r="O46" s="19">
        <v>0</v>
      </c>
      <c r="P46" s="19">
        <f>+'CCs # Master'!N118</f>
        <v>68</v>
      </c>
      <c r="Q46" s="19">
        <f>+'CCs # Master'!O118</f>
        <v>176</v>
      </c>
      <c r="R46" s="19">
        <f>+'CCs # Master'!P118</f>
        <v>36</v>
      </c>
      <c r="S46" s="19">
        <f>+'CCs # Master'!Q118</f>
        <v>39</v>
      </c>
      <c r="T46" s="19">
        <f>+'CCs # Master'!R118</f>
        <v>0</v>
      </c>
      <c r="U46" s="19">
        <f>+'CCs # Master'!S118</f>
        <v>0</v>
      </c>
      <c r="V46" s="19">
        <f>+'CCs # Master'!T118</f>
        <v>37</v>
      </c>
      <c r="W46" s="19">
        <f>+'CCs # Master'!U118</f>
        <v>437</v>
      </c>
      <c r="X46" s="19">
        <f>+'CCs # Master'!V118</f>
        <v>153</v>
      </c>
      <c r="Y46" s="19">
        <f>+'CCs # Master'!W118</f>
        <v>50</v>
      </c>
      <c r="Z46" s="19">
        <f>+'CCs # Master'!X118</f>
        <v>341</v>
      </c>
      <c r="AA46" s="19">
        <f>+'CCs # Master'!Y118</f>
        <v>0</v>
      </c>
      <c r="AB46" s="19">
        <f>+'CCs # Master'!Z118</f>
        <v>6</v>
      </c>
      <c r="AC46" s="19">
        <f>+'CCs # Master'!AA118</f>
        <v>0</v>
      </c>
      <c r="AD46" s="19">
        <f>+'CCs # Master'!AB118</f>
        <v>0</v>
      </c>
      <c r="AE46" s="19">
        <f>+'CCs # Master'!AC118</f>
        <v>18</v>
      </c>
      <c r="AF46" s="19">
        <f>+'CCs # Master'!AD118</f>
        <v>562</v>
      </c>
      <c r="AG46" s="19">
        <f>+'CCs # Master'!AE118</f>
        <v>346</v>
      </c>
      <c r="AH46" s="19">
        <f>+'CCs # Master'!AF118</f>
        <v>1</v>
      </c>
      <c r="AI46" s="19">
        <f>+'CCs # Master'!AG118</f>
        <v>0</v>
      </c>
      <c r="AJ46" s="19">
        <f>+'CCs # Master'!AH118</f>
        <v>36</v>
      </c>
      <c r="AK46" s="19">
        <f>+'CCs # Master'!AI118</f>
        <v>0</v>
      </c>
      <c r="AL46" s="19">
        <f>+'CCs # Master'!AJ118</f>
        <v>18</v>
      </c>
      <c r="AM46" s="19">
        <f>+'CCs # Master'!AK118</f>
        <v>25</v>
      </c>
      <c r="AN46" s="19">
        <f>+'CCs # Master'!AL118</f>
        <v>29</v>
      </c>
      <c r="AO46" s="19">
        <f>+'CCs # Master'!AM118</f>
        <v>0</v>
      </c>
      <c r="AP46" s="19">
        <f>+'CCs # Master'!AN118</f>
        <v>0</v>
      </c>
      <c r="AQ46" s="19">
        <f>+'CCs # Master'!AO118</f>
        <v>67</v>
      </c>
      <c r="AR46" s="19">
        <f>+'CCs # Master'!AP118</f>
        <v>21</v>
      </c>
      <c r="AS46" s="19">
        <f>+'CCs # Master'!AQ118</f>
        <v>0</v>
      </c>
      <c r="AT46" s="19">
        <f>+'CCs # Master'!AR118</f>
        <v>0</v>
      </c>
      <c r="AU46" s="19">
        <f>+'CCs # Master'!AS118</f>
        <v>0</v>
      </c>
      <c r="AV46" s="19">
        <f>+'CCs # Master'!AT118</f>
        <v>0</v>
      </c>
      <c r="AW46"/>
      <c r="AX46" s="21">
        <f t="shared" si="23"/>
        <v>2925</v>
      </c>
      <c r="AY46" s="21">
        <f t="shared" si="24"/>
        <v>0</v>
      </c>
      <c r="BA46" s="19">
        <f t="shared" si="25"/>
        <v>921</v>
      </c>
      <c r="BB46" s="19">
        <f t="shared" si="26"/>
        <v>459</v>
      </c>
      <c r="BC46" s="19">
        <f t="shared" si="27"/>
        <v>2466</v>
      </c>
      <c r="BE46" s="19">
        <f t="shared" si="28"/>
        <v>2925</v>
      </c>
      <c r="BG46" s="234">
        <f t="shared" si="29"/>
        <v>2925</v>
      </c>
      <c r="BH46" s="19">
        <f t="shared" si="30"/>
        <v>0</v>
      </c>
    </row>
    <row r="47" spans="1:60" s="19" customFormat="1" ht="12.95" customHeight="1" x14ac:dyDescent="0.2">
      <c r="A47" s="85">
        <f>+'CCs # Master'!A136</f>
        <v>11</v>
      </c>
      <c r="B47" s="226" t="str">
        <f>+'CCs # Master'!B136</f>
        <v>EECC Tax</v>
      </c>
      <c r="C47" s="226" t="str">
        <f>+'CCs # Master'!C136</f>
        <v>Garcia, Rey</v>
      </c>
      <c r="D47" s="85">
        <f>+'CCs # Master'!D136</f>
        <v>100870</v>
      </c>
      <c r="E47" s="19">
        <f>+'CCs # Master'!E136</f>
        <v>484</v>
      </c>
      <c r="F47" s="19">
        <f>+'CCs # Master'!F136</f>
        <v>43</v>
      </c>
      <c r="G47" s="19">
        <f>+'CCs # Master'!G136</f>
        <v>5</v>
      </c>
      <c r="H47" s="19">
        <f>+'CCs # Master'!H136</f>
        <v>2</v>
      </c>
      <c r="I47" s="19">
        <f>+'CCs # Master'!I136</f>
        <v>1</v>
      </c>
      <c r="J47" s="19">
        <f>+'CCs # Master'!J136</f>
        <v>6</v>
      </c>
      <c r="K47" s="19">
        <f t="shared" si="31"/>
        <v>541</v>
      </c>
      <c r="M47" s="19" t="str">
        <f>+'CCs # Master'!M136</f>
        <v>Anticipated Resources</v>
      </c>
      <c r="N47" s="19">
        <f>+'CCs # Master'!AW136</f>
        <v>2</v>
      </c>
      <c r="O47" s="19">
        <v>0</v>
      </c>
      <c r="P47" s="19">
        <f>+'CCs # Master'!N136</f>
        <v>0</v>
      </c>
      <c r="Q47" s="19">
        <f>+'CCs # Master'!O136</f>
        <v>0</v>
      </c>
      <c r="R47" s="19">
        <f>+'CCs # Master'!P136</f>
        <v>259</v>
      </c>
      <c r="S47" s="19">
        <f>+'CCs # Master'!Q136</f>
        <v>280</v>
      </c>
      <c r="T47" s="19">
        <f>+'CCs # Master'!R136</f>
        <v>0</v>
      </c>
      <c r="U47" s="19">
        <f>+'CCs # Master'!S136</f>
        <v>0</v>
      </c>
      <c r="V47" s="19">
        <f>+'CCs # Master'!T136</f>
        <v>0</v>
      </c>
      <c r="W47" s="19">
        <f>+'CCs # Master'!U136</f>
        <v>0</v>
      </c>
      <c r="X47" s="19">
        <f>+'CCs # Master'!V136</f>
        <v>0</v>
      </c>
      <c r="Y47" s="19">
        <f>+'CCs # Master'!W136</f>
        <v>0</v>
      </c>
      <c r="Z47" s="19">
        <f>+'CCs # Master'!X136</f>
        <v>0</v>
      </c>
      <c r="AA47" s="19">
        <f>+'CCs # Master'!Y136</f>
        <v>0</v>
      </c>
      <c r="AB47" s="19">
        <f>+'CCs # Master'!Z136</f>
        <v>0</v>
      </c>
      <c r="AC47" s="19">
        <f>+'CCs # Master'!AA136</f>
        <v>0</v>
      </c>
      <c r="AD47" s="19">
        <f>+'CCs # Master'!AB136</f>
        <v>0</v>
      </c>
      <c r="AE47" s="19">
        <f>+'CCs # Master'!AC136</f>
        <v>0</v>
      </c>
      <c r="AF47" s="19">
        <f>+'CCs # Master'!AD136</f>
        <v>0</v>
      </c>
      <c r="AG47" s="19">
        <f>+'CCs # Master'!AE136</f>
        <v>0</v>
      </c>
      <c r="AH47" s="19">
        <f>+'CCs # Master'!AF136</f>
        <v>0</v>
      </c>
      <c r="AI47" s="19">
        <f>+'CCs # Master'!AG136</f>
        <v>0</v>
      </c>
      <c r="AJ47" s="19">
        <f>+'CCs # Master'!AH136</f>
        <v>0</v>
      </c>
      <c r="AK47" s="19">
        <f>+'CCs # Master'!AI136</f>
        <v>0</v>
      </c>
      <c r="AL47" s="19">
        <f>+'CCs # Master'!AJ136</f>
        <v>0</v>
      </c>
      <c r="AM47" s="19">
        <f>+'CCs # Master'!AK136</f>
        <v>0</v>
      </c>
      <c r="AN47" s="19">
        <f>+'CCs # Master'!AL136</f>
        <v>0</v>
      </c>
      <c r="AO47" s="19">
        <f>+'CCs # Master'!AM136</f>
        <v>0</v>
      </c>
      <c r="AP47" s="19">
        <f>+'CCs # Master'!AN136</f>
        <v>0</v>
      </c>
      <c r="AQ47" s="19">
        <f>+'CCs # Master'!AO136</f>
        <v>0</v>
      </c>
      <c r="AR47" s="19">
        <f>+'CCs # Master'!AP136</f>
        <v>0</v>
      </c>
      <c r="AS47" s="19">
        <f>+'CCs # Master'!AQ136</f>
        <v>0</v>
      </c>
      <c r="AT47" s="19">
        <f>+'CCs # Master'!AR136</f>
        <v>0</v>
      </c>
      <c r="AU47" s="19">
        <f>+'CCs # Master'!AS136</f>
        <v>0</v>
      </c>
      <c r="AV47" s="19">
        <f>+'CCs # Master'!AT136</f>
        <v>0</v>
      </c>
      <c r="AW47"/>
      <c r="AX47" s="21">
        <f t="shared" ref="AX47:AX70" si="32">SUM(N47:AW47)</f>
        <v>541</v>
      </c>
      <c r="AY47" s="21">
        <f t="shared" si="24"/>
        <v>0</v>
      </c>
      <c r="BA47" s="19">
        <f t="shared" si="25"/>
        <v>0</v>
      </c>
      <c r="BB47" s="19">
        <f t="shared" ref="BB47:BB70" si="33">N47</f>
        <v>2</v>
      </c>
      <c r="BC47" s="19">
        <f t="shared" si="27"/>
        <v>539</v>
      </c>
      <c r="BE47" s="19">
        <f t="shared" si="28"/>
        <v>541</v>
      </c>
      <c r="BG47" s="234">
        <f>SUM(N47:AW47)</f>
        <v>541</v>
      </c>
      <c r="BH47" s="19">
        <f t="shared" ref="BH47:BH70" si="34">BE47-BG47</f>
        <v>0</v>
      </c>
    </row>
    <row r="48" spans="1:60" s="19" customFormat="1" ht="12.95" customHeight="1" x14ac:dyDescent="0.2">
      <c r="A48" s="85">
        <f>+'CCs # Master'!A139</f>
        <v>11</v>
      </c>
      <c r="B48" s="19" t="str">
        <f>+'CCs # Master'!B139</f>
        <v>Strategic Sourcing - Executive Offices</v>
      </c>
      <c r="C48" s="19" t="str">
        <f>+'CCs # Master'!C139</f>
        <v>Wasaff, George</v>
      </c>
      <c r="D48" s="85">
        <f>+'CCs # Master'!D139</f>
        <v>100874</v>
      </c>
      <c r="E48" s="19">
        <f>+'CCs # Master'!E139</f>
        <v>554</v>
      </c>
      <c r="F48" s="19">
        <f>+'CCs # Master'!F139</f>
        <v>77</v>
      </c>
      <c r="G48" s="19">
        <f>+'CCs # Master'!G139</f>
        <v>54</v>
      </c>
      <c r="H48" s="19">
        <f>+'CCs # Master'!H139</f>
        <v>17</v>
      </c>
      <c r="I48" s="19">
        <f>+'CCs # Master'!I139</f>
        <v>196</v>
      </c>
      <c r="J48" s="19">
        <f>+'CCs # Master'!J139</f>
        <v>3</v>
      </c>
      <c r="K48" s="19">
        <f t="shared" si="31"/>
        <v>901</v>
      </c>
      <c r="M48" s="19" t="str">
        <f>+'CCs # Master'!M139</f>
        <v>Retained at Corp</v>
      </c>
      <c r="N48" s="19">
        <f>+'CCs # Master'!AW139</f>
        <v>901</v>
      </c>
      <c r="O48" s="19">
        <v>0</v>
      </c>
      <c r="P48" s="19">
        <f>+'CCs # Master'!N139</f>
        <v>0</v>
      </c>
      <c r="Q48" s="19">
        <f>+'CCs # Master'!O139</f>
        <v>0</v>
      </c>
      <c r="R48" s="19">
        <f>+'CCs # Master'!P139</f>
        <v>0</v>
      </c>
      <c r="S48" s="19">
        <f>+'CCs # Master'!Q139</f>
        <v>0</v>
      </c>
      <c r="T48" s="19">
        <f>+'CCs # Master'!R139</f>
        <v>0</v>
      </c>
      <c r="U48" s="19">
        <f>+'CCs # Master'!S139</f>
        <v>0</v>
      </c>
      <c r="V48" s="19">
        <f>+'CCs # Master'!T139</f>
        <v>0</v>
      </c>
      <c r="W48" s="19">
        <f>+'CCs # Master'!U139</f>
        <v>0</v>
      </c>
      <c r="X48" s="19">
        <f>+'CCs # Master'!V139</f>
        <v>0</v>
      </c>
      <c r="Y48" s="19">
        <f>+'CCs # Master'!W139</f>
        <v>0</v>
      </c>
      <c r="Z48" s="19">
        <f>+'CCs # Master'!X139</f>
        <v>0</v>
      </c>
      <c r="AA48" s="19">
        <f>+'CCs # Master'!Y139</f>
        <v>0</v>
      </c>
      <c r="AB48" s="19">
        <f>+'CCs # Master'!Z139</f>
        <v>0</v>
      </c>
      <c r="AC48" s="19">
        <f>+'CCs # Master'!AA139</f>
        <v>0</v>
      </c>
      <c r="AD48" s="19">
        <f>+'CCs # Master'!AB139</f>
        <v>0</v>
      </c>
      <c r="AE48" s="19">
        <f>+'CCs # Master'!AC139</f>
        <v>0</v>
      </c>
      <c r="AF48" s="19">
        <f>+'CCs # Master'!AD139</f>
        <v>0</v>
      </c>
      <c r="AG48" s="19">
        <f>+'CCs # Master'!AE139</f>
        <v>0</v>
      </c>
      <c r="AH48" s="19">
        <f>+'CCs # Master'!AF139</f>
        <v>0</v>
      </c>
      <c r="AI48" s="19">
        <f>+'CCs # Master'!AG139</f>
        <v>0</v>
      </c>
      <c r="AJ48" s="19">
        <f>+'CCs # Master'!AH139</f>
        <v>0</v>
      </c>
      <c r="AK48" s="19">
        <f>+'CCs # Master'!AI139</f>
        <v>0</v>
      </c>
      <c r="AL48" s="19">
        <f>+'CCs # Master'!AJ139</f>
        <v>0</v>
      </c>
      <c r="AM48" s="19">
        <f>+'CCs # Master'!AK139</f>
        <v>0</v>
      </c>
      <c r="AN48" s="19">
        <f>+'CCs # Master'!AL139</f>
        <v>0</v>
      </c>
      <c r="AO48" s="19">
        <f>+'CCs # Master'!AM139</f>
        <v>0</v>
      </c>
      <c r="AP48" s="19">
        <f>+'CCs # Master'!AN139</f>
        <v>0</v>
      </c>
      <c r="AQ48" s="19">
        <f>+'CCs # Master'!AO139</f>
        <v>0</v>
      </c>
      <c r="AR48" s="19">
        <f>+'CCs # Master'!AP139</f>
        <v>0</v>
      </c>
      <c r="AS48" s="19">
        <f>+'CCs # Master'!AQ139</f>
        <v>0</v>
      </c>
      <c r="AT48" s="19">
        <f>+'CCs # Master'!AR139</f>
        <v>0</v>
      </c>
      <c r="AU48" s="19">
        <f>+'CCs # Master'!AS139</f>
        <v>0</v>
      </c>
      <c r="AV48" s="19">
        <f>+'CCs # Master'!AT139</f>
        <v>0</v>
      </c>
      <c r="AW48" s="265"/>
      <c r="AX48" s="21">
        <f>SUM(N48:AW48)</f>
        <v>901</v>
      </c>
      <c r="AY48" s="21">
        <f>+K48-AX48</f>
        <v>0</v>
      </c>
      <c r="BA48" s="19">
        <f t="shared" si="25"/>
        <v>0</v>
      </c>
      <c r="BB48" s="19">
        <f>N48</f>
        <v>901</v>
      </c>
      <c r="BC48" s="19">
        <f>SUM(P48:AW48)</f>
        <v>0</v>
      </c>
      <c r="BE48" s="19">
        <f>SUM(BB48:BC48)</f>
        <v>901</v>
      </c>
      <c r="BG48" s="234">
        <f>SUM(N48:AW48)</f>
        <v>901</v>
      </c>
      <c r="BH48" s="19">
        <f>BE48-BG48</f>
        <v>0</v>
      </c>
    </row>
    <row r="49" spans="1:60" s="19" customFormat="1" ht="12.95" customHeight="1" x14ac:dyDescent="0.2">
      <c r="A49" s="85">
        <f>+'CCs # Master'!A140</f>
        <v>11</v>
      </c>
      <c r="B49" s="226" t="str">
        <f>+'CCs # Master'!B140</f>
        <v>Strategic Sourcing - Sales and Marketing</v>
      </c>
      <c r="C49" s="226" t="str">
        <f>+'CCs # Master'!C140</f>
        <v>Wasaff, George</v>
      </c>
      <c r="D49" s="85">
        <f>+'CCs # Master'!D140</f>
        <v>100875</v>
      </c>
      <c r="E49" s="19">
        <f>+'CCs # Master'!E140</f>
        <v>480</v>
      </c>
      <c r="F49" s="19">
        <f>+'CCs # Master'!F140</f>
        <v>79</v>
      </c>
      <c r="G49" s="19">
        <f>+'CCs # Master'!G140</f>
        <v>0</v>
      </c>
      <c r="H49" s="19">
        <f>+'CCs # Master'!H140</f>
        <v>8</v>
      </c>
      <c r="I49" s="19">
        <f>+'CCs # Master'!I140</f>
        <v>29</v>
      </c>
      <c r="J49" s="19">
        <f>+'CCs # Master'!J140</f>
        <v>8</v>
      </c>
      <c r="K49" s="19">
        <f t="shared" si="31"/>
        <v>604</v>
      </c>
      <c r="M49" s="19" t="str">
        <f>+'CCs # Master'!M140</f>
        <v>Retained at Corp</v>
      </c>
      <c r="N49" s="19">
        <f>+'CCs # Master'!AW140</f>
        <v>604</v>
      </c>
      <c r="O49" s="19">
        <v>0</v>
      </c>
      <c r="P49" s="19">
        <f>+'CCs # Master'!N140</f>
        <v>0</v>
      </c>
      <c r="Q49" s="19">
        <f>+'CCs # Master'!O140</f>
        <v>0</v>
      </c>
      <c r="R49" s="19">
        <f>+'CCs # Master'!P140</f>
        <v>0</v>
      </c>
      <c r="S49" s="19">
        <f>+'CCs # Master'!Q140</f>
        <v>0</v>
      </c>
      <c r="T49" s="19">
        <f>+'CCs # Master'!R140</f>
        <v>0</v>
      </c>
      <c r="U49" s="19">
        <f>+'CCs # Master'!S140</f>
        <v>0</v>
      </c>
      <c r="V49" s="19">
        <f>+'CCs # Master'!T140</f>
        <v>0</v>
      </c>
      <c r="W49" s="19">
        <f>+'CCs # Master'!U140</f>
        <v>0</v>
      </c>
      <c r="X49" s="19">
        <f>+'CCs # Master'!V140</f>
        <v>0</v>
      </c>
      <c r="Y49" s="19">
        <f>+'CCs # Master'!W140</f>
        <v>0</v>
      </c>
      <c r="Z49" s="19">
        <f>+'CCs # Master'!X140</f>
        <v>0</v>
      </c>
      <c r="AA49" s="19">
        <f>+'CCs # Master'!Y140</f>
        <v>0</v>
      </c>
      <c r="AB49" s="19">
        <f>+'CCs # Master'!Z140</f>
        <v>0</v>
      </c>
      <c r="AC49" s="19">
        <f>+'CCs # Master'!AA140</f>
        <v>0</v>
      </c>
      <c r="AD49" s="19">
        <f>+'CCs # Master'!AB140</f>
        <v>0</v>
      </c>
      <c r="AE49" s="19">
        <f>+'CCs # Master'!AC140</f>
        <v>0</v>
      </c>
      <c r="AF49" s="19">
        <f>+'CCs # Master'!AD140</f>
        <v>0</v>
      </c>
      <c r="AG49" s="19">
        <f>+'CCs # Master'!AE140</f>
        <v>0</v>
      </c>
      <c r="AH49" s="19">
        <f>+'CCs # Master'!AF140</f>
        <v>0</v>
      </c>
      <c r="AI49" s="19">
        <f>+'CCs # Master'!AG140</f>
        <v>0</v>
      </c>
      <c r="AJ49" s="19">
        <f>+'CCs # Master'!AH140</f>
        <v>0</v>
      </c>
      <c r="AK49" s="19">
        <f>+'CCs # Master'!AI140</f>
        <v>0</v>
      </c>
      <c r="AL49" s="19">
        <f>+'CCs # Master'!AJ140</f>
        <v>0</v>
      </c>
      <c r="AM49" s="19">
        <f>+'CCs # Master'!AK140</f>
        <v>0</v>
      </c>
      <c r="AN49" s="19">
        <f>+'CCs # Master'!AL140</f>
        <v>0</v>
      </c>
      <c r="AO49" s="19">
        <f>+'CCs # Master'!AM140</f>
        <v>0</v>
      </c>
      <c r="AP49" s="19">
        <f>+'CCs # Master'!AN140</f>
        <v>0</v>
      </c>
      <c r="AQ49" s="19">
        <f>+'CCs # Master'!AO140</f>
        <v>0</v>
      </c>
      <c r="AR49" s="19">
        <f>+'CCs # Master'!AP140</f>
        <v>0</v>
      </c>
      <c r="AS49" s="19">
        <f>+'CCs # Master'!AQ140</f>
        <v>0</v>
      </c>
      <c r="AT49" s="19">
        <f>+'CCs # Master'!AR140</f>
        <v>0</v>
      </c>
      <c r="AU49" s="19">
        <f>+'CCs # Master'!AS140</f>
        <v>0</v>
      </c>
      <c r="AV49" s="19">
        <f>+'CCs # Master'!AT140</f>
        <v>0</v>
      </c>
      <c r="AW49" s="265"/>
      <c r="AX49" s="21">
        <f t="shared" si="32"/>
        <v>604</v>
      </c>
      <c r="AY49" s="21">
        <f t="shared" si="24"/>
        <v>0</v>
      </c>
      <c r="BA49" s="19">
        <f t="shared" si="25"/>
        <v>0</v>
      </c>
      <c r="BB49" s="19">
        <f t="shared" si="33"/>
        <v>604</v>
      </c>
      <c r="BC49" s="19">
        <f t="shared" si="27"/>
        <v>0</v>
      </c>
      <c r="BE49" s="19">
        <f t="shared" si="28"/>
        <v>604</v>
      </c>
      <c r="BG49" s="234">
        <f t="shared" si="29"/>
        <v>604</v>
      </c>
      <c r="BH49" s="19">
        <f t="shared" si="34"/>
        <v>0</v>
      </c>
    </row>
    <row r="50" spans="1:60" s="19" customFormat="1" ht="12.95" customHeight="1" x14ac:dyDescent="0.2">
      <c r="A50" s="85">
        <f>+'CCs # Master'!A141</f>
        <v>11</v>
      </c>
      <c r="B50" s="226" t="str">
        <f>+'CCs # Master'!B141</f>
        <v>Strategic Sourcing - Operations</v>
      </c>
      <c r="C50" s="226" t="str">
        <f>+'CCs # Master'!C141</f>
        <v>Wasaff, George</v>
      </c>
      <c r="D50" s="85">
        <f>+'CCs # Master'!D141</f>
        <v>100876</v>
      </c>
      <c r="E50" s="19">
        <f>+'CCs # Master'!E141</f>
        <v>3510</v>
      </c>
      <c r="F50" s="19">
        <f>+'CCs # Master'!F141</f>
        <v>176</v>
      </c>
      <c r="G50" s="19">
        <f>+'CCs # Master'!G141</f>
        <v>0</v>
      </c>
      <c r="H50" s="19">
        <f>+'CCs # Master'!H141</f>
        <v>-250</v>
      </c>
      <c r="I50" s="19">
        <f>+'CCs # Master'!I141</f>
        <v>335</v>
      </c>
      <c r="J50" s="19">
        <f>+'CCs # Master'!J141</f>
        <v>-1089</v>
      </c>
      <c r="K50" s="19">
        <f t="shared" si="31"/>
        <v>2682</v>
      </c>
      <c r="M50" s="19" t="str">
        <f>+'CCs # Master'!M141</f>
        <v>Retained at Corp</v>
      </c>
      <c r="N50" s="19">
        <f>+'CCs # Master'!AW141</f>
        <v>2682</v>
      </c>
      <c r="O50" s="19">
        <v>0</v>
      </c>
      <c r="P50" s="19">
        <f>+'CCs # Master'!N141</f>
        <v>0</v>
      </c>
      <c r="Q50" s="19">
        <f>+'CCs # Master'!O141</f>
        <v>0</v>
      </c>
      <c r="R50" s="19">
        <f>+'CCs # Master'!P141</f>
        <v>0</v>
      </c>
      <c r="S50" s="19">
        <f>+'CCs # Master'!Q141</f>
        <v>0</v>
      </c>
      <c r="T50" s="19">
        <f>+'CCs # Master'!R141</f>
        <v>0</v>
      </c>
      <c r="U50" s="19">
        <f>+'CCs # Master'!S141</f>
        <v>0</v>
      </c>
      <c r="V50" s="19">
        <f>+'CCs # Master'!T141</f>
        <v>0</v>
      </c>
      <c r="W50" s="19">
        <f>+'CCs # Master'!U141</f>
        <v>0</v>
      </c>
      <c r="X50" s="19">
        <f>+'CCs # Master'!V141</f>
        <v>0</v>
      </c>
      <c r="Y50" s="19">
        <f>+'CCs # Master'!W141</f>
        <v>0</v>
      </c>
      <c r="Z50" s="19">
        <f>+'CCs # Master'!X141</f>
        <v>0</v>
      </c>
      <c r="AA50" s="19">
        <f>+'CCs # Master'!Y141</f>
        <v>0</v>
      </c>
      <c r="AB50" s="19">
        <f>+'CCs # Master'!Z141</f>
        <v>0</v>
      </c>
      <c r="AC50" s="19">
        <f>+'CCs # Master'!AA141</f>
        <v>0</v>
      </c>
      <c r="AD50" s="19">
        <f>+'CCs # Master'!AB141</f>
        <v>0</v>
      </c>
      <c r="AE50" s="19">
        <f>+'CCs # Master'!AC141</f>
        <v>0</v>
      </c>
      <c r="AF50" s="19">
        <f>+'CCs # Master'!AD141</f>
        <v>0</v>
      </c>
      <c r="AG50" s="19">
        <f>+'CCs # Master'!AE141</f>
        <v>0</v>
      </c>
      <c r="AH50" s="19">
        <f>+'CCs # Master'!AF141</f>
        <v>0</v>
      </c>
      <c r="AI50" s="19">
        <f>+'CCs # Master'!AG141</f>
        <v>0</v>
      </c>
      <c r="AJ50" s="19">
        <f>+'CCs # Master'!AH141</f>
        <v>0</v>
      </c>
      <c r="AK50" s="19">
        <f>+'CCs # Master'!AI141</f>
        <v>0</v>
      </c>
      <c r="AL50" s="19">
        <f>+'CCs # Master'!AJ141</f>
        <v>0</v>
      </c>
      <c r="AM50" s="19">
        <f>+'CCs # Master'!AK141</f>
        <v>0</v>
      </c>
      <c r="AN50" s="19">
        <f>+'CCs # Master'!AL141</f>
        <v>0</v>
      </c>
      <c r="AO50" s="19">
        <f>+'CCs # Master'!AM141</f>
        <v>0</v>
      </c>
      <c r="AP50" s="19">
        <f>+'CCs # Master'!AN141</f>
        <v>0</v>
      </c>
      <c r="AQ50" s="19">
        <f>+'CCs # Master'!AO141</f>
        <v>0</v>
      </c>
      <c r="AR50" s="19">
        <f>+'CCs # Master'!AP141</f>
        <v>0</v>
      </c>
      <c r="AS50" s="19">
        <f>+'CCs # Master'!AQ141</f>
        <v>0</v>
      </c>
      <c r="AT50" s="19">
        <f>+'CCs # Master'!AR141</f>
        <v>0</v>
      </c>
      <c r="AU50" s="19">
        <f>+'CCs # Master'!AS141</f>
        <v>0</v>
      </c>
      <c r="AV50" s="19">
        <f>+'CCs # Master'!AT141</f>
        <v>0</v>
      </c>
      <c r="AW50" s="265"/>
      <c r="AX50" s="21">
        <f t="shared" si="32"/>
        <v>2682</v>
      </c>
      <c r="AY50" s="21">
        <f t="shared" si="24"/>
        <v>0</v>
      </c>
      <c r="BA50" s="19">
        <f t="shared" si="25"/>
        <v>0</v>
      </c>
      <c r="BB50" s="19">
        <f t="shared" si="33"/>
        <v>2682</v>
      </c>
      <c r="BC50" s="19">
        <f t="shared" si="27"/>
        <v>0</v>
      </c>
      <c r="BE50" s="19">
        <f t="shared" si="28"/>
        <v>2682</v>
      </c>
      <c r="BG50" s="234">
        <f t="shared" si="29"/>
        <v>2682</v>
      </c>
      <c r="BH50" s="19">
        <f t="shared" si="34"/>
        <v>0</v>
      </c>
    </row>
    <row r="51" spans="1:60" s="19" customFormat="1" ht="12.95" customHeight="1" x14ac:dyDescent="0.2">
      <c r="A51" s="85">
        <f>+'CCs # Master'!A142</f>
        <v>11</v>
      </c>
      <c r="B51" s="226" t="str">
        <f>+'CCs # Master'!B142</f>
        <v>Strategic Sourcing - Platforms &amp; Processes</v>
      </c>
      <c r="C51" s="226" t="str">
        <f>+'CCs # Master'!C142</f>
        <v>Wasaff, George</v>
      </c>
      <c r="D51" s="85">
        <f>+'CCs # Master'!D142</f>
        <v>100877</v>
      </c>
      <c r="E51" s="19">
        <f>+'CCs # Master'!E142</f>
        <v>1131</v>
      </c>
      <c r="F51" s="19">
        <f>+'CCs # Master'!F142</f>
        <v>74</v>
      </c>
      <c r="G51" s="19">
        <f>+'CCs # Master'!G142</f>
        <v>0</v>
      </c>
      <c r="H51" s="19">
        <f>+'CCs # Master'!H142</f>
        <v>420</v>
      </c>
      <c r="I51" s="19">
        <f>+'CCs # Master'!I142</f>
        <v>22</v>
      </c>
      <c r="J51" s="19">
        <f>+'CCs # Master'!J142</f>
        <v>27</v>
      </c>
      <c r="K51" s="19">
        <f t="shared" si="31"/>
        <v>1674</v>
      </c>
      <c r="M51" s="19" t="str">
        <f>+'CCs # Master'!M142</f>
        <v>Retained at Corp</v>
      </c>
      <c r="N51" s="19">
        <f>+'CCs # Master'!AW142</f>
        <v>1674</v>
      </c>
      <c r="O51" s="19">
        <v>0</v>
      </c>
      <c r="P51" s="19">
        <f>+'CCs # Master'!N142</f>
        <v>0</v>
      </c>
      <c r="Q51" s="19">
        <f>+'CCs # Master'!O142</f>
        <v>0</v>
      </c>
      <c r="R51" s="19">
        <f>+'CCs # Master'!P142</f>
        <v>0</v>
      </c>
      <c r="S51" s="19">
        <f>+'CCs # Master'!Q142</f>
        <v>0</v>
      </c>
      <c r="T51" s="19">
        <f>+'CCs # Master'!R142</f>
        <v>0</v>
      </c>
      <c r="U51" s="19">
        <f>+'CCs # Master'!S142</f>
        <v>0</v>
      </c>
      <c r="V51" s="19">
        <f>+'CCs # Master'!T142</f>
        <v>0</v>
      </c>
      <c r="W51" s="19">
        <f>+'CCs # Master'!U142</f>
        <v>0</v>
      </c>
      <c r="X51" s="19">
        <f>+'CCs # Master'!V142</f>
        <v>0</v>
      </c>
      <c r="Y51" s="19">
        <f>+'CCs # Master'!W142</f>
        <v>0</v>
      </c>
      <c r="Z51" s="19">
        <f>+'CCs # Master'!X142</f>
        <v>0</v>
      </c>
      <c r="AA51" s="19">
        <f>+'CCs # Master'!Y142</f>
        <v>0</v>
      </c>
      <c r="AB51" s="19">
        <f>+'CCs # Master'!Z142</f>
        <v>0</v>
      </c>
      <c r="AC51" s="19">
        <f>+'CCs # Master'!AA142</f>
        <v>0</v>
      </c>
      <c r="AD51" s="19">
        <f>+'CCs # Master'!AB142</f>
        <v>0</v>
      </c>
      <c r="AE51" s="19">
        <f>+'CCs # Master'!AC142</f>
        <v>0</v>
      </c>
      <c r="AF51" s="19">
        <f>+'CCs # Master'!AD142</f>
        <v>0</v>
      </c>
      <c r="AG51" s="19">
        <f>+'CCs # Master'!AE142</f>
        <v>0</v>
      </c>
      <c r="AH51" s="19">
        <f>+'CCs # Master'!AF142</f>
        <v>0</v>
      </c>
      <c r="AI51" s="19">
        <f>+'CCs # Master'!AG142</f>
        <v>0</v>
      </c>
      <c r="AJ51" s="19">
        <f>+'CCs # Master'!AH142</f>
        <v>0</v>
      </c>
      <c r="AK51" s="19">
        <f>+'CCs # Master'!AI142</f>
        <v>0</v>
      </c>
      <c r="AL51" s="19">
        <f>+'CCs # Master'!AJ142</f>
        <v>0</v>
      </c>
      <c r="AM51" s="19">
        <f>+'CCs # Master'!AK142</f>
        <v>0</v>
      </c>
      <c r="AN51" s="19">
        <f>+'CCs # Master'!AL142</f>
        <v>0</v>
      </c>
      <c r="AO51" s="19">
        <f>+'CCs # Master'!AM142</f>
        <v>0</v>
      </c>
      <c r="AP51" s="19">
        <f>+'CCs # Master'!AN142</f>
        <v>0</v>
      </c>
      <c r="AQ51" s="19">
        <f>+'CCs # Master'!AO142</f>
        <v>0</v>
      </c>
      <c r="AR51" s="19">
        <f>+'CCs # Master'!AP142</f>
        <v>0</v>
      </c>
      <c r="AS51" s="19">
        <f>+'CCs # Master'!AQ142</f>
        <v>0</v>
      </c>
      <c r="AT51" s="19">
        <f>+'CCs # Master'!AR142</f>
        <v>0</v>
      </c>
      <c r="AU51" s="19">
        <f>+'CCs # Master'!AS142</f>
        <v>0</v>
      </c>
      <c r="AV51" s="19">
        <f>+'CCs # Master'!AT142</f>
        <v>0</v>
      </c>
      <c r="AW51" s="265"/>
      <c r="AX51" s="21">
        <f t="shared" si="32"/>
        <v>1674</v>
      </c>
      <c r="AY51" s="21">
        <f t="shared" si="24"/>
        <v>0</v>
      </c>
      <c r="BA51" s="19">
        <f t="shared" si="25"/>
        <v>0</v>
      </c>
      <c r="BB51" s="19">
        <f t="shared" si="33"/>
        <v>1674</v>
      </c>
      <c r="BC51" s="19">
        <f t="shared" si="27"/>
        <v>0</v>
      </c>
      <c r="BE51" s="19">
        <f t="shared" si="28"/>
        <v>1674</v>
      </c>
      <c r="BG51" s="234">
        <f t="shared" si="29"/>
        <v>1674</v>
      </c>
      <c r="BH51" s="19">
        <f t="shared" si="34"/>
        <v>0</v>
      </c>
    </row>
    <row r="52" spans="1:60" s="19" customFormat="1" ht="12.95" customHeight="1" x14ac:dyDescent="0.2">
      <c r="A52" s="85">
        <f>+'CCs # Master'!A135</f>
        <v>11</v>
      </c>
      <c r="B52" s="226" t="str">
        <f>+'CCs # Master'!B135</f>
        <v>International Tax</v>
      </c>
      <c r="C52" s="226" t="str">
        <f>+'CCs # Master'!C135</f>
        <v>Cullen, Duke</v>
      </c>
      <c r="D52" s="85">
        <f>+'CCs # Master'!D135</f>
        <v>100865</v>
      </c>
      <c r="E52" s="19">
        <f>+'CCs # Master'!E135</f>
        <v>0</v>
      </c>
      <c r="F52" s="19">
        <f>+'CCs # Master'!F135</f>
        <v>0</v>
      </c>
      <c r="G52" s="19">
        <f>+'CCs # Master'!G135</f>
        <v>0</v>
      </c>
      <c r="H52" s="19">
        <f>+'CCs # Master'!H135</f>
        <v>0</v>
      </c>
      <c r="I52" s="19">
        <f>+'CCs # Master'!I135</f>
        <v>12</v>
      </c>
      <c r="J52" s="19">
        <f>+'CCs # Master'!J135</f>
        <v>0</v>
      </c>
      <c r="K52" s="21">
        <f>SUM(E52:J52)</f>
        <v>12</v>
      </c>
      <c r="M52" s="19" t="str">
        <f>+'CCs # Master'!M135</f>
        <v>Retained at Corp</v>
      </c>
      <c r="N52" s="19">
        <f>+'CCs # Master'!AW135</f>
        <v>12</v>
      </c>
      <c r="O52" s="19">
        <v>0</v>
      </c>
      <c r="P52" s="19">
        <f>+'CCs # Master'!N135</f>
        <v>0</v>
      </c>
      <c r="Q52" s="19">
        <f>+'CCs # Master'!O135</f>
        <v>0</v>
      </c>
      <c r="R52" s="19">
        <f>+'CCs # Master'!P135</f>
        <v>0</v>
      </c>
      <c r="S52" s="19">
        <f>+'CCs # Master'!Q135</f>
        <v>0</v>
      </c>
      <c r="T52" s="19">
        <f>+'CCs # Master'!R135</f>
        <v>0</v>
      </c>
      <c r="U52" s="19">
        <f>+'CCs # Master'!S135</f>
        <v>0</v>
      </c>
      <c r="V52" s="19">
        <f>+'CCs # Master'!T135</f>
        <v>0</v>
      </c>
      <c r="W52" s="19">
        <f>+'CCs # Master'!U135</f>
        <v>0</v>
      </c>
      <c r="X52" s="19">
        <f>+'CCs # Master'!V135</f>
        <v>0</v>
      </c>
      <c r="Y52" s="19">
        <f>+'CCs # Master'!W135</f>
        <v>0</v>
      </c>
      <c r="Z52" s="19">
        <f>+'CCs # Master'!X135</f>
        <v>0</v>
      </c>
      <c r="AA52" s="19">
        <f>+'CCs # Master'!Y135</f>
        <v>0</v>
      </c>
      <c r="AB52" s="19">
        <f>+'CCs # Master'!Z135</f>
        <v>0</v>
      </c>
      <c r="AC52" s="19">
        <f>+'CCs # Master'!AA135</f>
        <v>0</v>
      </c>
      <c r="AD52" s="19">
        <f>+'CCs # Master'!AB135</f>
        <v>0</v>
      </c>
      <c r="AE52" s="19">
        <f>+'CCs # Master'!AC135</f>
        <v>0</v>
      </c>
      <c r="AF52" s="19">
        <f>+'CCs # Master'!AD135</f>
        <v>0</v>
      </c>
      <c r="AG52" s="19">
        <f>+'CCs # Master'!AE135</f>
        <v>0</v>
      </c>
      <c r="AH52" s="19">
        <f>+'CCs # Master'!AF135</f>
        <v>0</v>
      </c>
      <c r="AI52" s="19">
        <f>+'CCs # Master'!AG135</f>
        <v>0</v>
      </c>
      <c r="AJ52" s="19">
        <f>+'CCs # Master'!AH135</f>
        <v>0</v>
      </c>
      <c r="AK52" s="19">
        <f>+'CCs # Master'!AI135</f>
        <v>0</v>
      </c>
      <c r="AL52" s="19">
        <f>+'CCs # Master'!AJ135</f>
        <v>0</v>
      </c>
      <c r="AM52" s="19">
        <f>+'CCs # Master'!AK135</f>
        <v>0</v>
      </c>
      <c r="AN52" s="19">
        <f>+'CCs # Master'!AL135</f>
        <v>0</v>
      </c>
      <c r="AO52" s="19">
        <f>+'CCs # Master'!AM135</f>
        <v>0</v>
      </c>
      <c r="AP52" s="19">
        <f>+'CCs # Master'!AN135</f>
        <v>0</v>
      </c>
      <c r="AQ52" s="19">
        <f>+'CCs # Master'!AO135</f>
        <v>0</v>
      </c>
      <c r="AR52" s="19">
        <f>+'CCs # Master'!AP135</f>
        <v>0</v>
      </c>
      <c r="AS52" s="19">
        <f>+'CCs # Master'!AQ135</f>
        <v>0</v>
      </c>
      <c r="AT52" s="19">
        <f>+'CCs # Master'!AR135</f>
        <v>0</v>
      </c>
      <c r="AU52" s="19">
        <f>+'CCs # Master'!AS135</f>
        <v>0</v>
      </c>
      <c r="AV52" s="19">
        <f>+'CCs # Master'!AT135</f>
        <v>0</v>
      </c>
      <c r="AW52" s="265"/>
      <c r="AX52" s="21">
        <f>SUM(N52:AW52)</f>
        <v>12</v>
      </c>
      <c r="AY52" s="21">
        <f>+K52-AX52</f>
        <v>0</v>
      </c>
      <c r="BA52" s="19">
        <f t="shared" si="25"/>
        <v>0</v>
      </c>
      <c r="BB52" s="19">
        <f>N52</f>
        <v>12</v>
      </c>
      <c r="BC52" s="19">
        <f>SUM(P52:AW52)</f>
        <v>0</v>
      </c>
      <c r="BE52" s="19">
        <f>SUM(BB52:BC52)</f>
        <v>12</v>
      </c>
      <c r="BG52" s="234">
        <f>SUM(N52:AW52)</f>
        <v>12</v>
      </c>
      <c r="BH52" s="19">
        <f>BE52-BG52</f>
        <v>0</v>
      </c>
    </row>
    <row r="53" spans="1:60" s="19" customFormat="1" ht="12.95" customHeight="1" x14ac:dyDescent="0.2">
      <c r="A53" s="85">
        <f>+'CCs # Master'!A146</f>
        <v>11</v>
      </c>
      <c r="B53" s="226" t="str">
        <f>+'CCs # Master'!B146</f>
        <v>Corporate Structuring</v>
      </c>
      <c r="C53" s="226" t="str">
        <f>+'CCs # Master'!C146</f>
        <v>Rodney Faldyn</v>
      </c>
      <c r="D53" s="85">
        <f>+'CCs # Master'!D146</f>
        <v>102670</v>
      </c>
      <c r="E53" s="19">
        <f>+'CCs # Master'!E146</f>
        <v>1694</v>
      </c>
      <c r="F53" s="19">
        <f>+'CCs # Master'!F146</f>
        <v>74</v>
      </c>
      <c r="G53" s="19">
        <f>+'CCs # Master'!G146</f>
        <v>6</v>
      </c>
      <c r="H53" s="19">
        <f>+'CCs # Master'!H146</f>
        <v>100</v>
      </c>
      <c r="I53" s="19">
        <f>+'CCs # Master'!I146</f>
        <v>18</v>
      </c>
      <c r="J53" s="19">
        <f>+'CCs # Master'!J146</f>
        <v>30</v>
      </c>
      <c r="K53" s="19">
        <f t="shared" si="31"/>
        <v>1922</v>
      </c>
      <c r="M53" s="19" t="str">
        <f>+'CCs # Master'!M146</f>
        <v>Retained at Corp</v>
      </c>
      <c r="N53" s="19">
        <f>+'CCs # Master'!AW146</f>
        <v>1922</v>
      </c>
      <c r="O53" s="19">
        <v>0</v>
      </c>
      <c r="P53" s="19">
        <f>+'CCs # Master'!N146</f>
        <v>0</v>
      </c>
      <c r="Q53" s="19">
        <f>+'CCs # Master'!O146</f>
        <v>0</v>
      </c>
      <c r="R53" s="19">
        <f>+'CCs # Master'!P146</f>
        <v>0</v>
      </c>
      <c r="S53" s="19">
        <f>+'CCs # Master'!Q146</f>
        <v>0</v>
      </c>
      <c r="T53" s="19">
        <f>+'CCs # Master'!R146</f>
        <v>0</v>
      </c>
      <c r="U53" s="19">
        <f>+'CCs # Master'!S146</f>
        <v>0</v>
      </c>
      <c r="V53" s="19">
        <f>+'CCs # Master'!T146</f>
        <v>0</v>
      </c>
      <c r="W53" s="19">
        <f>+'CCs # Master'!U146</f>
        <v>0</v>
      </c>
      <c r="X53" s="19">
        <f>+'CCs # Master'!V146</f>
        <v>0</v>
      </c>
      <c r="Y53" s="19">
        <f>+'CCs # Master'!W146</f>
        <v>0</v>
      </c>
      <c r="Z53" s="19">
        <f>+'CCs # Master'!X146</f>
        <v>0</v>
      </c>
      <c r="AA53" s="19">
        <f>+'CCs # Master'!Y146</f>
        <v>0</v>
      </c>
      <c r="AB53" s="19">
        <f>+'CCs # Master'!Z146</f>
        <v>0</v>
      </c>
      <c r="AC53" s="19">
        <f>+'CCs # Master'!AA146</f>
        <v>0</v>
      </c>
      <c r="AD53" s="19">
        <f>+'CCs # Master'!AB146</f>
        <v>0</v>
      </c>
      <c r="AE53" s="19">
        <f>+'CCs # Master'!AC146</f>
        <v>0</v>
      </c>
      <c r="AF53" s="19">
        <f>+'CCs # Master'!AD146</f>
        <v>0</v>
      </c>
      <c r="AG53" s="19">
        <f>+'CCs # Master'!AE146</f>
        <v>0</v>
      </c>
      <c r="AH53" s="19">
        <f>+'CCs # Master'!AF146</f>
        <v>0</v>
      </c>
      <c r="AI53" s="19">
        <f>+'CCs # Master'!AG146</f>
        <v>0</v>
      </c>
      <c r="AJ53" s="19">
        <f>+'CCs # Master'!AH146</f>
        <v>0</v>
      </c>
      <c r="AK53" s="19">
        <f>+'CCs # Master'!AI146</f>
        <v>0</v>
      </c>
      <c r="AL53" s="19">
        <f>+'CCs # Master'!AJ146</f>
        <v>0</v>
      </c>
      <c r="AM53" s="19">
        <f>+'CCs # Master'!AK146</f>
        <v>0</v>
      </c>
      <c r="AN53" s="19">
        <f>+'CCs # Master'!AL146</f>
        <v>0</v>
      </c>
      <c r="AO53" s="19">
        <f>+'CCs # Master'!AM146</f>
        <v>0</v>
      </c>
      <c r="AP53" s="19">
        <f>+'CCs # Master'!AN146</f>
        <v>0</v>
      </c>
      <c r="AQ53" s="19">
        <f>+'CCs # Master'!AO146</f>
        <v>0</v>
      </c>
      <c r="AR53" s="19">
        <f>+'CCs # Master'!AP146</f>
        <v>0</v>
      </c>
      <c r="AS53" s="19">
        <f>+'CCs # Master'!AQ146</f>
        <v>0</v>
      </c>
      <c r="AT53" s="19">
        <f>+'CCs # Master'!AR146</f>
        <v>0</v>
      </c>
      <c r="AU53" s="19">
        <f>+'CCs # Master'!AS146</f>
        <v>0</v>
      </c>
      <c r="AV53" s="19">
        <f>+'CCs # Master'!AT146</f>
        <v>0</v>
      </c>
      <c r="AW53"/>
      <c r="AX53" s="21">
        <f t="shared" si="32"/>
        <v>1922</v>
      </c>
      <c r="AY53" s="21">
        <f t="shared" si="24"/>
        <v>0</v>
      </c>
      <c r="BA53" s="19">
        <f t="shared" si="25"/>
        <v>0</v>
      </c>
      <c r="BB53" s="19">
        <f t="shared" si="33"/>
        <v>1922</v>
      </c>
      <c r="BC53" s="19">
        <f t="shared" si="27"/>
        <v>0</v>
      </c>
      <c r="BE53" s="19">
        <f t="shared" si="28"/>
        <v>1922</v>
      </c>
      <c r="BG53" s="234">
        <f t="shared" si="29"/>
        <v>1922</v>
      </c>
      <c r="BH53" s="19">
        <f t="shared" si="34"/>
        <v>0</v>
      </c>
    </row>
    <row r="54" spans="1:60" s="19" customFormat="1" ht="12.95" customHeight="1" x14ac:dyDescent="0.2">
      <c r="A54" s="85">
        <f>+'CCs # Master'!A158</f>
        <v>11</v>
      </c>
      <c r="B54" s="226" t="str">
        <f>+'CCs # Master'!B158</f>
        <v>Strategic Sourcing-Metrics and Financial Structuring</v>
      </c>
      <c r="C54" s="226" t="str">
        <f>+'CCs # Master'!C158</f>
        <v>Johansen, Bob</v>
      </c>
      <c r="D54" s="85">
        <f>+'CCs # Master'!D158</f>
        <v>102878</v>
      </c>
      <c r="E54" s="19">
        <f>+'CCs # Master'!E158</f>
        <v>222</v>
      </c>
      <c r="F54" s="19">
        <f>+'CCs # Master'!F158</f>
        <v>18</v>
      </c>
      <c r="G54" s="19">
        <f>+'CCs # Master'!G158</f>
        <v>0</v>
      </c>
      <c r="H54" s="19">
        <f>+'CCs # Master'!H158</f>
        <v>0</v>
      </c>
      <c r="I54" s="19">
        <f>+'CCs # Master'!I158</f>
        <v>33</v>
      </c>
      <c r="J54" s="19">
        <f>+'CCs # Master'!J158</f>
        <v>0</v>
      </c>
      <c r="K54" s="19">
        <f t="shared" si="31"/>
        <v>273</v>
      </c>
      <c r="M54" s="19" t="str">
        <f>+'CCs # Master'!M158</f>
        <v>Retained at Corp</v>
      </c>
      <c r="N54" s="19">
        <f>+'CCs # Master'!AW158</f>
        <v>273</v>
      </c>
      <c r="O54" s="19">
        <v>0</v>
      </c>
      <c r="P54" s="19">
        <f>+'CCs # Master'!N158</f>
        <v>0</v>
      </c>
      <c r="Q54" s="19">
        <f>+'CCs # Master'!O158</f>
        <v>0</v>
      </c>
      <c r="R54" s="19">
        <f>+'CCs # Master'!P158</f>
        <v>0</v>
      </c>
      <c r="S54" s="19">
        <f>+'CCs # Master'!Q158</f>
        <v>0</v>
      </c>
      <c r="T54" s="19">
        <f>+'CCs # Master'!R158</f>
        <v>0</v>
      </c>
      <c r="U54" s="19">
        <f>+'CCs # Master'!S158</f>
        <v>0</v>
      </c>
      <c r="V54" s="19">
        <f>+'CCs # Master'!T158</f>
        <v>0</v>
      </c>
      <c r="W54" s="19">
        <f>+'CCs # Master'!U158</f>
        <v>0</v>
      </c>
      <c r="X54" s="19">
        <f>+'CCs # Master'!V158</f>
        <v>0</v>
      </c>
      <c r="Y54" s="19">
        <f>+'CCs # Master'!W158</f>
        <v>0</v>
      </c>
      <c r="Z54" s="19">
        <f>+'CCs # Master'!X158</f>
        <v>0</v>
      </c>
      <c r="AA54" s="19">
        <f>+'CCs # Master'!Y158</f>
        <v>0</v>
      </c>
      <c r="AB54" s="19">
        <f>+'CCs # Master'!Z158</f>
        <v>0</v>
      </c>
      <c r="AC54" s="19">
        <f>+'CCs # Master'!AA158</f>
        <v>0</v>
      </c>
      <c r="AD54" s="19">
        <f>+'CCs # Master'!AB158</f>
        <v>0</v>
      </c>
      <c r="AE54" s="19">
        <f>+'CCs # Master'!AC158</f>
        <v>0</v>
      </c>
      <c r="AF54" s="19">
        <f>+'CCs # Master'!AD158</f>
        <v>0</v>
      </c>
      <c r="AG54" s="19">
        <f>+'CCs # Master'!AE158</f>
        <v>0</v>
      </c>
      <c r="AH54" s="19">
        <f>+'CCs # Master'!AF158</f>
        <v>0</v>
      </c>
      <c r="AI54" s="19">
        <f>+'CCs # Master'!AG158</f>
        <v>0</v>
      </c>
      <c r="AJ54" s="19">
        <f>+'CCs # Master'!AH158</f>
        <v>0</v>
      </c>
      <c r="AK54" s="19">
        <f>+'CCs # Master'!AI158</f>
        <v>0</v>
      </c>
      <c r="AL54" s="19">
        <f>+'CCs # Master'!AJ158</f>
        <v>0</v>
      </c>
      <c r="AM54" s="19">
        <f>+'CCs # Master'!AK158</f>
        <v>0</v>
      </c>
      <c r="AN54" s="19">
        <f>+'CCs # Master'!AL158</f>
        <v>0</v>
      </c>
      <c r="AO54" s="19">
        <f>+'CCs # Master'!AM158</f>
        <v>0</v>
      </c>
      <c r="AP54" s="19">
        <f>+'CCs # Master'!AN158</f>
        <v>0</v>
      </c>
      <c r="AQ54" s="19">
        <f>+'CCs # Master'!AO158</f>
        <v>0</v>
      </c>
      <c r="AR54" s="19">
        <f>+'CCs # Master'!AP158</f>
        <v>0</v>
      </c>
      <c r="AS54" s="19">
        <f>+'CCs # Master'!AQ158</f>
        <v>0</v>
      </c>
      <c r="AT54" s="19">
        <f>+'CCs # Master'!AR158</f>
        <v>0</v>
      </c>
      <c r="AU54" s="19">
        <f>+'CCs # Master'!AS158</f>
        <v>0</v>
      </c>
      <c r="AV54" s="19">
        <f>+'CCs # Master'!AT158</f>
        <v>0</v>
      </c>
      <c r="AW54" s="265"/>
      <c r="AX54" s="21">
        <f t="shared" si="32"/>
        <v>273</v>
      </c>
      <c r="AY54" s="21">
        <f t="shared" si="24"/>
        <v>0</v>
      </c>
      <c r="BA54" s="19">
        <f t="shared" si="25"/>
        <v>0</v>
      </c>
      <c r="BB54" s="19">
        <f t="shared" si="33"/>
        <v>273</v>
      </c>
      <c r="BC54" s="19">
        <f t="shared" si="27"/>
        <v>0</v>
      </c>
      <c r="BE54" s="19">
        <f t="shared" si="28"/>
        <v>273</v>
      </c>
      <c r="BG54" s="234">
        <f t="shared" si="29"/>
        <v>273</v>
      </c>
      <c r="BH54" s="19">
        <f t="shared" si="34"/>
        <v>0</v>
      </c>
    </row>
    <row r="55" spans="1:60" s="19" customFormat="1" ht="12.95" customHeight="1" x14ac:dyDescent="0.2">
      <c r="A55" s="85">
        <f>+'CCs # Master'!A165</f>
        <v>11</v>
      </c>
      <c r="B55" s="226" t="str">
        <f>+'CCs # Master'!B165</f>
        <v>ISC-SAP HR Resources HUB</v>
      </c>
      <c r="C55" s="226" t="str">
        <f>+'CCs # Master'!C165</f>
        <v>Baust, Michael</v>
      </c>
      <c r="D55" s="85">
        <f>+'CCs # Master'!D165</f>
        <v>103088</v>
      </c>
      <c r="E55" s="19">
        <f>+'CCs # Master'!E165</f>
        <v>1218</v>
      </c>
      <c r="F55" s="19">
        <f>+'CCs # Master'!F165</f>
        <v>86</v>
      </c>
      <c r="G55" s="19">
        <f>+'CCs # Master'!G165</f>
        <v>0</v>
      </c>
      <c r="H55" s="19">
        <f>+'CCs # Master'!H165</f>
        <v>1283</v>
      </c>
      <c r="I55" s="19">
        <f>+'CCs # Master'!I165</f>
        <v>0</v>
      </c>
      <c r="J55" s="19">
        <f>+'CCs # Master'!J165</f>
        <v>0</v>
      </c>
      <c r="K55" s="19">
        <f t="shared" si="31"/>
        <v>2587</v>
      </c>
      <c r="M55" s="19" t="str">
        <f>+'CCs # Master'!M165</f>
        <v>Per Agreement with BU</v>
      </c>
      <c r="N55" s="19">
        <f>+'CCs # Master'!AW165</f>
        <v>323</v>
      </c>
      <c r="O55" s="19">
        <v>0</v>
      </c>
      <c r="P55" s="19">
        <f>+'CCs # Master'!N165</f>
        <v>0</v>
      </c>
      <c r="Q55" s="19">
        <f>+'CCs # Master'!O165</f>
        <v>0</v>
      </c>
      <c r="R55" s="19">
        <f>+'CCs # Master'!P165</f>
        <v>82</v>
      </c>
      <c r="S55" s="19">
        <f>+'CCs # Master'!Q165</f>
        <v>86</v>
      </c>
      <c r="T55" s="19">
        <f>+'CCs # Master'!R165</f>
        <v>0</v>
      </c>
      <c r="U55" s="19">
        <f>+'CCs # Master'!S165</f>
        <v>0</v>
      </c>
      <c r="V55" s="19">
        <f>+'CCs # Master'!T165</f>
        <v>0</v>
      </c>
      <c r="W55" s="19">
        <f>+'CCs # Master'!U165</f>
        <v>0</v>
      </c>
      <c r="X55" s="19">
        <f>+'CCs # Master'!V165</f>
        <v>323</v>
      </c>
      <c r="Y55" s="19">
        <f>+'CCs # Master'!W165</f>
        <v>0</v>
      </c>
      <c r="Z55" s="19">
        <f>+'CCs # Master'!X165</f>
        <v>323</v>
      </c>
      <c r="AA55" s="19">
        <f>+'CCs # Master'!Y165</f>
        <v>0</v>
      </c>
      <c r="AB55" s="19">
        <f>+'CCs # Master'!Z165</f>
        <v>0</v>
      </c>
      <c r="AC55" s="19">
        <f>+'CCs # Master'!AA165</f>
        <v>39</v>
      </c>
      <c r="AD55" s="19">
        <f>+'CCs # Master'!AB165</f>
        <v>323</v>
      </c>
      <c r="AE55" s="19">
        <f>+'CCs # Master'!AC165</f>
        <v>0</v>
      </c>
      <c r="AF55" s="19">
        <f>+'CCs # Master'!AD165</f>
        <v>323</v>
      </c>
      <c r="AG55" s="19">
        <f>+'CCs # Master'!AE165</f>
        <v>323</v>
      </c>
      <c r="AH55" s="19">
        <f>+'CCs # Master'!AF165</f>
        <v>0</v>
      </c>
      <c r="AI55" s="19">
        <f>+'CCs # Master'!AG165</f>
        <v>0</v>
      </c>
      <c r="AJ55" s="19">
        <f>+'CCs # Master'!AH165</f>
        <v>39</v>
      </c>
      <c r="AK55" s="19">
        <f>+'CCs # Master'!AI165</f>
        <v>78</v>
      </c>
      <c r="AL55" s="19">
        <f>+'CCs # Master'!AJ165</f>
        <v>78</v>
      </c>
      <c r="AM55" s="19">
        <f>+'CCs # Master'!AK165</f>
        <v>39</v>
      </c>
      <c r="AN55" s="19">
        <f>+'CCs # Master'!AL165</f>
        <v>39</v>
      </c>
      <c r="AO55" s="19">
        <f>+'CCs # Master'!AM165</f>
        <v>39</v>
      </c>
      <c r="AP55" s="19">
        <f>+'CCs # Master'!AN165</f>
        <v>0</v>
      </c>
      <c r="AQ55" s="19">
        <f>+'CCs # Master'!AO165</f>
        <v>91</v>
      </c>
      <c r="AR55" s="19">
        <f>+'CCs # Master'!AP165</f>
        <v>39</v>
      </c>
      <c r="AS55" s="19">
        <f>+'CCs # Master'!AQ165</f>
        <v>0</v>
      </c>
      <c r="AT55" s="19">
        <f>+'CCs # Master'!AR165</f>
        <v>0</v>
      </c>
      <c r="AU55" s="19">
        <f>+'CCs # Master'!AS165</f>
        <v>0</v>
      </c>
      <c r="AV55" s="19">
        <f>+'CCs # Master'!AT165</f>
        <v>0</v>
      </c>
      <c r="AW55"/>
      <c r="AX55" s="21">
        <f t="shared" si="32"/>
        <v>2587</v>
      </c>
      <c r="AY55" s="21">
        <f t="shared" si="24"/>
        <v>0</v>
      </c>
      <c r="BA55" s="19">
        <f t="shared" si="25"/>
        <v>323</v>
      </c>
      <c r="BB55" s="19">
        <f t="shared" si="33"/>
        <v>323</v>
      </c>
      <c r="BC55" s="19">
        <f t="shared" si="27"/>
        <v>2264</v>
      </c>
      <c r="BE55" s="19">
        <f t="shared" si="28"/>
        <v>2587</v>
      </c>
      <c r="BG55" s="234">
        <f t="shared" si="29"/>
        <v>2587</v>
      </c>
      <c r="BH55" s="19">
        <f t="shared" si="34"/>
        <v>0</v>
      </c>
    </row>
    <row r="56" spans="1:60" s="19" customFormat="1" ht="12.95" customHeight="1" x14ac:dyDescent="0.2">
      <c r="A56" s="85">
        <f>+'CCs # Master'!A166</f>
        <v>11</v>
      </c>
      <c r="B56" s="226" t="str">
        <f>+'CCs # Master'!B166</f>
        <v>ISC-Financial HUB</v>
      </c>
      <c r="C56" s="226" t="str">
        <f>+'CCs # Master'!C166</f>
        <v>Bellinghausen, Susan</v>
      </c>
      <c r="D56" s="85">
        <f>+'CCs # Master'!D166</f>
        <v>103089</v>
      </c>
      <c r="E56" s="19">
        <f>+'CCs # Master'!E166</f>
        <v>2231</v>
      </c>
      <c r="F56" s="19">
        <f>+'CCs # Master'!F166</f>
        <v>29</v>
      </c>
      <c r="G56" s="19">
        <f>+'CCs # Master'!G166</f>
        <v>0</v>
      </c>
      <c r="H56" s="19">
        <f>+'CCs # Master'!H166</f>
        <v>433</v>
      </c>
      <c r="I56" s="19">
        <f>+'CCs # Master'!I166</f>
        <v>0</v>
      </c>
      <c r="J56" s="19">
        <f>+'CCs # Master'!J166</f>
        <v>0</v>
      </c>
      <c r="K56" s="19">
        <f t="shared" si="31"/>
        <v>2693</v>
      </c>
      <c r="M56" s="19" t="str">
        <f>+'CCs # Master'!M166</f>
        <v>Per Agreement with BU</v>
      </c>
      <c r="N56" s="19">
        <f>+'CCs # Master'!AW166</f>
        <v>337</v>
      </c>
      <c r="O56" s="19">
        <v>0</v>
      </c>
      <c r="P56" s="19">
        <f>+'CCs # Master'!N166</f>
        <v>0</v>
      </c>
      <c r="Q56" s="19">
        <f>+'CCs # Master'!O166</f>
        <v>0</v>
      </c>
      <c r="R56" s="19">
        <f>+'CCs # Master'!P166</f>
        <v>86</v>
      </c>
      <c r="S56" s="19">
        <f>+'CCs # Master'!Q166</f>
        <v>89</v>
      </c>
      <c r="T56" s="19">
        <f>+'CCs # Master'!R166</f>
        <v>0</v>
      </c>
      <c r="U56" s="19">
        <f>+'CCs # Master'!S166</f>
        <v>0</v>
      </c>
      <c r="V56" s="19">
        <f>+'CCs # Master'!T166</f>
        <v>0</v>
      </c>
      <c r="W56" s="19">
        <f>+'CCs # Master'!U166</f>
        <v>0</v>
      </c>
      <c r="X56" s="19">
        <f>+'CCs # Master'!V166</f>
        <v>337</v>
      </c>
      <c r="Y56" s="19">
        <f>+'CCs # Master'!W166</f>
        <v>0</v>
      </c>
      <c r="Z56" s="19">
        <f>+'CCs # Master'!X166</f>
        <v>337</v>
      </c>
      <c r="AA56" s="19">
        <f>+'CCs # Master'!Y166</f>
        <v>0</v>
      </c>
      <c r="AB56" s="19">
        <f>+'CCs # Master'!Z166</f>
        <v>0</v>
      </c>
      <c r="AC56" s="19">
        <f>+'CCs # Master'!AA166</f>
        <v>40</v>
      </c>
      <c r="AD56" s="19">
        <f>+'CCs # Master'!AB166</f>
        <v>337</v>
      </c>
      <c r="AE56" s="19">
        <f>+'CCs # Master'!AC166</f>
        <v>0</v>
      </c>
      <c r="AF56" s="19">
        <f>+'CCs # Master'!AD166</f>
        <v>337</v>
      </c>
      <c r="AG56" s="19">
        <f>+'CCs # Master'!AE166</f>
        <v>337</v>
      </c>
      <c r="AH56" s="19">
        <f>+'CCs # Master'!AF166</f>
        <v>0</v>
      </c>
      <c r="AI56" s="19">
        <f>+'CCs # Master'!AG166</f>
        <v>0</v>
      </c>
      <c r="AJ56" s="19">
        <f>+'CCs # Master'!AH166</f>
        <v>40</v>
      </c>
      <c r="AK56" s="19">
        <f>+'CCs # Master'!AI166</f>
        <v>81</v>
      </c>
      <c r="AL56" s="19">
        <f>+'CCs # Master'!AJ166</f>
        <v>81</v>
      </c>
      <c r="AM56" s="19">
        <f>+'CCs # Master'!AK166</f>
        <v>40</v>
      </c>
      <c r="AN56" s="19">
        <f>+'CCs # Master'!AL166</f>
        <v>40</v>
      </c>
      <c r="AO56" s="19">
        <f>+'CCs # Master'!AM166</f>
        <v>40</v>
      </c>
      <c r="AP56" s="19">
        <f>+'CCs # Master'!AN166</f>
        <v>0</v>
      </c>
      <c r="AQ56" s="19">
        <f>+'CCs # Master'!AO166</f>
        <v>94</v>
      </c>
      <c r="AR56" s="19">
        <f>+'CCs # Master'!AP166</f>
        <v>40</v>
      </c>
      <c r="AS56" s="19">
        <f>+'CCs # Master'!AQ166</f>
        <v>0</v>
      </c>
      <c r="AT56" s="19">
        <f>+'CCs # Master'!AR166</f>
        <v>0</v>
      </c>
      <c r="AU56" s="19">
        <f>+'CCs # Master'!AS166</f>
        <v>0</v>
      </c>
      <c r="AV56" s="19">
        <f>+'CCs # Master'!AT166</f>
        <v>0</v>
      </c>
      <c r="AW56"/>
      <c r="AX56" s="21">
        <f t="shared" si="32"/>
        <v>2693</v>
      </c>
      <c r="AY56" s="21">
        <f t="shared" si="24"/>
        <v>0</v>
      </c>
      <c r="BA56" s="19">
        <f t="shared" si="25"/>
        <v>337</v>
      </c>
      <c r="BB56" s="19">
        <f t="shared" si="33"/>
        <v>337</v>
      </c>
      <c r="BC56" s="19">
        <f t="shared" si="27"/>
        <v>2356</v>
      </c>
      <c r="BE56" s="19">
        <f t="shared" si="28"/>
        <v>2693</v>
      </c>
      <c r="BG56" s="234">
        <f t="shared" si="29"/>
        <v>2693</v>
      </c>
      <c r="BH56" s="19">
        <f t="shared" si="34"/>
        <v>0</v>
      </c>
    </row>
    <row r="57" spans="1:60" s="19" customFormat="1" ht="12.95" customHeight="1" x14ac:dyDescent="0.2">
      <c r="A57" s="85">
        <f>+'CCs # Master'!A167</f>
        <v>11</v>
      </c>
      <c r="B57" s="226" t="str">
        <f>+'CCs # Master'!B167</f>
        <v>ISC-SAP PS/SP  Resources</v>
      </c>
      <c r="C57" s="226" t="str">
        <f>+'CCs # Master'!C167</f>
        <v>Boehm, Rick</v>
      </c>
      <c r="D57" s="85">
        <f>+'CCs # Master'!D167</f>
        <v>103090</v>
      </c>
      <c r="E57" s="19">
        <f>+'CCs # Master'!E167</f>
        <v>1019</v>
      </c>
      <c r="F57" s="19">
        <f>+'CCs # Master'!F167</f>
        <v>59</v>
      </c>
      <c r="G57" s="19">
        <f>+'CCs # Master'!G167</f>
        <v>0</v>
      </c>
      <c r="H57" s="19">
        <f>+'CCs # Master'!H167</f>
        <v>163</v>
      </c>
      <c r="I57" s="19">
        <f>+'CCs # Master'!I167</f>
        <v>0</v>
      </c>
      <c r="J57" s="19">
        <f>+'CCs # Master'!J167</f>
        <v>0</v>
      </c>
      <c r="K57" s="19">
        <f t="shared" si="31"/>
        <v>1241</v>
      </c>
      <c r="M57" s="19" t="str">
        <f>+'CCs # Master'!M167</f>
        <v>Per Agreement with BU</v>
      </c>
      <c r="N57" s="19">
        <f>+'CCs # Master'!AW167</f>
        <v>154</v>
      </c>
      <c r="O57" s="19">
        <v>0</v>
      </c>
      <c r="P57" s="19">
        <f>+'CCs # Master'!N167</f>
        <v>0</v>
      </c>
      <c r="Q57" s="19">
        <f>+'CCs # Master'!O167</f>
        <v>0</v>
      </c>
      <c r="R57" s="19">
        <f>+'CCs # Master'!P167</f>
        <v>40</v>
      </c>
      <c r="S57" s="19">
        <f>+'CCs # Master'!Q167</f>
        <v>41</v>
      </c>
      <c r="T57" s="19">
        <f>+'CCs # Master'!R167</f>
        <v>0</v>
      </c>
      <c r="U57" s="19">
        <f>+'CCs # Master'!S167</f>
        <v>0</v>
      </c>
      <c r="V57" s="19">
        <f>+'CCs # Master'!T167</f>
        <v>0</v>
      </c>
      <c r="W57" s="19">
        <f>+'CCs # Master'!U167</f>
        <v>0</v>
      </c>
      <c r="X57" s="19">
        <f>+'CCs # Master'!V167</f>
        <v>155</v>
      </c>
      <c r="Y57" s="19">
        <f>+'CCs # Master'!W167</f>
        <v>0</v>
      </c>
      <c r="Z57" s="19">
        <f>+'CCs # Master'!X167</f>
        <v>155</v>
      </c>
      <c r="AA57" s="19">
        <f>+'CCs # Master'!Y167</f>
        <v>0</v>
      </c>
      <c r="AB57" s="19">
        <f>+'CCs # Master'!Z167</f>
        <v>0</v>
      </c>
      <c r="AC57" s="19">
        <f>+'CCs # Master'!AA167</f>
        <v>19</v>
      </c>
      <c r="AD57" s="19">
        <f>+'CCs # Master'!AB167</f>
        <v>155</v>
      </c>
      <c r="AE57" s="19">
        <f>+'CCs # Master'!AC167</f>
        <v>0</v>
      </c>
      <c r="AF57" s="19">
        <f>+'CCs # Master'!AD167</f>
        <v>155</v>
      </c>
      <c r="AG57" s="19">
        <f>+'CCs # Master'!AE167</f>
        <v>155</v>
      </c>
      <c r="AH57" s="19">
        <f>+'CCs # Master'!AF167</f>
        <v>0</v>
      </c>
      <c r="AI57" s="19">
        <f>+'CCs # Master'!AG167</f>
        <v>0</v>
      </c>
      <c r="AJ57" s="19">
        <f>+'CCs # Master'!AH167</f>
        <v>19</v>
      </c>
      <c r="AK57" s="19">
        <f>+'CCs # Master'!AI167</f>
        <v>37</v>
      </c>
      <c r="AL57" s="19">
        <f>+'CCs # Master'!AJ167</f>
        <v>37</v>
      </c>
      <c r="AM57" s="19">
        <f>+'CCs # Master'!AK167</f>
        <v>19</v>
      </c>
      <c r="AN57" s="19">
        <f>+'CCs # Master'!AL167</f>
        <v>19</v>
      </c>
      <c r="AO57" s="19">
        <f>+'CCs # Master'!AM167</f>
        <v>19</v>
      </c>
      <c r="AP57" s="19">
        <f>+'CCs # Master'!AN167</f>
        <v>0</v>
      </c>
      <c r="AQ57" s="19">
        <f>+'CCs # Master'!AO167</f>
        <v>43</v>
      </c>
      <c r="AR57" s="19">
        <f>+'CCs # Master'!AP167</f>
        <v>19</v>
      </c>
      <c r="AS57" s="19">
        <f>+'CCs # Master'!AQ167</f>
        <v>0</v>
      </c>
      <c r="AT57" s="19">
        <f>+'CCs # Master'!AR167</f>
        <v>0</v>
      </c>
      <c r="AU57" s="19">
        <f>+'CCs # Master'!AS167</f>
        <v>0</v>
      </c>
      <c r="AV57" s="19">
        <f>+'CCs # Master'!AT167</f>
        <v>0</v>
      </c>
      <c r="AW57"/>
      <c r="AX57" s="21">
        <f t="shared" si="32"/>
        <v>1241</v>
      </c>
      <c r="AY57" s="21">
        <f t="shared" si="24"/>
        <v>0</v>
      </c>
      <c r="BA57" s="19">
        <f t="shared" si="25"/>
        <v>155</v>
      </c>
      <c r="BB57" s="19">
        <f t="shared" si="33"/>
        <v>154</v>
      </c>
      <c r="BC57" s="19">
        <f t="shared" si="27"/>
        <v>1087</v>
      </c>
      <c r="BE57" s="19">
        <f t="shared" si="28"/>
        <v>1241</v>
      </c>
      <c r="BG57" s="234">
        <f t="shared" si="29"/>
        <v>1241</v>
      </c>
      <c r="BH57" s="19">
        <f t="shared" si="34"/>
        <v>0</v>
      </c>
    </row>
    <row r="58" spans="1:60" s="19" customFormat="1" ht="12.95" customHeight="1" x14ac:dyDescent="0.2">
      <c r="A58" s="85">
        <f>+'CCs # Master'!A168</f>
        <v>11</v>
      </c>
      <c r="B58" s="226" t="str">
        <f>+'CCs # Master'!B168</f>
        <v>ISC-SAP Generalist Hub</v>
      </c>
      <c r="C58" s="226" t="str">
        <f>+'CCs # Master'!C168</f>
        <v>Chris Schlaudraff</v>
      </c>
      <c r="D58" s="85">
        <f>+'CCs # Master'!D168</f>
        <v>103091</v>
      </c>
      <c r="E58" s="19">
        <f>+'CCs # Master'!E168</f>
        <v>967</v>
      </c>
      <c r="F58" s="19">
        <f>+'CCs # Master'!F168</f>
        <v>30</v>
      </c>
      <c r="G58" s="19">
        <f>+'CCs # Master'!G168</f>
        <v>0</v>
      </c>
      <c r="H58" s="19">
        <f>+'CCs # Master'!H168</f>
        <v>0</v>
      </c>
      <c r="I58" s="19">
        <f>+'CCs # Master'!I168</f>
        <v>0</v>
      </c>
      <c r="J58" s="19">
        <f>+'CCs # Master'!J168</f>
        <v>0</v>
      </c>
      <c r="K58" s="19">
        <f t="shared" si="31"/>
        <v>997</v>
      </c>
      <c r="M58" s="19" t="str">
        <f>+'CCs # Master'!M168</f>
        <v>Per Agreement with BU</v>
      </c>
      <c r="N58" s="19">
        <f>+'CCs # Master'!AW168</f>
        <v>122</v>
      </c>
      <c r="O58" s="19">
        <v>0</v>
      </c>
      <c r="P58" s="19">
        <f>+'CCs # Master'!N168</f>
        <v>0</v>
      </c>
      <c r="Q58" s="19">
        <f>+'CCs # Master'!O168</f>
        <v>0</v>
      </c>
      <c r="R58" s="19">
        <f>+'CCs # Master'!P168</f>
        <v>32</v>
      </c>
      <c r="S58" s="19">
        <f>+'CCs # Master'!Q168</f>
        <v>33</v>
      </c>
      <c r="T58" s="19">
        <f>+'CCs # Master'!R168</f>
        <v>0</v>
      </c>
      <c r="U58" s="19">
        <f>+'CCs # Master'!S168</f>
        <v>0</v>
      </c>
      <c r="V58" s="19">
        <f>+'CCs # Master'!T168</f>
        <v>0</v>
      </c>
      <c r="W58" s="19">
        <f>+'CCs # Master'!U168</f>
        <v>0</v>
      </c>
      <c r="X58" s="19">
        <f>+'CCs # Master'!V168</f>
        <v>125</v>
      </c>
      <c r="Y58" s="19">
        <f>+'CCs # Master'!W168</f>
        <v>0</v>
      </c>
      <c r="Z58" s="19">
        <f>+'CCs # Master'!X168</f>
        <v>125</v>
      </c>
      <c r="AA58" s="19">
        <f>+'CCs # Master'!Y168</f>
        <v>0</v>
      </c>
      <c r="AB58" s="19">
        <f>+'CCs # Master'!Z168</f>
        <v>0</v>
      </c>
      <c r="AC58" s="19">
        <f>+'CCs # Master'!AA168</f>
        <v>15</v>
      </c>
      <c r="AD58" s="19">
        <f>+'CCs # Master'!AB168</f>
        <v>125</v>
      </c>
      <c r="AE58" s="19">
        <f>+'CCs # Master'!AC168</f>
        <v>0</v>
      </c>
      <c r="AF58" s="19">
        <f>+'CCs # Master'!AD168</f>
        <v>125</v>
      </c>
      <c r="AG58" s="19">
        <f>+'CCs # Master'!AE168</f>
        <v>125</v>
      </c>
      <c r="AH58" s="19">
        <f>+'CCs # Master'!AF168</f>
        <v>0</v>
      </c>
      <c r="AI58" s="19">
        <f>+'CCs # Master'!AG168</f>
        <v>0</v>
      </c>
      <c r="AJ58" s="19">
        <f>+'CCs # Master'!AH168</f>
        <v>15</v>
      </c>
      <c r="AK58" s="19">
        <f>+'CCs # Master'!AI168</f>
        <v>30</v>
      </c>
      <c r="AL58" s="19">
        <f>+'CCs # Master'!AJ168</f>
        <v>30</v>
      </c>
      <c r="AM58" s="19">
        <f>+'CCs # Master'!AK168</f>
        <v>15</v>
      </c>
      <c r="AN58" s="19">
        <f>+'CCs # Master'!AL168</f>
        <v>15</v>
      </c>
      <c r="AO58" s="19">
        <f>+'CCs # Master'!AM168</f>
        <v>15</v>
      </c>
      <c r="AP58" s="19">
        <f>+'CCs # Master'!AN168</f>
        <v>0</v>
      </c>
      <c r="AQ58" s="19">
        <f>+'CCs # Master'!AO168</f>
        <v>35</v>
      </c>
      <c r="AR58" s="19">
        <f>+'CCs # Master'!AP168</f>
        <v>15</v>
      </c>
      <c r="AS58" s="19">
        <f>+'CCs # Master'!AQ168</f>
        <v>0</v>
      </c>
      <c r="AT58" s="19">
        <f>+'CCs # Master'!AR168</f>
        <v>0</v>
      </c>
      <c r="AU58" s="19">
        <f>+'CCs # Master'!AS168</f>
        <v>0</v>
      </c>
      <c r="AV58" s="19">
        <f>+'CCs # Master'!AT168</f>
        <v>0</v>
      </c>
      <c r="AW58"/>
      <c r="AX58" s="21">
        <f t="shared" si="32"/>
        <v>997</v>
      </c>
      <c r="AY58" s="21">
        <f t="shared" si="24"/>
        <v>0</v>
      </c>
      <c r="BA58" s="19">
        <f t="shared" si="25"/>
        <v>125</v>
      </c>
      <c r="BB58" s="19">
        <f t="shared" si="33"/>
        <v>122</v>
      </c>
      <c r="BC58" s="19">
        <f t="shared" si="27"/>
        <v>875</v>
      </c>
      <c r="BE58" s="19">
        <f t="shared" si="28"/>
        <v>997</v>
      </c>
      <c r="BG58" s="234">
        <f t="shared" si="29"/>
        <v>997</v>
      </c>
      <c r="BH58" s="19">
        <f t="shared" si="34"/>
        <v>0</v>
      </c>
    </row>
    <row r="59" spans="1:60" s="19" customFormat="1" ht="12.95" customHeight="1" x14ac:dyDescent="0.2">
      <c r="A59" s="85">
        <f>+'CCs # Master'!A169</f>
        <v>11</v>
      </c>
      <c r="B59" s="226" t="str">
        <f>+'CCs # Master'!B169</f>
        <v>ISC-SAP Internal Support Resources</v>
      </c>
      <c r="C59" s="226" t="str">
        <f>+'CCs # Master'!C169</f>
        <v>Chris Schlaudraff</v>
      </c>
      <c r="D59" s="85">
        <f>+'CCs # Master'!D169</f>
        <v>103092</v>
      </c>
      <c r="E59" s="19">
        <f>+'CCs # Master'!E169</f>
        <v>1525</v>
      </c>
      <c r="F59" s="19">
        <f>+'CCs # Master'!F169</f>
        <v>43</v>
      </c>
      <c r="G59" s="19">
        <f>+'CCs # Master'!G169</f>
        <v>0</v>
      </c>
      <c r="H59" s="19">
        <f>+'CCs # Master'!H169</f>
        <v>53</v>
      </c>
      <c r="I59" s="19">
        <f>+'CCs # Master'!I169</f>
        <v>0</v>
      </c>
      <c r="J59" s="19">
        <f>+'CCs # Master'!J169</f>
        <v>0</v>
      </c>
      <c r="K59" s="19">
        <f t="shared" si="31"/>
        <v>1621</v>
      </c>
      <c r="M59" s="19" t="str">
        <f>+'CCs # Master'!M169</f>
        <v>Per Agreement with BU</v>
      </c>
      <c r="N59" s="19">
        <f>+'CCs # Master'!AW169</f>
        <v>202</v>
      </c>
      <c r="O59" s="19">
        <v>0</v>
      </c>
      <c r="P59" s="19">
        <f>+'CCs # Master'!N169</f>
        <v>0</v>
      </c>
      <c r="Q59" s="19">
        <f>+'CCs # Master'!O169</f>
        <v>0</v>
      </c>
      <c r="R59" s="19">
        <f>+'CCs # Master'!P169</f>
        <v>51</v>
      </c>
      <c r="S59" s="19">
        <f>+'CCs # Master'!Q169</f>
        <v>54</v>
      </c>
      <c r="T59" s="19">
        <f>+'CCs # Master'!R169</f>
        <v>0</v>
      </c>
      <c r="U59" s="19">
        <f>+'CCs # Master'!S169</f>
        <v>0</v>
      </c>
      <c r="V59" s="19">
        <f>+'CCs # Master'!T169</f>
        <v>0</v>
      </c>
      <c r="W59" s="19">
        <f>+'CCs # Master'!U169</f>
        <v>0</v>
      </c>
      <c r="X59" s="19">
        <f>+'CCs # Master'!V169</f>
        <v>203</v>
      </c>
      <c r="Y59" s="19">
        <f>+'CCs # Master'!W169</f>
        <v>0</v>
      </c>
      <c r="Z59" s="19">
        <f>+'CCs # Master'!X169</f>
        <v>203</v>
      </c>
      <c r="AA59" s="19">
        <f>+'CCs # Master'!Y169</f>
        <v>0</v>
      </c>
      <c r="AB59" s="19">
        <f>+'CCs # Master'!Z169</f>
        <v>0</v>
      </c>
      <c r="AC59" s="19">
        <f>+'CCs # Master'!AA169</f>
        <v>24</v>
      </c>
      <c r="AD59" s="19">
        <f>+'CCs # Master'!AB169</f>
        <v>203</v>
      </c>
      <c r="AE59" s="19">
        <f>+'CCs # Master'!AC169</f>
        <v>0</v>
      </c>
      <c r="AF59" s="19">
        <f>+'CCs # Master'!AD169</f>
        <v>203</v>
      </c>
      <c r="AG59" s="19">
        <f>+'CCs # Master'!AE169</f>
        <v>203</v>
      </c>
      <c r="AH59" s="19">
        <f>+'CCs # Master'!AF169</f>
        <v>0</v>
      </c>
      <c r="AI59" s="19">
        <f>+'CCs # Master'!AG169</f>
        <v>0</v>
      </c>
      <c r="AJ59" s="19">
        <f>+'CCs # Master'!AH169</f>
        <v>24</v>
      </c>
      <c r="AK59" s="19">
        <f>+'CCs # Master'!AI169</f>
        <v>49</v>
      </c>
      <c r="AL59" s="19">
        <f>+'CCs # Master'!AJ169</f>
        <v>49</v>
      </c>
      <c r="AM59" s="19">
        <f>+'CCs # Master'!AK169</f>
        <v>24</v>
      </c>
      <c r="AN59" s="19">
        <f>+'CCs # Master'!AL169</f>
        <v>24</v>
      </c>
      <c r="AO59" s="19">
        <f>+'CCs # Master'!AM169</f>
        <v>24</v>
      </c>
      <c r="AP59" s="19">
        <f>+'CCs # Master'!AN169</f>
        <v>0</v>
      </c>
      <c r="AQ59" s="19">
        <f>+'CCs # Master'!AO169</f>
        <v>57</v>
      </c>
      <c r="AR59" s="19">
        <f>+'CCs # Master'!AP169</f>
        <v>24</v>
      </c>
      <c r="AS59" s="19">
        <f>+'CCs # Master'!AQ169</f>
        <v>0</v>
      </c>
      <c r="AT59" s="19">
        <f>+'CCs # Master'!AR169</f>
        <v>0</v>
      </c>
      <c r="AU59" s="19">
        <f>+'CCs # Master'!AS169</f>
        <v>0</v>
      </c>
      <c r="AV59" s="19">
        <f>+'CCs # Master'!AT169</f>
        <v>0</v>
      </c>
      <c r="AW59"/>
      <c r="AX59" s="21">
        <f t="shared" si="32"/>
        <v>1621</v>
      </c>
      <c r="AY59" s="21">
        <f t="shared" si="24"/>
        <v>0</v>
      </c>
      <c r="BA59" s="19">
        <f t="shared" si="25"/>
        <v>203</v>
      </c>
      <c r="BB59" s="19">
        <f t="shared" si="33"/>
        <v>202</v>
      </c>
      <c r="BC59" s="19">
        <f t="shared" si="27"/>
        <v>1419</v>
      </c>
      <c r="BE59" s="19">
        <f t="shared" si="28"/>
        <v>1621</v>
      </c>
      <c r="BG59" s="234">
        <f t="shared" si="29"/>
        <v>1621</v>
      </c>
      <c r="BH59" s="19">
        <f t="shared" si="34"/>
        <v>0</v>
      </c>
    </row>
    <row r="60" spans="1:60" s="19" customFormat="1" ht="12.95" customHeight="1" x14ac:dyDescent="0.2">
      <c r="A60" s="85">
        <f>+'CCs # Master'!A170</f>
        <v>11</v>
      </c>
      <c r="B60" s="226" t="str">
        <f>+'CCs # Master'!B170</f>
        <v>ISC-Technical Hub</v>
      </c>
      <c r="C60" s="226" t="str">
        <f>+'CCs # Master'!C170</f>
        <v>Sentiff, Gary</v>
      </c>
      <c r="D60" s="85">
        <f>+'CCs # Master'!D170</f>
        <v>103093</v>
      </c>
      <c r="E60" s="19">
        <f>+'CCs # Master'!E170</f>
        <v>2389</v>
      </c>
      <c r="F60" s="19">
        <f>+'CCs # Master'!F170</f>
        <v>145</v>
      </c>
      <c r="G60" s="19">
        <f>+'CCs # Master'!G170</f>
        <v>0</v>
      </c>
      <c r="H60" s="19">
        <f>+'CCs # Master'!H170</f>
        <v>592</v>
      </c>
      <c r="I60" s="19">
        <f>+'CCs # Master'!I170</f>
        <v>0</v>
      </c>
      <c r="J60" s="19">
        <f>+'CCs # Master'!J170</f>
        <v>0</v>
      </c>
      <c r="K60" s="19">
        <f t="shared" si="31"/>
        <v>3126</v>
      </c>
      <c r="M60" s="19" t="str">
        <f>+'CCs # Master'!M170</f>
        <v>Per Agreement with BU</v>
      </c>
      <c r="N60" s="19">
        <f>+'CCs # Master'!AW170</f>
        <v>389</v>
      </c>
      <c r="O60" s="19">
        <v>0</v>
      </c>
      <c r="P60" s="19">
        <f>+'CCs # Master'!N170</f>
        <v>0</v>
      </c>
      <c r="Q60" s="19">
        <f>+'CCs # Master'!O170</f>
        <v>0</v>
      </c>
      <c r="R60" s="19">
        <f>+'CCs # Master'!P170</f>
        <v>116</v>
      </c>
      <c r="S60" s="19">
        <f>+'CCs # Master'!Q170</f>
        <v>87</v>
      </c>
      <c r="T60" s="19">
        <f>+'CCs # Master'!R170</f>
        <v>0</v>
      </c>
      <c r="U60" s="19">
        <f>+'CCs # Master'!S170</f>
        <v>0</v>
      </c>
      <c r="V60" s="19">
        <f>+'CCs # Master'!T170</f>
        <v>0</v>
      </c>
      <c r="W60" s="19">
        <f>+'CCs # Master'!U170</f>
        <v>0</v>
      </c>
      <c r="X60" s="19">
        <f>+'CCs # Master'!V170</f>
        <v>391</v>
      </c>
      <c r="Y60" s="19">
        <f>+'CCs # Master'!W170</f>
        <v>0</v>
      </c>
      <c r="Z60" s="19">
        <f>+'CCs # Master'!X170</f>
        <v>391</v>
      </c>
      <c r="AA60" s="19">
        <f>+'CCs # Master'!Y170</f>
        <v>0</v>
      </c>
      <c r="AB60" s="19">
        <f>+'CCs # Master'!Z170</f>
        <v>0</v>
      </c>
      <c r="AC60" s="19">
        <f>+'CCs # Master'!AA170</f>
        <v>47</v>
      </c>
      <c r="AD60" s="19">
        <f>+'CCs # Master'!AB170</f>
        <v>391</v>
      </c>
      <c r="AE60" s="19">
        <f>+'CCs # Master'!AC170</f>
        <v>0</v>
      </c>
      <c r="AF60" s="19">
        <f>+'CCs # Master'!AD170</f>
        <v>391</v>
      </c>
      <c r="AG60" s="19">
        <f>+'CCs # Master'!AE170</f>
        <v>391</v>
      </c>
      <c r="AH60" s="19">
        <f>+'CCs # Master'!AF170</f>
        <v>0</v>
      </c>
      <c r="AI60" s="19">
        <f>+'CCs # Master'!AG170</f>
        <v>0</v>
      </c>
      <c r="AJ60" s="19">
        <f>+'CCs # Master'!AH170</f>
        <v>47</v>
      </c>
      <c r="AK60" s="19">
        <f>+'CCs # Master'!AI170</f>
        <v>94</v>
      </c>
      <c r="AL60" s="19">
        <f>+'CCs # Master'!AJ170</f>
        <v>94</v>
      </c>
      <c r="AM60" s="19">
        <f>+'CCs # Master'!AK170</f>
        <v>47</v>
      </c>
      <c r="AN60" s="19">
        <f>+'CCs # Master'!AL170</f>
        <v>47</v>
      </c>
      <c r="AO60" s="19">
        <f>+'CCs # Master'!AM170</f>
        <v>47</v>
      </c>
      <c r="AP60" s="19">
        <f>+'CCs # Master'!AN170</f>
        <v>0</v>
      </c>
      <c r="AQ60" s="19">
        <f>+'CCs # Master'!AO170</f>
        <v>109</v>
      </c>
      <c r="AR60" s="19">
        <f>+'CCs # Master'!AP170</f>
        <v>47</v>
      </c>
      <c r="AS60" s="19">
        <f>+'CCs # Master'!AQ170</f>
        <v>0</v>
      </c>
      <c r="AT60" s="19">
        <f>+'CCs # Master'!AR170</f>
        <v>0</v>
      </c>
      <c r="AU60" s="19">
        <f>+'CCs # Master'!AS170</f>
        <v>0</v>
      </c>
      <c r="AV60" s="19">
        <f>+'CCs # Master'!AT170</f>
        <v>0</v>
      </c>
      <c r="AW60"/>
      <c r="AX60" s="21">
        <f t="shared" si="32"/>
        <v>3126</v>
      </c>
      <c r="AY60" s="21">
        <f t="shared" si="24"/>
        <v>0</v>
      </c>
      <c r="BA60" s="19">
        <f t="shared" si="25"/>
        <v>391</v>
      </c>
      <c r="BB60" s="19">
        <f t="shared" si="33"/>
        <v>389</v>
      </c>
      <c r="BC60" s="19">
        <f t="shared" si="27"/>
        <v>2737</v>
      </c>
      <c r="BE60" s="19">
        <f t="shared" si="28"/>
        <v>3126</v>
      </c>
      <c r="BG60" s="234">
        <f t="shared" si="29"/>
        <v>3126</v>
      </c>
      <c r="BH60" s="19">
        <f t="shared" si="34"/>
        <v>0</v>
      </c>
    </row>
    <row r="61" spans="1:60" s="19" customFormat="1" ht="12.95" customHeight="1" x14ac:dyDescent="0.2">
      <c r="A61" s="85">
        <f>+'CCs # Master'!A171</f>
        <v>11</v>
      </c>
      <c r="B61" s="226" t="str">
        <f>+'CCs # Master'!B171</f>
        <v>ISC-SAP Hub/Service Line Mgt Resources</v>
      </c>
      <c r="C61" s="226" t="str">
        <f>+'CCs # Master'!C171</f>
        <v>Becker, Melissa</v>
      </c>
      <c r="D61" s="85">
        <f>+'CCs # Master'!D171</f>
        <v>103094</v>
      </c>
      <c r="E61" s="19">
        <f>+'CCs # Master'!E171</f>
        <v>0</v>
      </c>
      <c r="F61" s="19">
        <f>+'CCs # Master'!F171</f>
        <v>61</v>
      </c>
      <c r="G61" s="19">
        <f>+'CCs # Master'!G171</f>
        <v>62</v>
      </c>
      <c r="H61" s="19">
        <f>+'CCs # Master'!H171</f>
        <v>0</v>
      </c>
      <c r="I61" s="19">
        <f>+'CCs # Master'!I171</f>
        <v>1801</v>
      </c>
      <c r="J61" s="19">
        <f>+'CCs # Master'!J171</f>
        <v>46</v>
      </c>
      <c r="K61" s="19">
        <f t="shared" si="31"/>
        <v>1970</v>
      </c>
      <c r="M61" s="19" t="str">
        <f>+'CCs # Master'!M171</f>
        <v>Per Agreement with BU</v>
      </c>
      <c r="N61" s="19">
        <f>+'CCs # Master'!AW171</f>
        <v>245</v>
      </c>
      <c r="O61" s="19">
        <v>0</v>
      </c>
      <c r="P61" s="19">
        <f>+'CCs # Master'!N171</f>
        <v>0</v>
      </c>
      <c r="Q61" s="19">
        <f>+'CCs # Master'!O171</f>
        <v>0</v>
      </c>
      <c r="R61" s="19">
        <f>+'CCs # Master'!P171</f>
        <v>63</v>
      </c>
      <c r="S61" s="19">
        <f>+'CCs # Master'!Q171</f>
        <v>65</v>
      </c>
      <c r="T61" s="19">
        <f>+'CCs # Master'!R171</f>
        <v>0</v>
      </c>
      <c r="U61" s="19">
        <f>+'CCs # Master'!S171</f>
        <v>0</v>
      </c>
      <c r="V61" s="19">
        <f>+'CCs # Master'!T171</f>
        <v>0</v>
      </c>
      <c r="W61" s="19">
        <f>+'CCs # Master'!U171</f>
        <v>0</v>
      </c>
      <c r="X61" s="19">
        <f>+'CCs # Master'!V171</f>
        <v>246</v>
      </c>
      <c r="Y61" s="19">
        <f>+'CCs # Master'!W171</f>
        <v>0</v>
      </c>
      <c r="Z61" s="19">
        <f>+'CCs # Master'!X171</f>
        <v>246</v>
      </c>
      <c r="AA61" s="19">
        <f>+'CCs # Master'!Y171</f>
        <v>0</v>
      </c>
      <c r="AB61" s="19">
        <f>+'CCs # Master'!Z171</f>
        <v>0</v>
      </c>
      <c r="AC61" s="19">
        <f>+'CCs # Master'!AA171</f>
        <v>30</v>
      </c>
      <c r="AD61" s="19">
        <f>+'CCs # Master'!AB171</f>
        <v>246</v>
      </c>
      <c r="AE61" s="19">
        <f>+'CCs # Master'!AC171</f>
        <v>0</v>
      </c>
      <c r="AF61" s="19">
        <f>+'CCs # Master'!AD171</f>
        <v>246</v>
      </c>
      <c r="AG61" s="19">
        <f>+'CCs # Master'!AE171</f>
        <v>246</v>
      </c>
      <c r="AH61" s="19">
        <f>+'CCs # Master'!AF171</f>
        <v>0</v>
      </c>
      <c r="AI61" s="19">
        <f>+'CCs # Master'!AG171</f>
        <v>0</v>
      </c>
      <c r="AJ61" s="19">
        <f>+'CCs # Master'!AH171</f>
        <v>30</v>
      </c>
      <c r="AK61" s="19">
        <f>+'CCs # Master'!AI171</f>
        <v>59</v>
      </c>
      <c r="AL61" s="19">
        <f>+'CCs # Master'!AJ171</f>
        <v>59</v>
      </c>
      <c r="AM61" s="19">
        <f>+'CCs # Master'!AK171</f>
        <v>30</v>
      </c>
      <c r="AN61" s="19">
        <f>+'CCs # Master'!AL171</f>
        <v>30</v>
      </c>
      <c r="AO61" s="19">
        <f>+'CCs # Master'!AM171</f>
        <v>30</v>
      </c>
      <c r="AP61" s="19">
        <f>+'CCs # Master'!AN171</f>
        <v>0</v>
      </c>
      <c r="AQ61" s="19">
        <f>+'CCs # Master'!AO171</f>
        <v>69</v>
      </c>
      <c r="AR61" s="19">
        <f>+'CCs # Master'!AP171</f>
        <v>30</v>
      </c>
      <c r="AS61" s="19">
        <f>+'CCs # Master'!AQ171</f>
        <v>0</v>
      </c>
      <c r="AT61" s="19">
        <f>+'CCs # Master'!AR171</f>
        <v>0</v>
      </c>
      <c r="AU61" s="19">
        <f>+'CCs # Master'!AS171</f>
        <v>0</v>
      </c>
      <c r="AV61" s="19">
        <f>+'CCs # Master'!AT171</f>
        <v>0</v>
      </c>
      <c r="AW61"/>
      <c r="AX61" s="21">
        <f t="shared" si="32"/>
        <v>1970</v>
      </c>
      <c r="AY61" s="21">
        <f t="shared" si="24"/>
        <v>0</v>
      </c>
      <c r="BA61" s="19">
        <f t="shared" si="25"/>
        <v>246</v>
      </c>
      <c r="BB61" s="19">
        <f t="shared" si="33"/>
        <v>245</v>
      </c>
      <c r="BC61" s="19">
        <f t="shared" si="27"/>
        <v>1725</v>
      </c>
      <c r="BE61" s="19">
        <f t="shared" si="28"/>
        <v>1970</v>
      </c>
      <c r="BG61" s="234">
        <f t="shared" si="29"/>
        <v>1970</v>
      </c>
      <c r="BH61" s="19">
        <f t="shared" si="34"/>
        <v>0</v>
      </c>
    </row>
    <row r="62" spans="1:60" s="19" customFormat="1" ht="12.95" customHeight="1" x14ac:dyDescent="0.2">
      <c r="A62" s="85">
        <f>+'CCs # Master'!A172</f>
        <v>11</v>
      </c>
      <c r="B62" s="226" t="str">
        <f>+'CCs # Master'!B172</f>
        <v>ISC-Maximize Service Leader</v>
      </c>
      <c r="C62" s="226" t="str">
        <f>+'CCs # Master'!C172</f>
        <v>Kokas, Kathy</v>
      </c>
      <c r="D62" s="85">
        <f>+'CCs # Master'!D172</f>
        <v>103095</v>
      </c>
      <c r="E62" s="19">
        <f>+'CCs # Master'!E172</f>
        <v>0</v>
      </c>
      <c r="F62" s="19">
        <f>+'CCs # Master'!F172</f>
        <v>943</v>
      </c>
      <c r="G62" s="19">
        <f>+'CCs # Master'!G172</f>
        <v>89</v>
      </c>
      <c r="H62" s="19">
        <f>+'CCs # Master'!H172</f>
        <v>2846</v>
      </c>
      <c r="I62" s="19">
        <f>+'CCs # Master'!I172</f>
        <v>0</v>
      </c>
      <c r="J62" s="19">
        <f>+'CCs # Master'!J172</f>
        <v>161</v>
      </c>
      <c r="K62" s="19">
        <f t="shared" si="31"/>
        <v>4039</v>
      </c>
      <c r="M62" s="19" t="str">
        <f>+'CCs # Master'!M172</f>
        <v>Per Agreement with BU</v>
      </c>
      <c r="N62" s="19">
        <f>+'CCs # Master'!AW172</f>
        <v>502</v>
      </c>
      <c r="O62" s="19">
        <v>0</v>
      </c>
      <c r="P62" s="19">
        <f>+'CCs # Master'!N172</f>
        <v>0</v>
      </c>
      <c r="Q62" s="19">
        <f>+'CCs # Master'!O172</f>
        <v>0</v>
      </c>
      <c r="R62" s="19">
        <f>+'CCs # Master'!P172</f>
        <v>108</v>
      </c>
      <c r="S62" s="19">
        <f>+'CCs # Master'!Q172</f>
        <v>155</v>
      </c>
      <c r="T62" s="19">
        <f>+'CCs # Master'!R172</f>
        <v>0</v>
      </c>
      <c r="U62" s="19">
        <f>+'CCs # Master'!S172</f>
        <v>0</v>
      </c>
      <c r="V62" s="19">
        <f>+'CCs # Master'!T172</f>
        <v>0</v>
      </c>
      <c r="W62" s="19">
        <f>+'CCs # Master'!U172</f>
        <v>0</v>
      </c>
      <c r="X62" s="19">
        <f>+'CCs # Master'!V172</f>
        <v>505</v>
      </c>
      <c r="Y62" s="19">
        <f>+'CCs # Master'!W172</f>
        <v>0</v>
      </c>
      <c r="Z62" s="19">
        <f>+'CCs # Master'!X172</f>
        <v>505</v>
      </c>
      <c r="AA62" s="19">
        <f>+'CCs # Master'!Y172</f>
        <v>0</v>
      </c>
      <c r="AB62" s="19">
        <f>+'CCs # Master'!Z172</f>
        <v>0</v>
      </c>
      <c r="AC62" s="19">
        <f>+'CCs # Master'!AA172</f>
        <v>61</v>
      </c>
      <c r="AD62" s="19">
        <f>+'CCs # Master'!AB172</f>
        <v>505</v>
      </c>
      <c r="AE62" s="19">
        <f>+'CCs # Master'!AC172</f>
        <v>0</v>
      </c>
      <c r="AF62" s="19">
        <f>+'CCs # Master'!AD172</f>
        <v>505</v>
      </c>
      <c r="AG62" s="19">
        <f>+'CCs # Master'!AE172</f>
        <v>505</v>
      </c>
      <c r="AH62" s="19">
        <f>+'CCs # Master'!AF172</f>
        <v>0</v>
      </c>
      <c r="AI62" s="19">
        <f>+'CCs # Master'!AG172</f>
        <v>0</v>
      </c>
      <c r="AJ62" s="19">
        <f>+'CCs # Master'!AH172</f>
        <v>61</v>
      </c>
      <c r="AK62" s="19">
        <f>+'CCs # Master'!AI172</f>
        <v>121</v>
      </c>
      <c r="AL62" s="19">
        <f>+'CCs # Master'!AJ172</f>
        <v>121</v>
      </c>
      <c r="AM62" s="19">
        <f>+'CCs # Master'!AK172</f>
        <v>61</v>
      </c>
      <c r="AN62" s="19">
        <f>+'CCs # Master'!AL172</f>
        <v>61</v>
      </c>
      <c r="AO62" s="19">
        <f>+'CCs # Master'!AM172</f>
        <v>61</v>
      </c>
      <c r="AP62" s="19">
        <f>+'CCs # Master'!AN172</f>
        <v>0</v>
      </c>
      <c r="AQ62" s="19">
        <f>+'CCs # Master'!AO172</f>
        <v>141</v>
      </c>
      <c r="AR62" s="19">
        <f>+'CCs # Master'!AP172</f>
        <v>61</v>
      </c>
      <c r="AS62" s="19">
        <f>+'CCs # Master'!AQ172</f>
        <v>0</v>
      </c>
      <c r="AT62" s="19">
        <f>+'CCs # Master'!AR172</f>
        <v>0</v>
      </c>
      <c r="AU62" s="19">
        <f>+'CCs # Master'!AS172</f>
        <v>0</v>
      </c>
      <c r="AV62" s="19">
        <f>+'CCs # Master'!AT172</f>
        <v>0</v>
      </c>
      <c r="AW62"/>
      <c r="AX62" s="21">
        <f t="shared" si="32"/>
        <v>4039</v>
      </c>
      <c r="AY62" s="21">
        <f t="shared" si="24"/>
        <v>0</v>
      </c>
      <c r="BA62" s="19">
        <f t="shared" si="25"/>
        <v>505</v>
      </c>
      <c r="BB62" s="19">
        <f t="shared" si="33"/>
        <v>502</v>
      </c>
      <c r="BC62" s="19">
        <f t="shared" si="27"/>
        <v>3537</v>
      </c>
      <c r="BE62" s="19">
        <f t="shared" si="28"/>
        <v>4039</v>
      </c>
      <c r="BG62" s="234">
        <f t="shared" si="29"/>
        <v>4039</v>
      </c>
      <c r="BH62" s="19">
        <f t="shared" si="34"/>
        <v>0</v>
      </c>
    </row>
    <row r="63" spans="1:60" s="19" customFormat="1" ht="12.95" customHeight="1" x14ac:dyDescent="0.2">
      <c r="A63" s="85">
        <f>+'CCs # Master'!A173</f>
        <v>11</v>
      </c>
      <c r="B63" s="226" t="str">
        <f>+'CCs # Master'!B173</f>
        <v>ISC-Release Service</v>
      </c>
      <c r="C63" s="226" t="str">
        <f>+'CCs # Master'!C173</f>
        <v>Schmidt, Mark</v>
      </c>
      <c r="D63" s="85">
        <f>+'CCs # Master'!D173</f>
        <v>103096</v>
      </c>
      <c r="E63" s="19">
        <f>+'CCs # Master'!E173</f>
        <v>0</v>
      </c>
      <c r="F63" s="19">
        <f>+'CCs # Master'!F173</f>
        <v>0</v>
      </c>
      <c r="G63" s="19">
        <f>+'CCs # Master'!G173</f>
        <v>0</v>
      </c>
      <c r="H63" s="19">
        <f>+'CCs # Master'!H173</f>
        <v>0</v>
      </c>
      <c r="I63" s="19">
        <f>+'CCs # Master'!I173</f>
        <v>0</v>
      </c>
      <c r="J63" s="19">
        <f>+'CCs # Master'!J173</f>
        <v>0</v>
      </c>
      <c r="K63" s="19">
        <f t="shared" si="31"/>
        <v>0</v>
      </c>
      <c r="M63" s="19" t="str">
        <f>+'CCs # Master'!M173</f>
        <v>Per Agreement with BU</v>
      </c>
      <c r="N63" s="19">
        <f>+'CCs # Master'!AW173</f>
        <v>0</v>
      </c>
      <c r="O63" s="19">
        <v>0</v>
      </c>
      <c r="P63" s="19">
        <f>+'CCs # Master'!N173</f>
        <v>0</v>
      </c>
      <c r="Q63" s="19">
        <f>+'CCs # Master'!O173</f>
        <v>0</v>
      </c>
      <c r="R63" s="19">
        <f>+'CCs # Master'!P173</f>
        <v>0</v>
      </c>
      <c r="S63" s="19">
        <f>+'CCs # Master'!Q173</f>
        <v>0</v>
      </c>
      <c r="T63" s="19">
        <f>+'CCs # Master'!R173</f>
        <v>0</v>
      </c>
      <c r="U63" s="19">
        <f>+'CCs # Master'!S173</f>
        <v>0</v>
      </c>
      <c r="V63" s="19">
        <f>+'CCs # Master'!T173</f>
        <v>0</v>
      </c>
      <c r="W63" s="19">
        <f>+'CCs # Master'!U173</f>
        <v>0</v>
      </c>
      <c r="X63" s="19">
        <f>+'CCs # Master'!V173</f>
        <v>0</v>
      </c>
      <c r="Y63" s="19">
        <f>+'CCs # Master'!W173</f>
        <v>0</v>
      </c>
      <c r="Z63" s="19">
        <f>+'CCs # Master'!X173</f>
        <v>0</v>
      </c>
      <c r="AA63" s="19">
        <f>+'CCs # Master'!Y173</f>
        <v>0</v>
      </c>
      <c r="AB63" s="19">
        <f>+'CCs # Master'!Z173</f>
        <v>0</v>
      </c>
      <c r="AC63" s="19">
        <f>+'CCs # Master'!AA173</f>
        <v>0</v>
      </c>
      <c r="AD63" s="19">
        <f>+'CCs # Master'!AB173</f>
        <v>0</v>
      </c>
      <c r="AE63" s="19">
        <f>+'CCs # Master'!AC173</f>
        <v>0</v>
      </c>
      <c r="AF63" s="19">
        <f>+'CCs # Master'!AD173</f>
        <v>0</v>
      </c>
      <c r="AG63" s="19">
        <f>+'CCs # Master'!AE173</f>
        <v>0</v>
      </c>
      <c r="AH63" s="19">
        <f>+'CCs # Master'!AF173</f>
        <v>0</v>
      </c>
      <c r="AI63" s="19">
        <f>+'CCs # Master'!AG173</f>
        <v>0</v>
      </c>
      <c r="AJ63" s="19">
        <f>+'CCs # Master'!AH173</f>
        <v>0</v>
      </c>
      <c r="AK63" s="19">
        <f>+'CCs # Master'!AI173</f>
        <v>0</v>
      </c>
      <c r="AL63" s="19">
        <f>+'CCs # Master'!AJ173</f>
        <v>0</v>
      </c>
      <c r="AM63" s="19">
        <f>+'CCs # Master'!AK173</f>
        <v>0</v>
      </c>
      <c r="AN63" s="19">
        <f>+'CCs # Master'!AL173</f>
        <v>0</v>
      </c>
      <c r="AO63" s="19">
        <f>+'CCs # Master'!AM173</f>
        <v>0</v>
      </c>
      <c r="AP63" s="19">
        <f>+'CCs # Master'!AN173</f>
        <v>0</v>
      </c>
      <c r="AQ63" s="19">
        <f>+'CCs # Master'!AO173</f>
        <v>0</v>
      </c>
      <c r="AR63" s="19">
        <f>+'CCs # Master'!AP173</f>
        <v>0</v>
      </c>
      <c r="AS63" s="19">
        <f>+'CCs # Master'!AQ173</f>
        <v>0</v>
      </c>
      <c r="AT63" s="19">
        <f>+'CCs # Master'!AR173</f>
        <v>0</v>
      </c>
      <c r="AU63" s="19">
        <f>+'CCs # Master'!AS173</f>
        <v>0</v>
      </c>
      <c r="AV63" s="19">
        <f>+'CCs # Master'!AT173</f>
        <v>0</v>
      </c>
      <c r="AW63"/>
      <c r="AX63" s="21">
        <f t="shared" si="32"/>
        <v>0</v>
      </c>
      <c r="AY63" s="21">
        <f t="shared" si="24"/>
        <v>0</v>
      </c>
      <c r="BA63" s="19">
        <f t="shared" si="25"/>
        <v>0</v>
      </c>
      <c r="BB63" s="19">
        <f t="shared" si="33"/>
        <v>0</v>
      </c>
      <c r="BC63" s="19">
        <f t="shared" si="27"/>
        <v>0</v>
      </c>
      <c r="BE63" s="19">
        <f t="shared" si="28"/>
        <v>0</v>
      </c>
      <c r="BG63" s="234">
        <f t="shared" si="29"/>
        <v>0</v>
      </c>
      <c r="BH63" s="19">
        <f t="shared" si="34"/>
        <v>0</v>
      </c>
    </row>
    <row r="64" spans="1:60" s="19" customFormat="1" ht="12.95" customHeight="1" x14ac:dyDescent="0.2">
      <c r="A64" s="85">
        <f>+'CCs # Master'!A174</f>
        <v>11</v>
      </c>
      <c r="B64" s="226" t="str">
        <f>+'CCs # Master'!B174</f>
        <v>Apollo Amortization</v>
      </c>
      <c r="C64" s="226" t="str">
        <f>+'CCs # Master'!C174</f>
        <v>Lindsey, Mark</v>
      </c>
      <c r="D64" s="85">
        <f>+'CCs # Master'!D174</f>
        <v>100216</v>
      </c>
      <c r="E64" s="19">
        <f>+'CCs # Master'!E174</f>
        <v>0</v>
      </c>
      <c r="F64" s="19">
        <f>+'CCs # Master'!F174</f>
        <v>0</v>
      </c>
      <c r="G64" s="19">
        <f>+'CCs # Master'!G174</f>
        <v>0</v>
      </c>
      <c r="H64" s="19">
        <f>+'CCs # Master'!H174</f>
        <v>0</v>
      </c>
      <c r="I64" s="19">
        <f>+'CCs # Master'!I174</f>
        <v>0</v>
      </c>
      <c r="J64" s="19">
        <f>+'CCs # Master'!J174</f>
        <v>20908</v>
      </c>
      <c r="K64" s="19">
        <f t="shared" si="31"/>
        <v>20908</v>
      </c>
      <c r="M64" s="19" t="str">
        <f>+'CCs # Master'!M174</f>
        <v>Per Agreement with BU</v>
      </c>
      <c r="N64" s="19">
        <f>+'CCs # Master'!AW174</f>
        <v>2609</v>
      </c>
      <c r="O64" s="19">
        <v>0</v>
      </c>
      <c r="P64" s="19">
        <f>+'CCs # Master'!N174</f>
        <v>0</v>
      </c>
      <c r="Q64" s="19">
        <f>+'CCs # Master'!O174</f>
        <v>0</v>
      </c>
      <c r="R64" s="19">
        <f>+'CCs # Master'!P174</f>
        <v>666</v>
      </c>
      <c r="S64" s="19">
        <f>+'CCs # Master'!Q174</f>
        <v>693</v>
      </c>
      <c r="T64" s="19">
        <f>+'CCs # Master'!R174</f>
        <v>0</v>
      </c>
      <c r="U64" s="19">
        <f>+'CCs # Master'!S174</f>
        <v>0</v>
      </c>
      <c r="V64" s="19">
        <f>+'CCs # Master'!T174</f>
        <v>0</v>
      </c>
      <c r="W64" s="19">
        <f>+'CCs # Master'!U174</f>
        <v>0</v>
      </c>
      <c r="X64" s="19">
        <f>+'CCs # Master'!V174</f>
        <v>2614</v>
      </c>
      <c r="Y64" s="19">
        <f>+'CCs # Master'!W174</f>
        <v>0</v>
      </c>
      <c r="Z64" s="19">
        <f>+'CCs # Master'!X174</f>
        <v>2614</v>
      </c>
      <c r="AA64" s="19">
        <f>+'CCs # Master'!Y174</f>
        <v>0</v>
      </c>
      <c r="AB64" s="19">
        <f>+'CCs # Master'!Z174</f>
        <v>0</v>
      </c>
      <c r="AC64" s="19">
        <f>+'CCs # Master'!AA174</f>
        <v>314</v>
      </c>
      <c r="AD64" s="19">
        <f>+'CCs # Master'!AB174</f>
        <v>2614</v>
      </c>
      <c r="AE64" s="19">
        <f>+'CCs # Master'!AC174</f>
        <v>0</v>
      </c>
      <c r="AF64" s="19">
        <f>+'CCs # Master'!AD174</f>
        <v>2614</v>
      </c>
      <c r="AG64" s="19">
        <f>+'CCs # Master'!AE174</f>
        <v>2614</v>
      </c>
      <c r="AH64" s="19">
        <f>+'CCs # Master'!AF174</f>
        <v>0</v>
      </c>
      <c r="AI64" s="19">
        <f>+'CCs # Master'!AG174</f>
        <v>0</v>
      </c>
      <c r="AJ64" s="19">
        <f>+'CCs # Master'!AH174</f>
        <v>314</v>
      </c>
      <c r="AK64" s="19">
        <f>+'CCs # Master'!AI174</f>
        <v>627</v>
      </c>
      <c r="AL64" s="19">
        <f>+'CCs # Master'!AJ174</f>
        <v>627</v>
      </c>
      <c r="AM64" s="19">
        <f>+'CCs # Master'!AK174</f>
        <v>314</v>
      </c>
      <c r="AN64" s="19">
        <f>+'CCs # Master'!AL174</f>
        <v>314</v>
      </c>
      <c r="AO64" s="19">
        <f>+'CCs # Master'!AM174</f>
        <v>314</v>
      </c>
      <c r="AP64" s="19">
        <f>+'CCs # Master'!AN174</f>
        <v>0</v>
      </c>
      <c r="AQ64" s="19">
        <f>+'CCs # Master'!AO174</f>
        <v>732</v>
      </c>
      <c r="AR64" s="19">
        <f>+'CCs # Master'!AP174</f>
        <v>314</v>
      </c>
      <c r="AS64" s="19">
        <f>+'CCs # Master'!AQ174</f>
        <v>0</v>
      </c>
      <c r="AT64" s="19">
        <f>+'CCs # Master'!AR174</f>
        <v>0</v>
      </c>
      <c r="AU64" s="19">
        <f>+'CCs # Master'!AS174</f>
        <v>0</v>
      </c>
      <c r="AV64" s="19">
        <f>+'CCs # Master'!AT174</f>
        <v>0</v>
      </c>
      <c r="AW64"/>
      <c r="AX64" s="21">
        <f t="shared" si="32"/>
        <v>20908</v>
      </c>
      <c r="AY64" s="21">
        <f t="shared" si="24"/>
        <v>0</v>
      </c>
      <c r="BA64" s="19">
        <f t="shared" si="25"/>
        <v>2614</v>
      </c>
      <c r="BB64" s="19">
        <f t="shared" si="33"/>
        <v>2609</v>
      </c>
      <c r="BC64" s="19">
        <f t="shared" si="27"/>
        <v>18299</v>
      </c>
      <c r="BE64" s="19">
        <f t="shared" si="28"/>
        <v>20908</v>
      </c>
      <c r="BG64" s="234">
        <f t="shared" si="29"/>
        <v>20908</v>
      </c>
      <c r="BH64" s="19">
        <f t="shared" si="34"/>
        <v>0</v>
      </c>
    </row>
    <row r="65" spans="1:60" s="19" customFormat="1" ht="12.95" customHeight="1" x14ac:dyDescent="0.2">
      <c r="A65" s="85">
        <f>+'CCs # Master'!A24</f>
        <v>11</v>
      </c>
      <c r="B65" s="19" t="str">
        <f>+'CCs # Master'!B24</f>
        <v>Strategic Sourcing-Min.&amp; Women Bus Develop</v>
      </c>
      <c r="C65" s="19" t="str">
        <f>+'CCs # Master'!C24</f>
        <v>Wasaff, G</v>
      </c>
      <c r="D65" s="205">
        <f>+'CCs # Master'!D24</f>
        <v>100022</v>
      </c>
      <c r="E65" s="19">
        <f>+'CCs # Master'!E24</f>
        <v>203</v>
      </c>
      <c r="F65" s="19">
        <f>+'CCs # Master'!F24</f>
        <v>38</v>
      </c>
      <c r="G65" s="19">
        <f>+'CCs # Master'!G24</f>
        <v>0</v>
      </c>
      <c r="H65" s="19">
        <f>+'CCs # Master'!H24</f>
        <v>32</v>
      </c>
      <c r="I65" s="19">
        <f>+'CCs # Master'!I24</f>
        <v>19</v>
      </c>
      <c r="J65" s="19">
        <f>+'CCs # Master'!J24</f>
        <v>35</v>
      </c>
      <c r="K65" s="21">
        <f>SUM(E65:J65)</f>
        <v>327</v>
      </c>
      <c r="M65" s="19" t="str">
        <f>+'CCs # Master'!M24</f>
        <v>MMF</v>
      </c>
      <c r="N65" s="19">
        <f>+'CCs # Master'!AW24</f>
        <v>327</v>
      </c>
      <c r="O65" s="19">
        <v>0</v>
      </c>
      <c r="P65" s="19">
        <f>+'CCs # Master'!N24</f>
        <v>0</v>
      </c>
      <c r="Q65" s="19">
        <f>+'CCs # Master'!O24</f>
        <v>0</v>
      </c>
      <c r="R65" s="19">
        <f>+'CCs # Master'!P24</f>
        <v>0</v>
      </c>
      <c r="S65" s="19">
        <f>+'CCs # Master'!Q24</f>
        <v>0</v>
      </c>
      <c r="T65" s="19">
        <f>+'CCs # Master'!R24</f>
        <v>0</v>
      </c>
      <c r="U65" s="19">
        <f>+'CCs # Master'!S24</f>
        <v>0</v>
      </c>
      <c r="V65" s="19">
        <f>+'CCs # Master'!T24</f>
        <v>0</v>
      </c>
      <c r="W65" s="19">
        <f>+'CCs # Master'!U24</f>
        <v>0</v>
      </c>
      <c r="X65" s="19">
        <f>+'CCs # Master'!V24</f>
        <v>0</v>
      </c>
      <c r="Y65" s="19">
        <f>+'CCs # Master'!W24</f>
        <v>0</v>
      </c>
      <c r="Z65" s="19">
        <f>+'CCs # Master'!X24</f>
        <v>0</v>
      </c>
      <c r="AA65" s="19">
        <f>+'CCs # Master'!Y24</f>
        <v>0</v>
      </c>
      <c r="AB65" s="19">
        <f>+'CCs # Master'!Z24</f>
        <v>0</v>
      </c>
      <c r="AC65" s="19">
        <f>+'CCs # Master'!AA24</f>
        <v>0</v>
      </c>
      <c r="AD65" s="19">
        <f>+'CCs # Master'!AB24</f>
        <v>0</v>
      </c>
      <c r="AE65" s="19">
        <f>+'CCs # Master'!AC24</f>
        <v>0</v>
      </c>
      <c r="AF65" s="19">
        <f>+'CCs # Master'!AD24</f>
        <v>0</v>
      </c>
      <c r="AG65" s="19">
        <f>+'CCs # Master'!AE24</f>
        <v>0</v>
      </c>
      <c r="AH65" s="19">
        <f>+'CCs # Master'!AF24</f>
        <v>0</v>
      </c>
      <c r="AI65" s="19">
        <f>+'CCs # Master'!AG24</f>
        <v>0</v>
      </c>
      <c r="AJ65" s="19">
        <f>+'CCs # Master'!AH24</f>
        <v>0</v>
      </c>
      <c r="AK65" s="19">
        <f>+'CCs # Master'!AI24</f>
        <v>0</v>
      </c>
      <c r="AL65" s="19">
        <f>+'CCs # Master'!AJ24</f>
        <v>0</v>
      </c>
      <c r="AM65" s="19">
        <f>+'CCs # Master'!AK24</f>
        <v>0</v>
      </c>
      <c r="AN65" s="19">
        <f>+'CCs # Master'!AL24</f>
        <v>0</v>
      </c>
      <c r="AO65" s="19">
        <f>+'CCs # Master'!AM24</f>
        <v>0</v>
      </c>
      <c r="AP65" s="19">
        <f>+'CCs # Master'!AN24</f>
        <v>0</v>
      </c>
      <c r="AQ65" s="19">
        <f>+'CCs # Master'!AO24</f>
        <v>0</v>
      </c>
      <c r="AR65" s="19">
        <f>+'CCs # Master'!AP24</f>
        <v>0</v>
      </c>
      <c r="AS65" s="19">
        <f>+'CCs # Master'!AQ24</f>
        <v>0</v>
      </c>
      <c r="AT65" s="19">
        <f>+'CCs # Master'!AR24</f>
        <v>0</v>
      </c>
      <c r="AU65" s="19">
        <f>+'CCs # Master'!AS24</f>
        <v>0</v>
      </c>
      <c r="AV65" s="19">
        <f>+'CCs # Master'!AT24</f>
        <v>0</v>
      </c>
      <c r="AW65" s="265"/>
      <c r="AX65" s="21">
        <f>SUM(N65:AW65)</f>
        <v>327</v>
      </c>
      <c r="AY65" s="21">
        <f>+K65-AX65</f>
        <v>0</v>
      </c>
      <c r="BA65" s="19">
        <f t="shared" si="25"/>
        <v>0</v>
      </c>
      <c r="BB65" s="19">
        <f>N65</f>
        <v>327</v>
      </c>
      <c r="BC65" s="19">
        <f>SUM(P65:AW65)</f>
        <v>0</v>
      </c>
      <c r="BE65" s="19">
        <f>SUM(BB65:BC65)</f>
        <v>327</v>
      </c>
      <c r="BG65" s="234">
        <f>SUM(N65:AW65)</f>
        <v>327</v>
      </c>
      <c r="BH65" s="19">
        <f>BE65-BG65</f>
        <v>0</v>
      </c>
    </row>
    <row r="66" spans="1:60" s="19" customFormat="1" ht="12.95" customHeight="1" x14ac:dyDescent="0.2">
      <c r="A66" s="85">
        <f>+'CCs # Master'!A175</f>
        <v>11</v>
      </c>
      <c r="B66" s="226" t="str">
        <f>+'CCs # Master'!B175</f>
        <v>Strategic Sourcing - Contract Administration</v>
      </c>
      <c r="C66" s="226" t="str">
        <f>+'CCs # Master'!C175</f>
        <v>Higgason, Kelly</v>
      </c>
      <c r="D66" s="85">
        <f>+'CCs # Master'!D175</f>
        <v>103102</v>
      </c>
      <c r="E66" s="19">
        <f>+'CCs # Master'!E175</f>
        <v>318</v>
      </c>
      <c r="F66" s="19">
        <f>+'CCs # Master'!F175</f>
        <v>18</v>
      </c>
      <c r="G66" s="19">
        <f>+'CCs # Master'!G175</f>
        <v>0</v>
      </c>
      <c r="H66" s="19">
        <f>+'CCs # Master'!H175</f>
        <v>43</v>
      </c>
      <c r="I66" s="19">
        <f>+'CCs # Master'!I175</f>
        <v>2</v>
      </c>
      <c r="J66" s="19">
        <f>+'CCs # Master'!J175</f>
        <v>2</v>
      </c>
      <c r="K66" s="19">
        <f t="shared" si="31"/>
        <v>383</v>
      </c>
      <c r="M66" s="19" t="str">
        <f>+'CCs # Master'!M175</f>
        <v>Retained at Corp</v>
      </c>
      <c r="N66" s="19">
        <f>+'CCs # Master'!AW175</f>
        <v>383</v>
      </c>
      <c r="O66" s="19">
        <v>0</v>
      </c>
      <c r="P66" s="19">
        <f>+'CCs # Master'!N175</f>
        <v>0</v>
      </c>
      <c r="Q66" s="19">
        <f>+'CCs # Master'!O175</f>
        <v>0</v>
      </c>
      <c r="R66" s="19">
        <f>+'CCs # Master'!P175</f>
        <v>0</v>
      </c>
      <c r="S66" s="19">
        <f>+'CCs # Master'!Q175</f>
        <v>0</v>
      </c>
      <c r="T66" s="19">
        <f>+'CCs # Master'!R175</f>
        <v>0</v>
      </c>
      <c r="U66" s="19">
        <f>+'CCs # Master'!S175</f>
        <v>0</v>
      </c>
      <c r="V66" s="19">
        <f>+'CCs # Master'!T175</f>
        <v>0</v>
      </c>
      <c r="W66" s="19">
        <f>+'CCs # Master'!U175</f>
        <v>0</v>
      </c>
      <c r="X66" s="19">
        <f>+'CCs # Master'!V175</f>
        <v>0</v>
      </c>
      <c r="Y66" s="19">
        <f>+'CCs # Master'!W175</f>
        <v>0</v>
      </c>
      <c r="Z66" s="19">
        <f>+'CCs # Master'!X175</f>
        <v>0</v>
      </c>
      <c r="AA66" s="19">
        <f>+'CCs # Master'!Y175</f>
        <v>0</v>
      </c>
      <c r="AB66" s="19">
        <f>+'CCs # Master'!Z175</f>
        <v>0</v>
      </c>
      <c r="AC66" s="19">
        <f>+'CCs # Master'!AA175</f>
        <v>0</v>
      </c>
      <c r="AD66" s="19">
        <f>+'CCs # Master'!AB175</f>
        <v>0</v>
      </c>
      <c r="AE66" s="19">
        <f>+'CCs # Master'!AC175</f>
        <v>0</v>
      </c>
      <c r="AF66" s="19">
        <f>+'CCs # Master'!AD175</f>
        <v>0</v>
      </c>
      <c r="AG66" s="19">
        <f>+'CCs # Master'!AE175</f>
        <v>0</v>
      </c>
      <c r="AH66" s="19">
        <f>+'CCs # Master'!AF175</f>
        <v>0</v>
      </c>
      <c r="AI66" s="19">
        <f>+'CCs # Master'!AG175</f>
        <v>0</v>
      </c>
      <c r="AJ66" s="19">
        <f>+'CCs # Master'!AH175</f>
        <v>0</v>
      </c>
      <c r="AK66" s="19">
        <f>+'CCs # Master'!AI175</f>
        <v>0</v>
      </c>
      <c r="AL66" s="19">
        <f>+'CCs # Master'!AJ175</f>
        <v>0</v>
      </c>
      <c r="AM66" s="19">
        <f>+'CCs # Master'!AK175</f>
        <v>0</v>
      </c>
      <c r="AN66" s="19">
        <f>+'CCs # Master'!AL175</f>
        <v>0</v>
      </c>
      <c r="AO66" s="19">
        <f>+'CCs # Master'!AM175</f>
        <v>0</v>
      </c>
      <c r="AP66" s="19">
        <f>+'CCs # Master'!AN175</f>
        <v>0</v>
      </c>
      <c r="AQ66" s="19">
        <f>+'CCs # Master'!AO175</f>
        <v>0</v>
      </c>
      <c r="AR66" s="19">
        <f>+'CCs # Master'!AP175</f>
        <v>0</v>
      </c>
      <c r="AS66" s="19">
        <f>+'CCs # Master'!AQ175</f>
        <v>0</v>
      </c>
      <c r="AT66" s="19">
        <f>+'CCs # Master'!AR175</f>
        <v>0</v>
      </c>
      <c r="AU66" s="19">
        <f>+'CCs # Master'!AS175</f>
        <v>0</v>
      </c>
      <c r="AV66" s="19">
        <f>+'CCs # Master'!AT175</f>
        <v>0</v>
      </c>
      <c r="AW66" s="265"/>
      <c r="AX66" s="21">
        <f t="shared" si="32"/>
        <v>383</v>
      </c>
      <c r="AY66" s="21">
        <f t="shared" si="24"/>
        <v>0</v>
      </c>
      <c r="BA66" s="19">
        <f t="shared" si="25"/>
        <v>0</v>
      </c>
      <c r="BB66" s="19">
        <f t="shared" si="33"/>
        <v>383</v>
      </c>
      <c r="BC66" s="19">
        <f t="shared" si="27"/>
        <v>0</v>
      </c>
      <c r="BE66" s="19">
        <f t="shared" si="28"/>
        <v>383</v>
      </c>
      <c r="BG66" s="234">
        <f t="shared" si="29"/>
        <v>383</v>
      </c>
      <c r="BH66" s="19">
        <f t="shared" si="34"/>
        <v>0</v>
      </c>
    </row>
    <row r="67" spans="1:60" s="19" customFormat="1" ht="12.95" customHeight="1" x14ac:dyDescent="0.2">
      <c r="A67" s="85">
        <f>+'CCs # Master'!A190</f>
        <v>11</v>
      </c>
      <c r="B67" s="226" t="str">
        <f>+'CCs # Master'!B190</f>
        <v>Business Risk Management and IT Compliance</v>
      </c>
      <c r="C67" s="226" t="str">
        <f>+'CCs # Master'!C190</f>
        <v>Lindholm, Tod</v>
      </c>
      <c r="D67" s="85">
        <f>+'CCs # Master'!D190</f>
        <v>103335</v>
      </c>
      <c r="E67" s="19">
        <f>+'CCs # Master'!E190</f>
        <v>464</v>
      </c>
      <c r="F67" s="19">
        <f>+'CCs # Master'!F190</f>
        <v>80</v>
      </c>
      <c r="G67" s="19">
        <f>+'CCs # Master'!G190</f>
        <v>12</v>
      </c>
      <c r="H67" s="19">
        <f>+'CCs # Master'!H190</f>
        <v>187</v>
      </c>
      <c r="I67" s="19">
        <f>+'CCs # Master'!I190</f>
        <v>0</v>
      </c>
      <c r="J67" s="19">
        <f>+'CCs # Master'!J190</f>
        <v>21</v>
      </c>
      <c r="K67" s="19">
        <f t="shared" si="31"/>
        <v>764</v>
      </c>
      <c r="M67" s="19" t="str">
        <f>+'CCs # Master'!M190</f>
        <v>Retained at Corp</v>
      </c>
      <c r="N67" s="19">
        <f>+'CCs # Master'!AW190</f>
        <v>764</v>
      </c>
      <c r="O67" s="19">
        <v>0</v>
      </c>
      <c r="P67" s="19">
        <f>+'CCs # Master'!N190</f>
        <v>0</v>
      </c>
      <c r="Q67" s="19">
        <f>+'CCs # Master'!O190</f>
        <v>0</v>
      </c>
      <c r="R67" s="19">
        <f>+'CCs # Master'!P190</f>
        <v>0</v>
      </c>
      <c r="S67" s="19">
        <f>+'CCs # Master'!Q190</f>
        <v>0</v>
      </c>
      <c r="T67" s="19">
        <f>+'CCs # Master'!R190</f>
        <v>0</v>
      </c>
      <c r="U67" s="19">
        <f>+'CCs # Master'!S190</f>
        <v>0</v>
      </c>
      <c r="V67" s="19">
        <f>+'CCs # Master'!T190</f>
        <v>0</v>
      </c>
      <c r="W67" s="19">
        <f>+'CCs # Master'!U190</f>
        <v>0</v>
      </c>
      <c r="X67" s="19">
        <f>+'CCs # Master'!V190</f>
        <v>0</v>
      </c>
      <c r="Y67" s="19">
        <f>+'CCs # Master'!W190</f>
        <v>0</v>
      </c>
      <c r="Z67" s="19">
        <f>+'CCs # Master'!X190</f>
        <v>0</v>
      </c>
      <c r="AA67" s="19">
        <f>+'CCs # Master'!Y190</f>
        <v>0</v>
      </c>
      <c r="AB67" s="19">
        <f>+'CCs # Master'!Z190</f>
        <v>0</v>
      </c>
      <c r="AC67" s="19">
        <f>+'CCs # Master'!AA190</f>
        <v>0</v>
      </c>
      <c r="AD67" s="19">
        <f>+'CCs # Master'!AB190</f>
        <v>0</v>
      </c>
      <c r="AE67" s="19">
        <f>+'CCs # Master'!AC190</f>
        <v>0</v>
      </c>
      <c r="AF67" s="19">
        <f>+'CCs # Master'!AD190</f>
        <v>0</v>
      </c>
      <c r="AG67" s="19">
        <f>+'CCs # Master'!AE190</f>
        <v>0</v>
      </c>
      <c r="AH67" s="19">
        <f>+'CCs # Master'!AF190</f>
        <v>0</v>
      </c>
      <c r="AI67" s="19">
        <f>+'CCs # Master'!AG190</f>
        <v>0</v>
      </c>
      <c r="AJ67" s="19">
        <f>+'CCs # Master'!AH190</f>
        <v>0</v>
      </c>
      <c r="AK67" s="19">
        <f>+'CCs # Master'!AI190</f>
        <v>0</v>
      </c>
      <c r="AL67" s="19">
        <f>+'CCs # Master'!AJ190</f>
        <v>0</v>
      </c>
      <c r="AM67" s="19">
        <f>+'CCs # Master'!AK190</f>
        <v>0</v>
      </c>
      <c r="AN67" s="19">
        <f>+'CCs # Master'!AL190</f>
        <v>0</v>
      </c>
      <c r="AO67" s="19">
        <f>+'CCs # Master'!AM190</f>
        <v>0</v>
      </c>
      <c r="AP67" s="19">
        <f>+'CCs # Master'!AN190</f>
        <v>0</v>
      </c>
      <c r="AQ67" s="19">
        <f>+'CCs # Master'!AO190</f>
        <v>0</v>
      </c>
      <c r="AR67" s="19">
        <f>+'CCs # Master'!AP190</f>
        <v>0</v>
      </c>
      <c r="AS67" s="19">
        <f>+'CCs # Master'!AQ190</f>
        <v>0</v>
      </c>
      <c r="AT67" s="19">
        <f>+'CCs # Master'!AR190</f>
        <v>0</v>
      </c>
      <c r="AU67" s="19">
        <f>+'CCs # Master'!AS190</f>
        <v>0</v>
      </c>
      <c r="AV67" s="19">
        <f>+'CCs # Master'!AT190</f>
        <v>0</v>
      </c>
      <c r="AW67"/>
      <c r="AX67" s="21">
        <f>SUM(N67:AW67)</f>
        <v>764</v>
      </c>
      <c r="AY67" s="21">
        <f>+K67-AX67</f>
        <v>0</v>
      </c>
      <c r="BA67" s="19">
        <f t="shared" si="25"/>
        <v>0</v>
      </c>
      <c r="BB67" s="19">
        <f>N67</f>
        <v>764</v>
      </c>
      <c r="BC67" s="19">
        <f>SUM(P67:AW67)</f>
        <v>0</v>
      </c>
      <c r="BE67" s="19">
        <f>SUM(BB67:BC67)</f>
        <v>764</v>
      </c>
      <c r="BG67" s="234">
        <f>SUM(N67:AW67)</f>
        <v>764</v>
      </c>
      <c r="BH67" s="19">
        <f>BE67-BG67</f>
        <v>0</v>
      </c>
    </row>
    <row r="68" spans="1:60" s="19" customFormat="1" ht="12.95" customHeight="1" x14ac:dyDescent="0.2">
      <c r="A68" s="85">
        <f>+'CCs # Master'!A177</f>
        <v>11</v>
      </c>
      <c r="B68" s="226" t="str">
        <f>+'CCs # Master'!B177</f>
        <v>ISC-Training/Change Mgmt</v>
      </c>
      <c r="C68" s="226" t="str">
        <f>+'CCs # Master'!C177</f>
        <v>Kokas, Kathy</v>
      </c>
      <c r="D68" s="85">
        <f>+'CCs # Master'!D177</f>
        <v>103413</v>
      </c>
      <c r="E68" s="19">
        <f>+'CCs # Master'!E177</f>
        <v>773</v>
      </c>
      <c r="F68" s="19">
        <f>+'CCs # Master'!F177</f>
        <v>33</v>
      </c>
      <c r="G68" s="19">
        <f>+'CCs # Master'!G177</f>
        <v>0</v>
      </c>
      <c r="H68" s="19">
        <f>+'CCs # Master'!H177</f>
        <v>139</v>
      </c>
      <c r="I68" s="19">
        <f>+'CCs # Master'!I177</f>
        <v>0</v>
      </c>
      <c r="J68" s="19">
        <f>+'CCs # Master'!J177</f>
        <v>0</v>
      </c>
      <c r="K68" s="19">
        <f>SUM(E68:J68)</f>
        <v>945</v>
      </c>
      <c r="M68" s="19" t="str">
        <f>+'CCs # Master'!M177</f>
        <v>Per Agreement with BU</v>
      </c>
      <c r="N68" s="19">
        <f>+'CCs # Master'!AW177</f>
        <v>121</v>
      </c>
      <c r="O68" s="19">
        <f>+'CCs # Master'!AX177</f>
        <v>0</v>
      </c>
      <c r="P68" s="19">
        <f>+'CCs # Master'!N177</f>
        <v>0</v>
      </c>
      <c r="Q68" s="19">
        <f>+'CCs # Master'!O177</f>
        <v>0</v>
      </c>
      <c r="R68" s="19">
        <f>+'CCs # Master'!P177</f>
        <v>30</v>
      </c>
      <c r="S68" s="19">
        <f>+'CCs # Master'!Q177</f>
        <v>31</v>
      </c>
      <c r="T68" s="19">
        <f>+'CCs # Master'!R177</f>
        <v>0</v>
      </c>
      <c r="U68" s="19">
        <f>+'CCs # Master'!S177</f>
        <v>0</v>
      </c>
      <c r="V68" s="19">
        <f>+'CCs # Master'!T177</f>
        <v>0</v>
      </c>
      <c r="W68" s="19">
        <f>+'CCs # Master'!U177</f>
        <v>0</v>
      </c>
      <c r="X68" s="19">
        <f>+'CCs # Master'!V177</f>
        <v>118</v>
      </c>
      <c r="Y68" s="19">
        <f>+'CCs # Master'!W177</f>
        <v>0</v>
      </c>
      <c r="Z68" s="19">
        <f>+'CCs # Master'!X177</f>
        <v>118</v>
      </c>
      <c r="AA68" s="19">
        <f>+'CCs # Master'!Y177</f>
        <v>0</v>
      </c>
      <c r="AB68" s="19">
        <f>+'CCs # Master'!Z177</f>
        <v>0</v>
      </c>
      <c r="AC68" s="19">
        <f>+'CCs # Master'!AA177</f>
        <v>14</v>
      </c>
      <c r="AD68" s="19">
        <f>+'CCs # Master'!AB177</f>
        <v>118</v>
      </c>
      <c r="AE68" s="19">
        <f>+'CCs # Master'!AC177</f>
        <v>0</v>
      </c>
      <c r="AF68" s="19">
        <f>+'CCs # Master'!AD177</f>
        <v>118</v>
      </c>
      <c r="AG68" s="19">
        <f>+'CCs # Master'!AE177</f>
        <v>118</v>
      </c>
      <c r="AH68" s="19">
        <f>+'CCs # Master'!AF177</f>
        <v>0</v>
      </c>
      <c r="AI68" s="19">
        <f>+'CCs # Master'!AG177</f>
        <v>0</v>
      </c>
      <c r="AJ68" s="19">
        <f>+'CCs # Master'!AH177</f>
        <v>14</v>
      </c>
      <c r="AK68" s="19">
        <f>+'CCs # Master'!AI177</f>
        <v>28</v>
      </c>
      <c r="AL68" s="19">
        <f>+'CCs # Master'!AJ177</f>
        <v>28</v>
      </c>
      <c r="AM68" s="19">
        <f>+'CCs # Master'!AK177</f>
        <v>14</v>
      </c>
      <c r="AN68" s="19">
        <f>+'CCs # Master'!AL177</f>
        <v>14</v>
      </c>
      <c r="AO68" s="19">
        <f>+'CCs # Master'!AM177</f>
        <v>14</v>
      </c>
      <c r="AP68" s="19">
        <f>+'CCs # Master'!AN177</f>
        <v>0</v>
      </c>
      <c r="AQ68" s="19">
        <f>+'CCs # Master'!AO177</f>
        <v>33</v>
      </c>
      <c r="AR68" s="19">
        <f>+'CCs # Master'!AP177</f>
        <v>14</v>
      </c>
      <c r="AS68" s="19">
        <f>+'CCs # Master'!AQ177</f>
        <v>0</v>
      </c>
      <c r="AT68" s="19">
        <f>+'CCs # Master'!AR177</f>
        <v>0</v>
      </c>
      <c r="AU68" s="19">
        <f>+'CCs # Master'!AS177</f>
        <v>0</v>
      </c>
      <c r="AV68" s="19">
        <f>+'CCs # Master'!AT177</f>
        <v>0</v>
      </c>
      <c r="AW68"/>
      <c r="AX68" s="21">
        <f>SUM(N68:AW68)</f>
        <v>945</v>
      </c>
      <c r="AY68" s="21">
        <f>+K68-AX68</f>
        <v>0</v>
      </c>
      <c r="BA68" s="19">
        <f t="shared" si="25"/>
        <v>118</v>
      </c>
      <c r="BB68" s="19">
        <f>N68</f>
        <v>121</v>
      </c>
      <c r="BC68" s="19">
        <f>SUM(P68:AW68)</f>
        <v>824</v>
      </c>
      <c r="BE68" s="19">
        <f>SUM(BB68:BC68)</f>
        <v>945</v>
      </c>
      <c r="BG68" s="234">
        <f>SUM(N68:AW68)</f>
        <v>945</v>
      </c>
      <c r="BH68" s="19">
        <f>BE68-BG68</f>
        <v>0</v>
      </c>
    </row>
    <row r="69" spans="1:60" s="19" customFormat="1" ht="12.95" customHeight="1" x14ac:dyDescent="0.2">
      <c r="A69" s="85">
        <f>+'CCs # Master'!A178</f>
        <v>11</v>
      </c>
      <c r="B69" s="226" t="str">
        <f>+'CCs # Master'!B178</f>
        <v>ISC-Reporting Services</v>
      </c>
      <c r="C69" s="226" t="str">
        <f>+'CCs # Master'!C178</f>
        <v>Kokas, Kathy</v>
      </c>
      <c r="D69" s="85">
        <f>+'CCs # Master'!D178</f>
        <v>103415</v>
      </c>
      <c r="E69" s="19">
        <f>+'CCs # Master'!E178</f>
        <v>373</v>
      </c>
      <c r="F69" s="19">
        <f>+'CCs # Master'!F178</f>
        <v>9</v>
      </c>
      <c r="G69" s="19">
        <f>+'CCs # Master'!G178</f>
        <v>0</v>
      </c>
      <c r="H69" s="19">
        <f>+'CCs # Master'!H178</f>
        <v>337</v>
      </c>
      <c r="I69" s="19">
        <f>+'CCs # Master'!I178</f>
        <v>0</v>
      </c>
      <c r="J69" s="19">
        <f>+'CCs # Master'!J178</f>
        <v>0</v>
      </c>
      <c r="K69" s="19">
        <f>SUM(E69:J69)</f>
        <v>719</v>
      </c>
      <c r="M69" s="19" t="str">
        <f>+'CCs # Master'!M178</f>
        <v>Per Agreement with BU</v>
      </c>
      <c r="N69" s="19">
        <f>+'CCs # Master'!AW178</f>
        <v>87</v>
      </c>
      <c r="O69" s="19">
        <f>+'CCs # Master'!AX178</f>
        <v>0</v>
      </c>
      <c r="P69" s="19">
        <f>+'CCs # Master'!N178</f>
        <v>0</v>
      </c>
      <c r="Q69" s="19">
        <f>+'CCs # Master'!O178</f>
        <v>0</v>
      </c>
      <c r="R69" s="19">
        <f>+'CCs # Master'!P178</f>
        <v>25</v>
      </c>
      <c r="S69" s="19">
        <f>+'CCs # Master'!Q178</f>
        <v>22</v>
      </c>
      <c r="T69" s="19">
        <f>+'CCs # Master'!R178</f>
        <v>0</v>
      </c>
      <c r="U69" s="19">
        <f>+'CCs # Master'!S178</f>
        <v>0</v>
      </c>
      <c r="V69" s="19">
        <f>+'CCs # Master'!T178</f>
        <v>0</v>
      </c>
      <c r="W69" s="19">
        <f>+'CCs # Master'!U178</f>
        <v>0</v>
      </c>
      <c r="X69" s="19">
        <f>+'CCs # Master'!V178</f>
        <v>90</v>
      </c>
      <c r="Y69" s="19">
        <f>+'CCs # Master'!W178</f>
        <v>0</v>
      </c>
      <c r="Z69" s="19">
        <f>+'CCs # Master'!X178</f>
        <v>90</v>
      </c>
      <c r="AA69" s="19">
        <f>+'CCs # Master'!Y178</f>
        <v>0</v>
      </c>
      <c r="AB69" s="19">
        <f>+'CCs # Master'!Z178</f>
        <v>0</v>
      </c>
      <c r="AC69" s="19">
        <f>+'CCs # Master'!AA178</f>
        <v>11</v>
      </c>
      <c r="AD69" s="19">
        <f>+'CCs # Master'!AB178</f>
        <v>90</v>
      </c>
      <c r="AE69" s="19">
        <f>+'CCs # Master'!AC178</f>
        <v>0</v>
      </c>
      <c r="AF69" s="19">
        <f>+'CCs # Master'!AD178</f>
        <v>90</v>
      </c>
      <c r="AG69" s="19">
        <f>+'CCs # Master'!AE178</f>
        <v>90</v>
      </c>
      <c r="AH69" s="19">
        <f>+'CCs # Master'!AF178</f>
        <v>0</v>
      </c>
      <c r="AI69" s="19">
        <f>+'CCs # Master'!AG178</f>
        <v>0</v>
      </c>
      <c r="AJ69" s="19">
        <f>+'CCs # Master'!AH178</f>
        <v>11</v>
      </c>
      <c r="AK69" s="19">
        <f>+'CCs # Master'!AI178</f>
        <v>22</v>
      </c>
      <c r="AL69" s="19">
        <f>+'CCs # Master'!AJ178</f>
        <v>22</v>
      </c>
      <c r="AM69" s="19">
        <f>+'CCs # Master'!AK178</f>
        <v>11</v>
      </c>
      <c r="AN69" s="19">
        <f>+'CCs # Master'!AL178</f>
        <v>11</v>
      </c>
      <c r="AO69" s="19">
        <f>+'CCs # Master'!AM178</f>
        <v>11</v>
      </c>
      <c r="AP69" s="19">
        <f>+'CCs # Master'!AN178</f>
        <v>0</v>
      </c>
      <c r="AQ69" s="19">
        <f>+'CCs # Master'!AO178</f>
        <v>25</v>
      </c>
      <c r="AR69" s="19">
        <f>+'CCs # Master'!AP178</f>
        <v>11</v>
      </c>
      <c r="AS69" s="19">
        <f>+'CCs # Master'!AQ178</f>
        <v>0</v>
      </c>
      <c r="AT69" s="19">
        <f>+'CCs # Master'!AR178</f>
        <v>0</v>
      </c>
      <c r="AU69" s="19">
        <f>+'CCs # Master'!AS178</f>
        <v>0</v>
      </c>
      <c r="AV69" s="19">
        <f>+'CCs # Master'!AT178</f>
        <v>0</v>
      </c>
      <c r="AW69"/>
      <c r="AX69" s="21">
        <f>SUM(N69:AW69)</f>
        <v>719</v>
      </c>
      <c r="AY69" s="21">
        <f>+K69-AX69</f>
        <v>0</v>
      </c>
      <c r="BA69" s="19">
        <f t="shared" si="25"/>
        <v>90</v>
      </c>
      <c r="BB69" s="19">
        <f>N69</f>
        <v>87</v>
      </c>
      <c r="BC69" s="19">
        <f>SUM(P69:AW69)</f>
        <v>632</v>
      </c>
      <c r="BE69" s="19">
        <f>SUM(BB69:BC69)</f>
        <v>719</v>
      </c>
      <c r="BG69" s="234"/>
    </row>
    <row r="70" spans="1:60" s="19" customFormat="1" ht="12.95" customHeight="1" x14ac:dyDescent="0.2">
      <c r="A70" s="85">
        <f>+'CCs # Master'!A176</f>
        <v>11</v>
      </c>
      <c r="B70" s="226" t="str">
        <f>+'CCs # Master'!B176</f>
        <v>ISC-SAP Organization Leader</v>
      </c>
      <c r="C70" s="226" t="str">
        <f>+'CCs # Master'!C176</f>
        <v>Becker, Melissa</v>
      </c>
      <c r="D70" s="85">
        <f>+'CCs # Master'!D176</f>
        <v>103176</v>
      </c>
      <c r="E70" s="19">
        <f>+'CCs # Master'!E176</f>
        <v>40</v>
      </c>
      <c r="F70" s="19">
        <f>+'CCs # Master'!F176</f>
        <v>23</v>
      </c>
      <c r="G70" s="19">
        <f>+'CCs # Master'!G176</f>
        <v>0</v>
      </c>
      <c r="H70" s="19">
        <f>+'CCs # Master'!H176</f>
        <v>0</v>
      </c>
      <c r="I70" s="19">
        <f>+'CCs # Master'!I176</f>
        <v>0</v>
      </c>
      <c r="J70" s="19">
        <f>+'CCs # Master'!J176</f>
        <v>2</v>
      </c>
      <c r="K70" s="19">
        <f t="shared" si="31"/>
        <v>65</v>
      </c>
      <c r="M70" s="19" t="str">
        <f>+'CCs # Master'!M176</f>
        <v>Retained at Corp</v>
      </c>
      <c r="N70" s="19">
        <f>+'CCs # Master'!AW176</f>
        <v>65</v>
      </c>
      <c r="O70" s="19">
        <v>0</v>
      </c>
      <c r="P70" s="19">
        <f>+'CCs # Master'!N176</f>
        <v>0</v>
      </c>
      <c r="Q70" s="19">
        <f>+'CCs # Master'!O176</f>
        <v>0</v>
      </c>
      <c r="R70" s="19">
        <f>+'CCs # Master'!P176</f>
        <v>0</v>
      </c>
      <c r="S70" s="19">
        <f>+'CCs # Master'!Q176</f>
        <v>0</v>
      </c>
      <c r="T70" s="19">
        <f>+'CCs # Master'!R176</f>
        <v>0</v>
      </c>
      <c r="U70" s="19">
        <f>+'CCs # Master'!S176</f>
        <v>0</v>
      </c>
      <c r="V70" s="19">
        <f>+'CCs # Master'!T176</f>
        <v>0</v>
      </c>
      <c r="W70" s="19">
        <f>+'CCs # Master'!U176</f>
        <v>0</v>
      </c>
      <c r="X70" s="19">
        <f>+'CCs # Master'!V176</f>
        <v>0</v>
      </c>
      <c r="Y70" s="19">
        <f>+'CCs # Master'!W176</f>
        <v>0</v>
      </c>
      <c r="Z70" s="19">
        <f>+'CCs # Master'!X176</f>
        <v>0</v>
      </c>
      <c r="AA70" s="19">
        <f>+'CCs # Master'!Y176</f>
        <v>0</v>
      </c>
      <c r="AB70" s="19">
        <f>+'CCs # Master'!Z176</f>
        <v>0</v>
      </c>
      <c r="AC70" s="19">
        <f>+'CCs # Master'!AA176</f>
        <v>0</v>
      </c>
      <c r="AD70" s="19">
        <f>+'CCs # Master'!AB176</f>
        <v>0</v>
      </c>
      <c r="AE70" s="19">
        <f>+'CCs # Master'!AC176</f>
        <v>0</v>
      </c>
      <c r="AF70" s="19">
        <f>+'CCs # Master'!AD176</f>
        <v>0</v>
      </c>
      <c r="AG70" s="19">
        <f>+'CCs # Master'!AE176</f>
        <v>0</v>
      </c>
      <c r="AH70" s="19">
        <f>+'CCs # Master'!AF176</f>
        <v>0</v>
      </c>
      <c r="AI70" s="19">
        <f>+'CCs # Master'!AG176</f>
        <v>0</v>
      </c>
      <c r="AJ70" s="19">
        <f>+'CCs # Master'!AH176</f>
        <v>0</v>
      </c>
      <c r="AK70" s="19">
        <f>+'CCs # Master'!AI176</f>
        <v>0</v>
      </c>
      <c r="AL70" s="19">
        <f>+'CCs # Master'!AJ176</f>
        <v>0</v>
      </c>
      <c r="AM70" s="19">
        <f>+'CCs # Master'!AK176</f>
        <v>0</v>
      </c>
      <c r="AN70" s="19">
        <f>+'CCs # Master'!AL176</f>
        <v>0</v>
      </c>
      <c r="AO70" s="19">
        <f>+'CCs # Master'!AM176</f>
        <v>0</v>
      </c>
      <c r="AP70" s="19">
        <f>+'CCs # Master'!AN176</f>
        <v>0</v>
      </c>
      <c r="AQ70" s="19">
        <f>+'CCs # Master'!AO176</f>
        <v>0</v>
      </c>
      <c r="AR70" s="19">
        <f>+'CCs # Master'!AP176</f>
        <v>0</v>
      </c>
      <c r="AS70" s="19">
        <f>+'CCs # Master'!AQ176</f>
        <v>0</v>
      </c>
      <c r="AT70" s="19">
        <f>+'CCs # Master'!AR176</f>
        <v>0</v>
      </c>
      <c r="AU70" s="19">
        <f>+'CCs # Master'!AS176</f>
        <v>0</v>
      </c>
      <c r="AV70" s="19">
        <f>+'CCs # Master'!AT176</f>
        <v>0</v>
      </c>
      <c r="AW70"/>
      <c r="AX70" s="21">
        <f t="shared" si="32"/>
        <v>65</v>
      </c>
      <c r="AY70" s="21">
        <f t="shared" si="24"/>
        <v>0</v>
      </c>
      <c r="BA70" s="19">
        <f t="shared" si="25"/>
        <v>0</v>
      </c>
      <c r="BB70" s="19">
        <f t="shared" si="33"/>
        <v>65</v>
      </c>
      <c r="BC70" s="227">
        <f t="shared" si="27"/>
        <v>0</v>
      </c>
      <c r="BE70" s="227">
        <f t="shared" si="28"/>
        <v>65</v>
      </c>
      <c r="BG70" s="249">
        <f t="shared" si="29"/>
        <v>65</v>
      </c>
      <c r="BH70" s="19">
        <f t="shared" si="34"/>
        <v>0</v>
      </c>
    </row>
    <row r="71" spans="1:60" s="19" customFormat="1" ht="8.1" customHeight="1" x14ac:dyDescent="0.2">
      <c r="A71" s="207"/>
      <c r="B71" s="29"/>
      <c r="D71" s="205"/>
      <c r="E71" s="191"/>
      <c r="F71" s="191"/>
      <c r="G71" s="191"/>
      <c r="H71" s="191"/>
      <c r="I71" s="191"/>
      <c r="J71" s="191"/>
      <c r="K71" s="191"/>
      <c r="N71" s="191"/>
      <c r="O71" s="191"/>
      <c r="P71" s="191"/>
      <c r="Q71" s="191"/>
      <c r="R71" s="191"/>
      <c r="S71" s="191"/>
      <c r="T71" s="191"/>
      <c r="U71" s="191"/>
      <c r="V71" s="191"/>
      <c r="W71" s="191"/>
      <c r="X71" s="191"/>
      <c r="Y71" s="191"/>
      <c r="Z71" s="191"/>
      <c r="AA71" s="191"/>
      <c r="AB71" s="191"/>
      <c r="AC71" s="191"/>
      <c r="AD71" s="191"/>
      <c r="AE71" s="191"/>
      <c r="AF71" s="191"/>
      <c r="AG71" s="191"/>
      <c r="AH71" s="191"/>
      <c r="AI71" s="191"/>
      <c r="AJ71" s="191"/>
      <c r="AK71" s="191"/>
      <c r="AL71" s="191"/>
      <c r="AM71" s="191"/>
      <c r="AN71" s="191"/>
      <c r="AO71" s="191"/>
      <c r="AP71" s="191"/>
      <c r="AQ71" s="191"/>
      <c r="AR71" s="191"/>
      <c r="AS71" s="191"/>
      <c r="AT71" s="191"/>
      <c r="AU71" s="191"/>
      <c r="AV71" s="191"/>
      <c r="AW71"/>
      <c r="AX71" s="191"/>
      <c r="AY71" s="191"/>
      <c r="BA71" s="191"/>
      <c r="BB71" s="191"/>
      <c r="BG71" s="234"/>
    </row>
    <row r="72" spans="1:60" s="19" customFormat="1" ht="12.95" customHeight="1" x14ac:dyDescent="0.2">
      <c r="A72" s="207"/>
      <c r="B72" s="29"/>
      <c r="D72" s="205"/>
      <c r="E72" s="227">
        <f>SUM(E37:E70)</f>
        <v>41419</v>
      </c>
      <c r="F72" s="227">
        <f t="shared" ref="F72:K72" si="35">SUM(F37:F70)</f>
        <v>4002</v>
      </c>
      <c r="G72" s="227">
        <f t="shared" si="35"/>
        <v>472</v>
      </c>
      <c r="H72" s="227">
        <f t="shared" si="35"/>
        <v>24518</v>
      </c>
      <c r="I72" s="227">
        <f t="shared" si="35"/>
        <v>5370</v>
      </c>
      <c r="J72" s="227">
        <f t="shared" si="35"/>
        <v>20455</v>
      </c>
      <c r="K72" s="227">
        <f t="shared" si="35"/>
        <v>96236</v>
      </c>
      <c r="N72" s="227">
        <f>SUM(N37:N71)</f>
        <v>40808</v>
      </c>
      <c r="O72" s="227">
        <f t="shared" ref="O72:AM72" si="36">SUM(O37:O71)</f>
        <v>0</v>
      </c>
      <c r="P72" s="227">
        <f t="shared" si="36"/>
        <v>171</v>
      </c>
      <c r="Q72" s="227">
        <f t="shared" si="36"/>
        <v>461</v>
      </c>
      <c r="R72" s="227">
        <f t="shared" si="36"/>
        <v>1831</v>
      </c>
      <c r="S72" s="227">
        <f t="shared" si="36"/>
        <v>1928</v>
      </c>
      <c r="T72" s="227">
        <f t="shared" si="36"/>
        <v>0</v>
      </c>
      <c r="U72" s="227">
        <f t="shared" si="36"/>
        <v>0</v>
      </c>
      <c r="V72" s="227">
        <f t="shared" si="36"/>
        <v>37</v>
      </c>
      <c r="W72" s="227">
        <f t="shared" si="36"/>
        <v>1720</v>
      </c>
      <c r="X72" s="227">
        <f t="shared" si="36"/>
        <v>5360</v>
      </c>
      <c r="Y72" s="227">
        <f t="shared" si="36"/>
        <v>50</v>
      </c>
      <c r="Z72" s="227">
        <f t="shared" si="36"/>
        <v>9967</v>
      </c>
      <c r="AA72" s="227">
        <f t="shared" si="36"/>
        <v>0</v>
      </c>
      <c r="AB72" s="227">
        <f t="shared" si="36"/>
        <v>166</v>
      </c>
      <c r="AC72" s="227">
        <f t="shared" si="36"/>
        <v>614</v>
      </c>
      <c r="AD72" s="227">
        <f t="shared" si="36"/>
        <v>5287</v>
      </c>
      <c r="AE72" s="227">
        <f t="shared" si="36"/>
        <v>233</v>
      </c>
      <c r="AF72" s="227">
        <f t="shared" si="36"/>
        <v>7579</v>
      </c>
      <c r="AG72" s="227">
        <f t="shared" si="36"/>
        <v>6682</v>
      </c>
      <c r="AH72" s="227">
        <f t="shared" si="36"/>
        <v>143</v>
      </c>
      <c r="AI72" s="227">
        <f t="shared" si="36"/>
        <v>19</v>
      </c>
      <c r="AJ72" s="227">
        <f>SUM(AJ37:AJ71)</f>
        <v>1707</v>
      </c>
      <c r="AK72" s="227">
        <f>SUM(AK37:AK71)</f>
        <v>2408</v>
      </c>
      <c r="AL72" s="227">
        <f>SUM(AL37:AL71)</f>
        <v>2068</v>
      </c>
      <c r="AM72" s="227">
        <f t="shared" si="36"/>
        <v>737</v>
      </c>
      <c r="AN72" s="227">
        <f t="shared" ref="AN72:AV72" si="37">SUM(AN37:AN71)</f>
        <v>1051</v>
      </c>
      <c r="AO72" s="227">
        <f t="shared" si="37"/>
        <v>663</v>
      </c>
      <c r="AP72" s="227">
        <f t="shared" si="37"/>
        <v>0</v>
      </c>
      <c r="AQ72" s="227">
        <f t="shared" si="37"/>
        <v>3495</v>
      </c>
      <c r="AR72" s="227">
        <f t="shared" si="37"/>
        <v>1051</v>
      </c>
      <c r="AS72" s="227">
        <f t="shared" si="37"/>
        <v>0</v>
      </c>
      <c r="AT72" s="227">
        <f t="shared" si="37"/>
        <v>0</v>
      </c>
      <c r="AU72" s="227">
        <f t="shared" si="37"/>
        <v>0</v>
      </c>
      <c r="AV72" s="227">
        <f t="shared" si="37"/>
        <v>0</v>
      </c>
      <c r="AW72"/>
      <c r="AX72" s="227">
        <f>SUM(AX37:AX71)</f>
        <v>96236</v>
      </c>
      <c r="AY72" s="227">
        <f>SUM(AY37:AY71)</f>
        <v>0</v>
      </c>
      <c r="BA72" s="227">
        <f>SUM(BA37:BA71)</f>
        <v>7799</v>
      </c>
      <c r="BB72" s="227">
        <f>SUM(BB37:BB71)</f>
        <v>40808</v>
      </c>
      <c r="BC72" s="227">
        <f>SUM(BC37:BC71)</f>
        <v>55428</v>
      </c>
      <c r="BE72" s="227">
        <f>SUM(BE37:BE71)</f>
        <v>96236</v>
      </c>
      <c r="BG72" s="227">
        <f>SUM(BG37:BG71)</f>
        <v>95517</v>
      </c>
      <c r="BH72" s="19">
        <f>SUM(BH37:BH71)</f>
        <v>0</v>
      </c>
    </row>
    <row r="73" spans="1:60" s="19" customFormat="1" ht="8.1" customHeight="1" x14ac:dyDescent="0.2">
      <c r="A73" s="207"/>
      <c r="B73" s="29"/>
      <c r="D73" s="205"/>
      <c r="F73" s="21"/>
      <c r="G73" s="21"/>
      <c r="K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P73" s="21"/>
      <c r="AQ73" s="21"/>
      <c r="AR73" s="21"/>
      <c r="AS73" s="21"/>
      <c r="AT73" s="21"/>
      <c r="AU73" s="21"/>
      <c r="AV73" s="21"/>
      <c r="AW73"/>
      <c r="AX73" s="21"/>
      <c r="AY73" s="21"/>
      <c r="BA73" s="21"/>
      <c r="BB73" s="21"/>
      <c r="BC73" s="21"/>
      <c r="BE73" s="21"/>
      <c r="BF73" s="21"/>
      <c r="BG73" s="234"/>
    </row>
    <row r="74" spans="1:60" s="19" customFormat="1" ht="12.95" customHeight="1" x14ac:dyDescent="0.2">
      <c r="A74" s="207" t="s">
        <v>340</v>
      </c>
      <c r="B74" s="29"/>
      <c r="D74" s="205"/>
      <c r="F74" s="21"/>
      <c r="G74" s="21"/>
      <c r="K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c r="AV74" s="21"/>
      <c r="AW74"/>
      <c r="AX74" s="21"/>
      <c r="AY74" s="21"/>
      <c r="BA74" s="21"/>
      <c r="BB74" s="21"/>
      <c r="BC74" s="21"/>
      <c r="BE74" s="21"/>
      <c r="BF74" s="21"/>
      <c r="BG74" s="234"/>
    </row>
    <row r="75" spans="1:60" s="19" customFormat="1" ht="12.95" customHeight="1" x14ac:dyDescent="0.2">
      <c r="A75" s="85" t="str">
        <f>+'CCs # Master'!A43</f>
        <v>0011</v>
      </c>
      <c r="B75" s="19" t="str">
        <f>+'CCs # Master'!B43</f>
        <v>RAC - Global Credit Group</v>
      </c>
      <c r="C75" s="19" t="str">
        <f>+'CCs # Master'!C43</f>
        <v>Buy, Rick</v>
      </c>
      <c r="D75" s="205">
        <f>+'CCs # Master'!D43</f>
        <v>100052</v>
      </c>
      <c r="E75" s="19">
        <f>+'CCs # Master'!E43</f>
        <v>3872</v>
      </c>
      <c r="F75" s="19">
        <f>+'CCs # Master'!F43</f>
        <v>558</v>
      </c>
      <c r="G75" s="19">
        <f>+'CCs # Master'!G43</f>
        <v>25</v>
      </c>
      <c r="H75" s="19">
        <f>+'CCs # Master'!H43</f>
        <v>343</v>
      </c>
      <c r="I75" s="19">
        <f>+'CCs # Master'!I43</f>
        <v>475</v>
      </c>
      <c r="J75" s="19">
        <f>+'CCs # Master'!J43</f>
        <v>361</v>
      </c>
      <c r="K75" s="19">
        <f>SUM(E75:J75)</f>
        <v>5634</v>
      </c>
      <c r="M75" s="19" t="str">
        <f>+'CCs # Master'!M43</f>
        <v>Anticipated Resources</v>
      </c>
      <c r="N75" s="19">
        <f>+'CCs # Master'!AW43</f>
        <v>0</v>
      </c>
      <c r="O75" s="19">
        <v>0</v>
      </c>
      <c r="P75" s="19">
        <f>+'CCs # Master'!N43</f>
        <v>0</v>
      </c>
      <c r="Q75" s="19">
        <f>+'CCs # Master'!O43</f>
        <v>0</v>
      </c>
      <c r="R75" s="19">
        <f>+'CCs # Master'!P43</f>
        <v>27</v>
      </c>
      <c r="S75" s="19">
        <f>+'CCs # Master'!Q43</f>
        <v>29</v>
      </c>
      <c r="T75" s="19">
        <f>+'CCs # Master'!R43</f>
        <v>0</v>
      </c>
      <c r="U75" s="19">
        <f>+'CCs # Master'!S43</f>
        <v>0</v>
      </c>
      <c r="V75" s="19">
        <f>+'CCs # Master'!T43</f>
        <v>0</v>
      </c>
      <c r="W75" s="19">
        <f>+'CCs # Master'!U43</f>
        <v>0</v>
      </c>
      <c r="X75" s="19">
        <f>+'CCs # Master'!V43</f>
        <v>0</v>
      </c>
      <c r="Y75" s="19">
        <f>+'CCs # Master'!W43</f>
        <v>0</v>
      </c>
      <c r="Z75" s="19">
        <f>+'CCs # Master'!X43</f>
        <v>2388</v>
      </c>
      <c r="AA75" s="19">
        <f>+'CCs # Master'!Y43</f>
        <v>0</v>
      </c>
      <c r="AB75" s="19">
        <f>+'CCs # Master'!Z43</f>
        <v>0</v>
      </c>
      <c r="AC75" s="19">
        <f>+'CCs # Master'!AA43</f>
        <v>423</v>
      </c>
      <c r="AD75" s="19">
        <f>+'CCs # Master'!AB43</f>
        <v>423</v>
      </c>
      <c r="AE75" s="19">
        <f>+'CCs # Master'!AC43</f>
        <v>0</v>
      </c>
      <c r="AF75" s="19">
        <f>+'CCs # Master'!AD43</f>
        <v>901</v>
      </c>
      <c r="AG75" s="19">
        <f>+'CCs # Master'!AE43</f>
        <v>451</v>
      </c>
      <c r="AH75" s="19">
        <f>+'CCs # Master'!AF43</f>
        <v>0</v>
      </c>
      <c r="AI75" s="19">
        <f>+'CCs # Master'!AG43</f>
        <v>0</v>
      </c>
      <c r="AJ75" s="19">
        <f>+'CCs # Master'!AH43</f>
        <v>169</v>
      </c>
      <c r="AK75" s="19">
        <f>+'CCs # Master'!AI43</f>
        <v>169</v>
      </c>
      <c r="AL75" s="19">
        <f>+'CCs # Master'!AJ43</f>
        <v>56</v>
      </c>
      <c r="AM75" s="19">
        <f>+'CCs # Master'!AK43</f>
        <v>0</v>
      </c>
      <c r="AN75" s="19">
        <f>+'CCs # Master'!AL43</f>
        <v>0</v>
      </c>
      <c r="AO75" s="19">
        <f>+'CCs # Master'!AM43</f>
        <v>0</v>
      </c>
      <c r="AP75" s="19">
        <f>+'CCs # Master'!AN43</f>
        <v>0</v>
      </c>
      <c r="AQ75" s="19">
        <f>+'CCs # Master'!AO43</f>
        <v>418</v>
      </c>
      <c r="AR75" s="19">
        <f>+'CCs # Master'!AP43</f>
        <v>180</v>
      </c>
      <c r="AS75" s="19">
        <f>+'CCs # Master'!AQ43</f>
        <v>0</v>
      </c>
      <c r="AT75" s="19">
        <f>+'CCs # Master'!AR43</f>
        <v>0</v>
      </c>
      <c r="AU75" s="19">
        <f>+'CCs # Master'!AS43</f>
        <v>0</v>
      </c>
      <c r="AV75" s="19">
        <f>+'CCs # Master'!AT43</f>
        <v>0</v>
      </c>
      <c r="AW75"/>
      <c r="AX75" s="21">
        <f t="shared" ref="AX75:AX81" si="38">SUM(N75:AW75)</f>
        <v>5634</v>
      </c>
      <c r="AY75" s="21">
        <f t="shared" ref="AY75:AY81" si="39">+K75-AX75</f>
        <v>0</v>
      </c>
      <c r="BA75" s="19">
        <f t="shared" ref="BA75:BA81" si="40">+P75+Q75+T75+U75+V75+W75+X75+Y75</f>
        <v>0</v>
      </c>
      <c r="BB75" s="19">
        <f t="shared" ref="BB75:BB81" si="41">N75</f>
        <v>0</v>
      </c>
      <c r="BC75" s="19">
        <f t="shared" ref="BC75:BC81" si="42">SUM(P75:AW75)</f>
        <v>5634</v>
      </c>
      <c r="BE75" s="19">
        <f t="shared" ref="BE75:BE81" si="43">SUM(BB75:BC75)</f>
        <v>5634</v>
      </c>
      <c r="BG75" s="234">
        <f>SUM(N75:AW75)</f>
        <v>5634</v>
      </c>
      <c r="BH75" s="19">
        <f t="shared" ref="BH75:BH81" si="44">BE75-BG75</f>
        <v>0</v>
      </c>
    </row>
    <row r="76" spans="1:60" s="19" customFormat="1" ht="12.95" customHeight="1" x14ac:dyDescent="0.2">
      <c r="A76" s="85" t="str">
        <f>+'CCs # Master'!A44</f>
        <v>0011</v>
      </c>
      <c r="B76" s="19" t="str">
        <f>+'CCs # Master'!B44</f>
        <v>RAC - Due Diligence/Asset Management</v>
      </c>
      <c r="C76" s="19" t="str">
        <f>+'CCs # Master'!C44</f>
        <v>Buy, Rick</v>
      </c>
      <c r="D76" s="205">
        <f>+'CCs # Master'!D44</f>
        <v>100053</v>
      </c>
      <c r="E76" s="19">
        <f>+'CCs # Master'!E44</f>
        <v>2199</v>
      </c>
      <c r="F76" s="19">
        <f>+'CCs # Master'!F44</f>
        <v>355</v>
      </c>
      <c r="G76" s="19">
        <f>+'CCs # Master'!G44</f>
        <v>36</v>
      </c>
      <c r="H76" s="19">
        <f>+'CCs # Master'!H44</f>
        <v>164</v>
      </c>
      <c r="I76" s="19">
        <f>+'CCs # Master'!I44</f>
        <v>410</v>
      </c>
      <c r="J76" s="19">
        <f>+'CCs # Master'!J44</f>
        <v>261</v>
      </c>
      <c r="K76" s="19">
        <f t="shared" ref="K76:K81" si="45">SUM(E76:J76)</f>
        <v>3425</v>
      </c>
      <c r="M76" s="19" t="str">
        <f>+'CCs # Master'!M44</f>
        <v>Anticipated Resources</v>
      </c>
      <c r="N76" s="19">
        <f>+'CCs # Master'!AW44</f>
        <v>0</v>
      </c>
      <c r="O76" s="19">
        <v>0</v>
      </c>
      <c r="P76" s="19">
        <f>+'CCs # Master'!N44</f>
        <v>0</v>
      </c>
      <c r="Q76" s="19">
        <f>+'CCs # Master'!O44</f>
        <v>0</v>
      </c>
      <c r="R76" s="19">
        <f>+'CCs # Master'!P44</f>
        <v>0</v>
      </c>
      <c r="S76" s="19">
        <f>+'CCs # Master'!Q44</f>
        <v>0</v>
      </c>
      <c r="T76" s="19">
        <f>+'CCs # Master'!R44</f>
        <v>0</v>
      </c>
      <c r="U76" s="19">
        <f>+'CCs # Master'!S44</f>
        <v>0</v>
      </c>
      <c r="V76" s="19">
        <f>+'CCs # Master'!T44</f>
        <v>0</v>
      </c>
      <c r="W76" s="19">
        <f>+'CCs # Master'!U44</f>
        <v>0</v>
      </c>
      <c r="X76" s="19">
        <f>+'CCs # Master'!V44</f>
        <v>0</v>
      </c>
      <c r="Y76" s="19">
        <f>+'CCs # Master'!W44</f>
        <v>0</v>
      </c>
      <c r="Z76" s="19">
        <f>+'CCs # Master'!X44</f>
        <v>1274</v>
      </c>
      <c r="AA76" s="19">
        <f>+'CCs # Master'!Y44</f>
        <v>0</v>
      </c>
      <c r="AB76" s="19">
        <f>+'CCs # Master'!Z44</f>
        <v>0</v>
      </c>
      <c r="AC76" s="19">
        <f>+'CCs # Master'!AA44</f>
        <v>0</v>
      </c>
      <c r="AD76" s="19">
        <f>+'CCs # Master'!AB44</f>
        <v>343</v>
      </c>
      <c r="AE76" s="19">
        <f>+'CCs # Master'!AC44</f>
        <v>0</v>
      </c>
      <c r="AF76" s="19">
        <f>+'CCs # Master'!AD44</f>
        <v>411</v>
      </c>
      <c r="AG76" s="19">
        <f>+'CCs # Master'!AE44</f>
        <v>411</v>
      </c>
      <c r="AH76" s="19">
        <f>+'CCs # Master'!AF44</f>
        <v>0</v>
      </c>
      <c r="AI76" s="19">
        <f>+'CCs # Master'!AG44</f>
        <v>0</v>
      </c>
      <c r="AJ76" s="19">
        <f>+'CCs # Master'!AH44</f>
        <v>0</v>
      </c>
      <c r="AK76" s="19">
        <f>+'CCs # Master'!AI44</f>
        <v>308</v>
      </c>
      <c r="AL76" s="19">
        <f>+'CCs # Master'!AJ44</f>
        <v>137</v>
      </c>
      <c r="AM76" s="19">
        <f>+'CCs # Master'!AK44</f>
        <v>0</v>
      </c>
      <c r="AN76" s="19">
        <f>+'CCs # Master'!AL44</f>
        <v>0</v>
      </c>
      <c r="AO76" s="19">
        <f>+'CCs # Master'!AM44</f>
        <v>0</v>
      </c>
      <c r="AP76" s="19">
        <f>+'CCs # Master'!AN44</f>
        <v>0</v>
      </c>
      <c r="AQ76" s="19">
        <f>+'CCs # Master'!AO44</f>
        <v>125</v>
      </c>
      <c r="AR76" s="19">
        <f>+'CCs # Master'!AP44</f>
        <v>416</v>
      </c>
      <c r="AS76" s="19">
        <f>+'CCs # Master'!AQ44</f>
        <v>0</v>
      </c>
      <c r="AT76" s="19">
        <f>+'CCs # Master'!AR44</f>
        <v>0</v>
      </c>
      <c r="AU76" s="19">
        <f>+'CCs # Master'!AS44</f>
        <v>0</v>
      </c>
      <c r="AV76" s="19">
        <f>+'CCs # Master'!AT44</f>
        <v>0</v>
      </c>
      <c r="AW76"/>
      <c r="AX76" s="21">
        <f t="shared" si="38"/>
        <v>3425</v>
      </c>
      <c r="AY76" s="21">
        <f t="shared" si="39"/>
        <v>0</v>
      </c>
      <c r="BA76" s="19">
        <f t="shared" si="40"/>
        <v>0</v>
      </c>
      <c r="BB76" s="19">
        <f t="shared" si="41"/>
        <v>0</v>
      </c>
      <c r="BC76" s="19">
        <f t="shared" si="42"/>
        <v>3425</v>
      </c>
      <c r="BE76" s="19">
        <f t="shared" si="43"/>
        <v>3425</v>
      </c>
      <c r="BG76" s="234">
        <f t="shared" ref="BG76:BG81" si="46">SUM(N76:AW76)</f>
        <v>3425</v>
      </c>
      <c r="BH76" s="19">
        <f t="shared" si="44"/>
        <v>0</v>
      </c>
    </row>
    <row r="77" spans="1:60" s="19" customFormat="1" ht="12.95" customHeight="1" x14ac:dyDescent="0.2">
      <c r="A77" s="85" t="str">
        <f>+'CCs # Master'!A45</f>
        <v>0011</v>
      </c>
      <c r="B77" s="19" t="str">
        <f>+'CCs # Master'!B45</f>
        <v>RAC - Risk Analytics</v>
      </c>
      <c r="C77" s="19" t="str">
        <f>+'CCs # Master'!C45</f>
        <v>Buy, Rick</v>
      </c>
      <c r="D77" s="205">
        <f>+'CCs # Master'!D45</f>
        <v>100054</v>
      </c>
      <c r="E77" s="19">
        <f>+'CCs # Master'!E45</f>
        <v>2364</v>
      </c>
      <c r="F77" s="19">
        <f>+'CCs # Master'!F45</f>
        <v>128</v>
      </c>
      <c r="G77" s="19">
        <f>+'CCs # Master'!G45</f>
        <v>13</v>
      </c>
      <c r="H77" s="19">
        <f>+'CCs # Master'!H45</f>
        <v>100</v>
      </c>
      <c r="I77" s="19">
        <f>+'CCs # Master'!I45</f>
        <v>300</v>
      </c>
      <c r="J77" s="19">
        <f>+'CCs # Master'!J45</f>
        <v>380</v>
      </c>
      <c r="K77" s="19">
        <f t="shared" si="45"/>
        <v>3285</v>
      </c>
      <c r="M77" s="19" t="str">
        <f>+'CCs # Master'!M45</f>
        <v>Anticipated Resources</v>
      </c>
      <c r="N77" s="19">
        <f>+'CCs # Master'!AW45</f>
        <v>0</v>
      </c>
      <c r="O77" s="19">
        <v>0</v>
      </c>
      <c r="P77" s="19">
        <f>+'CCs # Master'!N45</f>
        <v>0</v>
      </c>
      <c r="Q77" s="19">
        <f>+'CCs # Master'!O45</f>
        <v>0</v>
      </c>
      <c r="R77" s="19">
        <f>+'CCs # Master'!P45</f>
        <v>16</v>
      </c>
      <c r="S77" s="19">
        <f>+'CCs # Master'!Q45</f>
        <v>17</v>
      </c>
      <c r="T77" s="19">
        <f>+'CCs # Master'!R45</f>
        <v>0</v>
      </c>
      <c r="U77" s="19">
        <f>+'CCs # Master'!S45</f>
        <v>0</v>
      </c>
      <c r="V77" s="19">
        <f>+'CCs # Master'!T45</f>
        <v>0</v>
      </c>
      <c r="W77" s="19">
        <f>+'CCs # Master'!U45</f>
        <v>66</v>
      </c>
      <c r="X77" s="19">
        <f>+'CCs # Master'!V45</f>
        <v>66</v>
      </c>
      <c r="Y77" s="19">
        <f>+'CCs # Master'!W45</f>
        <v>0</v>
      </c>
      <c r="Z77" s="19">
        <f>+'CCs # Master'!X45</f>
        <v>1237</v>
      </c>
      <c r="AA77" s="19">
        <f>+'CCs # Master'!Y45</f>
        <v>32</v>
      </c>
      <c r="AB77" s="19">
        <f>+'CCs # Master'!Z45</f>
        <v>0</v>
      </c>
      <c r="AC77" s="19">
        <f>+'CCs # Master'!AA45</f>
        <v>0</v>
      </c>
      <c r="AD77" s="19">
        <f>+'CCs # Master'!AB45</f>
        <v>32</v>
      </c>
      <c r="AE77" s="19">
        <f>+'CCs # Master'!AC45</f>
        <v>0</v>
      </c>
      <c r="AF77" s="19">
        <f>+'CCs # Master'!AD45</f>
        <v>394</v>
      </c>
      <c r="AG77" s="19">
        <f>+'CCs # Master'!AE45</f>
        <v>723</v>
      </c>
      <c r="AH77" s="19">
        <f>+'CCs # Master'!AF45</f>
        <v>32</v>
      </c>
      <c r="AI77" s="19">
        <f>+'CCs # Master'!AG45</f>
        <v>33</v>
      </c>
      <c r="AJ77" s="19">
        <f>+'CCs # Master'!AH45</f>
        <v>66</v>
      </c>
      <c r="AK77" s="19">
        <f>+'CCs # Master'!AI45</f>
        <v>263</v>
      </c>
      <c r="AL77" s="19">
        <f>+'CCs # Master'!AJ45</f>
        <v>66</v>
      </c>
      <c r="AM77" s="19">
        <f>+'CCs # Master'!AK45</f>
        <v>0</v>
      </c>
      <c r="AN77" s="19">
        <f>+'CCs # Master'!AL45</f>
        <v>0</v>
      </c>
      <c r="AO77" s="19">
        <f>+'CCs # Master'!AM45</f>
        <v>66</v>
      </c>
      <c r="AP77" s="19">
        <f>+'CCs # Master'!AN45</f>
        <v>0</v>
      </c>
      <c r="AQ77" s="19">
        <f>+'CCs # Master'!AO45</f>
        <v>76</v>
      </c>
      <c r="AR77" s="19">
        <f>+'CCs # Master'!AP45</f>
        <v>100</v>
      </c>
      <c r="AS77" s="19">
        <f>+'CCs # Master'!AQ45</f>
        <v>0</v>
      </c>
      <c r="AT77" s="19">
        <f>+'CCs # Master'!AR45</f>
        <v>0</v>
      </c>
      <c r="AU77" s="19">
        <f>+'CCs # Master'!AS45</f>
        <v>0</v>
      </c>
      <c r="AV77" s="19">
        <f>+'CCs # Master'!AT45</f>
        <v>0</v>
      </c>
      <c r="AW77"/>
      <c r="AX77" s="21">
        <f t="shared" si="38"/>
        <v>3285</v>
      </c>
      <c r="AY77" s="21">
        <f t="shared" si="39"/>
        <v>0</v>
      </c>
      <c r="BA77" s="19">
        <f t="shared" si="40"/>
        <v>132</v>
      </c>
      <c r="BB77" s="19">
        <f t="shared" si="41"/>
        <v>0</v>
      </c>
      <c r="BC77" s="19">
        <f t="shared" si="42"/>
        <v>3285</v>
      </c>
      <c r="BE77" s="19">
        <f t="shared" si="43"/>
        <v>3285</v>
      </c>
      <c r="BG77" s="234">
        <f t="shared" si="46"/>
        <v>3285</v>
      </c>
      <c r="BH77" s="19">
        <f t="shared" si="44"/>
        <v>0</v>
      </c>
    </row>
    <row r="78" spans="1:60" s="19" customFormat="1" ht="12.95" customHeight="1" x14ac:dyDescent="0.2">
      <c r="A78" s="85" t="str">
        <f>+'CCs # Master'!A46</f>
        <v>0011</v>
      </c>
      <c r="B78" s="19" t="str">
        <f>+'CCs # Master'!B46</f>
        <v>RAC Underwriting</v>
      </c>
      <c r="C78" s="19" t="str">
        <f>+'CCs # Master'!C46</f>
        <v>Buy, Rick</v>
      </c>
      <c r="D78" s="205">
        <f>+'CCs # Master'!D46</f>
        <v>100055</v>
      </c>
      <c r="E78" s="19">
        <f>+'CCs # Master'!E46</f>
        <v>2078</v>
      </c>
      <c r="F78" s="19">
        <f>+'CCs # Master'!F46</f>
        <v>274</v>
      </c>
      <c r="G78" s="19">
        <f>+'CCs # Master'!G46</f>
        <v>6</v>
      </c>
      <c r="H78" s="19">
        <f>+'CCs # Master'!H46</f>
        <v>87</v>
      </c>
      <c r="I78" s="19">
        <f>+'CCs # Master'!I46</f>
        <v>191</v>
      </c>
      <c r="J78" s="19">
        <f>+'CCs # Master'!J46</f>
        <v>203</v>
      </c>
      <c r="K78" s="19">
        <f t="shared" si="45"/>
        <v>2839</v>
      </c>
      <c r="M78" s="19" t="str">
        <f>+'CCs # Master'!M46</f>
        <v>Anticipated Resources</v>
      </c>
      <c r="N78" s="19">
        <f>+'CCs # Master'!AW46</f>
        <v>0</v>
      </c>
      <c r="O78" s="19">
        <v>0</v>
      </c>
      <c r="P78" s="19">
        <f>+'CCs # Master'!N46</f>
        <v>0</v>
      </c>
      <c r="Q78" s="19">
        <f>+'CCs # Master'!O46</f>
        <v>0</v>
      </c>
      <c r="R78" s="19">
        <f>+'CCs # Master'!P46</f>
        <v>28</v>
      </c>
      <c r="S78" s="19">
        <f>+'CCs # Master'!Q46</f>
        <v>29</v>
      </c>
      <c r="T78" s="19">
        <f>+'CCs # Master'!R46</f>
        <v>0</v>
      </c>
      <c r="U78" s="19">
        <f>+'CCs # Master'!S46</f>
        <v>0</v>
      </c>
      <c r="V78" s="19">
        <f>+'CCs # Master'!T46</f>
        <v>0</v>
      </c>
      <c r="W78" s="19">
        <f>+'CCs # Master'!U46</f>
        <v>0</v>
      </c>
      <c r="X78" s="19">
        <f>+'CCs # Master'!V46</f>
        <v>0</v>
      </c>
      <c r="Y78" s="19">
        <f>+'CCs # Master'!W46</f>
        <v>0</v>
      </c>
      <c r="Z78" s="19">
        <f>+'CCs # Master'!X46</f>
        <v>674</v>
      </c>
      <c r="AA78" s="19">
        <f>+'CCs # Master'!Y46</f>
        <v>114</v>
      </c>
      <c r="AB78" s="19">
        <f>+'CCs # Master'!Z46</f>
        <v>0</v>
      </c>
      <c r="AC78" s="19">
        <f>+'CCs # Master'!AA46</f>
        <v>0</v>
      </c>
      <c r="AD78" s="19">
        <f>+'CCs # Master'!AB46</f>
        <v>284</v>
      </c>
      <c r="AE78" s="19">
        <f>+'CCs # Master'!AC46</f>
        <v>0</v>
      </c>
      <c r="AF78" s="19">
        <f>+'CCs # Master'!AD46</f>
        <v>568</v>
      </c>
      <c r="AG78" s="19">
        <f>+'CCs # Master'!AE46</f>
        <v>426</v>
      </c>
      <c r="AH78" s="19">
        <f>+'CCs # Master'!AF46</f>
        <v>0</v>
      </c>
      <c r="AI78" s="19">
        <f>+'CCs # Master'!AG46</f>
        <v>85</v>
      </c>
      <c r="AJ78" s="19">
        <f>+'CCs # Master'!AH46</f>
        <v>85</v>
      </c>
      <c r="AK78" s="19">
        <f>+'CCs # Master'!AI46</f>
        <v>85</v>
      </c>
      <c r="AL78" s="19">
        <f>+'CCs # Master'!AJ46</f>
        <v>85</v>
      </c>
      <c r="AM78" s="19">
        <f>+'CCs # Master'!AK46</f>
        <v>0</v>
      </c>
      <c r="AN78" s="19">
        <f>+'CCs # Master'!AL46</f>
        <v>0</v>
      </c>
      <c r="AO78" s="19">
        <f>+'CCs # Master'!AM46</f>
        <v>0</v>
      </c>
      <c r="AP78" s="19">
        <f>+'CCs # Master'!AN46</f>
        <v>0</v>
      </c>
      <c r="AQ78" s="19">
        <f>+'CCs # Master'!AO46</f>
        <v>167</v>
      </c>
      <c r="AR78" s="19">
        <f>+'CCs # Master'!AP46</f>
        <v>209</v>
      </c>
      <c r="AS78" s="19">
        <f>+'CCs # Master'!AQ46</f>
        <v>0</v>
      </c>
      <c r="AT78" s="19">
        <f>+'CCs # Master'!AR46</f>
        <v>0</v>
      </c>
      <c r="AU78" s="19">
        <f>+'CCs # Master'!AS46</f>
        <v>0</v>
      </c>
      <c r="AV78" s="19">
        <f>+'CCs # Master'!AT46</f>
        <v>0</v>
      </c>
      <c r="AW78"/>
      <c r="AX78" s="21">
        <f t="shared" si="38"/>
        <v>2839</v>
      </c>
      <c r="AY78" s="21">
        <f t="shared" si="39"/>
        <v>0</v>
      </c>
      <c r="BA78" s="19">
        <f t="shared" si="40"/>
        <v>0</v>
      </c>
      <c r="BB78" s="19">
        <f t="shared" si="41"/>
        <v>0</v>
      </c>
      <c r="BC78" s="19">
        <f t="shared" si="42"/>
        <v>2839</v>
      </c>
      <c r="BE78" s="19">
        <f t="shared" si="43"/>
        <v>2839</v>
      </c>
      <c r="BG78" s="234">
        <f t="shared" si="46"/>
        <v>2839</v>
      </c>
      <c r="BH78" s="19">
        <f t="shared" si="44"/>
        <v>0</v>
      </c>
    </row>
    <row r="79" spans="1:60" s="19" customFormat="1" ht="12.95" customHeight="1" x14ac:dyDescent="0.2">
      <c r="A79" s="85" t="str">
        <f>+'CCs # Master'!A55</f>
        <v>0011</v>
      </c>
      <c r="B79" s="19" t="str">
        <f>+'CCs # Master'!B55</f>
        <v>RAC Risk Management Control</v>
      </c>
      <c r="C79" s="19" t="str">
        <f>+'CCs # Master'!C55</f>
        <v>Buy, Rick</v>
      </c>
      <c r="D79" s="205">
        <f>+'CCs # Master'!D55</f>
        <v>100068</v>
      </c>
      <c r="E79" s="19">
        <f>+'CCs # Master'!E55</f>
        <v>4225</v>
      </c>
      <c r="F79" s="19">
        <f>+'CCs # Master'!F55</f>
        <v>950</v>
      </c>
      <c r="G79" s="19">
        <f>+'CCs # Master'!G55</f>
        <v>27</v>
      </c>
      <c r="H79" s="19">
        <f>+'CCs # Master'!H55</f>
        <v>871</v>
      </c>
      <c r="I79" s="19">
        <f>+'CCs # Master'!I55</f>
        <v>425</v>
      </c>
      <c r="J79" s="19">
        <f>+'CCs # Master'!J55</f>
        <v>471</v>
      </c>
      <c r="K79" s="19">
        <f t="shared" si="45"/>
        <v>6969</v>
      </c>
      <c r="M79" s="19" t="str">
        <f>+'CCs # Master'!M55</f>
        <v>Historical data, groups supported</v>
      </c>
      <c r="N79" s="19">
        <f>+'CCs # Master'!AW55</f>
        <v>0</v>
      </c>
      <c r="O79" s="19">
        <v>0</v>
      </c>
      <c r="P79" s="19">
        <f>+'CCs # Master'!N55</f>
        <v>0</v>
      </c>
      <c r="Q79" s="19">
        <f>+'CCs # Master'!O55</f>
        <v>0</v>
      </c>
      <c r="R79" s="19">
        <f>+'CCs # Master'!P55</f>
        <v>0</v>
      </c>
      <c r="S79" s="19">
        <f>+'CCs # Master'!Q55</f>
        <v>0</v>
      </c>
      <c r="T79" s="19">
        <f>+'CCs # Master'!R55</f>
        <v>0</v>
      </c>
      <c r="U79" s="19">
        <f>+'CCs # Master'!S55</f>
        <v>35</v>
      </c>
      <c r="V79" s="19">
        <f>+'CCs # Master'!T55</f>
        <v>0</v>
      </c>
      <c r="W79" s="19">
        <f>+'CCs # Master'!U55</f>
        <v>0</v>
      </c>
      <c r="X79" s="19">
        <f>+'CCs # Master'!V55</f>
        <v>0</v>
      </c>
      <c r="Y79" s="19">
        <f>+'CCs # Master'!W55</f>
        <v>0</v>
      </c>
      <c r="Z79" s="19">
        <f>+'CCs # Master'!X55</f>
        <v>3511</v>
      </c>
      <c r="AA79" s="19">
        <f>+'CCs # Master'!Y55</f>
        <v>0</v>
      </c>
      <c r="AB79" s="19">
        <f>+'CCs # Master'!Z55</f>
        <v>0</v>
      </c>
      <c r="AC79" s="19">
        <f>+'CCs # Master'!AA55</f>
        <v>573</v>
      </c>
      <c r="AD79" s="19">
        <f>+'CCs # Master'!AB55</f>
        <v>1000</v>
      </c>
      <c r="AE79" s="19">
        <f>+'CCs # Master'!AC55</f>
        <v>0</v>
      </c>
      <c r="AF79" s="19">
        <f>+'CCs # Master'!AD55</f>
        <v>803</v>
      </c>
      <c r="AG79" s="19">
        <f>+'CCs # Master'!AE55</f>
        <v>133</v>
      </c>
      <c r="AH79" s="19">
        <f>+'CCs # Master'!AF55</f>
        <v>0</v>
      </c>
      <c r="AI79" s="19">
        <f>+'CCs # Master'!AG55</f>
        <v>15</v>
      </c>
      <c r="AJ79" s="19">
        <f>+'CCs # Master'!AH55</f>
        <v>0</v>
      </c>
      <c r="AK79" s="19">
        <f>+'CCs # Master'!AI55</f>
        <v>278</v>
      </c>
      <c r="AL79" s="19">
        <f>+'CCs # Master'!AJ55</f>
        <v>0</v>
      </c>
      <c r="AM79" s="19">
        <f>+'CCs # Master'!AK55</f>
        <v>0</v>
      </c>
      <c r="AN79" s="19">
        <f>+'CCs # Master'!AL55</f>
        <v>0</v>
      </c>
      <c r="AO79" s="19">
        <f>+'CCs # Master'!AM55</f>
        <v>0</v>
      </c>
      <c r="AP79" s="19">
        <f>+'CCs # Master'!AN55</f>
        <v>0</v>
      </c>
      <c r="AQ79" s="19">
        <f>+'CCs # Master'!AO55</f>
        <v>548</v>
      </c>
      <c r="AR79" s="19">
        <f>+'CCs # Master'!AP55</f>
        <v>73</v>
      </c>
      <c r="AS79" s="19">
        <f>+'CCs # Master'!AQ55</f>
        <v>0</v>
      </c>
      <c r="AT79" s="19">
        <f>+'CCs # Master'!AR55</f>
        <v>0</v>
      </c>
      <c r="AU79" s="19">
        <f>+'CCs # Master'!AS55</f>
        <v>0</v>
      </c>
      <c r="AV79" s="19">
        <f>+'CCs # Master'!AT55</f>
        <v>0</v>
      </c>
      <c r="AW79"/>
      <c r="AX79" s="21">
        <f t="shared" si="38"/>
        <v>6969</v>
      </c>
      <c r="AY79" s="21">
        <f t="shared" si="39"/>
        <v>0</v>
      </c>
      <c r="BA79" s="19">
        <f t="shared" si="40"/>
        <v>35</v>
      </c>
      <c r="BB79" s="19">
        <f t="shared" si="41"/>
        <v>0</v>
      </c>
      <c r="BC79" s="19">
        <f t="shared" si="42"/>
        <v>6969</v>
      </c>
      <c r="BE79" s="19">
        <f t="shared" si="43"/>
        <v>6969</v>
      </c>
      <c r="BG79" s="234">
        <f t="shared" si="46"/>
        <v>6969</v>
      </c>
      <c r="BH79" s="19">
        <f t="shared" si="44"/>
        <v>0</v>
      </c>
    </row>
    <row r="80" spans="1:60" s="19" customFormat="1" ht="12.95" customHeight="1" x14ac:dyDescent="0.2">
      <c r="A80" s="85">
        <f>+'CCs # Master'!A137</f>
        <v>11</v>
      </c>
      <c r="B80" s="226" t="str">
        <f>+'CCs # Master'!B137</f>
        <v>Lowry/Carson - Domestic Compliance</v>
      </c>
      <c r="C80" s="226" t="str">
        <f>+'CCs # Master'!C137</f>
        <v>Lowry, Donna</v>
      </c>
      <c r="D80" s="85">
        <f>+'CCs # Master'!D137</f>
        <v>100872</v>
      </c>
      <c r="E80" s="19">
        <f>+'CCs # Master'!E137</f>
        <v>660</v>
      </c>
      <c r="F80" s="19">
        <f>+'CCs # Master'!F137</f>
        <v>64</v>
      </c>
      <c r="G80" s="19">
        <f>+'CCs # Master'!G137</f>
        <v>7</v>
      </c>
      <c r="H80" s="19">
        <f>+'CCs # Master'!H137</f>
        <v>25</v>
      </c>
      <c r="I80" s="19">
        <f>+'CCs # Master'!I137</f>
        <v>79</v>
      </c>
      <c r="J80" s="19">
        <f>+'CCs # Master'!J137</f>
        <v>5</v>
      </c>
      <c r="K80" s="19">
        <f t="shared" si="45"/>
        <v>840</v>
      </c>
      <c r="M80" s="19" t="str">
        <f>+'CCs # Master'!M137</f>
        <v>Anticipated Resources</v>
      </c>
      <c r="N80" s="19">
        <f>+'CCs # Master'!AW137</f>
        <v>0</v>
      </c>
      <c r="O80" s="19">
        <v>0</v>
      </c>
      <c r="P80" s="19">
        <f>+'CCs # Master'!N137</f>
        <v>0</v>
      </c>
      <c r="Q80" s="19">
        <f>+'CCs # Master'!O137</f>
        <v>0</v>
      </c>
      <c r="R80" s="19">
        <f>+'CCs # Master'!P137</f>
        <v>0</v>
      </c>
      <c r="S80" s="19">
        <f>+'CCs # Master'!Q137</f>
        <v>0</v>
      </c>
      <c r="T80" s="19">
        <f>+'CCs # Master'!R137</f>
        <v>0</v>
      </c>
      <c r="U80" s="19">
        <f>+'CCs # Master'!S137</f>
        <v>0</v>
      </c>
      <c r="V80" s="19">
        <f>+'CCs # Master'!T137</f>
        <v>0</v>
      </c>
      <c r="W80" s="19">
        <f>+'CCs # Master'!U137</f>
        <v>0</v>
      </c>
      <c r="X80" s="19">
        <f>+'CCs # Master'!V137</f>
        <v>0</v>
      </c>
      <c r="Y80" s="19">
        <f>+'CCs # Master'!W137</f>
        <v>0</v>
      </c>
      <c r="Z80" s="19">
        <f>+'CCs # Master'!X137</f>
        <v>517</v>
      </c>
      <c r="AA80" s="19">
        <f>+'CCs # Master'!Y137</f>
        <v>0</v>
      </c>
      <c r="AB80" s="19">
        <f>+'CCs # Master'!Z137</f>
        <v>0</v>
      </c>
      <c r="AC80" s="19">
        <f>+'CCs # Master'!AA137</f>
        <v>0</v>
      </c>
      <c r="AD80" s="19">
        <f>+'CCs # Master'!AB137</f>
        <v>0</v>
      </c>
      <c r="AE80" s="19">
        <f>+'CCs # Master'!AC137</f>
        <v>0</v>
      </c>
      <c r="AF80" s="19">
        <f>+'CCs # Master'!AD137</f>
        <v>0</v>
      </c>
      <c r="AG80" s="19">
        <f>+'CCs # Master'!AE137</f>
        <v>0</v>
      </c>
      <c r="AH80" s="19">
        <f>+'CCs # Master'!AF137</f>
        <v>0</v>
      </c>
      <c r="AI80" s="19">
        <f>+'CCs # Master'!AG137</f>
        <v>0</v>
      </c>
      <c r="AJ80" s="19">
        <f>+'CCs # Master'!AH137</f>
        <v>0</v>
      </c>
      <c r="AK80" s="19">
        <f>+'CCs # Master'!AI137</f>
        <v>0</v>
      </c>
      <c r="AL80" s="19">
        <f>+'CCs # Master'!AJ137</f>
        <v>0</v>
      </c>
      <c r="AM80" s="19">
        <f>+'CCs # Master'!AK137</f>
        <v>0</v>
      </c>
      <c r="AN80" s="19">
        <f>+'CCs # Master'!AL137</f>
        <v>0</v>
      </c>
      <c r="AO80" s="19">
        <f>+'CCs # Master'!AM137</f>
        <v>0</v>
      </c>
      <c r="AP80" s="19">
        <f>+'CCs # Master'!AN137</f>
        <v>0</v>
      </c>
      <c r="AQ80" s="19">
        <f>+'CCs # Master'!AO137</f>
        <v>194</v>
      </c>
      <c r="AR80" s="19">
        <f>+'CCs # Master'!AP137</f>
        <v>129</v>
      </c>
      <c r="AS80" s="19">
        <f>+'CCs # Master'!AQ137</f>
        <v>0</v>
      </c>
      <c r="AT80" s="19">
        <f>+'CCs # Master'!AR137</f>
        <v>0</v>
      </c>
      <c r="AU80" s="19">
        <f>+'CCs # Master'!AS137</f>
        <v>0</v>
      </c>
      <c r="AV80" s="19">
        <f>+'CCs # Master'!AT137</f>
        <v>0</v>
      </c>
      <c r="AW80"/>
      <c r="AX80" s="21">
        <f>SUM(N80:AW80)</f>
        <v>840</v>
      </c>
      <c r="AY80" s="21">
        <f>+K80-AX80</f>
        <v>0</v>
      </c>
      <c r="BA80" s="19">
        <f t="shared" si="40"/>
        <v>0</v>
      </c>
      <c r="BB80" s="19">
        <f>N80</f>
        <v>0</v>
      </c>
      <c r="BC80" s="19">
        <f>SUM(P80:AW80)</f>
        <v>840</v>
      </c>
      <c r="BE80" s="19">
        <f>SUM(BB80:BC80)</f>
        <v>840</v>
      </c>
      <c r="BG80" s="234">
        <f>SUM(N80:AW80)</f>
        <v>840</v>
      </c>
      <c r="BH80" s="19">
        <f>BE80-BG80</f>
        <v>0</v>
      </c>
    </row>
    <row r="81" spans="1:60" s="19" customFormat="1" ht="12.95" customHeight="1" x14ac:dyDescent="0.2">
      <c r="A81" s="85">
        <f>+'CCs # Master'!A138</f>
        <v>11</v>
      </c>
      <c r="B81" s="19" t="str">
        <f>+'CCs # Master'!B138</f>
        <v>Lowry/Carson - International Compliance</v>
      </c>
      <c r="C81" s="19" t="str">
        <f>+'CCs # Master'!C138</f>
        <v>Lowry, Donna</v>
      </c>
      <c r="D81" s="85">
        <f>+'CCs # Master'!D138</f>
        <v>100873</v>
      </c>
      <c r="E81" s="19">
        <f>+'CCs # Master'!E138</f>
        <v>0</v>
      </c>
      <c r="F81" s="19">
        <f>+'CCs # Master'!F138</f>
        <v>0</v>
      </c>
      <c r="G81" s="19">
        <f>+'CCs # Master'!G138</f>
        <v>0</v>
      </c>
      <c r="H81" s="19">
        <f>+'CCs # Master'!H138</f>
        <v>0</v>
      </c>
      <c r="I81" s="19">
        <f>+'CCs # Master'!I138</f>
        <v>0</v>
      </c>
      <c r="J81" s="19">
        <f>+'CCs # Master'!J138</f>
        <v>0</v>
      </c>
      <c r="K81" s="19">
        <f t="shared" si="45"/>
        <v>0</v>
      </c>
      <c r="M81" s="19" t="str">
        <f>+'CCs # Master'!M138</f>
        <v>Anticipated Resources</v>
      </c>
      <c r="N81" s="19">
        <f>+'CCs # Master'!AW138</f>
        <v>0</v>
      </c>
      <c r="O81" s="19">
        <v>0</v>
      </c>
      <c r="P81" s="19">
        <f>+'CCs # Master'!N138</f>
        <v>0</v>
      </c>
      <c r="Q81" s="19">
        <f>+'CCs # Master'!O138</f>
        <v>0</v>
      </c>
      <c r="R81" s="19">
        <f>+'CCs # Master'!P138</f>
        <v>0</v>
      </c>
      <c r="S81" s="19">
        <f>+'CCs # Master'!Q138</f>
        <v>0</v>
      </c>
      <c r="T81" s="19">
        <f>+'CCs # Master'!R138</f>
        <v>0</v>
      </c>
      <c r="U81" s="19">
        <f>+'CCs # Master'!S138</f>
        <v>0</v>
      </c>
      <c r="V81" s="19">
        <f>+'CCs # Master'!T138</f>
        <v>0</v>
      </c>
      <c r="W81" s="19">
        <f>+'CCs # Master'!U138</f>
        <v>0</v>
      </c>
      <c r="X81" s="19">
        <f>+'CCs # Master'!V138</f>
        <v>0</v>
      </c>
      <c r="Y81" s="19">
        <f>+'CCs # Master'!W138</f>
        <v>0</v>
      </c>
      <c r="Z81" s="19">
        <f>+'CCs # Master'!X138</f>
        <v>0</v>
      </c>
      <c r="AA81" s="19">
        <f>+'CCs # Master'!Y138</f>
        <v>0</v>
      </c>
      <c r="AB81" s="19">
        <f>+'CCs # Master'!Z138</f>
        <v>0</v>
      </c>
      <c r="AC81" s="19">
        <f>+'CCs # Master'!AA138</f>
        <v>0</v>
      </c>
      <c r="AD81" s="19">
        <f>+'CCs # Master'!AB138</f>
        <v>0</v>
      </c>
      <c r="AE81" s="19">
        <f>+'CCs # Master'!AC138</f>
        <v>0</v>
      </c>
      <c r="AF81" s="19">
        <f>+'CCs # Master'!AD138</f>
        <v>0</v>
      </c>
      <c r="AG81" s="19">
        <f>+'CCs # Master'!AE138</f>
        <v>0</v>
      </c>
      <c r="AH81" s="19">
        <f>+'CCs # Master'!AF138</f>
        <v>0</v>
      </c>
      <c r="AI81" s="19">
        <f>+'CCs # Master'!AG138</f>
        <v>0</v>
      </c>
      <c r="AJ81" s="19">
        <f>+'CCs # Master'!AH138</f>
        <v>0</v>
      </c>
      <c r="AK81" s="19">
        <f>+'CCs # Master'!AI138</f>
        <v>0</v>
      </c>
      <c r="AL81" s="19">
        <f>+'CCs # Master'!AJ138</f>
        <v>0</v>
      </c>
      <c r="AM81" s="19">
        <f>+'CCs # Master'!AK138</f>
        <v>0</v>
      </c>
      <c r="AN81" s="19">
        <f>+'CCs # Master'!AL138</f>
        <v>0</v>
      </c>
      <c r="AO81" s="19">
        <f>+'CCs # Master'!AM138</f>
        <v>0</v>
      </c>
      <c r="AP81" s="19">
        <f>+'CCs # Master'!AN138</f>
        <v>0</v>
      </c>
      <c r="AQ81" s="19">
        <f>+'CCs # Master'!AO138</f>
        <v>0</v>
      </c>
      <c r="AR81" s="19">
        <f>+'CCs # Master'!AP138</f>
        <v>0</v>
      </c>
      <c r="AS81" s="19">
        <f>+'CCs # Master'!AQ138</f>
        <v>0</v>
      </c>
      <c r="AT81" s="19">
        <f>+'CCs # Master'!AR138</f>
        <v>0</v>
      </c>
      <c r="AU81" s="19">
        <f>+'CCs # Master'!AS138</f>
        <v>0</v>
      </c>
      <c r="AV81" s="19">
        <f>+'CCs # Master'!AT138</f>
        <v>0</v>
      </c>
      <c r="AW81"/>
      <c r="AX81" s="21">
        <f t="shared" si="38"/>
        <v>0</v>
      </c>
      <c r="AY81" s="21">
        <f t="shared" si="39"/>
        <v>0</v>
      </c>
      <c r="BA81" s="19">
        <f t="shared" si="40"/>
        <v>0</v>
      </c>
      <c r="BB81" s="19">
        <f t="shared" si="41"/>
        <v>0</v>
      </c>
      <c r="BC81" s="227">
        <f t="shared" si="42"/>
        <v>0</v>
      </c>
      <c r="BE81" s="227">
        <f t="shared" si="43"/>
        <v>0</v>
      </c>
      <c r="BG81" s="249">
        <f t="shared" si="46"/>
        <v>0</v>
      </c>
      <c r="BH81" s="19">
        <f t="shared" si="44"/>
        <v>0</v>
      </c>
    </row>
    <row r="82" spans="1:60" s="19" customFormat="1" ht="8.1" customHeight="1" x14ac:dyDescent="0.2">
      <c r="A82" s="207"/>
      <c r="B82" s="29"/>
      <c r="D82" s="205"/>
      <c r="E82" s="191"/>
      <c r="F82" s="191"/>
      <c r="G82" s="191"/>
      <c r="H82" s="191"/>
      <c r="I82" s="191"/>
      <c r="J82" s="191"/>
      <c r="K82" s="191"/>
      <c r="N82" s="191"/>
      <c r="O82" s="191"/>
      <c r="P82" s="191"/>
      <c r="Q82" s="191"/>
      <c r="R82" s="191"/>
      <c r="S82" s="191"/>
      <c r="T82" s="191"/>
      <c r="U82" s="191"/>
      <c r="V82" s="191"/>
      <c r="W82" s="191"/>
      <c r="X82" s="191"/>
      <c r="Y82" s="191"/>
      <c r="Z82" s="191"/>
      <c r="AA82" s="191"/>
      <c r="AB82" s="191"/>
      <c r="AC82" s="191"/>
      <c r="AD82" s="191"/>
      <c r="AE82" s="191"/>
      <c r="AF82" s="191"/>
      <c r="AG82" s="191"/>
      <c r="AH82" s="191"/>
      <c r="AI82" s="191"/>
      <c r="AJ82" s="191"/>
      <c r="AK82" s="191"/>
      <c r="AL82" s="191"/>
      <c r="AM82" s="191"/>
      <c r="AN82" s="191"/>
      <c r="AO82" s="191"/>
      <c r="AP82" s="191"/>
      <c r="AQ82" s="191"/>
      <c r="AR82" s="191"/>
      <c r="AS82" s="191"/>
      <c r="AT82" s="191"/>
      <c r="AU82" s="191"/>
      <c r="AV82" s="191"/>
      <c r="AW82"/>
      <c r="AX82" s="191"/>
      <c r="AY82" s="191"/>
      <c r="BA82" s="191"/>
      <c r="BB82" s="191"/>
      <c r="BG82" s="234"/>
    </row>
    <row r="83" spans="1:60" s="19" customFormat="1" ht="12.95" customHeight="1" x14ac:dyDescent="0.2">
      <c r="A83" s="207"/>
      <c r="B83" s="29"/>
      <c r="D83" s="205"/>
      <c r="E83" s="227">
        <f>SUM(E75:E82)</f>
        <v>15398</v>
      </c>
      <c r="F83" s="227">
        <f t="shared" ref="F83:K83" si="47">SUM(F75:F82)</f>
        <v>2329</v>
      </c>
      <c r="G83" s="227">
        <f t="shared" si="47"/>
        <v>114</v>
      </c>
      <c r="H83" s="227">
        <f t="shared" si="47"/>
        <v>1590</v>
      </c>
      <c r="I83" s="227">
        <f t="shared" si="47"/>
        <v>1880</v>
      </c>
      <c r="J83" s="227">
        <f t="shared" si="47"/>
        <v>1681</v>
      </c>
      <c r="K83" s="227">
        <f t="shared" si="47"/>
        <v>22992</v>
      </c>
      <c r="N83" s="227">
        <f>SUM(N75:N82)</f>
        <v>0</v>
      </c>
      <c r="O83" s="227">
        <f t="shared" ref="O83:AV83" si="48">SUM(O75:O82)</f>
        <v>0</v>
      </c>
      <c r="P83" s="227">
        <f t="shared" si="48"/>
        <v>0</v>
      </c>
      <c r="Q83" s="227">
        <f t="shared" si="48"/>
        <v>0</v>
      </c>
      <c r="R83" s="227">
        <f t="shared" si="48"/>
        <v>71</v>
      </c>
      <c r="S83" s="227">
        <f t="shared" si="48"/>
        <v>75</v>
      </c>
      <c r="T83" s="227">
        <f t="shared" si="48"/>
        <v>0</v>
      </c>
      <c r="U83" s="227">
        <f t="shared" si="48"/>
        <v>35</v>
      </c>
      <c r="V83" s="227">
        <f t="shared" si="48"/>
        <v>0</v>
      </c>
      <c r="W83" s="227">
        <f t="shared" si="48"/>
        <v>66</v>
      </c>
      <c r="X83" s="227">
        <f t="shared" si="48"/>
        <v>66</v>
      </c>
      <c r="Y83" s="227">
        <f t="shared" si="48"/>
        <v>0</v>
      </c>
      <c r="Z83" s="227">
        <f t="shared" si="48"/>
        <v>9601</v>
      </c>
      <c r="AA83" s="227">
        <f t="shared" si="48"/>
        <v>146</v>
      </c>
      <c r="AB83" s="227">
        <f t="shared" si="48"/>
        <v>0</v>
      </c>
      <c r="AC83" s="227">
        <f t="shared" si="48"/>
        <v>996</v>
      </c>
      <c r="AD83" s="227">
        <f t="shared" si="48"/>
        <v>2082</v>
      </c>
      <c r="AE83" s="227">
        <f t="shared" si="48"/>
        <v>0</v>
      </c>
      <c r="AF83" s="227">
        <f t="shared" si="48"/>
        <v>3077</v>
      </c>
      <c r="AG83" s="227">
        <f t="shared" si="48"/>
        <v>2144</v>
      </c>
      <c r="AH83" s="227">
        <f t="shared" si="48"/>
        <v>32</v>
      </c>
      <c r="AI83" s="227">
        <f t="shared" si="48"/>
        <v>133</v>
      </c>
      <c r="AJ83" s="227">
        <f t="shared" si="48"/>
        <v>320</v>
      </c>
      <c r="AK83" s="227">
        <f t="shared" si="48"/>
        <v>1103</v>
      </c>
      <c r="AL83" s="227">
        <f t="shared" si="48"/>
        <v>344</v>
      </c>
      <c r="AM83" s="227">
        <f t="shared" si="48"/>
        <v>0</v>
      </c>
      <c r="AN83" s="227">
        <f t="shared" si="48"/>
        <v>0</v>
      </c>
      <c r="AO83" s="227">
        <f t="shared" si="48"/>
        <v>66</v>
      </c>
      <c r="AP83" s="227">
        <f t="shared" si="48"/>
        <v>0</v>
      </c>
      <c r="AQ83" s="227">
        <f t="shared" si="48"/>
        <v>1528</v>
      </c>
      <c r="AR83" s="227">
        <f t="shared" si="48"/>
        <v>1107</v>
      </c>
      <c r="AS83" s="227">
        <f t="shared" si="48"/>
        <v>0</v>
      </c>
      <c r="AT83" s="227">
        <f t="shared" si="48"/>
        <v>0</v>
      </c>
      <c r="AU83" s="227">
        <f t="shared" si="48"/>
        <v>0</v>
      </c>
      <c r="AV83" s="227">
        <f t="shared" si="48"/>
        <v>0</v>
      </c>
      <c r="AW83"/>
      <c r="AX83" s="227">
        <f>SUM(AX75:AX82)</f>
        <v>22992</v>
      </c>
      <c r="AY83" s="227">
        <f>SUM(AY75:AY82)</f>
        <v>0</v>
      </c>
      <c r="BA83" s="227">
        <f>SUM(BA75:BA82)</f>
        <v>167</v>
      </c>
      <c r="BB83" s="227">
        <f>SUM(BB75:BB82)</f>
        <v>0</v>
      </c>
      <c r="BC83" s="227">
        <f>SUM(BC75:BC82)</f>
        <v>22992</v>
      </c>
      <c r="BE83" s="227">
        <f>SUM(BE75:BE82)</f>
        <v>22992</v>
      </c>
      <c r="BG83" s="227">
        <f>SUM(BG75:BG82)</f>
        <v>22992</v>
      </c>
      <c r="BH83" s="19">
        <f>SUM(BH75:BH82)</f>
        <v>0</v>
      </c>
    </row>
    <row r="84" spans="1:60" s="19" customFormat="1" ht="8.1" customHeight="1" x14ac:dyDescent="0.2">
      <c r="A84" s="207"/>
      <c r="B84" s="29"/>
      <c r="D84" s="205"/>
      <c r="F84" s="21"/>
      <c r="G84" s="21"/>
      <c r="K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c r="AV84" s="21"/>
      <c r="AW84"/>
      <c r="AX84" s="21"/>
      <c r="AY84" s="21"/>
      <c r="BA84" s="21"/>
      <c r="BB84" s="21"/>
      <c r="BC84" s="21"/>
      <c r="BE84" s="21"/>
      <c r="BF84" s="21"/>
      <c r="BG84" s="234"/>
    </row>
    <row r="85" spans="1:60" s="19" customFormat="1" ht="12.95" customHeight="1" x14ac:dyDescent="0.2">
      <c r="A85" s="207" t="s">
        <v>341</v>
      </c>
      <c r="B85" s="29"/>
      <c r="D85" s="205"/>
      <c r="F85" s="21"/>
      <c r="G85" s="21"/>
      <c r="K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c r="AV85" s="21"/>
      <c r="AW85"/>
      <c r="AX85" s="21"/>
      <c r="AY85" s="21"/>
      <c r="BA85" s="21"/>
      <c r="BB85" s="21"/>
      <c r="BC85" s="21"/>
      <c r="BE85" s="21"/>
      <c r="BF85" s="21"/>
      <c r="BG85" s="234"/>
    </row>
    <row r="86" spans="1:60" s="19" customFormat="1" ht="12.95" customHeight="1" x14ac:dyDescent="0.2">
      <c r="A86" s="85">
        <f>+'CCs # Master'!A25</f>
        <v>11</v>
      </c>
      <c r="B86" s="19" t="str">
        <f>+'CCs # Master'!B25</f>
        <v>Investor Relations</v>
      </c>
      <c r="C86" s="19" t="str">
        <f>+'CCs # Master'!C25</f>
        <v>Koeing, Mark</v>
      </c>
      <c r="D86" s="205">
        <f>+'CCs # Master'!D25</f>
        <v>100024</v>
      </c>
      <c r="E86" s="19">
        <f>+'CCs # Master'!E25</f>
        <v>1470</v>
      </c>
      <c r="F86" s="19">
        <f>+'CCs # Master'!F25</f>
        <v>308</v>
      </c>
      <c r="G86" s="19">
        <f>+'CCs # Master'!G25</f>
        <v>50</v>
      </c>
      <c r="H86" s="19">
        <f>+'CCs # Master'!H25</f>
        <v>655</v>
      </c>
      <c r="I86" s="19">
        <f>+'CCs # Master'!I25</f>
        <v>500</v>
      </c>
      <c r="J86" s="19">
        <f>+'CCs # Master'!J25</f>
        <v>103</v>
      </c>
      <c r="K86" s="19">
        <f>SUM(E86:J86)</f>
        <v>3086</v>
      </c>
      <c r="M86" s="19" t="str">
        <f>+'CCs # Master'!M25</f>
        <v>MMF</v>
      </c>
      <c r="N86" s="19">
        <f>+'CCs # Master'!AW25</f>
        <v>3036</v>
      </c>
      <c r="O86" s="19">
        <v>0</v>
      </c>
      <c r="P86" s="19">
        <f>+'CCs # Master'!N25</f>
        <v>0</v>
      </c>
      <c r="Q86" s="19">
        <f>+'CCs # Master'!O25</f>
        <v>0</v>
      </c>
      <c r="R86" s="19">
        <f>+'CCs # Master'!P25</f>
        <v>0</v>
      </c>
      <c r="S86" s="19">
        <f>+'CCs # Master'!Q25</f>
        <v>0</v>
      </c>
      <c r="T86" s="19">
        <f>+'CCs # Master'!R25</f>
        <v>0</v>
      </c>
      <c r="U86" s="19">
        <f>+'CCs # Master'!S25</f>
        <v>50</v>
      </c>
      <c r="V86" s="19">
        <f>+'CCs # Master'!T25</f>
        <v>0</v>
      </c>
      <c r="W86" s="19">
        <f>+'CCs # Master'!U25</f>
        <v>0</v>
      </c>
      <c r="X86" s="19">
        <f>+'CCs # Master'!V25</f>
        <v>0</v>
      </c>
      <c r="Y86" s="19">
        <f>+'CCs # Master'!W25</f>
        <v>0</v>
      </c>
      <c r="Z86" s="19">
        <f>+'CCs # Master'!X25</f>
        <v>0</v>
      </c>
      <c r="AA86" s="19">
        <f>+'CCs # Master'!Y25</f>
        <v>0</v>
      </c>
      <c r="AB86" s="19">
        <f>+'CCs # Master'!Z25</f>
        <v>0</v>
      </c>
      <c r="AC86" s="19">
        <f>+'CCs # Master'!AA25</f>
        <v>0</v>
      </c>
      <c r="AD86" s="19">
        <f>+'CCs # Master'!AB25</f>
        <v>0</v>
      </c>
      <c r="AE86" s="19">
        <f>+'CCs # Master'!AC25</f>
        <v>0</v>
      </c>
      <c r="AF86" s="19">
        <f>+'CCs # Master'!AD25</f>
        <v>0</v>
      </c>
      <c r="AG86" s="19">
        <f>+'CCs # Master'!AE25</f>
        <v>0</v>
      </c>
      <c r="AH86" s="19">
        <f>+'CCs # Master'!AF25</f>
        <v>0</v>
      </c>
      <c r="AI86" s="19">
        <f>+'CCs # Master'!AG25</f>
        <v>0</v>
      </c>
      <c r="AJ86" s="19">
        <f>+'CCs # Master'!AH25</f>
        <v>0</v>
      </c>
      <c r="AK86" s="19">
        <f>+'CCs # Master'!AI25</f>
        <v>0</v>
      </c>
      <c r="AL86" s="19">
        <f>+'CCs # Master'!AJ25</f>
        <v>0</v>
      </c>
      <c r="AM86" s="19">
        <f>+'CCs # Master'!AK25</f>
        <v>0</v>
      </c>
      <c r="AN86" s="19">
        <f>+'CCs # Master'!AL25</f>
        <v>0</v>
      </c>
      <c r="AO86" s="19">
        <f>+'CCs # Master'!AM25</f>
        <v>0</v>
      </c>
      <c r="AP86" s="19">
        <f>+'CCs # Master'!AN25</f>
        <v>0</v>
      </c>
      <c r="AQ86" s="19">
        <f>+'CCs # Master'!AO25</f>
        <v>0</v>
      </c>
      <c r="AR86" s="19">
        <f>+'CCs # Master'!AP25</f>
        <v>0</v>
      </c>
      <c r="AS86" s="19">
        <f>+'CCs # Master'!AQ25</f>
        <v>0</v>
      </c>
      <c r="AT86" s="19">
        <f>+'CCs # Master'!AR25</f>
        <v>0</v>
      </c>
      <c r="AU86" s="19">
        <f>+'CCs # Master'!AS25</f>
        <v>0</v>
      </c>
      <c r="AV86" s="19">
        <f>+'CCs # Master'!AT25</f>
        <v>0</v>
      </c>
      <c r="AW86"/>
      <c r="AX86" s="21">
        <f>SUM(N86:AW86)</f>
        <v>3086</v>
      </c>
      <c r="AY86" s="21">
        <f>+K86-AX86</f>
        <v>0</v>
      </c>
      <c r="BA86" s="19">
        <f>+P86+Q86+T86+U86+V86+W86+X86+Y86</f>
        <v>50</v>
      </c>
      <c r="BB86" s="19">
        <f>N86</f>
        <v>3036</v>
      </c>
      <c r="BC86" s="19">
        <f>SUM(P86:AW86)</f>
        <v>50</v>
      </c>
      <c r="BE86" s="19">
        <f>SUM(BB86:BC86)</f>
        <v>3086</v>
      </c>
      <c r="BG86" s="234">
        <f>SUM(N86:AW86)</f>
        <v>3086</v>
      </c>
      <c r="BH86" s="19">
        <f>BE86-BG86</f>
        <v>0</v>
      </c>
    </row>
    <row r="87" spans="1:60" s="19" customFormat="1" ht="12.95" customHeight="1" x14ac:dyDescent="0.2">
      <c r="A87" s="85"/>
      <c r="D87" s="205"/>
      <c r="K87" s="21"/>
      <c r="AW87"/>
      <c r="AX87" s="21"/>
      <c r="AY87" s="21"/>
      <c r="BG87" s="234"/>
    </row>
    <row r="88" spans="1:60" s="19" customFormat="1" ht="12.95" customHeight="1" x14ac:dyDescent="0.2">
      <c r="A88" s="207" t="s">
        <v>348</v>
      </c>
      <c r="D88" s="205"/>
      <c r="K88" s="21"/>
      <c r="AW88"/>
      <c r="AX88" s="21"/>
      <c r="AY88" s="21"/>
      <c r="BG88" s="234"/>
    </row>
    <row r="89" spans="1:60" s="19" customFormat="1" ht="12.95" customHeight="1" x14ac:dyDescent="0.2">
      <c r="A89" s="85">
        <f>+'CCs # Master'!A28</f>
        <v>11</v>
      </c>
      <c r="B89" s="19" t="str">
        <f>+'CCs # Master'!B28</f>
        <v>Corporate Development</v>
      </c>
      <c r="C89" s="19" t="str">
        <f>+'CCs # Master'!C28</f>
        <v>Metts, M</v>
      </c>
      <c r="D89" s="205">
        <f>+'CCs # Master'!D28</f>
        <v>100028</v>
      </c>
      <c r="E89" s="19">
        <f>+'CCs # Master'!E28</f>
        <v>2542</v>
      </c>
      <c r="F89" s="19">
        <f>+'CCs # Master'!F28</f>
        <v>102</v>
      </c>
      <c r="G89" s="19">
        <f>+'CCs # Master'!G28</f>
        <v>20</v>
      </c>
      <c r="H89" s="19">
        <f>+'CCs # Master'!H28</f>
        <v>425</v>
      </c>
      <c r="I89" s="19">
        <f>+'CCs # Master'!I28</f>
        <v>309</v>
      </c>
      <c r="J89" s="19">
        <f>+'CCs # Master'!J28</f>
        <v>87</v>
      </c>
      <c r="K89" s="21">
        <f>SUM(E89:J89)</f>
        <v>3485</v>
      </c>
      <c r="M89" s="19" t="str">
        <f>+'CCs # Master'!M28</f>
        <v>Retained at Corp</v>
      </c>
      <c r="N89" s="19">
        <f>+'CCs # Master'!AW28</f>
        <v>3485</v>
      </c>
      <c r="O89" s="19">
        <v>0</v>
      </c>
      <c r="P89" s="19">
        <f>+'CCs # Master'!N28</f>
        <v>0</v>
      </c>
      <c r="Q89" s="19">
        <f>+'CCs # Master'!O28</f>
        <v>0</v>
      </c>
      <c r="R89" s="19">
        <f>+'CCs # Master'!P28</f>
        <v>0</v>
      </c>
      <c r="S89" s="19">
        <f>+'CCs # Master'!Q28</f>
        <v>0</v>
      </c>
      <c r="T89" s="19">
        <f>+'CCs # Master'!R28</f>
        <v>0</v>
      </c>
      <c r="U89" s="19">
        <f>+'CCs # Master'!S28</f>
        <v>0</v>
      </c>
      <c r="V89" s="19">
        <f>+'CCs # Master'!T28</f>
        <v>0</v>
      </c>
      <c r="W89" s="19">
        <f>+'CCs # Master'!U28</f>
        <v>0</v>
      </c>
      <c r="X89" s="19">
        <f>+'CCs # Master'!V28</f>
        <v>0</v>
      </c>
      <c r="Y89" s="19">
        <f>+'CCs # Master'!W28</f>
        <v>0</v>
      </c>
      <c r="Z89" s="19">
        <f>+'CCs # Master'!X28</f>
        <v>0</v>
      </c>
      <c r="AA89" s="19">
        <f>+'CCs # Master'!Y28</f>
        <v>0</v>
      </c>
      <c r="AB89" s="19">
        <f>+'CCs # Master'!Z28</f>
        <v>0</v>
      </c>
      <c r="AC89" s="19">
        <f>+'CCs # Master'!AA28</f>
        <v>0</v>
      </c>
      <c r="AD89" s="19">
        <f>+'CCs # Master'!AB28</f>
        <v>0</v>
      </c>
      <c r="AE89" s="19">
        <f>+'CCs # Master'!AC28</f>
        <v>0</v>
      </c>
      <c r="AF89" s="19">
        <f>+'CCs # Master'!AD28</f>
        <v>0</v>
      </c>
      <c r="AG89" s="19">
        <f>+'CCs # Master'!AE28</f>
        <v>0</v>
      </c>
      <c r="AH89" s="19">
        <f>+'CCs # Master'!AF28</f>
        <v>0</v>
      </c>
      <c r="AI89" s="19">
        <f>+'CCs # Master'!AG28</f>
        <v>0</v>
      </c>
      <c r="AJ89" s="19">
        <f>+'CCs # Master'!AH28</f>
        <v>0</v>
      </c>
      <c r="AK89" s="19">
        <f>+'CCs # Master'!AI28</f>
        <v>0</v>
      </c>
      <c r="AL89" s="19">
        <f>+'CCs # Master'!AJ28</f>
        <v>0</v>
      </c>
      <c r="AM89" s="19">
        <f>+'CCs # Master'!AK28</f>
        <v>0</v>
      </c>
      <c r="AN89" s="19">
        <f>+'CCs # Master'!AL28</f>
        <v>0</v>
      </c>
      <c r="AO89" s="19">
        <f>+'CCs # Master'!AM28</f>
        <v>0</v>
      </c>
      <c r="AP89" s="19">
        <f>+'CCs # Master'!AN28</f>
        <v>0</v>
      </c>
      <c r="AQ89" s="19">
        <f>+'CCs # Master'!AO28</f>
        <v>0</v>
      </c>
      <c r="AR89" s="19">
        <f>+'CCs # Master'!AP28</f>
        <v>0</v>
      </c>
      <c r="AS89" s="19">
        <f>+'CCs # Master'!AQ28</f>
        <v>0</v>
      </c>
      <c r="AT89" s="19">
        <f>+'CCs # Master'!AR28</f>
        <v>0</v>
      </c>
      <c r="AU89" s="19">
        <f>+'CCs # Master'!AS28</f>
        <v>0</v>
      </c>
      <c r="AV89" s="19">
        <f>+'CCs # Master'!AT28</f>
        <v>0</v>
      </c>
      <c r="AW89"/>
      <c r="AX89" s="21">
        <f>SUM(N89:AW89)</f>
        <v>3485</v>
      </c>
      <c r="AY89" s="21">
        <f>+K89-AX89</f>
        <v>0</v>
      </c>
      <c r="BA89" s="19">
        <f>+P89+Q89+T89+U89+V89+W89+X89+Y89</f>
        <v>0</v>
      </c>
      <c r="BB89" s="19">
        <f>N89</f>
        <v>3485</v>
      </c>
      <c r="BC89" s="19">
        <f>SUM(P89:AW89)</f>
        <v>0</v>
      </c>
      <c r="BE89" s="19">
        <f>SUM(BB89:BC89)</f>
        <v>3485</v>
      </c>
      <c r="BG89" s="234">
        <f>SUM(N89:AW89)</f>
        <v>3485</v>
      </c>
      <c r="BH89" s="19">
        <f>BE89-BG89</f>
        <v>0</v>
      </c>
    </row>
    <row r="90" spans="1:60" s="19" customFormat="1" ht="12.95" customHeight="1" x14ac:dyDescent="0.2">
      <c r="A90" s="207"/>
      <c r="B90" s="29"/>
      <c r="D90" s="205"/>
      <c r="F90" s="21"/>
      <c r="G90" s="21"/>
      <c r="K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c r="AV90" s="21"/>
      <c r="AW90"/>
      <c r="AX90" s="21"/>
      <c r="AY90" s="21"/>
      <c r="BA90" s="21"/>
      <c r="BB90" s="21"/>
      <c r="BC90" s="21"/>
      <c r="BE90" s="21"/>
      <c r="BF90" s="21"/>
      <c r="BG90" s="234"/>
    </row>
    <row r="91" spans="1:60" s="19" customFormat="1" ht="12.95" customHeight="1" x14ac:dyDescent="0.2">
      <c r="A91" s="207" t="s">
        <v>342</v>
      </c>
      <c r="B91" s="29"/>
      <c r="D91" s="205"/>
      <c r="F91" s="21"/>
      <c r="G91" s="21"/>
      <c r="K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c r="AV91" s="21"/>
      <c r="AW91"/>
      <c r="AX91" s="21"/>
      <c r="AY91" s="21"/>
      <c r="BA91" s="21"/>
      <c r="BB91" s="21"/>
      <c r="BC91" s="21"/>
      <c r="BE91" s="21"/>
      <c r="BF91" s="21"/>
      <c r="BG91" s="234"/>
    </row>
    <row r="92" spans="1:60" s="19" customFormat="1" ht="12.95" customHeight="1" x14ac:dyDescent="0.2">
      <c r="A92" s="85">
        <f>+'CCs # Master'!A23</f>
        <v>11</v>
      </c>
      <c r="B92" s="19" t="str">
        <f>+'CCs # Master'!B23</f>
        <v>Political Action Committee</v>
      </c>
      <c r="C92" s="19" t="str">
        <f>+'CCs # Master'!C23</f>
        <v>Butts, Bob</v>
      </c>
      <c r="D92" s="205">
        <f>+'CCs # Master'!D23</f>
        <v>100021</v>
      </c>
      <c r="E92" s="19">
        <f>+'CCs # Master'!E23</f>
        <v>0</v>
      </c>
      <c r="F92" s="19">
        <f>+'CCs # Master'!F23</f>
        <v>3</v>
      </c>
      <c r="G92" s="19">
        <f>+'CCs # Master'!G23</f>
        <v>2</v>
      </c>
      <c r="H92" s="19">
        <f>+'CCs # Master'!H23</f>
        <v>128</v>
      </c>
      <c r="I92" s="19">
        <f>+'CCs # Master'!I23</f>
        <v>80</v>
      </c>
      <c r="J92" s="19">
        <f>+'CCs # Master'!J23</f>
        <v>0</v>
      </c>
      <c r="K92" s="21">
        <f>SUM(E92:J92)</f>
        <v>213</v>
      </c>
      <c r="M92" s="19" t="str">
        <f>+'CCs # Master'!M23</f>
        <v>MMF</v>
      </c>
      <c r="N92" s="19">
        <f>+'CCs # Master'!AW23</f>
        <v>213</v>
      </c>
      <c r="O92" s="19">
        <v>0</v>
      </c>
      <c r="P92" s="19">
        <f>+'CCs # Master'!N23</f>
        <v>0</v>
      </c>
      <c r="Q92" s="19">
        <f>+'CCs # Master'!O23</f>
        <v>0</v>
      </c>
      <c r="R92" s="19">
        <f>+'CCs # Master'!P23</f>
        <v>0</v>
      </c>
      <c r="S92" s="19">
        <f>+'CCs # Master'!Q23</f>
        <v>0</v>
      </c>
      <c r="T92" s="19">
        <f>+'CCs # Master'!R23</f>
        <v>0</v>
      </c>
      <c r="U92" s="19">
        <f>+'CCs # Master'!S23</f>
        <v>0</v>
      </c>
      <c r="V92" s="19">
        <f>+'CCs # Master'!T23</f>
        <v>0</v>
      </c>
      <c r="W92" s="19">
        <f>+'CCs # Master'!U23</f>
        <v>0</v>
      </c>
      <c r="X92" s="19">
        <f>+'CCs # Master'!V23</f>
        <v>0</v>
      </c>
      <c r="Y92" s="19">
        <f>+'CCs # Master'!W23</f>
        <v>0</v>
      </c>
      <c r="Z92" s="19">
        <f>+'CCs # Master'!X23</f>
        <v>0</v>
      </c>
      <c r="AA92" s="19">
        <f>+'CCs # Master'!Y23</f>
        <v>0</v>
      </c>
      <c r="AB92" s="19">
        <f>+'CCs # Master'!Z23</f>
        <v>0</v>
      </c>
      <c r="AC92" s="19">
        <f>+'CCs # Master'!AA23</f>
        <v>0</v>
      </c>
      <c r="AD92" s="19">
        <f>+'CCs # Master'!AB23</f>
        <v>0</v>
      </c>
      <c r="AE92" s="19">
        <f>+'CCs # Master'!AC23</f>
        <v>0</v>
      </c>
      <c r="AF92" s="19">
        <f>+'CCs # Master'!AD23</f>
        <v>0</v>
      </c>
      <c r="AG92" s="19">
        <f>+'CCs # Master'!AE23</f>
        <v>0</v>
      </c>
      <c r="AH92" s="19">
        <f>+'CCs # Master'!AF23</f>
        <v>0</v>
      </c>
      <c r="AI92" s="19">
        <f>+'CCs # Master'!AG23</f>
        <v>0</v>
      </c>
      <c r="AJ92" s="19">
        <f>+'CCs # Master'!AH23</f>
        <v>0</v>
      </c>
      <c r="AK92" s="19">
        <f>+'CCs # Master'!AI23</f>
        <v>0</v>
      </c>
      <c r="AL92" s="19">
        <f>+'CCs # Master'!AJ23</f>
        <v>0</v>
      </c>
      <c r="AM92" s="19">
        <f>+'CCs # Master'!AK23</f>
        <v>0</v>
      </c>
      <c r="AN92" s="19">
        <f>+'CCs # Master'!AL23</f>
        <v>0</v>
      </c>
      <c r="AO92" s="19">
        <f>+'CCs # Master'!AM23</f>
        <v>0</v>
      </c>
      <c r="AP92" s="19">
        <f>+'CCs # Master'!AN23</f>
        <v>0</v>
      </c>
      <c r="AQ92" s="19">
        <f>+'CCs # Master'!AO23</f>
        <v>0</v>
      </c>
      <c r="AR92" s="19">
        <f>+'CCs # Master'!AP23</f>
        <v>0</v>
      </c>
      <c r="AS92" s="19">
        <f>+'CCs # Master'!AQ23</f>
        <v>0</v>
      </c>
      <c r="AT92" s="19">
        <f>+'CCs # Master'!AR23</f>
        <v>0</v>
      </c>
      <c r="AU92" s="19">
        <f>+'CCs # Master'!AS23</f>
        <v>0</v>
      </c>
      <c r="AV92" s="19">
        <f>+'CCs # Master'!AT23</f>
        <v>0</v>
      </c>
      <c r="AW92"/>
      <c r="AX92" s="21">
        <f t="shared" ref="AX92:AX111" si="49">SUM(N92:AW92)</f>
        <v>213</v>
      </c>
      <c r="AY92" s="21">
        <f t="shared" ref="AY92:AY116" si="50">+K92-AX92</f>
        <v>0</v>
      </c>
      <c r="BA92" s="19">
        <f t="shared" ref="BA92:BA116" si="51">+P92+Q92+T92+U92+V92+W92+X92+Y92</f>
        <v>0</v>
      </c>
      <c r="BB92" s="19">
        <f t="shared" ref="BB92:BB111" si="52">N92</f>
        <v>213</v>
      </c>
      <c r="BC92" s="19">
        <f t="shared" ref="BC92:BC116" si="53">SUM(P92:AW92)</f>
        <v>0</v>
      </c>
      <c r="BE92" s="19">
        <f t="shared" ref="BE92:BE116" si="54">SUM(BB92:BC92)</f>
        <v>213</v>
      </c>
      <c r="BG92" s="234">
        <f t="shared" ref="BG92:BG116" si="55">SUM(N92:AW92)</f>
        <v>213</v>
      </c>
      <c r="BH92" s="19">
        <f t="shared" ref="BH92:BH111" si="56">BE92-BG92</f>
        <v>0</v>
      </c>
    </row>
    <row r="93" spans="1:60" s="19" customFormat="1" ht="12.95" customHeight="1" x14ac:dyDescent="0.2">
      <c r="A93" s="85" t="str">
        <f>+'CCs # Master'!A39</f>
        <v>0011</v>
      </c>
      <c r="B93" s="19" t="str">
        <f>+'CCs # Master'!B39</f>
        <v>Federal Government Affairs</v>
      </c>
      <c r="C93" s="19" t="str">
        <f>+'CCs # Master'!C39</f>
        <v xml:space="preserve">Hillings, Joe </v>
      </c>
      <c r="D93" s="205">
        <f>+'CCs # Master'!D39</f>
        <v>100042</v>
      </c>
      <c r="E93" s="19">
        <f>+'CCs # Master'!E39</f>
        <v>0</v>
      </c>
      <c r="F93" s="19">
        <f>+'CCs # Master'!F39</f>
        <v>1009</v>
      </c>
      <c r="G93" s="19">
        <f>+'CCs # Master'!G39</f>
        <v>139</v>
      </c>
      <c r="H93" s="19">
        <f>+'CCs # Master'!H39</f>
        <v>694</v>
      </c>
      <c r="I93" s="19">
        <f>+'CCs # Master'!I39</f>
        <v>100</v>
      </c>
      <c r="J93" s="19">
        <f>+'CCs # Master'!J39</f>
        <v>1</v>
      </c>
      <c r="K93" s="21">
        <f t="shared" ref="K93:K116" si="57">SUM(E93:J93)</f>
        <v>1943</v>
      </c>
      <c r="M93" s="19" t="str">
        <f>+'CCs # Master'!M39</f>
        <v>Anticipated Resources</v>
      </c>
      <c r="N93" s="19">
        <f>+'CCs # Master'!AW39</f>
        <v>1</v>
      </c>
      <c r="O93" s="19">
        <v>0</v>
      </c>
      <c r="P93" s="19">
        <f>+'CCs # Master'!N39</f>
        <v>0</v>
      </c>
      <c r="Q93" s="19">
        <f>+'CCs # Master'!O39</f>
        <v>0</v>
      </c>
      <c r="R93" s="19">
        <f>+'CCs # Master'!P39</f>
        <v>0</v>
      </c>
      <c r="S93" s="19">
        <f>+'CCs # Master'!Q39</f>
        <v>0</v>
      </c>
      <c r="T93" s="19">
        <f>+'CCs # Master'!R39</f>
        <v>0</v>
      </c>
      <c r="U93" s="19">
        <f>+'CCs # Master'!S39</f>
        <v>0</v>
      </c>
      <c r="V93" s="19">
        <f>+'CCs # Master'!T39</f>
        <v>0</v>
      </c>
      <c r="W93" s="19">
        <f>+'CCs # Master'!U39</f>
        <v>0</v>
      </c>
      <c r="X93" s="19">
        <f>+'CCs # Master'!V39</f>
        <v>0</v>
      </c>
      <c r="Y93" s="19">
        <f>+'CCs # Master'!W39</f>
        <v>0</v>
      </c>
      <c r="Z93" s="19">
        <f>+'CCs # Master'!X39</f>
        <v>1450</v>
      </c>
      <c r="AA93" s="19">
        <f>+'CCs # Master'!Y39</f>
        <v>0</v>
      </c>
      <c r="AB93" s="19">
        <f>+'CCs # Master'!Z39</f>
        <v>0</v>
      </c>
      <c r="AC93" s="19">
        <f>+'CCs # Master'!AA39</f>
        <v>0</v>
      </c>
      <c r="AD93" s="19">
        <f>+'CCs # Master'!AB39</f>
        <v>0</v>
      </c>
      <c r="AE93" s="19">
        <f>+'CCs # Master'!AC39</f>
        <v>0</v>
      </c>
      <c r="AF93" s="19">
        <f>+'CCs # Master'!AD39</f>
        <v>358</v>
      </c>
      <c r="AG93" s="19">
        <f>+'CCs # Master'!AE39</f>
        <v>134</v>
      </c>
      <c r="AH93" s="19">
        <f>+'CCs # Master'!AF39</f>
        <v>0</v>
      </c>
      <c r="AI93" s="19">
        <f>+'CCs # Master'!AG39</f>
        <v>0</v>
      </c>
      <c r="AJ93" s="19">
        <f>+'CCs # Master'!AH39</f>
        <v>0</v>
      </c>
      <c r="AK93" s="19">
        <f>+'CCs # Master'!AI39</f>
        <v>0</v>
      </c>
      <c r="AL93" s="19">
        <f>+'CCs # Master'!AJ39</f>
        <v>0</v>
      </c>
      <c r="AM93" s="19">
        <f>+'CCs # Master'!AK39</f>
        <v>0</v>
      </c>
      <c r="AN93" s="19">
        <f>+'CCs # Master'!AL39</f>
        <v>0</v>
      </c>
      <c r="AO93" s="19">
        <f>+'CCs # Master'!AM39</f>
        <v>0</v>
      </c>
      <c r="AP93" s="19">
        <f>+'CCs # Master'!AN39</f>
        <v>0</v>
      </c>
      <c r="AQ93" s="19">
        <f>+'CCs # Master'!AO39</f>
        <v>0</v>
      </c>
      <c r="AR93" s="19">
        <f>+'CCs # Master'!AP39</f>
        <v>0</v>
      </c>
      <c r="AS93" s="19">
        <f>+'CCs # Master'!AQ39</f>
        <v>0</v>
      </c>
      <c r="AT93" s="19">
        <f>+'CCs # Master'!AR39</f>
        <v>0</v>
      </c>
      <c r="AU93" s="19">
        <f>+'CCs # Master'!AS39</f>
        <v>0</v>
      </c>
      <c r="AV93" s="19">
        <f>+'CCs # Master'!AT39</f>
        <v>0</v>
      </c>
      <c r="AW93"/>
      <c r="AX93" s="21">
        <f t="shared" si="49"/>
        <v>1943</v>
      </c>
      <c r="AY93" s="21">
        <f t="shared" si="50"/>
        <v>0</v>
      </c>
      <c r="BA93" s="19">
        <f t="shared" si="51"/>
        <v>0</v>
      </c>
      <c r="BB93" s="19">
        <f t="shared" si="52"/>
        <v>1</v>
      </c>
      <c r="BC93" s="19">
        <f t="shared" si="53"/>
        <v>1942</v>
      </c>
      <c r="BE93" s="19">
        <f t="shared" si="54"/>
        <v>1943</v>
      </c>
      <c r="BG93" s="234">
        <f>SUM(N93:AW93)</f>
        <v>1943</v>
      </c>
      <c r="BH93" s="19">
        <f t="shared" si="56"/>
        <v>0</v>
      </c>
    </row>
    <row r="94" spans="1:60" s="19" customFormat="1" ht="12.95" customHeight="1" x14ac:dyDescent="0.2">
      <c r="A94" s="85" t="str">
        <f>+'CCs # Master'!A49</f>
        <v>0011</v>
      </c>
      <c r="B94" s="19" t="str">
        <f>+'CCs # Master'!B49</f>
        <v>Federal Regulatory Affairs</v>
      </c>
      <c r="C94" s="19" t="str">
        <f>+'CCs # Master'!C49</f>
        <v xml:space="preserve">Hartsoe, Joe </v>
      </c>
      <c r="D94" s="205">
        <f>+'CCs # Master'!D49</f>
        <v>100059</v>
      </c>
      <c r="E94" s="19">
        <f>+'CCs # Master'!E49</f>
        <v>0</v>
      </c>
      <c r="F94" s="19">
        <f>+'CCs # Master'!F49</f>
        <v>0</v>
      </c>
      <c r="G94" s="19">
        <f>+'CCs # Master'!G49</f>
        <v>0</v>
      </c>
      <c r="H94" s="19">
        <f>+'CCs # Master'!H49</f>
        <v>0</v>
      </c>
      <c r="I94" s="19">
        <f>+'CCs # Master'!I49</f>
        <v>0</v>
      </c>
      <c r="J94" s="19">
        <f>+'CCs # Master'!J49</f>
        <v>0</v>
      </c>
      <c r="K94" s="21">
        <f t="shared" si="57"/>
        <v>0</v>
      </c>
      <c r="M94" s="19" t="str">
        <f>+'CCs # Master'!M49</f>
        <v>Anticipated Resources</v>
      </c>
      <c r="N94" s="19">
        <f>+'CCs # Master'!AW49</f>
        <v>0</v>
      </c>
      <c r="O94" s="19">
        <v>0</v>
      </c>
      <c r="P94" s="19">
        <f>+'CCs # Master'!N49</f>
        <v>0</v>
      </c>
      <c r="Q94" s="19">
        <f>+'CCs # Master'!O49</f>
        <v>0</v>
      </c>
      <c r="R94" s="19">
        <f>+'CCs # Master'!P49</f>
        <v>0</v>
      </c>
      <c r="S94" s="19">
        <f>+'CCs # Master'!Q49</f>
        <v>0</v>
      </c>
      <c r="T94" s="19">
        <f>+'CCs # Master'!R49</f>
        <v>0</v>
      </c>
      <c r="U94" s="19">
        <f>+'CCs # Master'!S49</f>
        <v>0</v>
      </c>
      <c r="V94" s="19">
        <f>+'CCs # Master'!T49</f>
        <v>0</v>
      </c>
      <c r="W94" s="19">
        <f>+'CCs # Master'!U49</f>
        <v>0</v>
      </c>
      <c r="X94" s="19">
        <f>+'CCs # Master'!V49</f>
        <v>0</v>
      </c>
      <c r="Y94" s="19">
        <f>+'CCs # Master'!W49</f>
        <v>0</v>
      </c>
      <c r="Z94" s="19">
        <f>+'CCs # Master'!X49</f>
        <v>0</v>
      </c>
      <c r="AA94" s="19">
        <f>+'CCs # Master'!Y49</f>
        <v>0</v>
      </c>
      <c r="AB94" s="19">
        <f>+'CCs # Master'!Z49</f>
        <v>0</v>
      </c>
      <c r="AC94" s="19">
        <f>+'CCs # Master'!AA49</f>
        <v>0</v>
      </c>
      <c r="AD94" s="19">
        <f>+'CCs # Master'!AB49</f>
        <v>0</v>
      </c>
      <c r="AE94" s="19">
        <f>+'CCs # Master'!AC49</f>
        <v>0</v>
      </c>
      <c r="AF94" s="19">
        <f>+'CCs # Master'!AD49</f>
        <v>0</v>
      </c>
      <c r="AG94" s="19">
        <f>+'CCs # Master'!AE49</f>
        <v>0</v>
      </c>
      <c r="AH94" s="19">
        <f>+'CCs # Master'!AF49</f>
        <v>0</v>
      </c>
      <c r="AI94" s="19">
        <f>+'CCs # Master'!AG49</f>
        <v>0</v>
      </c>
      <c r="AJ94" s="19">
        <f>+'CCs # Master'!AH49</f>
        <v>0</v>
      </c>
      <c r="AK94" s="19">
        <f>+'CCs # Master'!AI49</f>
        <v>0</v>
      </c>
      <c r="AL94" s="19">
        <f>+'CCs # Master'!AJ49</f>
        <v>0</v>
      </c>
      <c r="AM94" s="19">
        <f>+'CCs # Master'!AK49</f>
        <v>0</v>
      </c>
      <c r="AN94" s="19">
        <f>+'CCs # Master'!AL49</f>
        <v>0</v>
      </c>
      <c r="AO94" s="19">
        <f>+'CCs # Master'!AM49</f>
        <v>0</v>
      </c>
      <c r="AP94" s="19">
        <f>+'CCs # Master'!AN49</f>
        <v>0</v>
      </c>
      <c r="AQ94" s="19">
        <f>+'CCs # Master'!AO49</f>
        <v>0</v>
      </c>
      <c r="AR94" s="19">
        <f>+'CCs # Master'!AP49</f>
        <v>0</v>
      </c>
      <c r="AS94" s="19">
        <f>+'CCs # Master'!AQ49</f>
        <v>0</v>
      </c>
      <c r="AT94" s="19">
        <f>+'CCs # Master'!AR49</f>
        <v>0</v>
      </c>
      <c r="AU94" s="19">
        <f>+'CCs # Master'!AS49</f>
        <v>0</v>
      </c>
      <c r="AV94" s="19">
        <f>+'CCs # Master'!AT49</f>
        <v>0</v>
      </c>
      <c r="AW94"/>
      <c r="AX94" s="21">
        <f t="shared" si="49"/>
        <v>0</v>
      </c>
      <c r="AY94" s="21">
        <f t="shared" si="50"/>
        <v>0</v>
      </c>
      <c r="BA94" s="19">
        <f t="shared" si="51"/>
        <v>0</v>
      </c>
      <c r="BB94" s="19">
        <f t="shared" si="52"/>
        <v>0</v>
      </c>
      <c r="BC94" s="19">
        <f t="shared" si="53"/>
        <v>0</v>
      </c>
      <c r="BE94" s="19">
        <f t="shared" si="54"/>
        <v>0</v>
      </c>
      <c r="BG94" s="234">
        <f t="shared" si="55"/>
        <v>0</v>
      </c>
      <c r="BH94" s="19">
        <f t="shared" si="56"/>
        <v>0</v>
      </c>
    </row>
    <row r="95" spans="1:60" s="19" customFormat="1" ht="12.95" customHeight="1" x14ac:dyDescent="0.2">
      <c r="A95" s="85">
        <f>+'CCs # Master'!A50</f>
        <v>11</v>
      </c>
      <c r="B95" s="19" t="str">
        <f>+'CCs # Master'!B50</f>
        <v>Sr. VP - Governmental Affairs</v>
      </c>
      <c r="C95" s="19" t="str">
        <f>+'CCs # Master'!C50</f>
        <v>Kean, Steve</v>
      </c>
      <c r="D95" s="205">
        <f>+'CCs # Master'!D50</f>
        <v>100061</v>
      </c>
      <c r="E95" s="19">
        <f>+'CCs # Master'!E50</f>
        <v>1371</v>
      </c>
      <c r="F95" s="19">
        <f>+'CCs # Master'!F50</f>
        <v>216</v>
      </c>
      <c r="G95" s="19">
        <f>+'CCs # Master'!G50</f>
        <v>36</v>
      </c>
      <c r="H95" s="19">
        <f>+'CCs # Master'!H50</f>
        <v>283</v>
      </c>
      <c r="I95" s="19">
        <f>+'CCs # Master'!I50</f>
        <v>298</v>
      </c>
      <c r="J95" s="19">
        <f>+'CCs # Master'!J50</f>
        <v>127</v>
      </c>
      <c r="K95" s="21">
        <f t="shared" si="57"/>
        <v>2331</v>
      </c>
      <c r="M95" s="19" t="str">
        <f>+'CCs # Master'!M50</f>
        <v>Retained At Corp</v>
      </c>
      <c r="N95" s="19">
        <f>+'CCs # Master'!AW50</f>
        <v>2331</v>
      </c>
      <c r="O95" s="19">
        <v>0</v>
      </c>
      <c r="P95" s="19">
        <f>+'CCs # Master'!N50</f>
        <v>0</v>
      </c>
      <c r="Q95" s="19">
        <f>+'CCs # Master'!O50</f>
        <v>0</v>
      </c>
      <c r="R95" s="19">
        <f>+'CCs # Master'!P50</f>
        <v>0</v>
      </c>
      <c r="S95" s="19">
        <f>+'CCs # Master'!Q50</f>
        <v>0</v>
      </c>
      <c r="T95" s="19">
        <f>+'CCs # Master'!R50</f>
        <v>0</v>
      </c>
      <c r="U95" s="19">
        <f>+'CCs # Master'!S50</f>
        <v>0</v>
      </c>
      <c r="V95" s="19">
        <f>+'CCs # Master'!T50</f>
        <v>0</v>
      </c>
      <c r="W95" s="19">
        <f>+'CCs # Master'!U50</f>
        <v>0</v>
      </c>
      <c r="X95" s="19">
        <f>+'CCs # Master'!V50</f>
        <v>0</v>
      </c>
      <c r="Y95" s="19">
        <f>+'CCs # Master'!W50</f>
        <v>0</v>
      </c>
      <c r="Z95" s="19">
        <f>+'CCs # Master'!X50</f>
        <v>0</v>
      </c>
      <c r="AA95" s="19">
        <f>+'CCs # Master'!Y50</f>
        <v>0</v>
      </c>
      <c r="AB95" s="19">
        <f>+'CCs # Master'!Z50</f>
        <v>0</v>
      </c>
      <c r="AC95" s="19">
        <f>+'CCs # Master'!AA50</f>
        <v>0</v>
      </c>
      <c r="AD95" s="19">
        <f>+'CCs # Master'!AB50</f>
        <v>0</v>
      </c>
      <c r="AE95" s="19">
        <f>+'CCs # Master'!AC50</f>
        <v>0</v>
      </c>
      <c r="AF95" s="19">
        <f>+'CCs # Master'!AD50</f>
        <v>0</v>
      </c>
      <c r="AG95" s="19">
        <f>+'CCs # Master'!AE50</f>
        <v>0</v>
      </c>
      <c r="AH95" s="19">
        <f>+'CCs # Master'!AF50</f>
        <v>0</v>
      </c>
      <c r="AI95" s="19">
        <f>+'CCs # Master'!AG50</f>
        <v>0</v>
      </c>
      <c r="AJ95" s="19">
        <f>+'CCs # Master'!AH50</f>
        <v>0</v>
      </c>
      <c r="AK95" s="19">
        <f>+'CCs # Master'!AI50</f>
        <v>0</v>
      </c>
      <c r="AL95" s="19">
        <f>+'CCs # Master'!AJ50</f>
        <v>0</v>
      </c>
      <c r="AM95" s="19">
        <f>+'CCs # Master'!AK50</f>
        <v>0</v>
      </c>
      <c r="AN95" s="19">
        <f>+'CCs # Master'!AL50</f>
        <v>0</v>
      </c>
      <c r="AO95" s="19">
        <f>+'CCs # Master'!AM50</f>
        <v>0</v>
      </c>
      <c r="AP95" s="19">
        <f>+'CCs # Master'!AN50</f>
        <v>0</v>
      </c>
      <c r="AQ95" s="19">
        <f>+'CCs # Master'!AO50</f>
        <v>0</v>
      </c>
      <c r="AR95" s="19">
        <f>+'CCs # Master'!AP50</f>
        <v>0</v>
      </c>
      <c r="AS95" s="19">
        <f>+'CCs # Master'!AQ50</f>
        <v>0</v>
      </c>
      <c r="AT95" s="19">
        <f>+'CCs # Master'!AR50</f>
        <v>0</v>
      </c>
      <c r="AU95" s="19">
        <f>+'CCs # Master'!AS50</f>
        <v>0</v>
      </c>
      <c r="AV95" s="19">
        <f>+'CCs # Master'!AT50</f>
        <v>0</v>
      </c>
      <c r="AW95"/>
      <c r="AX95" s="21">
        <f t="shared" si="49"/>
        <v>2331</v>
      </c>
      <c r="AY95" s="21">
        <f t="shared" si="50"/>
        <v>0</v>
      </c>
      <c r="BA95" s="19">
        <f t="shared" si="51"/>
        <v>0</v>
      </c>
      <c r="BB95" s="19">
        <f t="shared" si="52"/>
        <v>2331</v>
      </c>
      <c r="BC95" s="19">
        <f t="shared" si="53"/>
        <v>0</v>
      </c>
      <c r="BE95" s="19">
        <f t="shared" si="54"/>
        <v>2331</v>
      </c>
      <c r="BG95" s="234">
        <f t="shared" si="55"/>
        <v>2331</v>
      </c>
      <c r="BH95" s="19">
        <f t="shared" si="56"/>
        <v>0</v>
      </c>
    </row>
    <row r="96" spans="1:60" s="19" customFormat="1" ht="12.95" customHeight="1" x14ac:dyDescent="0.2">
      <c r="A96" s="85" t="str">
        <f>+'CCs # Master'!A51</f>
        <v>0011</v>
      </c>
      <c r="B96" s="19" t="str">
        <f>+'CCs # Master'!B51</f>
        <v>Electricity Regulatory Affairs</v>
      </c>
      <c r="C96" s="19" t="str">
        <f>+'CCs # Master'!C51</f>
        <v>Shapiro, Rick</v>
      </c>
      <c r="D96" s="205">
        <f>+'CCs # Master'!D51</f>
        <v>100062</v>
      </c>
      <c r="E96" s="19">
        <f>+'CCs # Master'!E51</f>
        <v>10607</v>
      </c>
      <c r="F96" s="19">
        <f>+'CCs # Master'!F51</f>
        <v>1173</v>
      </c>
      <c r="G96" s="19">
        <f>+'CCs # Master'!G51</f>
        <v>45</v>
      </c>
      <c r="H96" s="19">
        <f>+'CCs # Master'!H51</f>
        <v>8835</v>
      </c>
      <c r="I96" s="19">
        <f>+'CCs # Master'!I51</f>
        <v>550</v>
      </c>
      <c r="J96" s="19">
        <f>+'CCs # Master'!J51</f>
        <v>1148</v>
      </c>
      <c r="K96" s="21">
        <f t="shared" si="57"/>
        <v>22358</v>
      </c>
      <c r="M96" s="19" t="str">
        <f>+'CCs # Master'!M51</f>
        <v>Anticipated Resources</v>
      </c>
      <c r="N96" s="19">
        <f>+'CCs # Master'!AW51</f>
        <v>2896</v>
      </c>
      <c r="O96" s="19">
        <v>0</v>
      </c>
      <c r="P96" s="19">
        <f>+'CCs # Master'!N51</f>
        <v>0</v>
      </c>
      <c r="Q96" s="19">
        <f>+'CCs # Master'!O51</f>
        <v>0</v>
      </c>
      <c r="R96" s="19">
        <f>+'CCs # Master'!P51</f>
        <v>0</v>
      </c>
      <c r="S96" s="19">
        <f>+'CCs # Master'!Q51</f>
        <v>0</v>
      </c>
      <c r="T96" s="19">
        <f>+'CCs # Master'!R51</f>
        <v>0</v>
      </c>
      <c r="U96" s="19">
        <f>+'CCs # Master'!S51</f>
        <v>0</v>
      </c>
      <c r="V96" s="19">
        <f>+'CCs # Master'!T51</f>
        <v>0</v>
      </c>
      <c r="W96" s="19">
        <f>+'CCs # Master'!U51</f>
        <v>0</v>
      </c>
      <c r="X96" s="19">
        <f>+'CCs # Master'!V51</f>
        <v>0</v>
      </c>
      <c r="Y96" s="19">
        <f>+'CCs # Master'!W51</f>
        <v>0</v>
      </c>
      <c r="Z96" s="19">
        <f>+'CCs # Master'!X51</f>
        <v>8118</v>
      </c>
      <c r="AA96" s="19">
        <f>+'CCs # Master'!Y51</f>
        <v>0</v>
      </c>
      <c r="AB96" s="19">
        <f>+'CCs # Master'!Z51</f>
        <v>0</v>
      </c>
      <c r="AC96" s="19">
        <f>+'CCs # Master'!AA51</f>
        <v>0</v>
      </c>
      <c r="AD96" s="19">
        <f>+'CCs # Master'!AB51</f>
        <v>0</v>
      </c>
      <c r="AE96" s="19">
        <f>+'CCs # Master'!AC51</f>
        <v>0</v>
      </c>
      <c r="AF96" s="19">
        <f>+'CCs # Master'!AD51</f>
        <v>6623</v>
      </c>
      <c r="AG96" s="19">
        <f>+'CCs # Master'!AE51</f>
        <v>2421</v>
      </c>
      <c r="AH96" s="19">
        <f>+'CCs # Master'!AF51</f>
        <v>0</v>
      </c>
      <c r="AI96" s="19">
        <f>+'CCs # Master'!AG51</f>
        <v>0</v>
      </c>
      <c r="AJ96" s="19">
        <f>+'CCs # Master'!AH51</f>
        <v>0</v>
      </c>
      <c r="AK96" s="19">
        <f>+'CCs # Master'!AI51</f>
        <v>400</v>
      </c>
      <c r="AL96" s="19">
        <f>+'CCs # Master'!AJ51</f>
        <v>0</v>
      </c>
      <c r="AM96" s="19">
        <f>+'CCs # Master'!AK51</f>
        <v>0</v>
      </c>
      <c r="AN96" s="19">
        <f>+'CCs # Master'!AL51</f>
        <v>0</v>
      </c>
      <c r="AO96" s="19">
        <f>+'CCs # Master'!AM51</f>
        <v>500</v>
      </c>
      <c r="AP96" s="19">
        <f>+'CCs # Master'!AN51</f>
        <v>0</v>
      </c>
      <c r="AQ96" s="19">
        <f>+'CCs # Master'!AO51</f>
        <v>900</v>
      </c>
      <c r="AR96" s="19">
        <f>+'CCs # Master'!AP51</f>
        <v>500</v>
      </c>
      <c r="AS96" s="19">
        <f>+'CCs # Master'!AQ51</f>
        <v>0</v>
      </c>
      <c r="AT96" s="19">
        <f>+'CCs # Master'!AR51</f>
        <v>0</v>
      </c>
      <c r="AU96" s="19">
        <f>+'CCs # Master'!AS51</f>
        <v>0</v>
      </c>
      <c r="AV96" s="19">
        <f>+'CCs # Master'!AT51</f>
        <v>0</v>
      </c>
      <c r="AW96"/>
      <c r="AX96" s="21">
        <f t="shared" si="49"/>
        <v>22358</v>
      </c>
      <c r="AY96" s="21">
        <f t="shared" si="50"/>
        <v>0</v>
      </c>
      <c r="BA96" s="19">
        <f t="shared" si="51"/>
        <v>0</v>
      </c>
      <c r="BB96" s="19">
        <f t="shared" si="52"/>
        <v>2896</v>
      </c>
      <c r="BC96" s="19">
        <f t="shared" si="53"/>
        <v>19462</v>
      </c>
      <c r="BE96" s="19">
        <f t="shared" si="54"/>
        <v>22358</v>
      </c>
      <c r="BG96" s="234">
        <f t="shared" si="55"/>
        <v>22358</v>
      </c>
      <c r="BH96" s="19">
        <f t="shared" si="56"/>
        <v>0</v>
      </c>
    </row>
    <row r="97" spans="1:60" s="19" customFormat="1" ht="12.95" customHeight="1" x14ac:dyDescent="0.2">
      <c r="A97" s="85" t="str">
        <f>+'CCs # Master'!A58</f>
        <v>0011</v>
      </c>
      <c r="B97" s="19" t="str">
        <f>+'CCs # Master'!B58</f>
        <v>State Govt Affairs - TX,OK,AR,LA</v>
      </c>
      <c r="C97" s="19" t="str">
        <f>+'CCs # Master'!C58</f>
        <v>Shapiro, Rick</v>
      </c>
      <c r="D97" s="205">
        <f>+'CCs # Master'!D58</f>
        <v>100072</v>
      </c>
      <c r="E97" s="19">
        <f>+'CCs # Master'!E58</f>
        <v>0</v>
      </c>
      <c r="F97" s="19">
        <f>+'CCs # Master'!F58</f>
        <v>300</v>
      </c>
      <c r="G97" s="19">
        <f>+'CCs # Master'!G58</f>
        <v>46</v>
      </c>
      <c r="H97" s="19">
        <f>+'CCs # Master'!H58</f>
        <v>37</v>
      </c>
      <c r="I97" s="19">
        <f>+'CCs # Master'!I58</f>
        <v>0</v>
      </c>
      <c r="J97" s="19">
        <f>+'CCs # Master'!J58</f>
        <v>0</v>
      </c>
      <c r="K97" s="21">
        <f t="shared" si="57"/>
        <v>383</v>
      </c>
      <c r="M97" s="19" t="str">
        <f>+'CCs # Master'!M58</f>
        <v>Anticipated Resources</v>
      </c>
      <c r="N97" s="19">
        <f>+'CCs # Master'!AW58</f>
        <v>0</v>
      </c>
      <c r="O97" s="19">
        <v>0</v>
      </c>
      <c r="P97" s="19">
        <f>+'CCs # Master'!N58</f>
        <v>0</v>
      </c>
      <c r="Q97" s="19">
        <f>+'CCs # Master'!O58</f>
        <v>0</v>
      </c>
      <c r="R97" s="19">
        <f>+'CCs # Master'!P58</f>
        <v>0</v>
      </c>
      <c r="S97" s="19">
        <f>+'CCs # Master'!Q58</f>
        <v>0</v>
      </c>
      <c r="T97" s="19">
        <f>+'CCs # Master'!R58</f>
        <v>0</v>
      </c>
      <c r="U97" s="19">
        <f>+'CCs # Master'!S58</f>
        <v>0</v>
      </c>
      <c r="V97" s="19">
        <f>+'CCs # Master'!T58</f>
        <v>0</v>
      </c>
      <c r="W97" s="19">
        <f>+'CCs # Master'!U58</f>
        <v>0</v>
      </c>
      <c r="X97" s="19">
        <f>+'CCs # Master'!V58</f>
        <v>0</v>
      </c>
      <c r="Y97" s="19">
        <f>+'CCs # Master'!W58</f>
        <v>0</v>
      </c>
      <c r="Z97" s="19">
        <f>+'CCs # Master'!X58</f>
        <v>215</v>
      </c>
      <c r="AA97" s="19">
        <f>+'CCs # Master'!Y58</f>
        <v>0</v>
      </c>
      <c r="AB97" s="19">
        <f>+'CCs # Master'!Z58</f>
        <v>0</v>
      </c>
      <c r="AC97" s="19">
        <f>+'CCs # Master'!AA58</f>
        <v>0</v>
      </c>
      <c r="AD97" s="19">
        <f>+'CCs # Master'!AB58</f>
        <v>0</v>
      </c>
      <c r="AE97" s="19">
        <f>+'CCs # Master'!AC58</f>
        <v>0</v>
      </c>
      <c r="AF97" s="19">
        <f>+'CCs # Master'!AD58</f>
        <v>122</v>
      </c>
      <c r="AG97" s="19">
        <f>+'CCs # Master'!AE58</f>
        <v>46</v>
      </c>
      <c r="AH97" s="19">
        <f>+'CCs # Master'!AF58</f>
        <v>0</v>
      </c>
      <c r="AI97" s="19">
        <f>+'CCs # Master'!AG58</f>
        <v>0</v>
      </c>
      <c r="AJ97" s="19">
        <f>+'CCs # Master'!AH58</f>
        <v>0</v>
      </c>
      <c r="AK97" s="19">
        <f>+'CCs # Master'!AI58</f>
        <v>0</v>
      </c>
      <c r="AL97" s="19">
        <f>+'CCs # Master'!AJ58</f>
        <v>0</v>
      </c>
      <c r="AM97" s="19">
        <f>+'CCs # Master'!AK58</f>
        <v>0</v>
      </c>
      <c r="AN97" s="19">
        <f>+'CCs # Master'!AL58</f>
        <v>0</v>
      </c>
      <c r="AO97" s="19">
        <f>+'CCs # Master'!AM58</f>
        <v>0</v>
      </c>
      <c r="AP97" s="19">
        <f>+'CCs # Master'!AN58</f>
        <v>0</v>
      </c>
      <c r="AQ97" s="19">
        <f>+'CCs # Master'!AO58</f>
        <v>0</v>
      </c>
      <c r="AR97" s="19">
        <f>+'CCs # Master'!AP58</f>
        <v>0</v>
      </c>
      <c r="AS97" s="19">
        <f>+'CCs # Master'!AQ58</f>
        <v>0</v>
      </c>
      <c r="AT97" s="19">
        <f>+'CCs # Master'!AR58</f>
        <v>0</v>
      </c>
      <c r="AU97" s="19">
        <f>+'CCs # Master'!AS58</f>
        <v>0</v>
      </c>
      <c r="AV97" s="19">
        <f>+'CCs # Master'!AT58</f>
        <v>0</v>
      </c>
      <c r="AW97"/>
      <c r="AX97" s="21">
        <f t="shared" si="49"/>
        <v>383</v>
      </c>
      <c r="AY97" s="21">
        <f t="shared" si="50"/>
        <v>0</v>
      </c>
      <c r="BA97" s="19">
        <f t="shared" si="51"/>
        <v>0</v>
      </c>
      <c r="BB97" s="19">
        <f t="shared" si="52"/>
        <v>0</v>
      </c>
      <c r="BC97" s="19">
        <f t="shared" si="53"/>
        <v>383</v>
      </c>
      <c r="BE97" s="19">
        <f t="shared" si="54"/>
        <v>383</v>
      </c>
      <c r="BG97" s="234">
        <f t="shared" si="55"/>
        <v>383</v>
      </c>
      <c r="BH97" s="19">
        <f t="shared" si="56"/>
        <v>0</v>
      </c>
    </row>
    <row r="98" spans="1:60" s="19" customFormat="1" ht="12.95" customHeight="1" x14ac:dyDescent="0.2">
      <c r="A98" s="85" t="str">
        <f>+'CCs # Master'!A63</f>
        <v>0011</v>
      </c>
      <c r="B98" s="19" t="str">
        <f>+'CCs # Master'!B63</f>
        <v>State Govt Affairs - California/West</v>
      </c>
      <c r="C98" s="19" t="str">
        <f>+'CCs # Master'!C63</f>
        <v>Shapiro, Rick</v>
      </c>
      <c r="D98" s="205">
        <f>+'CCs # Master'!D63</f>
        <v>100085</v>
      </c>
      <c r="E98" s="19">
        <f>+'CCs # Master'!E63</f>
        <v>0</v>
      </c>
      <c r="F98" s="19">
        <f>+'CCs # Master'!F63</f>
        <v>395</v>
      </c>
      <c r="G98" s="19">
        <f>+'CCs # Master'!G63</f>
        <v>95</v>
      </c>
      <c r="H98" s="19">
        <f>+'CCs # Master'!H63</f>
        <v>277</v>
      </c>
      <c r="I98" s="19">
        <f>+'CCs # Master'!I63</f>
        <v>0</v>
      </c>
      <c r="J98" s="19">
        <f>+'CCs # Master'!J63</f>
        <v>0</v>
      </c>
      <c r="K98" s="21">
        <f t="shared" si="57"/>
        <v>767</v>
      </c>
      <c r="M98" s="19" t="str">
        <f>+'CCs # Master'!M63</f>
        <v>Anticipated Resources</v>
      </c>
      <c r="N98" s="19">
        <f>+'CCs # Master'!AW63</f>
        <v>0</v>
      </c>
      <c r="O98" s="19">
        <v>0</v>
      </c>
      <c r="P98" s="19">
        <f>+'CCs # Master'!N63</f>
        <v>0</v>
      </c>
      <c r="Q98" s="19">
        <f>+'CCs # Master'!O63</f>
        <v>0</v>
      </c>
      <c r="R98" s="19">
        <f>+'CCs # Master'!P63</f>
        <v>0</v>
      </c>
      <c r="S98" s="19">
        <f>+'CCs # Master'!Q63</f>
        <v>0</v>
      </c>
      <c r="T98" s="19">
        <f>+'CCs # Master'!R63</f>
        <v>0</v>
      </c>
      <c r="U98" s="19">
        <f>+'CCs # Master'!S63</f>
        <v>0</v>
      </c>
      <c r="V98" s="19">
        <f>+'CCs # Master'!T63</f>
        <v>0</v>
      </c>
      <c r="W98" s="19">
        <f>+'CCs # Master'!U63</f>
        <v>0</v>
      </c>
      <c r="X98" s="19">
        <f>+'CCs # Master'!V63</f>
        <v>0</v>
      </c>
      <c r="Y98" s="19">
        <f>+'CCs # Master'!W63</f>
        <v>0</v>
      </c>
      <c r="Z98" s="19">
        <f>+'CCs # Master'!X63</f>
        <v>430</v>
      </c>
      <c r="AA98" s="19">
        <f>+'CCs # Master'!Y63</f>
        <v>0</v>
      </c>
      <c r="AB98" s="19">
        <f>+'CCs # Master'!Z63</f>
        <v>0</v>
      </c>
      <c r="AC98" s="19">
        <f>+'CCs # Master'!AA63</f>
        <v>0</v>
      </c>
      <c r="AD98" s="19">
        <f>+'CCs # Master'!AB63</f>
        <v>0</v>
      </c>
      <c r="AE98" s="19">
        <f>+'CCs # Master'!AC63</f>
        <v>0</v>
      </c>
      <c r="AF98" s="19">
        <f>+'CCs # Master'!AD63</f>
        <v>245</v>
      </c>
      <c r="AG98" s="19">
        <f>+'CCs # Master'!AE63</f>
        <v>92</v>
      </c>
      <c r="AH98" s="19">
        <f>+'CCs # Master'!AF63</f>
        <v>0</v>
      </c>
      <c r="AI98" s="19">
        <f>+'CCs # Master'!AG63</f>
        <v>0</v>
      </c>
      <c r="AJ98" s="19">
        <f>+'CCs # Master'!AH63</f>
        <v>0</v>
      </c>
      <c r="AK98" s="19">
        <f>+'CCs # Master'!AI63</f>
        <v>0</v>
      </c>
      <c r="AL98" s="19">
        <f>+'CCs # Master'!AJ63</f>
        <v>0</v>
      </c>
      <c r="AM98" s="19">
        <f>+'CCs # Master'!AK63</f>
        <v>0</v>
      </c>
      <c r="AN98" s="19">
        <f>+'CCs # Master'!AL63</f>
        <v>0</v>
      </c>
      <c r="AO98" s="19">
        <f>+'CCs # Master'!AM63</f>
        <v>0</v>
      </c>
      <c r="AP98" s="19">
        <f>+'CCs # Master'!AN63</f>
        <v>0</v>
      </c>
      <c r="AQ98" s="19">
        <f>+'CCs # Master'!AO63</f>
        <v>0</v>
      </c>
      <c r="AR98" s="19">
        <f>+'CCs # Master'!AP63</f>
        <v>0</v>
      </c>
      <c r="AS98" s="19">
        <f>+'CCs # Master'!AQ63</f>
        <v>0</v>
      </c>
      <c r="AT98" s="19">
        <f>+'CCs # Master'!AR63</f>
        <v>0</v>
      </c>
      <c r="AU98" s="19">
        <f>+'CCs # Master'!AS63</f>
        <v>0</v>
      </c>
      <c r="AV98" s="19">
        <f>+'CCs # Master'!AT63</f>
        <v>0</v>
      </c>
      <c r="AW98"/>
      <c r="AX98" s="21">
        <f t="shared" si="49"/>
        <v>767</v>
      </c>
      <c r="AY98" s="21">
        <f t="shared" si="50"/>
        <v>0</v>
      </c>
      <c r="BA98" s="19">
        <f t="shared" si="51"/>
        <v>0</v>
      </c>
      <c r="BB98" s="19">
        <f t="shared" si="52"/>
        <v>0</v>
      </c>
      <c r="BC98" s="19">
        <f t="shared" si="53"/>
        <v>767</v>
      </c>
      <c r="BE98" s="19">
        <f t="shared" si="54"/>
        <v>767</v>
      </c>
      <c r="BG98" s="234">
        <f t="shared" si="55"/>
        <v>767</v>
      </c>
      <c r="BH98" s="19">
        <f t="shared" si="56"/>
        <v>0</v>
      </c>
    </row>
    <row r="99" spans="1:60" s="19" customFormat="1" ht="12.95" customHeight="1" x14ac:dyDescent="0.2">
      <c r="A99" s="85" t="str">
        <f>+'CCs # Master'!A64</f>
        <v>0011</v>
      </c>
      <c r="B99" s="19" t="str">
        <f>+'CCs # Master'!B64</f>
        <v>State Govt Affairs - Canada</v>
      </c>
      <c r="C99" s="19" t="str">
        <f>+'CCs # Master'!C64</f>
        <v>Shapiro, Rick</v>
      </c>
      <c r="D99" s="205">
        <f>+'CCs # Master'!D64</f>
        <v>100086</v>
      </c>
      <c r="E99" s="19">
        <f>+'CCs # Master'!E64</f>
        <v>422</v>
      </c>
      <c r="F99" s="19">
        <f>+'CCs # Master'!F64</f>
        <v>86</v>
      </c>
      <c r="G99" s="19">
        <f>+'CCs # Master'!G64</f>
        <v>34</v>
      </c>
      <c r="H99" s="19">
        <f>+'CCs # Master'!H64</f>
        <v>248</v>
      </c>
      <c r="I99" s="19">
        <f>+'CCs # Master'!I64</f>
        <v>0</v>
      </c>
      <c r="J99" s="19">
        <f>+'CCs # Master'!J64</f>
        <v>27</v>
      </c>
      <c r="K99" s="21">
        <f t="shared" si="57"/>
        <v>817</v>
      </c>
      <c r="M99" s="19" t="str">
        <f>+'CCs # Master'!M64</f>
        <v>Anticipated Resources</v>
      </c>
      <c r="N99" s="19">
        <f>+'CCs # Master'!AW64</f>
        <v>0</v>
      </c>
      <c r="O99" s="19">
        <v>0</v>
      </c>
      <c r="P99" s="19">
        <f>+'CCs # Master'!N64</f>
        <v>0</v>
      </c>
      <c r="Q99" s="19">
        <f>+'CCs # Master'!O64</f>
        <v>0</v>
      </c>
      <c r="R99" s="19">
        <f>+'CCs # Master'!P64</f>
        <v>0</v>
      </c>
      <c r="S99" s="19">
        <f>+'CCs # Master'!Q64</f>
        <v>0</v>
      </c>
      <c r="T99" s="19">
        <f>+'CCs # Master'!R64</f>
        <v>0</v>
      </c>
      <c r="U99" s="19">
        <f>+'CCs # Master'!S64</f>
        <v>0</v>
      </c>
      <c r="V99" s="19">
        <f>+'CCs # Master'!T64</f>
        <v>0</v>
      </c>
      <c r="W99" s="19">
        <f>+'CCs # Master'!U64</f>
        <v>0</v>
      </c>
      <c r="X99" s="19">
        <f>+'CCs # Master'!V64</f>
        <v>0</v>
      </c>
      <c r="Y99" s="19">
        <f>+'CCs # Master'!W64</f>
        <v>0</v>
      </c>
      <c r="Z99" s="19">
        <f>+'CCs # Master'!X64</f>
        <v>817</v>
      </c>
      <c r="AA99" s="19">
        <f>+'CCs # Master'!Y64</f>
        <v>0</v>
      </c>
      <c r="AB99" s="19">
        <f>+'CCs # Master'!Z64</f>
        <v>0</v>
      </c>
      <c r="AC99" s="19">
        <f>+'CCs # Master'!AA64</f>
        <v>0</v>
      </c>
      <c r="AD99" s="19">
        <f>+'CCs # Master'!AB64</f>
        <v>0</v>
      </c>
      <c r="AE99" s="19">
        <f>+'CCs # Master'!AC64</f>
        <v>0</v>
      </c>
      <c r="AF99" s="19">
        <f>+'CCs # Master'!AD64</f>
        <v>0</v>
      </c>
      <c r="AG99" s="19">
        <f>+'CCs # Master'!AE64</f>
        <v>0</v>
      </c>
      <c r="AH99" s="19">
        <f>+'CCs # Master'!AF64</f>
        <v>0</v>
      </c>
      <c r="AI99" s="19">
        <f>+'CCs # Master'!AG64</f>
        <v>0</v>
      </c>
      <c r="AJ99" s="19">
        <f>+'CCs # Master'!AH64</f>
        <v>0</v>
      </c>
      <c r="AK99" s="19">
        <f>+'CCs # Master'!AI64</f>
        <v>0</v>
      </c>
      <c r="AL99" s="19">
        <f>+'CCs # Master'!AJ64</f>
        <v>0</v>
      </c>
      <c r="AM99" s="19">
        <f>+'CCs # Master'!AK64</f>
        <v>0</v>
      </c>
      <c r="AN99" s="19">
        <f>+'CCs # Master'!AL64</f>
        <v>0</v>
      </c>
      <c r="AO99" s="19">
        <f>+'CCs # Master'!AM64</f>
        <v>0</v>
      </c>
      <c r="AP99" s="19">
        <f>+'CCs # Master'!AN64</f>
        <v>0</v>
      </c>
      <c r="AQ99" s="19">
        <f>+'CCs # Master'!AO64</f>
        <v>0</v>
      </c>
      <c r="AR99" s="19">
        <f>+'CCs # Master'!AP64</f>
        <v>0</v>
      </c>
      <c r="AS99" s="19">
        <f>+'CCs # Master'!AQ64</f>
        <v>0</v>
      </c>
      <c r="AT99" s="19">
        <f>+'CCs # Master'!AR64</f>
        <v>0</v>
      </c>
      <c r="AU99" s="19">
        <f>+'CCs # Master'!AS64</f>
        <v>0</v>
      </c>
      <c r="AV99" s="19">
        <f>+'CCs # Master'!AT64</f>
        <v>0</v>
      </c>
      <c r="AW99"/>
      <c r="AX99" s="21">
        <f t="shared" si="49"/>
        <v>817</v>
      </c>
      <c r="AY99" s="21">
        <f t="shared" si="50"/>
        <v>0</v>
      </c>
      <c r="BA99" s="19">
        <f t="shared" si="51"/>
        <v>0</v>
      </c>
      <c r="BB99" s="19">
        <f t="shared" si="52"/>
        <v>0</v>
      </c>
      <c r="BC99" s="19">
        <f t="shared" si="53"/>
        <v>817</v>
      </c>
      <c r="BE99" s="19">
        <f t="shared" si="54"/>
        <v>817</v>
      </c>
      <c r="BG99" s="234">
        <f t="shared" si="55"/>
        <v>817</v>
      </c>
      <c r="BH99" s="19">
        <f t="shared" si="56"/>
        <v>0</v>
      </c>
    </row>
    <row r="100" spans="1:60" s="19" customFormat="1" ht="12.95" customHeight="1" x14ac:dyDescent="0.2">
      <c r="A100" s="85" t="str">
        <f>+'CCs # Master'!A65</f>
        <v>0011</v>
      </c>
      <c r="B100" s="19" t="str">
        <f>+'CCs # Master'!B65</f>
        <v>State Govt Affairs - Mid Atl/NY/NE</v>
      </c>
      <c r="C100" s="19" t="str">
        <f>+'CCs # Master'!C65</f>
        <v>Shapiro, Rick</v>
      </c>
      <c r="D100" s="205">
        <f>+'CCs # Master'!D65</f>
        <v>100087</v>
      </c>
      <c r="E100" s="19">
        <f>+'CCs # Master'!E65</f>
        <v>0</v>
      </c>
      <c r="F100" s="19">
        <f>+'CCs # Master'!F65</f>
        <v>400</v>
      </c>
      <c r="G100" s="19">
        <f>+'CCs # Master'!G65</f>
        <v>250</v>
      </c>
      <c r="H100" s="19">
        <f>+'CCs # Master'!H65</f>
        <v>110</v>
      </c>
      <c r="I100" s="19">
        <f>+'CCs # Master'!I65</f>
        <v>0</v>
      </c>
      <c r="J100" s="19">
        <f>+'CCs # Master'!J65</f>
        <v>0</v>
      </c>
      <c r="K100" s="21">
        <f t="shared" si="57"/>
        <v>760</v>
      </c>
      <c r="M100" s="19" t="str">
        <f>+'CCs # Master'!M65</f>
        <v>Anticipated Resources</v>
      </c>
      <c r="N100" s="19">
        <f>+'CCs # Master'!AW65</f>
        <v>0</v>
      </c>
      <c r="O100" s="19">
        <v>0</v>
      </c>
      <c r="P100" s="19">
        <f>+'CCs # Master'!N65</f>
        <v>0</v>
      </c>
      <c r="Q100" s="19">
        <f>+'CCs # Master'!O65</f>
        <v>0</v>
      </c>
      <c r="R100" s="19">
        <f>+'CCs # Master'!P65</f>
        <v>0</v>
      </c>
      <c r="S100" s="19">
        <f>+'CCs # Master'!Q65</f>
        <v>0</v>
      </c>
      <c r="T100" s="19">
        <f>+'CCs # Master'!R65</f>
        <v>0</v>
      </c>
      <c r="U100" s="19">
        <f>+'CCs # Master'!S65</f>
        <v>0</v>
      </c>
      <c r="V100" s="19">
        <f>+'CCs # Master'!T65</f>
        <v>0</v>
      </c>
      <c r="W100" s="19">
        <f>+'CCs # Master'!U65</f>
        <v>0</v>
      </c>
      <c r="X100" s="19">
        <f>+'CCs # Master'!V65</f>
        <v>0</v>
      </c>
      <c r="Y100" s="19">
        <f>+'CCs # Master'!W65</f>
        <v>0</v>
      </c>
      <c r="Z100" s="19">
        <f>+'CCs # Master'!X65</f>
        <v>426</v>
      </c>
      <c r="AA100" s="19">
        <f>+'CCs # Master'!Y65</f>
        <v>0</v>
      </c>
      <c r="AB100" s="19">
        <f>+'CCs # Master'!Z65</f>
        <v>0</v>
      </c>
      <c r="AC100" s="19">
        <f>+'CCs # Master'!AA65</f>
        <v>0</v>
      </c>
      <c r="AD100" s="19">
        <f>+'CCs # Master'!AB65</f>
        <v>0</v>
      </c>
      <c r="AE100" s="19">
        <f>+'CCs # Master'!AC65</f>
        <v>0</v>
      </c>
      <c r="AF100" s="19">
        <f>+'CCs # Master'!AD65</f>
        <v>243</v>
      </c>
      <c r="AG100" s="19">
        <f>+'CCs # Master'!AE65</f>
        <v>91</v>
      </c>
      <c r="AH100" s="19">
        <f>+'CCs # Master'!AF65</f>
        <v>0</v>
      </c>
      <c r="AI100" s="19">
        <f>+'CCs # Master'!AG65</f>
        <v>0</v>
      </c>
      <c r="AJ100" s="19">
        <f>+'CCs # Master'!AH65</f>
        <v>0</v>
      </c>
      <c r="AK100" s="19">
        <f>+'CCs # Master'!AI65</f>
        <v>0</v>
      </c>
      <c r="AL100" s="19">
        <f>+'CCs # Master'!AJ65</f>
        <v>0</v>
      </c>
      <c r="AM100" s="19">
        <f>+'CCs # Master'!AK65</f>
        <v>0</v>
      </c>
      <c r="AN100" s="19">
        <f>+'CCs # Master'!AL65</f>
        <v>0</v>
      </c>
      <c r="AO100" s="19">
        <f>+'CCs # Master'!AM65</f>
        <v>0</v>
      </c>
      <c r="AP100" s="19">
        <f>+'CCs # Master'!AN65</f>
        <v>0</v>
      </c>
      <c r="AQ100" s="19">
        <f>+'CCs # Master'!AO65</f>
        <v>0</v>
      </c>
      <c r="AR100" s="19">
        <f>+'CCs # Master'!AP65</f>
        <v>0</v>
      </c>
      <c r="AS100" s="19">
        <f>+'CCs # Master'!AQ65</f>
        <v>0</v>
      </c>
      <c r="AT100" s="19">
        <f>+'CCs # Master'!AR65</f>
        <v>0</v>
      </c>
      <c r="AU100" s="19">
        <f>+'CCs # Master'!AS65</f>
        <v>0</v>
      </c>
      <c r="AV100" s="19">
        <f>+'CCs # Master'!AT65</f>
        <v>0</v>
      </c>
      <c r="AW100"/>
      <c r="AX100" s="21">
        <f t="shared" si="49"/>
        <v>760</v>
      </c>
      <c r="AY100" s="21">
        <f t="shared" si="50"/>
        <v>0</v>
      </c>
      <c r="BA100" s="19">
        <f t="shared" si="51"/>
        <v>0</v>
      </c>
      <c r="BB100" s="19">
        <f t="shared" si="52"/>
        <v>0</v>
      </c>
      <c r="BC100" s="19">
        <f t="shared" si="53"/>
        <v>760</v>
      </c>
      <c r="BE100" s="19">
        <f t="shared" si="54"/>
        <v>760</v>
      </c>
      <c r="BG100" s="234">
        <f t="shared" si="55"/>
        <v>760</v>
      </c>
      <c r="BH100" s="19">
        <f t="shared" si="56"/>
        <v>0</v>
      </c>
    </row>
    <row r="101" spans="1:60" s="19" customFormat="1" ht="12.95" customHeight="1" x14ac:dyDescent="0.2">
      <c r="A101" s="85" t="str">
        <f>+'CCs # Master'!A66</f>
        <v>0011</v>
      </c>
      <c r="B101" s="19" t="str">
        <f>+'CCs # Master'!B66</f>
        <v>State Govt Affairs - Midwest/Great Lakes</v>
      </c>
      <c r="C101" s="19" t="str">
        <f>+'CCs # Master'!C66</f>
        <v>Shapiro, Rick</v>
      </c>
      <c r="D101" s="205">
        <f>+'CCs # Master'!D66</f>
        <v>100088</v>
      </c>
      <c r="E101" s="19">
        <f>+'CCs # Master'!E66</f>
        <v>0</v>
      </c>
      <c r="F101" s="19">
        <f>+'CCs # Master'!F66</f>
        <v>480</v>
      </c>
      <c r="G101" s="19">
        <f>+'CCs # Master'!G66</f>
        <v>15</v>
      </c>
      <c r="H101" s="19">
        <f>+'CCs # Master'!H66</f>
        <v>140</v>
      </c>
      <c r="I101" s="19">
        <f>+'CCs # Master'!I66</f>
        <v>0</v>
      </c>
      <c r="J101" s="19">
        <f>+'CCs # Master'!J66</f>
        <v>0</v>
      </c>
      <c r="K101" s="21">
        <f t="shared" si="57"/>
        <v>635</v>
      </c>
      <c r="M101" s="19" t="str">
        <f>+'CCs # Master'!M66</f>
        <v>Anticipated Resources</v>
      </c>
      <c r="N101" s="19">
        <f>+'CCs # Master'!AW66</f>
        <v>0</v>
      </c>
      <c r="O101" s="19">
        <v>0</v>
      </c>
      <c r="P101" s="19">
        <f>+'CCs # Master'!N66</f>
        <v>0</v>
      </c>
      <c r="Q101" s="19">
        <f>+'CCs # Master'!O66</f>
        <v>0</v>
      </c>
      <c r="R101" s="19">
        <f>+'CCs # Master'!P66</f>
        <v>0</v>
      </c>
      <c r="S101" s="19">
        <f>+'CCs # Master'!Q66</f>
        <v>0</v>
      </c>
      <c r="T101" s="19">
        <f>+'CCs # Master'!R66</f>
        <v>0</v>
      </c>
      <c r="U101" s="19">
        <f>+'CCs # Master'!S66</f>
        <v>0</v>
      </c>
      <c r="V101" s="19">
        <f>+'CCs # Master'!T66</f>
        <v>0</v>
      </c>
      <c r="W101" s="19">
        <f>+'CCs # Master'!U66</f>
        <v>0</v>
      </c>
      <c r="X101" s="19">
        <f>+'CCs # Master'!V66</f>
        <v>0</v>
      </c>
      <c r="Y101" s="19">
        <f>+'CCs # Master'!W66</f>
        <v>0</v>
      </c>
      <c r="Z101" s="19">
        <f>+'CCs # Master'!X66</f>
        <v>356</v>
      </c>
      <c r="AA101" s="19">
        <f>+'CCs # Master'!Y66</f>
        <v>0</v>
      </c>
      <c r="AB101" s="19">
        <f>+'CCs # Master'!Z66</f>
        <v>0</v>
      </c>
      <c r="AC101" s="19">
        <f>+'CCs # Master'!AA66</f>
        <v>0</v>
      </c>
      <c r="AD101" s="19">
        <f>+'CCs # Master'!AB66</f>
        <v>0</v>
      </c>
      <c r="AE101" s="19">
        <f>+'CCs # Master'!AC66</f>
        <v>0</v>
      </c>
      <c r="AF101" s="19">
        <f>+'CCs # Master'!AD66</f>
        <v>203</v>
      </c>
      <c r="AG101" s="19">
        <f>+'CCs # Master'!AE66</f>
        <v>76</v>
      </c>
      <c r="AH101" s="19">
        <f>+'CCs # Master'!AF66</f>
        <v>0</v>
      </c>
      <c r="AI101" s="19">
        <f>+'CCs # Master'!AG66</f>
        <v>0</v>
      </c>
      <c r="AJ101" s="19">
        <f>+'CCs # Master'!AH66</f>
        <v>0</v>
      </c>
      <c r="AK101" s="19">
        <f>+'CCs # Master'!AI66</f>
        <v>0</v>
      </c>
      <c r="AL101" s="19">
        <f>+'CCs # Master'!AJ66</f>
        <v>0</v>
      </c>
      <c r="AM101" s="19">
        <f>+'CCs # Master'!AK66</f>
        <v>0</v>
      </c>
      <c r="AN101" s="19">
        <f>+'CCs # Master'!AL66</f>
        <v>0</v>
      </c>
      <c r="AO101" s="19">
        <f>+'CCs # Master'!AM66</f>
        <v>0</v>
      </c>
      <c r="AP101" s="19">
        <f>+'CCs # Master'!AN66</f>
        <v>0</v>
      </c>
      <c r="AQ101" s="19">
        <f>+'CCs # Master'!AO66</f>
        <v>0</v>
      </c>
      <c r="AR101" s="19">
        <f>+'CCs # Master'!AP66</f>
        <v>0</v>
      </c>
      <c r="AS101" s="19">
        <f>+'CCs # Master'!AQ66</f>
        <v>0</v>
      </c>
      <c r="AT101" s="19">
        <f>+'CCs # Master'!AR66</f>
        <v>0</v>
      </c>
      <c r="AU101" s="19">
        <f>+'CCs # Master'!AS66</f>
        <v>0</v>
      </c>
      <c r="AV101" s="19">
        <f>+'CCs # Master'!AT66</f>
        <v>0</v>
      </c>
      <c r="AW101"/>
      <c r="AX101" s="21">
        <f t="shared" si="49"/>
        <v>635</v>
      </c>
      <c r="AY101" s="21">
        <f t="shared" si="50"/>
        <v>0</v>
      </c>
      <c r="BA101" s="19">
        <f t="shared" si="51"/>
        <v>0</v>
      </c>
      <c r="BB101" s="19">
        <f t="shared" si="52"/>
        <v>0</v>
      </c>
      <c r="BC101" s="19">
        <f t="shared" si="53"/>
        <v>635</v>
      </c>
      <c r="BE101" s="19">
        <f t="shared" si="54"/>
        <v>635</v>
      </c>
      <c r="BG101" s="234">
        <f t="shared" si="55"/>
        <v>635</v>
      </c>
      <c r="BH101" s="19">
        <f t="shared" si="56"/>
        <v>0</v>
      </c>
    </row>
    <row r="102" spans="1:60" s="19" customFormat="1" ht="12.95" customHeight="1" x14ac:dyDescent="0.2">
      <c r="A102" s="85">
        <f>+'CCs # Master'!A128</f>
        <v>11</v>
      </c>
      <c r="B102" s="226" t="str">
        <f>+'CCs # Master'!B128</f>
        <v>Govt Aff Water</v>
      </c>
      <c r="C102" s="226" t="str">
        <f>+'CCs # Master'!C128</f>
        <v>Kean, Steve</v>
      </c>
      <c r="D102" s="85">
        <f>+'CCs # Master'!D128</f>
        <v>100098</v>
      </c>
      <c r="E102" s="19">
        <f>+'CCs # Master'!E128</f>
        <v>0</v>
      </c>
      <c r="F102" s="19">
        <f>+'CCs # Master'!F128</f>
        <v>0</v>
      </c>
      <c r="G102" s="19">
        <f>+'CCs # Master'!G128</f>
        <v>0</v>
      </c>
      <c r="H102" s="19">
        <f>+'CCs # Master'!H128</f>
        <v>0</v>
      </c>
      <c r="I102" s="19">
        <f>+'CCs # Master'!I128</f>
        <v>0</v>
      </c>
      <c r="J102" s="19">
        <f>+'CCs # Master'!J128</f>
        <v>0</v>
      </c>
      <c r="K102" s="21">
        <f t="shared" si="57"/>
        <v>0</v>
      </c>
      <c r="M102" s="19" t="str">
        <f>+'CCs # Master'!M128</f>
        <v>Rerained at Corp</v>
      </c>
      <c r="N102" s="19">
        <f>+'CCs # Master'!AW128</f>
        <v>0</v>
      </c>
      <c r="O102" s="19">
        <v>0</v>
      </c>
      <c r="P102" s="19">
        <f>+'CCs # Master'!N128</f>
        <v>0</v>
      </c>
      <c r="Q102" s="19">
        <f>+'CCs # Master'!O128</f>
        <v>0</v>
      </c>
      <c r="R102" s="19">
        <f>+'CCs # Master'!P128</f>
        <v>0</v>
      </c>
      <c r="S102" s="19">
        <f>+'CCs # Master'!Q128</f>
        <v>0</v>
      </c>
      <c r="T102" s="19">
        <f>+'CCs # Master'!R128</f>
        <v>0</v>
      </c>
      <c r="U102" s="19">
        <f>+'CCs # Master'!S128</f>
        <v>0</v>
      </c>
      <c r="V102" s="19">
        <f>+'CCs # Master'!T128</f>
        <v>0</v>
      </c>
      <c r="W102" s="19">
        <f>+'CCs # Master'!U128</f>
        <v>0</v>
      </c>
      <c r="X102" s="19">
        <f>+'CCs # Master'!V128</f>
        <v>0</v>
      </c>
      <c r="Y102" s="19">
        <f>+'CCs # Master'!W128</f>
        <v>0</v>
      </c>
      <c r="Z102" s="19">
        <f>+'CCs # Master'!X128</f>
        <v>0</v>
      </c>
      <c r="AA102" s="19">
        <f>+'CCs # Master'!Y128</f>
        <v>0</v>
      </c>
      <c r="AB102" s="19">
        <f>+'CCs # Master'!Z128</f>
        <v>0</v>
      </c>
      <c r="AC102" s="19">
        <f>+'CCs # Master'!AA128</f>
        <v>0</v>
      </c>
      <c r="AD102" s="19">
        <f>+'CCs # Master'!AB128</f>
        <v>0</v>
      </c>
      <c r="AE102" s="19">
        <f>+'CCs # Master'!AC128</f>
        <v>0</v>
      </c>
      <c r="AF102" s="19">
        <f>+'CCs # Master'!AD128</f>
        <v>0</v>
      </c>
      <c r="AG102" s="19">
        <f>+'CCs # Master'!AE128</f>
        <v>0</v>
      </c>
      <c r="AH102" s="19">
        <f>+'CCs # Master'!AF128</f>
        <v>0</v>
      </c>
      <c r="AI102" s="19">
        <f>+'CCs # Master'!AG128</f>
        <v>0</v>
      </c>
      <c r="AJ102" s="19">
        <f>+'CCs # Master'!AH128</f>
        <v>0</v>
      </c>
      <c r="AK102" s="19">
        <f>+'CCs # Master'!AI128</f>
        <v>0</v>
      </c>
      <c r="AL102" s="19">
        <f>+'CCs # Master'!AJ128</f>
        <v>0</v>
      </c>
      <c r="AM102" s="19">
        <f>+'CCs # Master'!AK128</f>
        <v>0</v>
      </c>
      <c r="AN102" s="19">
        <f>+'CCs # Master'!AL128</f>
        <v>0</v>
      </c>
      <c r="AO102" s="19">
        <f>+'CCs # Master'!AM128</f>
        <v>0</v>
      </c>
      <c r="AP102" s="19">
        <f>+'CCs # Master'!AN128</f>
        <v>0</v>
      </c>
      <c r="AQ102" s="19">
        <f>+'CCs # Master'!AO128</f>
        <v>0</v>
      </c>
      <c r="AR102" s="19">
        <f>+'CCs # Master'!AP128</f>
        <v>0</v>
      </c>
      <c r="AS102" s="19">
        <f>+'CCs # Master'!AQ128</f>
        <v>0</v>
      </c>
      <c r="AT102" s="19">
        <f>+'CCs # Master'!AR128</f>
        <v>0</v>
      </c>
      <c r="AU102" s="19">
        <f>+'CCs # Master'!AS128</f>
        <v>0</v>
      </c>
      <c r="AV102" s="19">
        <f>+'CCs # Master'!AT128</f>
        <v>0</v>
      </c>
      <c r="AW102"/>
      <c r="AX102" s="21">
        <f>SUM(N102:AW102)</f>
        <v>0</v>
      </c>
      <c r="AY102" s="21">
        <f>+K102-AX102</f>
        <v>0</v>
      </c>
      <c r="BA102" s="19">
        <f t="shared" si="51"/>
        <v>0</v>
      </c>
      <c r="BB102" s="19">
        <f>N102</f>
        <v>0</v>
      </c>
      <c r="BC102" s="19">
        <f>SUM(P102:AW102)</f>
        <v>0</v>
      </c>
      <c r="BE102" s="19">
        <f>SUM(BB102:BC102)</f>
        <v>0</v>
      </c>
      <c r="BG102" s="234">
        <f>SUM(N102:AW102)</f>
        <v>0</v>
      </c>
      <c r="BH102" s="19">
        <f>BE102-BG102</f>
        <v>0</v>
      </c>
    </row>
    <row r="103" spans="1:60" s="19" customFormat="1" ht="12.95" customHeight="1" x14ac:dyDescent="0.2">
      <c r="A103" s="85">
        <f>+'CCs # Master'!A68</f>
        <v>11</v>
      </c>
      <c r="B103" s="19" t="str">
        <f>+'CCs # Master'!B68</f>
        <v>Gov't Affairs - Mexico</v>
      </c>
      <c r="C103" s="19" t="str">
        <f>+'CCs # Master'!C68</f>
        <v>Kean, Steve</v>
      </c>
      <c r="D103" s="205">
        <f>+'CCs # Master'!D68</f>
        <v>100100</v>
      </c>
      <c r="E103" s="19">
        <f>+'CCs # Master'!E68</f>
        <v>238</v>
      </c>
      <c r="F103" s="19">
        <f>+'CCs # Master'!F68</f>
        <v>70</v>
      </c>
      <c r="G103" s="19">
        <f>+'CCs # Master'!G68</f>
        <v>6</v>
      </c>
      <c r="H103" s="19">
        <f>+'CCs # Master'!H68</f>
        <v>169</v>
      </c>
      <c r="I103" s="19">
        <f>+'CCs # Master'!I68</f>
        <v>0</v>
      </c>
      <c r="J103" s="19">
        <f>+'CCs # Master'!J68</f>
        <v>24</v>
      </c>
      <c r="K103" s="21">
        <f t="shared" si="57"/>
        <v>507</v>
      </c>
      <c r="M103" s="19" t="str">
        <f>+'CCs # Master'!M68</f>
        <v>Anticipated Resources</v>
      </c>
      <c r="N103" s="19">
        <f>+'CCs # Master'!AW68</f>
        <v>0</v>
      </c>
      <c r="O103" s="19">
        <v>0</v>
      </c>
      <c r="P103" s="19">
        <f>+'CCs # Master'!N68</f>
        <v>0</v>
      </c>
      <c r="Q103" s="19">
        <f>+'CCs # Master'!O68</f>
        <v>0</v>
      </c>
      <c r="R103" s="19">
        <f>+'CCs # Master'!P68</f>
        <v>0</v>
      </c>
      <c r="S103" s="19">
        <f>+'CCs # Master'!Q68</f>
        <v>0</v>
      </c>
      <c r="T103" s="19">
        <f>+'CCs # Master'!R68</f>
        <v>0</v>
      </c>
      <c r="U103" s="19">
        <f>+'CCs # Master'!S68</f>
        <v>0</v>
      </c>
      <c r="V103" s="19">
        <f>+'CCs # Master'!T68</f>
        <v>0</v>
      </c>
      <c r="W103" s="19">
        <f>+'CCs # Master'!U68</f>
        <v>0</v>
      </c>
      <c r="X103" s="19">
        <f>+'CCs # Master'!V68</f>
        <v>0</v>
      </c>
      <c r="Y103" s="19">
        <f>+'CCs # Master'!W68</f>
        <v>0</v>
      </c>
      <c r="Z103" s="19">
        <f>+'CCs # Master'!X68</f>
        <v>507</v>
      </c>
      <c r="AA103" s="19">
        <f>+'CCs # Master'!Y68</f>
        <v>0</v>
      </c>
      <c r="AB103" s="19">
        <f>+'CCs # Master'!Z68</f>
        <v>0</v>
      </c>
      <c r="AC103" s="19">
        <f>+'CCs # Master'!AA68</f>
        <v>0</v>
      </c>
      <c r="AD103" s="19">
        <f>+'CCs # Master'!AB68</f>
        <v>0</v>
      </c>
      <c r="AE103" s="19">
        <f>+'CCs # Master'!AC68</f>
        <v>0</v>
      </c>
      <c r="AF103" s="19">
        <f>+'CCs # Master'!AD68</f>
        <v>0</v>
      </c>
      <c r="AG103" s="19">
        <f>+'CCs # Master'!AE68</f>
        <v>0</v>
      </c>
      <c r="AH103" s="19">
        <f>+'CCs # Master'!AF68</f>
        <v>0</v>
      </c>
      <c r="AI103" s="19">
        <f>+'CCs # Master'!AG68</f>
        <v>0</v>
      </c>
      <c r="AJ103" s="19">
        <f>+'CCs # Master'!AH68</f>
        <v>0</v>
      </c>
      <c r="AK103" s="19">
        <f>+'CCs # Master'!AI68</f>
        <v>0</v>
      </c>
      <c r="AL103" s="19">
        <f>+'CCs # Master'!AJ68</f>
        <v>0</v>
      </c>
      <c r="AM103" s="19">
        <f>+'CCs # Master'!AK68</f>
        <v>0</v>
      </c>
      <c r="AN103" s="19">
        <f>+'CCs # Master'!AL68</f>
        <v>0</v>
      </c>
      <c r="AO103" s="19">
        <f>+'CCs # Master'!AM68</f>
        <v>0</v>
      </c>
      <c r="AP103" s="19">
        <f>+'CCs # Master'!AN68</f>
        <v>0</v>
      </c>
      <c r="AQ103" s="19">
        <f>+'CCs # Master'!AO68</f>
        <v>0</v>
      </c>
      <c r="AR103" s="19">
        <f>+'CCs # Master'!AP68</f>
        <v>0</v>
      </c>
      <c r="AS103" s="19">
        <f>+'CCs # Master'!AQ68</f>
        <v>0</v>
      </c>
      <c r="AT103" s="19">
        <f>+'CCs # Master'!AR68</f>
        <v>0</v>
      </c>
      <c r="AU103" s="19">
        <f>+'CCs # Master'!AS68</f>
        <v>0</v>
      </c>
      <c r="AV103" s="19">
        <f>+'CCs # Master'!AT68</f>
        <v>0</v>
      </c>
      <c r="AW103"/>
      <c r="AX103" s="21">
        <f t="shared" si="49"/>
        <v>507</v>
      </c>
      <c r="AY103" s="21">
        <f t="shared" si="50"/>
        <v>0</v>
      </c>
      <c r="BA103" s="19">
        <f t="shared" si="51"/>
        <v>0</v>
      </c>
      <c r="BB103" s="19">
        <f t="shared" si="52"/>
        <v>0</v>
      </c>
      <c r="BC103" s="19">
        <f t="shared" si="53"/>
        <v>507</v>
      </c>
      <c r="BE103" s="19">
        <f t="shared" si="54"/>
        <v>507</v>
      </c>
      <c r="BG103" s="234">
        <f t="shared" si="55"/>
        <v>507</v>
      </c>
      <c r="BH103" s="19">
        <f t="shared" si="56"/>
        <v>0</v>
      </c>
    </row>
    <row r="104" spans="1:60" s="19" customFormat="1" ht="12.95" customHeight="1" x14ac:dyDescent="0.2">
      <c r="A104" s="85">
        <f>+'CCs # Master'!A70</f>
        <v>11</v>
      </c>
      <c r="B104" s="19" t="str">
        <f>+'CCs # Master'!B70</f>
        <v>American Indian Affairs - Gov't Affairs</v>
      </c>
      <c r="C104" s="19" t="str">
        <f>+'CCs # Master'!C70</f>
        <v>Kean, Steve</v>
      </c>
      <c r="D104" s="205">
        <f>+'CCs # Master'!D70</f>
        <v>100105</v>
      </c>
      <c r="E104" s="19">
        <f>+'CCs # Master'!E70</f>
        <v>0</v>
      </c>
      <c r="F104" s="19">
        <f>+'CCs # Master'!F70</f>
        <v>0</v>
      </c>
      <c r="G104" s="19">
        <f>+'CCs # Master'!G70</f>
        <v>0</v>
      </c>
      <c r="H104" s="19">
        <f>+'CCs # Master'!H70</f>
        <v>0</v>
      </c>
      <c r="I104" s="19">
        <f>+'CCs # Master'!I70</f>
        <v>0</v>
      </c>
      <c r="J104" s="19">
        <f>+'CCs # Master'!J70</f>
        <v>0</v>
      </c>
      <c r="K104" s="21">
        <f t="shared" si="57"/>
        <v>0</v>
      </c>
      <c r="M104" s="19" t="str">
        <f>+'CCs # Master'!M70</f>
        <v>Retained At Corp</v>
      </c>
      <c r="N104" s="19">
        <f>+'CCs # Master'!AW70</f>
        <v>0</v>
      </c>
      <c r="O104" s="19">
        <v>0</v>
      </c>
      <c r="P104" s="19">
        <f>+'CCs # Master'!N70</f>
        <v>0</v>
      </c>
      <c r="Q104" s="19">
        <f>+'CCs # Master'!O70</f>
        <v>0</v>
      </c>
      <c r="R104" s="19">
        <f>+'CCs # Master'!P70</f>
        <v>0</v>
      </c>
      <c r="S104" s="19">
        <f>+'CCs # Master'!Q70</f>
        <v>0</v>
      </c>
      <c r="T104" s="19">
        <f>+'CCs # Master'!R70</f>
        <v>0</v>
      </c>
      <c r="U104" s="19">
        <f>+'CCs # Master'!S70</f>
        <v>0</v>
      </c>
      <c r="V104" s="19">
        <f>+'CCs # Master'!T70</f>
        <v>0</v>
      </c>
      <c r="W104" s="19">
        <f>+'CCs # Master'!U70</f>
        <v>0</v>
      </c>
      <c r="X104" s="19">
        <f>+'CCs # Master'!V70</f>
        <v>0</v>
      </c>
      <c r="Y104" s="19">
        <f>+'CCs # Master'!W70</f>
        <v>0</v>
      </c>
      <c r="Z104" s="19">
        <f>+'CCs # Master'!X70</f>
        <v>0</v>
      </c>
      <c r="AA104" s="19">
        <f>+'CCs # Master'!Y70</f>
        <v>0</v>
      </c>
      <c r="AB104" s="19">
        <f>+'CCs # Master'!Z70</f>
        <v>0</v>
      </c>
      <c r="AC104" s="19">
        <f>+'CCs # Master'!AA70</f>
        <v>0</v>
      </c>
      <c r="AD104" s="19">
        <f>+'CCs # Master'!AB70</f>
        <v>0</v>
      </c>
      <c r="AE104" s="19">
        <f>+'CCs # Master'!AC70</f>
        <v>0</v>
      </c>
      <c r="AF104" s="19">
        <f>+'CCs # Master'!AD70</f>
        <v>0</v>
      </c>
      <c r="AG104" s="19">
        <f>+'CCs # Master'!AE70</f>
        <v>0</v>
      </c>
      <c r="AH104" s="19">
        <f>+'CCs # Master'!AF70</f>
        <v>0</v>
      </c>
      <c r="AI104" s="19">
        <f>+'CCs # Master'!AG70</f>
        <v>0</v>
      </c>
      <c r="AJ104" s="19">
        <f>+'CCs # Master'!AH70</f>
        <v>0</v>
      </c>
      <c r="AK104" s="19">
        <f>+'CCs # Master'!AI70</f>
        <v>0</v>
      </c>
      <c r="AL104" s="19">
        <f>+'CCs # Master'!AJ70</f>
        <v>0</v>
      </c>
      <c r="AM104" s="19">
        <f>+'CCs # Master'!AK70</f>
        <v>0</v>
      </c>
      <c r="AN104" s="19">
        <f>+'CCs # Master'!AL70</f>
        <v>0</v>
      </c>
      <c r="AO104" s="19">
        <f>+'CCs # Master'!AM70</f>
        <v>0</v>
      </c>
      <c r="AP104" s="19">
        <f>+'CCs # Master'!AN70</f>
        <v>0</v>
      </c>
      <c r="AQ104" s="19">
        <f>+'CCs # Master'!AO70</f>
        <v>0</v>
      </c>
      <c r="AR104" s="19">
        <f>+'CCs # Master'!AP70</f>
        <v>0</v>
      </c>
      <c r="AS104" s="19">
        <f>+'CCs # Master'!AQ70</f>
        <v>0</v>
      </c>
      <c r="AT104" s="19">
        <f>+'CCs # Master'!AR70</f>
        <v>0</v>
      </c>
      <c r="AU104" s="19">
        <f>+'CCs # Master'!AS70</f>
        <v>0</v>
      </c>
      <c r="AV104" s="19">
        <f>+'CCs # Master'!AT70</f>
        <v>0</v>
      </c>
      <c r="AW104"/>
      <c r="AX104" s="21">
        <f t="shared" si="49"/>
        <v>0</v>
      </c>
      <c r="AY104" s="21">
        <f t="shared" si="50"/>
        <v>0</v>
      </c>
      <c r="BA104" s="19">
        <f t="shared" si="51"/>
        <v>0</v>
      </c>
      <c r="BB104" s="19">
        <f t="shared" si="52"/>
        <v>0</v>
      </c>
      <c r="BC104" s="19">
        <f t="shared" si="53"/>
        <v>0</v>
      </c>
      <c r="BE104" s="19">
        <f t="shared" si="54"/>
        <v>0</v>
      </c>
      <c r="BG104" s="234">
        <f t="shared" si="55"/>
        <v>0</v>
      </c>
      <c r="BH104" s="19">
        <f t="shared" si="56"/>
        <v>0</v>
      </c>
    </row>
    <row r="105" spans="1:60" s="19" customFormat="1" ht="12.95" customHeight="1" x14ac:dyDescent="0.2">
      <c r="A105" s="85">
        <f>+'CCs # Master'!A71</f>
        <v>11</v>
      </c>
      <c r="B105" s="19" t="str">
        <f>+'CCs # Master'!B71</f>
        <v>State Gov't / Fed Reg Env / Implementaion</v>
      </c>
      <c r="C105" s="19" t="str">
        <f>+'CCs # Master'!C71</f>
        <v>Brown, Jeff</v>
      </c>
      <c r="D105" s="205">
        <f>+'CCs # Master'!D71</f>
        <v>100108</v>
      </c>
      <c r="E105" s="19">
        <f>+'CCs # Master'!E71</f>
        <v>0</v>
      </c>
      <c r="F105" s="19">
        <f>+'CCs # Master'!F71</f>
        <v>311</v>
      </c>
      <c r="G105" s="19">
        <f>+'CCs # Master'!G71</f>
        <v>5</v>
      </c>
      <c r="H105" s="19">
        <f>+'CCs # Master'!H71</f>
        <v>14</v>
      </c>
      <c r="I105" s="19">
        <f>+'CCs # Master'!I71</f>
        <v>0</v>
      </c>
      <c r="J105" s="19">
        <f>+'CCs # Master'!J71</f>
        <v>0</v>
      </c>
      <c r="K105" s="21">
        <f t="shared" si="57"/>
        <v>330</v>
      </c>
      <c r="M105" s="19" t="str">
        <f>+'CCs # Master'!M71</f>
        <v>Anticipated Resources</v>
      </c>
      <c r="N105" s="19">
        <f>+'CCs # Master'!AW71</f>
        <v>0</v>
      </c>
      <c r="O105" s="19">
        <v>0</v>
      </c>
      <c r="P105" s="19">
        <f>+'CCs # Master'!N71</f>
        <v>0</v>
      </c>
      <c r="Q105" s="19">
        <f>+'CCs # Master'!O71</f>
        <v>0</v>
      </c>
      <c r="R105" s="19">
        <f>+'CCs # Master'!P71</f>
        <v>0</v>
      </c>
      <c r="S105" s="19">
        <f>+'CCs # Master'!Q71</f>
        <v>0</v>
      </c>
      <c r="T105" s="19">
        <f>+'CCs # Master'!R71</f>
        <v>0</v>
      </c>
      <c r="U105" s="19">
        <f>+'CCs # Master'!S71</f>
        <v>0</v>
      </c>
      <c r="V105" s="19">
        <f>+'CCs # Master'!T71</f>
        <v>0</v>
      </c>
      <c r="W105" s="19">
        <f>+'CCs # Master'!U71</f>
        <v>0</v>
      </c>
      <c r="X105" s="19">
        <f>+'CCs # Master'!V71</f>
        <v>0</v>
      </c>
      <c r="Y105" s="19">
        <f>+'CCs # Master'!W71</f>
        <v>0</v>
      </c>
      <c r="Z105" s="19">
        <f>+'CCs # Master'!X71</f>
        <v>185</v>
      </c>
      <c r="AA105" s="19">
        <f>+'CCs # Master'!Y71</f>
        <v>0</v>
      </c>
      <c r="AB105" s="19">
        <f>+'CCs # Master'!Z71</f>
        <v>0</v>
      </c>
      <c r="AC105" s="19">
        <f>+'CCs # Master'!AA71</f>
        <v>0</v>
      </c>
      <c r="AD105" s="19">
        <f>+'CCs # Master'!AB71</f>
        <v>0</v>
      </c>
      <c r="AE105" s="19">
        <f>+'CCs # Master'!AC71</f>
        <v>0</v>
      </c>
      <c r="AF105" s="19">
        <f>+'CCs # Master'!AD71</f>
        <v>105</v>
      </c>
      <c r="AG105" s="19">
        <f>+'CCs # Master'!AE71</f>
        <v>40</v>
      </c>
      <c r="AH105" s="19">
        <f>+'CCs # Master'!AF71</f>
        <v>0</v>
      </c>
      <c r="AI105" s="19">
        <f>+'CCs # Master'!AG71</f>
        <v>0</v>
      </c>
      <c r="AJ105" s="19">
        <f>+'CCs # Master'!AH71</f>
        <v>0</v>
      </c>
      <c r="AK105" s="19">
        <f>+'CCs # Master'!AI71</f>
        <v>0</v>
      </c>
      <c r="AL105" s="19">
        <f>+'CCs # Master'!AJ71</f>
        <v>0</v>
      </c>
      <c r="AM105" s="19">
        <f>+'CCs # Master'!AK71</f>
        <v>0</v>
      </c>
      <c r="AN105" s="19">
        <f>+'CCs # Master'!AL71</f>
        <v>0</v>
      </c>
      <c r="AO105" s="19">
        <f>+'CCs # Master'!AM71</f>
        <v>0</v>
      </c>
      <c r="AP105" s="19">
        <f>+'CCs # Master'!AN71</f>
        <v>0</v>
      </c>
      <c r="AQ105" s="19">
        <f>+'CCs # Master'!AO71</f>
        <v>0</v>
      </c>
      <c r="AR105" s="19">
        <f>+'CCs # Master'!AP71</f>
        <v>0</v>
      </c>
      <c r="AS105" s="19">
        <f>+'CCs # Master'!AQ71</f>
        <v>0</v>
      </c>
      <c r="AT105" s="19">
        <f>+'CCs # Master'!AR71</f>
        <v>0</v>
      </c>
      <c r="AU105" s="19">
        <f>+'CCs # Master'!AS71</f>
        <v>0</v>
      </c>
      <c r="AV105" s="19">
        <f>+'CCs # Master'!AT71</f>
        <v>0</v>
      </c>
      <c r="AW105"/>
      <c r="AX105" s="21">
        <f t="shared" si="49"/>
        <v>330</v>
      </c>
      <c r="AY105" s="21">
        <f t="shared" si="50"/>
        <v>0</v>
      </c>
      <c r="BA105" s="19">
        <f t="shared" si="51"/>
        <v>0</v>
      </c>
      <c r="BB105" s="19">
        <f t="shared" si="52"/>
        <v>0</v>
      </c>
      <c r="BC105" s="19">
        <f t="shared" si="53"/>
        <v>330</v>
      </c>
      <c r="BE105" s="19">
        <f t="shared" si="54"/>
        <v>330</v>
      </c>
      <c r="BG105" s="234">
        <f t="shared" si="55"/>
        <v>330</v>
      </c>
      <c r="BH105" s="19">
        <f t="shared" si="56"/>
        <v>0</v>
      </c>
    </row>
    <row r="106" spans="1:60" s="19" customFormat="1" ht="12.95" customHeight="1" x14ac:dyDescent="0.2">
      <c r="A106" s="85">
        <f>+'CCs # Master'!A103</f>
        <v>11</v>
      </c>
      <c r="B106" s="226" t="str">
        <f>+'CCs # Master'!B103</f>
        <v>Conventions/Inauguration</v>
      </c>
      <c r="C106" s="226" t="str">
        <f>+'CCs # Master'!C103</f>
        <v>Hillings, Joe</v>
      </c>
      <c r="D106" s="85">
        <f>+'CCs # Master'!D103</f>
        <v>100178</v>
      </c>
      <c r="E106" s="19">
        <f>+'CCs # Master'!E103</f>
        <v>0</v>
      </c>
      <c r="F106" s="19">
        <f>+'CCs # Master'!F103</f>
        <v>595</v>
      </c>
      <c r="G106" s="19">
        <f>+'CCs # Master'!G103</f>
        <v>0</v>
      </c>
      <c r="H106" s="19">
        <f>+'CCs # Master'!H103</f>
        <v>20</v>
      </c>
      <c r="I106" s="19">
        <f>+'CCs # Master'!I103</f>
        <v>0</v>
      </c>
      <c r="J106" s="19">
        <f>+'CCs # Master'!J103</f>
        <v>0</v>
      </c>
      <c r="K106" s="21">
        <f t="shared" si="57"/>
        <v>615</v>
      </c>
      <c r="M106" s="19" t="str">
        <f>+'CCs # Master'!M103</f>
        <v>Retained  At Corp</v>
      </c>
      <c r="N106" s="19">
        <f>+'CCs # Master'!AW103</f>
        <v>615</v>
      </c>
      <c r="O106" s="19">
        <v>0</v>
      </c>
      <c r="P106" s="19">
        <f>+'CCs # Master'!N103</f>
        <v>0</v>
      </c>
      <c r="Q106" s="19">
        <f>+'CCs # Master'!O103</f>
        <v>0</v>
      </c>
      <c r="R106" s="19">
        <f>+'CCs # Master'!P103</f>
        <v>0</v>
      </c>
      <c r="S106" s="19">
        <f>+'CCs # Master'!Q103</f>
        <v>0</v>
      </c>
      <c r="T106" s="19">
        <f>+'CCs # Master'!R103</f>
        <v>0</v>
      </c>
      <c r="U106" s="19">
        <f>+'CCs # Master'!S103</f>
        <v>0</v>
      </c>
      <c r="V106" s="19">
        <f>+'CCs # Master'!T103</f>
        <v>0</v>
      </c>
      <c r="W106" s="19">
        <f>+'CCs # Master'!U103</f>
        <v>0</v>
      </c>
      <c r="X106" s="19">
        <f>+'CCs # Master'!V103</f>
        <v>0</v>
      </c>
      <c r="Y106" s="19">
        <f>+'CCs # Master'!W103</f>
        <v>0</v>
      </c>
      <c r="Z106" s="19">
        <f>+'CCs # Master'!X103</f>
        <v>0</v>
      </c>
      <c r="AA106" s="19">
        <f>+'CCs # Master'!Y103</f>
        <v>0</v>
      </c>
      <c r="AB106" s="19">
        <f>+'CCs # Master'!Z103</f>
        <v>0</v>
      </c>
      <c r="AC106" s="19">
        <f>+'CCs # Master'!AA103</f>
        <v>0</v>
      </c>
      <c r="AD106" s="19">
        <f>+'CCs # Master'!AB103</f>
        <v>0</v>
      </c>
      <c r="AE106" s="19">
        <f>+'CCs # Master'!AC103</f>
        <v>0</v>
      </c>
      <c r="AF106" s="19">
        <f>+'CCs # Master'!AD103</f>
        <v>0</v>
      </c>
      <c r="AG106" s="19">
        <f>+'CCs # Master'!AE103</f>
        <v>0</v>
      </c>
      <c r="AH106" s="19">
        <f>+'CCs # Master'!AF103</f>
        <v>0</v>
      </c>
      <c r="AI106" s="19">
        <f>+'CCs # Master'!AG103</f>
        <v>0</v>
      </c>
      <c r="AJ106" s="19">
        <f>+'CCs # Master'!AH103</f>
        <v>0</v>
      </c>
      <c r="AK106" s="19">
        <f>+'CCs # Master'!AI103</f>
        <v>0</v>
      </c>
      <c r="AL106" s="19">
        <f>+'CCs # Master'!AJ103</f>
        <v>0</v>
      </c>
      <c r="AM106" s="19">
        <f>+'CCs # Master'!AK103</f>
        <v>0</v>
      </c>
      <c r="AN106" s="19">
        <f>+'CCs # Master'!AL103</f>
        <v>0</v>
      </c>
      <c r="AO106" s="19">
        <f>+'CCs # Master'!AM103</f>
        <v>0</v>
      </c>
      <c r="AP106" s="19">
        <f>+'CCs # Master'!AN103</f>
        <v>0</v>
      </c>
      <c r="AQ106" s="19">
        <f>+'CCs # Master'!AO103</f>
        <v>0</v>
      </c>
      <c r="AR106" s="19">
        <f>+'CCs # Master'!AP103</f>
        <v>0</v>
      </c>
      <c r="AS106" s="19">
        <f>+'CCs # Master'!AQ103</f>
        <v>0</v>
      </c>
      <c r="AT106" s="19">
        <f>+'CCs # Master'!AR103</f>
        <v>0</v>
      </c>
      <c r="AU106" s="19">
        <f>+'CCs # Master'!AS103</f>
        <v>0</v>
      </c>
      <c r="AV106" s="19">
        <f>+'CCs # Master'!AT103</f>
        <v>0</v>
      </c>
      <c r="AW106"/>
      <c r="AX106" s="21">
        <f>SUM(N106:AW106)</f>
        <v>615</v>
      </c>
      <c r="AY106" s="21">
        <f t="shared" si="50"/>
        <v>0</v>
      </c>
      <c r="BA106" s="19">
        <f t="shared" si="51"/>
        <v>0</v>
      </c>
      <c r="BB106" s="19">
        <f>N106</f>
        <v>615</v>
      </c>
      <c r="BC106" s="19">
        <f t="shared" si="53"/>
        <v>0</v>
      </c>
      <c r="BE106" s="19">
        <f t="shared" si="54"/>
        <v>615</v>
      </c>
      <c r="BG106" s="234">
        <f t="shared" si="55"/>
        <v>615</v>
      </c>
      <c r="BH106" s="19">
        <f>BE106-BG106</f>
        <v>0</v>
      </c>
    </row>
    <row r="107" spans="1:60" s="19" customFormat="1" ht="12.95" customHeight="1" x14ac:dyDescent="0.2">
      <c r="A107" s="85">
        <f>+'CCs # Master'!A106</f>
        <v>11</v>
      </c>
      <c r="B107" s="19" t="str">
        <f>+'CCs # Master'!B106</f>
        <v>Environment</v>
      </c>
      <c r="C107" s="19" t="str">
        <f>+'CCs # Master'!C106</f>
        <v>Thorn, Terry</v>
      </c>
      <c r="D107" s="205">
        <f>+'CCs # Master'!D106</f>
        <v>100222</v>
      </c>
      <c r="E107" s="19">
        <f>+'CCs # Master'!E106</f>
        <v>437</v>
      </c>
      <c r="F107" s="19">
        <f>+'CCs # Master'!F106</f>
        <v>101</v>
      </c>
      <c r="G107" s="19">
        <f>+'CCs # Master'!G106</f>
        <v>7</v>
      </c>
      <c r="H107" s="19">
        <f>+'CCs # Master'!H106</f>
        <v>75</v>
      </c>
      <c r="I107" s="19">
        <f>+'CCs # Master'!I106</f>
        <v>62</v>
      </c>
      <c r="J107" s="19">
        <f>+'CCs # Master'!J106</f>
        <v>5</v>
      </c>
      <c r="K107" s="21">
        <f t="shared" si="57"/>
        <v>687</v>
      </c>
      <c r="M107" s="19" t="str">
        <f>+'CCs # Master'!M106</f>
        <v>Anticipated Resources</v>
      </c>
      <c r="N107" s="19">
        <f>+'CCs # Master'!AW106</f>
        <v>137</v>
      </c>
      <c r="O107" s="19">
        <v>0</v>
      </c>
      <c r="P107" s="19">
        <f>+'CCs # Master'!N106</f>
        <v>0</v>
      </c>
      <c r="Q107" s="19">
        <f>+'CCs # Master'!O106</f>
        <v>0</v>
      </c>
      <c r="R107" s="19">
        <f>+'CCs # Master'!P106</f>
        <v>0</v>
      </c>
      <c r="S107" s="19">
        <f>+'CCs # Master'!Q106</f>
        <v>0</v>
      </c>
      <c r="T107" s="19">
        <f>+'CCs # Master'!R106</f>
        <v>0</v>
      </c>
      <c r="U107" s="19">
        <f>+'CCs # Master'!S106</f>
        <v>0</v>
      </c>
      <c r="V107" s="19">
        <f>+'CCs # Master'!T106</f>
        <v>0</v>
      </c>
      <c r="W107" s="19">
        <f>+'CCs # Master'!U106</f>
        <v>0</v>
      </c>
      <c r="X107" s="19">
        <f>+'CCs # Master'!V106</f>
        <v>0</v>
      </c>
      <c r="Y107" s="19">
        <f>+'CCs # Master'!W106</f>
        <v>0</v>
      </c>
      <c r="Z107" s="19">
        <f>+'CCs # Master'!X106</f>
        <v>137</v>
      </c>
      <c r="AA107" s="19">
        <f>+'CCs # Master'!Y106</f>
        <v>0</v>
      </c>
      <c r="AB107" s="19">
        <f>+'CCs # Master'!Z106</f>
        <v>0</v>
      </c>
      <c r="AC107" s="19">
        <f>+'CCs # Master'!AA106</f>
        <v>0</v>
      </c>
      <c r="AD107" s="19">
        <f>+'CCs # Master'!AB106</f>
        <v>70</v>
      </c>
      <c r="AE107" s="19">
        <f>+'CCs # Master'!AC106</f>
        <v>0</v>
      </c>
      <c r="AF107" s="19">
        <f>+'CCs # Master'!AD106</f>
        <v>69</v>
      </c>
      <c r="AG107" s="19">
        <f>+'CCs # Master'!AE106</f>
        <v>34</v>
      </c>
      <c r="AH107" s="19">
        <f>+'CCs # Master'!AF106</f>
        <v>34</v>
      </c>
      <c r="AI107" s="19">
        <f>+'CCs # Master'!AG106</f>
        <v>0</v>
      </c>
      <c r="AJ107" s="19">
        <f>+'CCs # Master'!AH106</f>
        <v>34</v>
      </c>
      <c r="AK107" s="19">
        <f>+'CCs # Master'!AI106</f>
        <v>34</v>
      </c>
      <c r="AL107" s="19">
        <f>+'CCs # Master'!AJ106</f>
        <v>34</v>
      </c>
      <c r="AM107" s="19">
        <f>+'CCs # Master'!AK106</f>
        <v>34</v>
      </c>
      <c r="AN107" s="19">
        <f>+'CCs # Master'!AL106</f>
        <v>70</v>
      </c>
      <c r="AO107" s="19">
        <f>+'CCs # Master'!AM106</f>
        <v>0</v>
      </c>
      <c r="AP107" s="19">
        <f>+'CCs # Master'!AN106</f>
        <v>0</v>
      </c>
      <c r="AQ107" s="19">
        <f>+'CCs # Master'!AO106</f>
        <v>0</v>
      </c>
      <c r="AR107" s="19">
        <f>+'CCs # Master'!AP106</f>
        <v>0</v>
      </c>
      <c r="AS107" s="19">
        <f>+'CCs # Master'!AQ106</f>
        <v>0</v>
      </c>
      <c r="AT107" s="19">
        <f>+'CCs # Master'!AR106</f>
        <v>0</v>
      </c>
      <c r="AU107" s="19">
        <f>+'CCs # Master'!AS106</f>
        <v>0</v>
      </c>
      <c r="AV107" s="19">
        <f>+'CCs # Master'!AT106</f>
        <v>0</v>
      </c>
      <c r="AW107"/>
      <c r="AX107" s="21">
        <f t="shared" si="49"/>
        <v>687</v>
      </c>
      <c r="AY107" s="21">
        <f t="shared" si="50"/>
        <v>0</v>
      </c>
      <c r="BA107" s="19">
        <f t="shared" si="51"/>
        <v>0</v>
      </c>
      <c r="BB107" s="19">
        <f t="shared" si="52"/>
        <v>137</v>
      </c>
      <c r="BC107" s="19">
        <f t="shared" si="53"/>
        <v>550</v>
      </c>
      <c r="BE107" s="19">
        <f t="shared" si="54"/>
        <v>687</v>
      </c>
      <c r="BG107" s="234">
        <f t="shared" si="55"/>
        <v>687</v>
      </c>
      <c r="BH107" s="19">
        <f t="shared" si="56"/>
        <v>0</v>
      </c>
    </row>
    <row r="108" spans="1:60" s="19" customFormat="1" ht="12.95" customHeight="1" x14ac:dyDescent="0.2">
      <c r="A108" s="85">
        <f>+'CCs # Master'!A107</f>
        <v>11</v>
      </c>
      <c r="B108" s="19" t="str">
        <f>+'CCs # Master'!B107</f>
        <v>Environment Policy &amp; Compliance</v>
      </c>
      <c r="C108" s="19" t="str">
        <f>+'CCs # Master'!C107</f>
        <v>Thorn, Terry</v>
      </c>
      <c r="D108" s="205">
        <f>+'CCs # Master'!D107</f>
        <v>100223</v>
      </c>
      <c r="E108" s="19">
        <f>+'CCs # Master'!E107</f>
        <v>489</v>
      </c>
      <c r="F108" s="19">
        <f>+'CCs # Master'!F107</f>
        <v>309</v>
      </c>
      <c r="G108" s="19">
        <f>+'CCs # Master'!G107</f>
        <v>3</v>
      </c>
      <c r="H108" s="19">
        <f>+'CCs # Master'!H107</f>
        <v>100</v>
      </c>
      <c r="I108" s="19">
        <f>+'CCs # Master'!I107</f>
        <v>42</v>
      </c>
      <c r="J108" s="19">
        <f>+'CCs # Master'!J107</f>
        <v>77</v>
      </c>
      <c r="K108" s="21">
        <f t="shared" si="57"/>
        <v>1020</v>
      </c>
      <c r="M108" s="19" t="str">
        <f>+'CCs # Master'!M107</f>
        <v>% of Time Spent</v>
      </c>
      <c r="N108" s="19">
        <f>+'CCs # Master'!AW107</f>
        <v>0</v>
      </c>
      <c r="O108" s="19">
        <v>0</v>
      </c>
      <c r="P108" s="19">
        <f>+'CCs # Master'!N107</f>
        <v>0</v>
      </c>
      <c r="Q108" s="19">
        <f>+'CCs # Master'!O107</f>
        <v>0</v>
      </c>
      <c r="R108" s="19">
        <f>+'CCs # Master'!P107</f>
        <v>0</v>
      </c>
      <c r="S108" s="19">
        <f>+'CCs # Master'!Q107</f>
        <v>0</v>
      </c>
      <c r="T108" s="19">
        <f>+'CCs # Master'!R107</f>
        <v>0</v>
      </c>
      <c r="U108" s="19">
        <f>+'CCs # Master'!S107</f>
        <v>0</v>
      </c>
      <c r="V108" s="19">
        <f>+'CCs # Master'!T107</f>
        <v>0</v>
      </c>
      <c r="W108" s="19">
        <f>+'CCs # Master'!U107</f>
        <v>0</v>
      </c>
      <c r="X108" s="19">
        <f>+'CCs # Master'!V107</f>
        <v>55</v>
      </c>
      <c r="Y108" s="19">
        <f>+'CCs # Master'!W107</f>
        <v>0</v>
      </c>
      <c r="Z108" s="19">
        <f>+'CCs # Master'!X107</f>
        <v>343</v>
      </c>
      <c r="AA108" s="19">
        <f>+'CCs # Master'!Y107</f>
        <v>0</v>
      </c>
      <c r="AB108" s="19">
        <f>+'CCs # Master'!Z107</f>
        <v>38</v>
      </c>
      <c r="AC108" s="19">
        <f>+'CCs # Master'!AA107</f>
        <v>0</v>
      </c>
      <c r="AD108" s="19">
        <f>+'CCs # Master'!AB107</f>
        <v>76</v>
      </c>
      <c r="AE108" s="19">
        <f>+'CCs # Master'!AC107</f>
        <v>0</v>
      </c>
      <c r="AF108" s="19">
        <f>+'CCs # Master'!AD107</f>
        <v>336</v>
      </c>
      <c r="AG108" s="19">
        <f>+'CCs # Master'!AE107</f>
        <v>15</v>
      </c>
      <c r="AH108" s="19">
        <f>+'CCs # Master'!AF107</f>
        <v>85</v>
      </c>
      <c r="AI108" s="19">
        <f>+'CCs # Master'!AG107</f>
        <v>6</v>
      </c>
      <c r="AJ108" s="19">
        <f>+'CCs # Master'!AH107</f>
        <v>17</v>
      </c>
      <c r="AK108" s="19">
        <f>+'CCs # Master'!AI107</f>
        <v>17</v>
      </c>
      <c r="AL108" s="19">
        <f>+'CCs # Master'!AJ107</f>
        <v>9</v>
      </c>
      <c r="AM108" s="19">
        <f>+'CCs # Master'!AK107</f>
        <v>6</v>
      </c>
      <c r="AN108" s="19">
        <f>+'CCs # Master'!AL107</f>
        <v>17</v>
      </c>
      <c r="AO108" s="19">
        <f>+'CCs # Master'!AM107</f>
        <v>0</v>
      </c>
      <c r="AP108" s="19">
        <f>+'CCs # Master'!AN107</f>
        <v>0</v>
      </c>
      <c r="AQ108" s="19">
        <f>+'CCs # Master'!AO107</f>
        <v>0</v>
      </c>
      <c r="AR108" s="19">
        <f>+'CCs # Master'!AP107</f>
        <v>0</v>
      </c>
      <c r="AS108" s="19">
        <f>+'CCs # Master'!AQ107</f>
        <v>0</v>
      </c>
      <c r="AT108" s="19">
        <f>+'CCs # Master'!AR107</f>
        <v>0</v>
      </c>
      <c r="AU108" s="19">
        <f>+'CCs # Master'!AS107</f>
        <v>0</v>
      </c>
      <c r="AV108" s="19">
        <f>+'CCs # Master'!AT107</f>
        <v>0</v>
      </c>
      <c r="AW108"/>
      <c r="AX108" s="21">
        <f t="shared" si="49"/>
        <v>1020</v>
      </c>
      <c r="AY108" s="21">
        <f t="shared" si="50"/>
        <v>0</v>
      </c>
      <c r="BA108" s="19">
        <f t="shared" si="51"/>
        <v>55</v>
      </c>
      <c r="BB108" s="19">
        <f t="shared" si="52"/>
        <v>0</v>
      </c>
      <c r="BC108" s="19">
        <f t="shared" si="53"/>
        <v>1020</v>
      </c>
      <c r="BE108" s="19">
        <f t="shared" si="54"/>
        <v>1020</v>
      </c>
      <c r="BG108" s="234">
        <f t="shared" si="55"/>
        <v>1020</v>
      </c>
      <c r="BH108" s="19">
        <f t="shared" si="56"/>
        <v>0</v>
      </c>
    </row>
    <row r="109" spans="1:60" s="19" customFormat="1" ht="12.95" customHeight="1" x14ac:dyDescent="0.2">
      <c r="A109" s="85">
        <f>+'CCs # Master'!A110</f>
        <v>11</v>
      </c>
      <c r="B109" s="19" t="str">
        <f>+'CCs # Master'!B110</f>
        <v>International Government Affairs</v>
      </c>
      <c r="C109" s="19" t="str">
        <f>+'CCs # Master'!C110</f>
        <v>Thorn, Terry</v>
      </c>
      <c r="D109" s="205">
        <f>+'CCs # Master'!D110</f>
        <v>100231</v>
      </c>
      <c r="E109" s="19">
        <f>+'CCs # Master'!E110</f>
        <v>985</v>
      </c>
      <c r="F109" s="19">
        <f>+'CCs # Master'!F110</f>
        <v>539</v>
      </c>
      <c r="G109" s="19">
        <f>+'CCs # Master'!G110</f>
        <v>6</v>
      </c>
      <c r="H109" s="19">
        <f>+'CCs # Master'!H110</f>
        <v>210</v>
      </c>
      <c r="I109" s="19">
        <f>+'CCs # Master'!I110</f>
        <v>84</v>
      </c>
      <c r="J109" s="19">
        <f>+'CCs # Master'!J110</f>
        <v>132</v>
      </c>
      <c r="K109" s="21">
        <f t="shared" si="57"/>
        <v>1956</v>
      </c>
      <c r="M109" s="19" t="str">
        <f>+'CCs # Master'!M110</f>
        <v>Usage</v>
      </c>
      <c r="N109" s="19">
        <f>+'CCs # Master'!AW110</f>
        <v>0</v>
      </c>
      <c r="O109" s="19">
        <v>0</v>
      </c>
      <c r="P109" s="19">
        <f>+'CCs # Master'!N110</f>
        <v>0</v>
      </c>
      <c r="Q109" s="19">
        <f>+'CCs # Master'!O110</f>
        <v>0</v>
      </c>
      <c r="R109" s="19">
        <f>+'CCs # Master'!P110</f>
        <v>0</v>
      </c>
      <c r="S109" s="19">
        <f>+'CCs # Master'!Q110</f>
        <v>0</v>
      </c>
      <c r="T109" s="19">
        <f>+'CCs # Master'!R110</f>
        <v>0</v>
      </c>
      <c r="U109" s="19">
        <f>+'CCs # Master'!S110</f>
        <v>0</v>
      </c>
      <c r="V109" s="19">
        <f>+'CCs # Master'!T110</f>
        <v>0</v>
      </c>
      <c r="W109" s="19">
        <f>+'CCs # Master'!U110</f>
        <v>0</v>
      </c>
      <c r="X109" s="19">
        <f>+'CCs # Master'!V110</f>
        <v>0</v>
      </c>
      <c r="Y109" s="19">
        <f>+'CCs # Master'!W110</f>
        <v>0</v>
      </c>
      <c r="Z109" s="19">
        <f>+'CCs # Master'!X110</f>
        <v>0</v>
      </c>
      <c r="AA109" s="19">
        <f>+'CCs # Master'!Y110</f>
        <v>0</v>
      </c>
      <c r="AB109" s="19">
        <f>+'CCs # Master'!Z110</f>
        <v>0</v>
      </c>
      <c r="AC109" s="19">
        <f>+'CCs # Master'!AA110</f>
        <v>0</v>
      </c>
      <c r="AD109" s="19">
        <f>+'CCs # Master'!AB110</f>
        <v>0</v>
      </c>
      <c r="AE109" s="19">
        <f>+'CCs # Master'!AC110</f>
        <v>0</v>
      </c>
      <c r="AF109" s="19">
        <f>+'CCs # Master'!AD110</f>
        <v>0</v>
      </c>
      <c r="AG109" s="19">
        <f>+'CCs # Master'!AE110</f>
        <v>345</v>
      </c>
      <c r="AH109" s="19">
        <f>+'CCs # Master'!AF110</f>
        <v>0</v>
      </c>
      <c r="AI109" s="19">
        <f>+'CCs # Master'!AG110</f>
        <v>0</v>
      </c>
      <c r="AJ109" s="19">
        <f>+'CCs # Master'!AH110</f>
        <v>780</v>
      </c>
      <c r="AK109" s="19">
        <f>+'CCs # Master'!AI110</f>
        <v>0</v>
      </c>
      <c r="AL109" s="19">
        <f>+'CCs # Master'!AJ110</f>
        <v>831</v>
      </c>
      <c r="AM109" s="19">
        <f>+'CCs # Master'!AK110</f>
        <v>0</v>
      </c>
      <c r="AN109" s="19">
        <f>+'CCs # Master'!AL110</f>
        <v>0</v>
      </c>
      <c r="AO109" s="19">
        <f>+'CCs # Master'!AM110</f>
        <v>0</v>
      </c>
      <c r="AP109" s="19">
        <f>+'CCs # Master'!AN110</f>
        <v>0</v>
      </c>
      <c r="AQ109" s="19">
        <f>+'CCs # Master'!AO110</f>
        <v>0</v>
      </c>
      <c r="AR109" s="19">
        <f>+'CCs # Master'!AP110</f>
        <v>0</v>
      </c>
      <c r="AS109" s="19">
        <f>+'CCs # Master'!AQ110</f>
        <v>0</v>
      </c>
      <c r="AT109" s="19">
        <f>+'CCs # Master'!AR110</f>
        <v>0</v>
      </c>
      <c r="AU109" s="19">
        <f>+'CCs # Master'!AS110</f>
        <v>0</v>
      </c>
      <c r="AV109" s="19">
        <f>+'CCs # Master'!AT110</f>
        <v>0</v>
      </c>
      <c r="AW109"/>
      <c r="AX109" s="21">
        <f t="shared" si="49"/>
        <v>1956</v>
      </c>
      <c r="AY109" s="21">
        <f t="shared" si="50"/>
        <v>0</v>
      </c>
      <c r="BA109" s="19">
        <f t="shared" si="51"/>
        <v>0</v>
      </c>
      <c r="BB109" s="19">
        <f t="shared" si="52"/>
        <v>0</v>
      </c>
      <c r="BC109" s="19">
        <f t="shared" si="53"/>
        <v>1956</v>
      </c>
      <c r="BE109" s="19">
        <f t="shared" si="54"/>
        <v>1956</v>
      </c>
      <c r="BG109" s="234">
        <f t="shared" si="55"/>
        <v>1956</v>
      </c>
      <c r="BH109" s="19">
        <f t="shared" si="56"/>
        <v>0</v>
      </c>
    </row>
    <row r="110" spans="1:60" s="19" customFormat="1" ht="12.95" customHeight="1" x14ac:dyDescent="0.2">
      <c r="A110" s="85">
        <f>+'CCs # Master'!A111</f>
        <v>11</v>
      </c>
      <c r="B110" s="19" t="str">
        <f>+'CCs # Master'!B111</f>
        <v>International Regulatory Affairs</v>
      </c>
      <c r="C110" s="19" t="str">
        <f>+'CCs # Master'!C111</f>
        <v>Thorn, Terry</v>
      </c>
      <c r="D110" s="205">
        <f>+'CCs # Master'!D111</f>
        <v>100232</v>
      </c>
      <c r="E110" s="19">
        <f>+'CCs # Master'!E111</f>
        <v>0</v>
      </c>
      <c r="F110" s="19">
        <f>+'CCs # Master'!F111</f>
        <v>0</v>
      </c>
      <c r="G110" s="19">
        <f>+'CCs # Master'!G111</f>
        <v>0</v>
      </c>
      <c r="H110" s="19">
        <f>+'CCs # Master'!H111</f>
        <v>0</v>
      </c>
      <c r="I110" s="19">
        <f>+'CCs # Master'!I111</f>
        <v>0</v>
      </c>
      <c r="J110" s="19">
        <f>+'CCs # Master'!J111</f>
        <v>0</v>
      </c>
      <c r="K110" s="21">
        <f t="shared" si="57"/>
        <v>0</v>
      </c>
      <c r="M110" s="19" t="str">
        <f>+'CCs # Master'!M111</f>
        <v>Usage</v>
      </c>
      <c r="N110" s="19">
        <f>+'CCs # Master'!AW111</f>
        <v>0</v>
      </c>
      <c r="O110" s="19">
        <v>0</v>
      </c>
      <c r="P110" s="19">
        <f>+'CCs # Master'!N111</f>
        <v>0</v>
      </c>
      <c r="Q110" s="19">
        <f>+'CCs # Master'!O111</f>
        <v>0</v>
      </c>
      <c r="R110" s="19">
        <f>+'CCs # Master'!P111</f>
        <v>0</v>
      </c>
      <c r="S110" s="19">
        <f>+'CCs # Master'!Q111</f>
        <v>0</v>
      </c>
      <c r="T110" s="19">
        <f>+'CCs # Master'!R111</f>
        <v>0</v>
      </c>
      <c r="U110" s="19">
        <f>+'CCs # Master'!S111</f>
        <v>0</v>
      </c>
      <c r="V110" s="19">
        <f>+'CCs # Master'!T111</f>
        <v>0</v>
      </c>
      <c r="W110" s="19">
        <f>+'CCs # Master'!U111</f>
        <v>0</v>
      </c>
      <c r="X110" s="19">
        <f>+'CCs # Master'!V111</f>
        <v>0</v>
      </c>
      <c r="Y110" s="19">
        <f>+'CCs # Master'!W111</f>
        <v>0</v>
      </c>
      <c r="Z110" s="19">
        <f>+'CCs # Master'!X111</f>
        <v>0</v>
      </c>
      <c r="AA110" s="19">
        <f>+'CCs # Master'!Y111</f>
        <v>0</v>
      </c>
      <c r="AB110" s="19">
        <f>+'CCs # Master'!Z111</f>
        <v>0</v>
      </c>
      <c r="AC110" s="19">
        <f>+'CCs # Master'!AA111</f>
        <v>0</v>
      </c>
      <c r="AD110" s="19">
        <f>+'CCs # Master'!AB111</f>
        <v>0</v>
      </c>
      <c r="AE110" s="19">
        <f>+'CCs # Master'!AC111</f>
        <v>0</v>
      </c>
      <c r="AF110" s="19">
        <f>+'CCs # Master'!AD111</f>
        <v>0</v>
      </c>
      <c r="AG110" s="19">
        <f>+'CCs # Master'!AE111</f>
        <v>0</v>
      </c>
      <c r="AH110" s="19">
        <f>+'CCs # Master'!AF111</f>
        <v>0</v>
      </c>
      <c r="AI110" s="19">
        <f>+'CCs # Master'!AG111</f>
        <v>0</v>
      </c>
      <c r="AJ110" s="19">
        <f>+'CCs # Master'!AH111</f>
        <v>0</v>
      </c>
      <c r="AK110" s="19">
        <f>+'CCs # Master'!AI111</f>
        <v>0</v>
      </c>
      <c r="AL110" s="19">
        <f>+'CCs # Master'!AJ111</f>
        <v>0</v>
      </c>
      <c r="AM110" s="19">
        <f>+'CCs # Master'!AK111</f>
        <v>0</v>
      </c>
      <c r="AN110" s="19">
        <f>+'CCs # Master'!AL111</f>
        <v>0</v>
      </c>
      <c r="AO110" s="19">
        <f>+'CCs # Master'!AM111</f>
        <v>0</v>
      </c>
      <c r="AP110" s="19">
        <f>+'CCs # Master'!AN111</f>
        <v>0</v>
      </c>
      <c r="AQ110" s="19">
        <f>+'CCs # Master'!AO111</f>
        <v>0</v>
      </c>
      <c r="AR110" s="19">
        <f>+'CCs # Master'!AP111</f>
        <v>0</v>
      </c>
      <c r="AS110" s="19">
        <f>+'CCs # Master'!AQ111</f>
        <v>0</v>
      </c>
      <c r="AT110" s="19">
        <f>+'CCs # Master'!AR111</f>
        <v>0</v>
      </c>
      <c r="AU110" s="19">
        <f>+'CCs # Master'!AS111</f>
        <v>0</v>
      </c>
      <c r="AV110" s="19">
        <f>+'CCs # Master'!AT111</f>
        <v>0</v>
      </c>
      <c r="AW110"/>
      <c r="AX110" s="21">
        <f t="shared" si="49"/>
        <v>0</v>
      </c>
      <c r="AY110" s="21">
        <f t="shared" si="50"/>
        <v>0</v>
      </c>
      <c r="BA110" s="19">
        <f t="shared" si="51"/>
        <v>0</v>
      </c>
      <c r="BB110" s="19">
        <f t="shared" si="52"/>
        <v>0</v>
      </c>
      <c r="BC110" s="19">
        <f t="shared" si="53"/>
        <v>0</v>
      </c>
      <c r="BE110" s="19">
        <f t="shared" si="54"/>
        <v>0</v>
      </c>
      <c r="BG110" s="234">
        <f t="shared" si="55"/>
        <v>0</v>
      </c>
      <c r="BH110" s="19">
        <f t="shared" si="56"/>
        <v>0</v>
      </c>
    </row>
    <row r="111" spans="1:60" s="19" customFormat="1" ht="12.95" customHeight="1" x14ac:dyDescent="0.2">
      <c r="A111" s="85">
        <f>+'CCs # Master'!A112</f>
        <v>11</v>
      </c>
      <c r="B111" s="19" t="str">
        <f>+'CCs # Master'!B112</f>
        <v>International Project Finance</v>
      </c>
      <c r="C111" s="19" t="str">
        <f>+'CCs # Master'!C112</f>
        <v>Thorn, Terry</v>
      </c>
      <c r="D111" s="205">
        <f>+'CCs # Master'!D112</f>
        <v>100233</v>
      </c>
      <c r="E111" s="19">
        <f>+'CCs # Master'!E112</f>
        <v>377</v>
      </c>
      <c r="F111" s="19">
        <f>+'CCs # Master'!F112</f>
        <v>214</v>
      </c>
      <c r="G111" s="19">
        <f>+'CCs # Master'!G112</f>
        <v>12</v>
      </c>
      <c r="H111" s="19">
        <f>+'CCs # Master'!H112</f>
        <v>200</v>
      </c>
      <c r="I111" s="19">
        <f>+'CCs # Master'!I112</f>
        <v>0</v>
      </c>
      <c r="J111" s="19">
        <f>+'CCs # Master'!J112</f>
        <v>95</v>
      </c>
      <c r="K111" s="21">
        <f t="shared" si="57"/>
        <v>898</v>
      </c>
      <c r="M111" s="19" t="str">
        <f>+'CCs # Master'!M112</f>
        <v>Usage</v>
      </c>
      <c r="N111" s="19">
        <f>+'CCs # Master'!AW112</f>
        <v>0</v>
      </c>
      <c r="O111" s="19">
        <v>0</v>
      </c>
      <c r="P111" s="19">
        <f>+'CCs # Master'!N112</f>
        <v>0</v>
      </c>
      <c r="Q111" s="19">
        <f>+'CCs # Master'!O112</f>
        <v>0</v>
      </c>
      <c r="R111" s="19">
        <f>+'CCs # Master'!P112</f>
        <v>0</v>
      </c>
      <c r="S111" s="19">
        <f>+'CCs # Master'!Q112</f>
        <v>0</v>
      </c>
      <c r="T111" s="19">
        <f>+'CCs # Master'!R112</f>
        <v>0</v>
      </c>
      <c r="U111" s="19">
        <f>+'CCs # Master'!S112</f>
        <v>0</v>
      </c>
      <c r="V111" s="19">
        <f>+'CCs # Master'!T112</f>
        <v>0</v>
      </c>
      <c r="W111" s="19">
        <f>+'CCs # Master'!U112</f>
        <v>0</v>
      </c>
      <c r="X111" s="19">
        <f>+'CCs # Master'!V112</f>
        <v>0</v>
      </c>
      <c r="Y111" s="19">
        <f>+'CCs # Master'!W112</f>
        <v>0</v>
      </c>
      <c r="Z111" s="19">
        <f>+'CCs # Master'!X112</f>
        <v>0</v>
      </c>
      <c r="AA111" s="19">
        <f>+'CCs # Master'!Y112</f>
        <v>0</v>
      </c>
      <c r="AB111" s="19">
        <f>+'CCs # Master'!Z112</f>
        <v>0</v>
      </c>
      <c r="AC111" s="19">
        <f>+'CCs # Master'!AA112</f>
        <v>0</v>
      </c>
      <c r="AD111" s="19">
        <f>+'CCs # Master'!AB112</f>
        <v>135</v>
      </c>
      <c r="AE111" s="19">
        <f>+'CCs # Master'!AC112</f>
        <v>0</v>
      </c>
      <c r="AF111" s="19">
        <f>+'CCs # Master'!AD112</f>
        <v>135</v>
      </c>
      <c r="AG111" s="19">
        <f>+'CCs # Master'!AE112</f>
        <v>0</v>
      </c>
      <c r="AH111" s="19">
        <f>+'CCs # Master'!AF112</f>
        <v>0</v>
      </c>
      <c r="AI111" s="19">
        <f>+'CCs # Master'!AG112</f>
        <v>90</v>
      </c>
      <c r="AJ111" s="19">
        <f>+'CCs # Master'!AH112</f>
        <v>0</v>
      </c>
      <c r="AK111" s="19">
        <f>+'CCs # Master'!AI112</f>
        <v>313</v>
      </c>
      <c r="AL111" s="19">
        <f>+'CCs # Master'!AJ112</f>
        <v>90</v>
      </c>
      <c r="AM111" s="19">
        <f>+'CCs # Master'!AK112</f>
        <v>0</v>
      </c>
      <c r="AN111" s="19">
        <f>+'CCs # Master'!AL112</f>
        <v>135</v>
      </c>
      <c r="AO111" s="19">
        <f>+'CCs # Master'!AM112</f>
        <v>0</v>
      </c>
      <c r="AP111" s="19">
        <f>+'CCs # Master'!AN112</f>
        <v>0</v>
      </c>
      <c r="AQ111" s="19">
        <f>+'CCs # Master'!AO112</f>
        <v>0</v>
      </c>
      <c r="AR111" s="19">
        <f>+'CCs # Master'!AP112</f>
        <v>0</v>
      </c>
      <c r="AS111" s="19">
        <f>+'CCs # Master'!AQ112</f>
        <v>0</v>
      </c>
      <c r="AT111" s="19">
        <f>+'CCs # Master'!AR112</f>
        <v>0</v>
      </c>
      <c r="AU111" s="19">
        <f>+'CCs # Master'!AS112</f>
        <v>0</v>
      </c>
      <c r="AV111" s="19">
        <f>+'CCs # Master'!AT112</f>
        <v>0</v>
      </c>
      <c r="AW111"/>
      <c r="AX111" s="21">
        <f t="shared" si="49"/>
        <v>898</v>
      </c>
      <c r="AY111" s="21">
        <f t="shared" si="50"/>
        <v>0</v>
      </c>
      <c r="BA111" s="19">
        <f t="shared" si="51"/>
        <v>0</v>
      </c>
      <c r="BB111" s="19">
        <f t="shared" si="52"/>
        <v>0</v>
      </c>
      <c r="BC111" s="19">
        <f t="shared" si="53"/>
        <v>898</v>
      </c>
      <c r="BE111" s="19">
        <f t="shared" si="54"/>
        <v>898</v>
      </c>
      <c r="BG111" s="234">
        <f t="shared" si="55"/>
        <v>898</v>
      </c>
      <c r="BH111" s="19">
        <f t="shared" si="56"/>
        <v>0</v>
      </c>
    </row>
    <row r="112" spans="1:60" s="19" customFormat="1" ht="12.75" customHeight="1" x14ac:dyDescent="0.2">
      <c r="A112" s="85" t="str">
        <f>+'CCs # Master'!A115</f>
        <v>0011</v>
      </c>
      <c r="B112" s="19" t="str">
        <f>+'CCs # Master'!B115</f>
        <v>Asset Ops - EHS</v>
      </c>
      <c r="C112" s="19" t="str">
        <f>+'CCs # Master'!C115</f>
        <v>Van, Henry</v>
      </c>
      <c r="D112" s="205">
        <f>+'CCs # Master'!D115</f>
        <v>100252</v>
      </c>
      <c r="E112" s="19">
        <f>+'CCs # Master'!E115</f>
        <v>867</v>
      </c>
      <c r="F112" s="19">
        <f>+'CCs # Master'!F115</f>
        <v>518</v>
      </c>
      <c r="G112" s="19">
        <f>+'CCs # Master'!G115</f>
        <v>11</v>
      </c>
      <c r="H112" s="19">
        <f>+'CCs # Master'!H115</f>
        <v>45</v>
      </c>
      <c r="I112" s="19">
        <f>+'CCs # Master'!I115</f>
        <v>89</v>
      </c>
      <c r="J112" s="19">
        <f>+'CCs # Master'!J115</f>
        <v>40</v>
      </c>
      <c r="K112" s="21">
        <f>SUM(E112:J112)</f>
        <v>1570</v>
      </c>
      <c r="M112" s="19" t="str">
        <f>+'CCs # Master'!M115</f>
        <v>Direct Usage</v>
      </c>
      <c r="N112" s="19">
        <f>+'CCs # Master'!AW115</f>
        <v>0</v>
      </c>
      <c r="O112" s="19">
        <v>0</v>
      </c>
      <c r="P112" s="19">
        <f>+'CCs # Master'!N115</f>
        <v>0</v>
      </c>
      <c r="Q112" s="19">
        <f>+'CCs # Master'!O115</f>
        <v>0</v>
      </c>
      <c r="R112" s="19">
        <f>+'CCs # Master'!P115</f>
        <v>0</v>
      </c>
      <c r="S112" s="19">
        <f>+'CCs # Master'!Q115</f>
        <v>0</v>
      </c>
      <c r="T112" s="19">
        <f>+'CCs # Master'!R115</f>
        <v>0</v>
      </c>
      <c r="U112" s="19">
        <f>+'CCs # Master'!S115</f>
        <v>0</v>
      </c>
      <c r="V112" s="19">
        <f>+'CCs # Master'!T115</f>
        <v>0</v>
      </c>
      <c r="W112" s="19">
        <f>+'CCs # Master'!U115</f>
        <v>0</v>
      </c>
      <c r="X112" s="19">
        <f>+'CCs # Master'!V115</f>
        <v>0</v>
      </c>
      <c r="Y112" s="19">
        <f>+'CCs # Master'!W115</f>
        <v>0</v>
      </c>
      <c r="Z112" s="19">
        <f>+'CCs # Master'!X115</f>
        <v>63</v>
      </c>
      <c r="AA112" s="19">
        <f>+'CCs # Master'!Y115</f>
        <v>0</v>
      </c>
      <c r="AB112" s="19">
        <f>+'CCs # Master'!Z115</f>
        <v>0</v>
      </c>
      <c r="AC112" s="19">
        <f>+'CCs # Master'!AA115</f>
        <v>0</v>
      </c>
      <c r="AD112" s="19">
        <f>+'CCs # Master'!AB115</f>
        <v>408</v>
      </c>
      <c r="AE112" s="19">
        <f>+'CCs # Master'!AC115</f>
        <v>0</v>
      </c>
      <c r="AF112" s="19">
        <f>+'CCs # Master'!AD115</f>
        <v>376</v>
      </c>
      <c r="AG112" s="19">
        <f>+'CCs # Master'!AE115</f>
        <v>0</v>
      </c>
      <c r="AH112" s="19">
        <f>+'CCs # Master'!AF115</f>
        <v>0</v>
      </c>
      <c r="AI112" s="19">
        <f>+'CCs # Master'!AG115</f>
        <v>0</v>
      </c>
      <c r="AJ112" s="19">
        <f>+'CCs # Master'!AH115</f>
        <v>126</v>
      </c>
      <c r="AK112" s="19">
        <f>+'CCs # Master'!AI115</f>
        <v>220</v>
      </c>
      <c r="AL112" s="19">
        <f>+'CCs # Master'!AJ115</f>
        <v>126</v>
      </c>
      <c r="AM112" s="19">
        <f>+'CCs # Master'!AK115</f>
        <v>0</v>
      </c>
      <c r="AN112" s="19">
        <f>+'CCs # Master'!AL115</f>
        <v>251</v>
      </c>
      <c r="AO112" s="19">
        <f>+'CCs # Master'!AM115</f>
        <v>0</v>
      </c>
      <c r="AP112" s="19">
        <f>+'CCs # Master'!AN115</f>
        <v>0</v>
      </c>
      <c r="AQ112" s="19">
        <f>+'CCs # Master'!AO115</f>
        <v>0</v>
      </c>
      <c r="AR112" s="19">
        <f>+'CCs # Master'!AP115</f>
        <v>0</v>
      </c>
      <c r="AS112" s="19">
        <f>+'CCs # Master'!AQ115</f>
        <v>0</v>
      </c>
      <c r="AT112" s="19">
        <f>+'CCs # Master'!AR115</f>
        <v>0</v>
      </c>
      <c r="AU112" s="19">
        <f>+'CCs # Master'!AS115</f>
        <v>0</v>
      </c>
      <c r="AV112" s="19">
        <f>+'CCs # Master'!AT115</f>
        <v>0</v>
      </c>
      <c r="AW112"/>
      <c r="AX112" s="21">
        <f>SUM(N112:AW112)</f>
        <v>1570</v>
      </c>
      <c r="AY112" s="21">
        <f>+K112-AX112</f>
        <v>0</v>
      </c>
      <c r="BA112" s="19">
        <f t="shared" si="51"/>
        <v>0</v>
      </c>
      <c r="BB112" s="19">
        <f>N112</f>
        <v>0</v>
      </c>
      <c r="BC112" s="19">
        <f>SUM(P112:AW112)</f>
        <v>1570</v>
      </c>
      <c r="BE112" s="19">
        <f>SUM(BB112:BC112)</f>
        <v>1570</v>
      </c>
      <c r="BG112" s="234">
        <f>SUM(N112:AW112)</f>
        <v>1570</v>
      </c>
      <c r="BH112" s="19">
        <f>BE112-BG112</f>
        <v>0</v>
      </c>
    </row>
    <row r="113" spans="1:60" s="19" customFormat="1" ht="12.95" customHeight="1" x14ac:dyDescent="0.2">
      <c r="A113" s="85">
        <f>+'CCs # Master'!A150</f>
        <v>11</v>
      </c>
      <c r="B113" s="226" t="str">
        <f>+'CCs # Master'!B150</f>
        <v>Corporate Social/Environmental Responsibility</v>
      </c>
      <c r="C113" s="226" t="str">
        <f>+'CCs # Master'!C150</f>
        <v>Kimberely, Kelly</v>
      </c>
      <c r="D113" s="85">
        <f>+'CCs # Master'!D150</f>
        <v>102741</v>
      </c>
      <c r="E113" s="19">
        <f>+'CCs # Master'!E150</f>
        <v>199</v>
      </c>
      <c r="F113" s="19">
        <f>+'CCs # Master'!F150</f>
        <v>130</v>
      </c>
      <c r="G113" s="19">
        <f>+'CCs # Master'!G150</f>
        <v>0</v>
      </c>
      <c r="H113" s="19">
        <f>+'CCs # Master'!H150</f>
        <v>239</v>
      </c>
      <c r="I113" s="19">
        <f>+'CCs # Master'!I150</f>
        <v>12</v>
      </c>
      <c r="J113" s="19">
        <f>+'CCs # Master'!J150</f>
        <v>600</v>
      </c>
      <c r="K113" s="21">
        <f>SUM(E113:J113)</f>
        <v>1180</v>
      </c>
      <c r="M113" s="19" t="str">
        <f>+'CCs # Master'!M150</f>
        <v>Retained at Corp</v>
      </c>
      <c r="N113" s="19">
        <f>+'CCs # Master'!AW150</f>
        <v>1180</v>
      </c>
      <c r="O113" s="19">
        <v>0</v>
      </c>
      <c r="P113" s="19">
        <f>+'CCs # Master'!N150</f>
        <v>0</v>
      </c>
      <c r="Q113" s="19">
        <f>+'CCs # Master'!O150</f>
        <v>0</v>
      </c>
      <c r="R113" s="19">
        <f>+'CCs # Master'!P150</f>
        <v>0</v>
      </c>
      <c r="S113" s="19">
        <f>+'CCs # Master'!Q150</f>
        <v>0</v>
      </c>
      <c r="T113" s="19">
        <f>+'CCs # Master'!R150</f>
        <v>0</v>
      </c>
      <c r="U113" s="19">
        <f>+'CCs # Master'!S150</f>
        <v>0</v>
      </c>
      <c r="V113" s="19">
        <f>+'CCs # Master'!T150</f>
        <v>0</v>
      </c>
      <c r="W113" s="19">
        <f>+'CCs # Master'!U150</f>
        <v>0</v>
      </c>
      <c r="X113" s="19">
        <f>+'CCs # Master'!V150</f>
        <v>0</v>
      </c>
      <c r="Y113" s="19">
        <f>+'CCs # Master'!W150</f>
        <v>0</v>
      </c>
      <c r="Z113" s="19">
        <f>+'CCs # Master'!X150</f>
        <v>0</v>
      </c>
      <c r="AA113" s="19">
        <f>+'CCs # Master'!Y150</f>
        <v>0</v>
      </c>
      <c r="AB113" s="19">
        <f>+'CCs # Master'!Z150</f>
        <v>0</v>
      </c>
      <c r="AC113" s="19">
        <f>+'CCs # Master'!AA150</f>
        <v>0</v>
      </c>
      <c r="AD113" s="19">
        <f>+'CCs # Master'!AB150</f>
        <v>0</v>
      </c>
      <c r="AE113" s="19">
        <f>+'CCs # Master'!AC150</f>
        <v>0</v>
      </c>
      <c r="AF113" s="19">
        <f>+'CCs # Master'!AD150</f>
        <v>0</v>
      </c>
      <c r="AG113" s="19">
        <f>+'CCs # Master'!AE150</f>
        <v>0</v>
      </c>
      <c r="AH113" s="19">
        <f>+'CCs # Master'!AF150</f>
        <v>0</v>
      </c>
      <c r="AI113" s="19">
        <f>+'CCs # Master'!AG150</f>
        <v>0</v>
      </c>
      <c r="AJ113" s="19">
        <f>+'CCs # Master'!AH150</f>
        <v>0</v>
      </c>
      <c r="AK113" s="19">
        <f>+'CCs # Master'!AI150</f>
        <v>0</v>
      </c>
      <c r="AL113" s="19">
        <f>+'CCs # Master'!AJ150</f>
        <v>0</v>
      </c>
      <c r="AM113" s="19">
        <f>+'CCs # Master'!AK150</f>
        <v>0</v>
      </c>
      <c r="AN113" s="19">
        <f>+'CCs # Master'!AL150</f>
        <v>0</v>
      </c>
      <c r="AO113" s="19">
        <f>+'CCs # Master'!AM150</f>
        <v>0</v>
      </c>
      <c r="AP113" s="19">
        <f>+'CCs # Master'!AN150</f>
        <v>0</v>
      </c>
      <c r="AQ113" s="19">
        <f>+'CCs # Master'!AO150</f>
        <v>0</v>
      </c>
      <c r="AR113" s="19">
        <f>+'CCs # Master'!AP150</f>
        <v>0</v>
      </c>
      <c r="AS113" s="19">
        <f>+'CCs # Master'!AQ150</f>
        <v>0</v>
      </c>
      <c r="AT113" s="19">
        <f>+'CCs # Master'!AR150</f>
        <v>0</v>
      </c>
      <c r="AU113" s="19">
        <f>+'CCs # Master'!AS150</f>
        <v>0</v>
      </c>
      <c r="AV113" s="19">
        <f>+'CCs # Master'!AT150</f>
        <v>0</v>
      </c>
      <c r="AW113"/>
      <c r="AX113" s="21">
        <f>SUM(N113:AW113)</f>
        <v>1180</v>
      </c>
      <c r="AY113" s="21">
        <f>+K113-AX113</f>
        <v>0</v>
      </c>
      <c r="BA113" s="19">
        <f t="shared" si="51"/>
        <v>0</v>
      </c>
      <c r="BB113" s="19">
        <f>N113</f>
        <v>1180</v>
      </c>
      <c r="BC113" s="19">
        <f>SUM(P113:AW113)</f>
        <v>0</v>
      </c>
      <c r="BE113" s="19">
        <f>SUM(BB113:BC113)</f>
        <v>1180</v>
      </c>
      <c r="BG113" s="234">
        <f>SUM(N113:AW113)</f>
        <v>1180</v>
      </c>
      <c r="BH113" s="19">
        <f>BE113-BG113</f>
        <v>0</v>
      </c>
    </row>
    <row r="114" spans="1:60" s="19" customFormat="1" ht="12.95" customHeight="1" x14ac:dyDescent="0.2">
      <c r="A114" s="85">
        <f>+'CCs # Master'!A187</f>
        <v>11</v>
      </c>
      <c r="B114" s="226" t="str">
        <f>+'CCs # Master'!B187</f>
        <v>Reg Risk/Comp Analysis</v>
      </c>
      <c r="C114" s="226" t="str">
        <f>+'CCs # Master'!C187</f>
        <v>Palmer, Mark</v>
      </c>
      <c r="D114" s="85">
        <f>+'CCs # Master'!D187</f>
        <v>103246</v>
      </c>
      <c r="E114" s="19">
        <f>+'CCs # Master'!E187</f>
        <v>746</v>
      </c>
      <c r="F114" s="19">
        <f>+'CCs # Master'!F187</f>
        <v>123</v>
      </c>
      <c r="G114" s="19">
        <f>+'CCs # Master'!G187</f>
        <v>2</v>
      </c>
      <c r="H114" s="19">
        <f>+'CCs # Master'!H187</f>
        <v>107</v>
      </c>
      <c r="I114" s="19">
        <f>+'CCs # Master'!I187</f>
        <v>124</v>
      </c>
      <c r="J114" s="19">
        <f>+'CCs # Master'!J187</f>
        <v>14</v>
      </c>
      <c r="K114" s="21">
        <f>SUM(E114:J114)</f>
        <v>1116</v>
      </c>
      <c r="M114" s="19" t="str">
        <f>+'CCs # Master'!M187</f>
        <v>Aniticipated Resources</v>
      </c>
      <c r="N114" s="19">
        <f>+'CCs # Master'!AW187</f>
        <v>0</v>
      </c>
      <c r="O114" s="19">
        <v>0</v>
      </c>
      <c r="P114" s="19">
        <f>+'CCs # Master'!N187</f>
        <v>0</v>
      </c>
      <c r="Q114" s="19">
        <f>+'CCs # Master'!O187</f>
        <v>0</v>
      </c>
      <c r="R114" s="19">
        <f>+'CCs # Master'!P187</f>
        <v>0</v>
      </c>
      <c r="S114" s="19">
        <f>+'CCs # Master'!Q187</f>
        <v>0</v>
      </c>
      <c r="T114" s="19">
        <f>+'CCs # Master'!R187</f>
        <v>0</v>
      </c>
      <c r="U114" s="19">
        <f>+'CCs # Master'!S187</f>
        <v>0</v>
      </c>
      <c r="V114" s="19">
        <f>+'CCs # Master'!T187</f>
        <v>0</v>
      </c>
      <c r="W114" s="19">
        <f>+'CCs # Master'!U187</f>
        <v>0</v>
      </c>
      <c r="X114" s="19">
        <f>+'CCs # Master'!V187</f>
        <v>0</v>
      </c>
      <c r="Y114" s="19">
        <f>+'CCs # Master'!W187</f>
        <v>0</v>
      </c>
      <c r="Z114" s="19">
        <f>+'CCs # Master'!X187</f>
        <v>192</v>
      </c>
      <c r="AA114" s="19">
        <f>+'CCs # Master'!Y187</f>
        <v>0</v>
      </c>
      <c r="AB114" s="19">
        <f>+'CCs # Master'!Z187</f>
        <v>0</v>
      </c>
      <c r="AC114" s="19">
        <f>+'CCs # Master'!AA187</f>
        <v>0</v>
      </c>
      <c r="AD114" s="19">
        <f>+'CCs # Master'!AB187</f>
        <v>56</v>
      </c>
      <c r="AE114" s="19">
        <f>+'CCs # Master'!AC187</f>
        <v>0</v>
      </c>
      <c r="AF114" s="19">
        <f>+'CCs # Master'!AD187</f>
        <v>334</v>
      </c>
      <c r="AG114" s="19">
        <f>+'CCs # Master'!AE187</f>
        <v>112</v>
      </c>
      <c r="AH114" s="19">
        <f>+'CCs # Master'!AF187</f>
        <v>0</v>
      </c>
      <c r="AI114" s="19">
        <f>+'CCs # Master'!AG187</f>
        <v>0</v>
      </c>
      <c r="AJ114" s="19">
        <f>+'CCs # Master'!AH187</f>
        <v>70</v>
      </c>
      <c r="AK114" s="19">
        <f>+'CCs # Master'!AI187</f>
        <v>70</v>
      </c>
      <c r="AL114" s="19">
        <f>+'CCs # Master'!AJ187</f>
        <v>70</v>
      </c>
      <c r="AM114" s="19">
        <f>+'CCs # Master'!AK187</f>
        <v>0</v>
      </c>
      <c r="AN114" s="19">
        <f>+'CCs # Master'!AL187</f>
        <v>32</v>
      </c>
      <c r="AO114" s="19">
        <f>+'CCs # Master'!AM187</f>
        <v>0</v>
      </c>
      <c r="AP114" s="19">
        <f>+'CCs # Master'!AN187</f>
        <v>0</v>
      </c>
      <c r="AQ114" s="19">
        <f>+'CCs # Master'!AO187</f>
        <v>168</v>
      </c>
      <c r="AR114" s="19">
        <f>+'CCs # Master'!AP187</f>
        <v>12</v>
      </c>
      <c r="AS114" s="19">
        <f>+'CCs # Master'!AQ187</f>
        <v>0</v>
      </c>
      <c r="AT114" s="19">
        <f>+'CCs # Master'!AR187</f>
        <v>0</v>
      </c>
      <c r="AU114" s="19">
        <f>+'CCs # Master'!AS187</f>
        <v>0</v>
      </c>
      <c r="AV114" s="19">
        <f>+'CCs # Master'!AT187</f>
        <v>0</v>
      </c>
      <c r="AW114"/>
      <c r="AX114" s="21">
        <f>SUM(N114:AW114)</f>
        <v>1116</v>
      </c>
      <c r="AY114" s="21">
        <f>+K114-AX114</f>
        <v>0</v>
      </c>
      <c r="BA114" s="19">
        <f t="shared" si="51"/>
        <v>0</v>
      </c>
      <c r="BB114" s="19">
        <f>N114</f>
        <v>0</v>
      </c>
      <c r="BC114" s="19">
        <f>SUM(P114:AW114)</f>
        <v>1116</v>
      </c>
      <c r="BE114" s="19">
        <f>SUM(BB114:BC114)</f>
        <v>1116</v>
      </c>
      <c r="BG114" s="234">
        <f>SUM(N114:AW114)</f>
        <v>1116</v>
      </c>
      <c r="BH114" s="19">
        <f>BE114-BG114</f>
        <v>0</v>
      </c>
    </row>
    <row r="115" spans="1:60" s="19" customFormat="1" ht="12.95" customHeight="1" x14ac:dyDescent="0.2">
      <c r="A115" s="85">
        <f>+'CCs # Master'!A144</f>
        <v>11</v>
      </c>
      <c r="B115" s="226" t="str">
        <f>+'CCs # Master'!B144</f>
        <v>Chief Environmental Officer</v>
      </c>
      <c r="C115" s="226" t="str">
        <f>+'CCs # Master'!C144</f>
        <v>Terraso, M</v>
      </c>
      <c r="D115" s="85">
        <f>+'CCs # Master'!D144</f>
        <v>100882</v>
      </c>
      <c r="E115" s="19">
        <f>+'CCs # Master'!E144</f>
        <v>269</v>
      </c>
      <c r="F115" s="19">
        <f>+'CCs # Master'!F144</f>
        <v>214</v>
      </c>
      <c r="G115" s="19">
        <f>+'CCs # Master'!G144</f>
        <v>13</v>
      </c>
      <c r="H115" s="19">
        <f>+'CCs # Master'!H144</f>
        <v>1608</v>
      </c>
      <c r="I115" s="19">
        <f>+'CCs # Master'!I144</f>
        <v>55</v>
      </c>
      <c r="J115" s="19">
        <f>+'CCs # Master'!J144</f>
        <v>99</v>
      </c>
      <c r="K115" s="21">
        <f t="shared" si="57"/>
        <v>2258</v>
      </c>
      <c r="M115" s="19" t="str">
        <f>+'CCs # Master'!M144</f>
        <v>Anticipated Resources</v>
      </c>
      <c r="N115" s="19">
        <f>+'CCs # Master'!AW144</f>
        <v>450</v>
      </c>
      <c r="O115" s="19">
        <v>0</v>
      </c>
      <c r="P115" s="19">
        <f>+'CCs # Master'!N144</f>
        <v>0</v>
      </c>
      <c r="Q115" s="19">
        <f>+'CCs # Master'!O144</f>
        <v>0</v>
      </c>
      <c r="R115" s="19">
        <f>+'CCs # Master'!P144</f>
        <v>0</v>
      </c>
      <c r="S115" s="19">
        <f>+'CCs # Master'!Q144</f>
        <v>0</v>
      </c>
      <c r="T115" s="19">
        <f>+'CCs # Master'!R144</f>
        <v>0</v>
      </c>
      <c r="U115" s="19">
        <f>+'CCs # Master'!S144</f>
        <v>0</v>
      </c>
      <c r="V115" s="19">
        <f>+'CCs # Master'!T144</f>
        <v>0</v>
      </c>
      <c r="W115" s="19">
        <f>+'CCs # Master'!U144</f>
        <v>0</v>
      </c>
      <c r="X115" s="19">
        <f>+'CCs # Master'!V144</f>
        <v>0</v>
      </c>
      <c r="Y115" s="19">
        <f>+'CCs # Master'!W144</f>
        <v>0</v>
      </c>
      <c r="Z115" s="19">
        <f>+'CCs # Master'!X144</f>
        <v>317</v>
      </c>
      <c r="AA115" s="19">
        <f>+'CCs # Master'!Y144</f>
        <v>0</v>
      </c>
      <c r="AB115" s="19">
        <f>+'CCs # Master'!Z144</f>
        <v>0</v>
      </c>
      <c r="AC115" s="19">
        <f>+'CCs # Master'!AA144</f>
        <v>0</v>
      </c>
      <c r="AD115" s="19">
        <f>+'CCs # Master'!AB144</f>
        <v>317</v>
      </c>
      <c r="AE115" s="19">
        <f>+'CCs # Master'!AC144</f>
        <v>0</v>
      </c>
      <c r="AF115" s="19">
        <f>+'CCs # Master'!AD144</f>
        <v>317</v>
      </c>
      <c r="AG115" s="19">
        <f>+'CCs # Master'!AE144</f>
        <v>317</v>
      </c>
      <c r="AH115" s="19">
        <f>+'CCs # Master'!AF144</f>
        <v>90</v>
      </c>
      <c r="AI115" s="19">
        <f>+'CCs # Master'!AG144</f>
        <v>0</v>
      </c>
      <c r="AJ115" s="19">
        <f>+'CCs # Master'!AH144</f>
        <v>90</v>
      </c>
      <c r="AK115" s="19">
        <f>+'CCs # Master'!AI144</f>
        <v>90</v>
      </c>
      <c r="AL115" s="19">
        <f>+'CCs # Master'!AJ144</f>
        <v>90</v>
      </c>
      <c r="AM115" s="19">
        <f>+'CCs # Master'!AK144</f>
        <v>90</v>
      </c>
      <c r="AN115" s="19">
        <f>+'CCs # Master'!AL144</f>
        <v>90</v>
      </c>
      <c r="AO115" s="19">
        <f>+'CCs # Master'!AM144</f>
        <v>0</v>
      </c>
      <c r="AP115" s="19">
        <f>+'CCs # Master'!AN144</f>
        <v>0</v>
      </c>
      <c r="AQ115" s="19">
        <f>+'CCs # Master'!AO144</f>
        <v>0</v>
      </c>
      <c r="AR115" s="19">
        <f>+'CCs # Master'!AP144</f>
        <v>0</v>
      </c>
      <c r="AS115" s="19">
        <f>+'CCs # Master'!AQ144</f>
        <v>0</v>
      </c>
      <c r="AT115" s="19">
        <f>+'CCs # Master'!AR144</f>
        <v>0</v>
      </c>
      <c r="AU115" s="19">
        <f>+'CCs # Master'!AS144</f>
        <v>0</v>
      </c>
      <c r="AV115" s="19">
        <f>+'CCs # Master'!AT144</f>
        <v>0</v>
      </c>
      <c r="AW115"/>
      <c r="AX115" s="21">
        <f>SUM(N115:AW115)</f>
        <v>2258</v>
      </c>
      <c r="AY115" s="21">
        <f t="shared" si="50"/>
        <v>0</v>
      </c>
      <c r="BA115" s="19">
        <f t="shared" si="51"/>
        <v>0</v>
      </c>
      <c r="BB115" s="19">
        <f>N115</f>
        <v>450</v>
      </c>
      <c r="BC115" s="19">
        <f t="shared" si="53"/>
        <v>1808</v>
      </c>
      <c r="BE115" s="19">
        <f t="shared" si="54"/>
        <v>2258</v>
      </c>
      <c r="BG115" s="234">
        <f t="shared" si="55"/>
        <v>2258</v>
      </c>
      <c r="BH115" s="19">
        <f>BE115-BG115</f>
        <v>0</v>
      </c>
    </row>
    <row r="116" spans="1:60" s="19" customFormat="1" ht="12.95" customHeight="1" x14ac:dyDescent="0.2">
      <c r="A116" s="85">
        <f>+'CCs # Master'!A145</f>
        <v>11</v>
      </c>
      <c r="B116" s="226" t="str">
        <f>+'CCs # Master'!B145</f>
        <v>Regulatory Technical Analysis Group</v>
      </c>
      <c r="C116" s="226" t="str">
        <f>+'CCs # Master'!C145</f>
        <v>Terraso, M</v>
      </c>
      <c r="D116" s="85">
        <f>+'CCs # Master'!D145</f>
        <v>100883</v>
      </c>
      <c r="E116" s="19">
        <f>+'CCs # Master'!E145</f>
        <v>305</v>
      </c>
      <c r="F116" s="19">
        <f>+'CCs # Master'!F145</f>
        <v>86</v>
      </c>
      <c r="G116" s="19">
        <f>+'CCs # Master'!G145</f>
        <v>10</v>
      </c>
      <c r="H116" s="19">
        <f>+'CCs # Master'!H145</f>
        <v>7</v>
      </c>
      <c r="I116" s="19">
        <f>+'CCs # Master'!I145</f>
        <v>70</v>
      </c>
      <c r="J116" s="19">
        <f>+'CCs # Master'!J145</f>
        <v>46</v>
      </c>
      <c r="K116" s="21">
        <f t="shared" si="57"/>
        <v>524</v>
      </c>
      <c r="M116" s="19" t="str">
        <f>+'CCs # Master'!M145</f>
        <v>Usage</v>
      </c>
      <c r="N116" s="19">
        <f>+'CCs # Master'!AW145</f>
        <v>0</v>
      </c>
      <c r="O116" s="19">
        <v>0</v>
      </c>
      <c r="P116" s="19">
        <f>+'CCs # Master'!N145</f>
        <v>0</v>
      </c>
      <c r="Q116" s="19">
        <f>+'CCs # Master'!O145</f>
        <v>0</v>
      </c>
      <c r="R116" s="19">
        <f>+'CCs # Master'!P145</f>
        <v>52</v>
      </c>
      <c r="S116" s="19">
        <f>+'CCs # Master'!Q145</f>
        <v>0</v>
      </c>
      <c r="T116" s="19">
        <f>+'CCs # Master'!R145</f>
        <v>0</v>
      </c>
      <c r="U116" s="19">
        <f>+'CCs # Master'!S145</f>
        <v>52</v>
      </c>
      <c r="V116" s="19">
        <f>+'CCs # Master'!T145</f>
        <v>0</v>
      </c>
      <c r="W116" s="19">
        <f>+'CCs # Master'!U145</f>
        <v>0</v>
      </c>
      <c r="X116" s="19">
        <f>+'CCs # Master'!V145</f>
        <v>104</v>
      </c>
      <c r="Y116" s="19">
        <f>+'CCs # Master'!W145</f>
        <v>0</v>
      </c>
      <c r="Z116" s="19">
        <f>+'CCs # Master'!X145</f>
        <v>52</v>
      </c>
      <c r="AA116" s="19">
        <f>+'CCs # Master'!Y145</f>
        <v>0</v>
      </c>
      <c r="AB116" s="19">
        <f>+'CCs # Master'!Z145</f>
        <v>0</v>
      </c>
      <c r="AC116" s="19">
        <f>+'CCs # Master'!AA145</f>
        <v>0</v>
      </c>
      <c r="AD116" s="19">
        <f>+'CCs # Master'!AB145</f>
        <v>26</v>
      </c>
      <c r="AE116" s="19">
        <f>+'CCs # Master'!AC145</f>
        <v>0</v>
      </c>
      <c r="AF116" s="19">
        <f>+'CCs # Master'!AD145</f>
        <v>52</v>
      </c>
      <c r="AG116" s="19">
        <f>+'CCs # Master'!AE145</f>
        <v>26</v>
      </c>
      <c r="AH116" s="19">
        <f>+'CCs # Master'!AF145</f>
        <v>26</v>
      </c>
      <c r="AI116" s="19">
        <f>+'CCs # Master'!AG145</f>
        <v>26</v>
      </c>
      <c r="AJ116" s="19">
        <f>+'CCs # Master'!AH145</f>
        <v>0</v>
      </c>
      <c r="AK116" s="19">
        <f>+'CCs # Master'!AI145</f>
        <v>26</v>
      </c>
      <c r="AL116" s="19">
        <f>+'CCs # Master'!AJ145</f>
        <v>26</v>
      </c>
      <c r="AM116" s="19">
        <f>+'CCs # Master'!AK145</f>
        <v>26</v>
      </c>
      <c r="AN116" s="19">
        <f>+'CCs # Master'!AL145</f>
        <v>26</v>
      </c>
      <c r="AO116" s="19">
        <f>+'CCs # Master'!AM145</f>
        <v>0</v>
      </c>
      <c r="AP116" s="19">
        <f>+'CCs # Master'!AN145</f>
        <v>0</v>
      </c>
      <c r="AQ116" s="19">
        <f>+'CCs # Master'!AO145</f>
        <v>4</v>
      </c>
      <c r="AR116" s="19">
        <f>+'CCs # Master'!AP145</f>
        <v>0</v>
      </c>
      <c r="AS116" s="19">
        <f>+'CCs # Master'!AQ145</f>
        <v>0</v>
      </c>
      <c r="AT116" s="19">
        <f>+'CCs # Master'!AR145</f>
        <v>0</v>
      </c>
      <c r="AU116" s="19">
        <f>+'CCs # Master'!AS145</f>
        <v>0</v>
      </c>
      <c r="AV116" s="19">
        <f>+'CCs # Master'!AT145</f>
        <v>0</v>
      </c>
      <c r="AW116"/>
      <c r="AX116" s="21">
        <f>SUM(N116:AW116)</f>
        <v>524</v>
      </c>
      <c r="AY116" s="21">
        <f t="shared" si="50"/>
        <v>0</v>
      </c>
      <c r="BA116" s="19">
        <f t="shared" si="51"/>
        <v>156</v>
      </c>
      <c r="BB116" s="19">
        <f>N116</f>
        <v>0</v>
      </c>
      <c r="BC116" s="227">
        <f t="shared" si="53"/>
        <v>524</v>
      </c>
      <c r="BE116" s="227">
        <f t="shared" si="54"/>
        <v>524</v>
      </c>
      <c r="BG116" s="249">
        <f t="shared" si="55"/>
        <v>524</v>
      </c>
      <c r="BH116" s="19">
        <f>BE116-BG116</f>
        <v>0</v>
      </c>
    </row>
    <row r="117" spans="1:60" s="19" customFormat="1" ht="8.1" customHeight="1" x14ac:dyDescent="0.2">
      <c r="A117" s="207"/>
      <c r="B117" s="29"/>
      <c r="D117" s="205"/>
      <c r="E117" s="191"/>
      <c r="F117" s="191"/>
      <c r="G117" s="191"/>
      <c r="H117" s="191"/>
      <c r="I117" s="191"/>
      <c r="J117" s="191"/>
      <c r="K117" s="191"/>
      <c r="N117" s="191"/>
      <c r="O117" s="191"/>
      <c r="P117" s="191"/>
      <c r="Q117" s="191"/>
      <c r="R117" s="191"/>
      <c r="S117" s="191"/>
      <c r="T117" s="191"/>
      <c r="U117" s="191"/>
      <c r="V117" s="191"/>
      <c r="W117" s="191"/>
      <c r="X117" s="191"/>
      <c r="Y117" s="191"/>
      <c r="Z117" s="191"/>
      <c r="AA117" s="191"/>
      <c r="AB117" s="191"/>
      <c r="AC117" s="191"/>
      <c r="AD117" s="191"/>
      <c r="AE117" s="191"/>
      <c r="AF117" s="191"/>
      <c r="AG117" s="191"/>
      <c r="AH117" s="191"/>
      <c r="AI117" s="191"/>
      <c r="AJ117" s="191"/>
      <c r="AK117" s="191"/>
      <c r="AL117" s="191"/>
      <c r="AM117" s="191"/>
      <c r="AN117" s="191"/>
      <c r="AO117" s="191"/>
      <c r="AP117" s="191"/>
      <c r="AQ117" s="191"/>
      <c r="AR117" s="191"/>
      <c r="AS117" s="191"/>
      <c r="AT117" s="191"/>
      <c r="AU117" s="191"/>
      <c r="AV117" s="191"/>
      <c r="AW117"/>
      <c r="AX117" s="191"/>
      <c r="AY117" s="191"/>
      <c r="BA117" s="191"/>
      <c r="BB117" s="191"/>
      <c r="BG117" s="234"/>
    </row>
    <row r="118" spans="1:60" s="19" customFormat="1" ht="12.95" customHeight="1" x14ac:dyDescent="0.2">
      <c r="A118" s="207"/>
      <c r="B118" s="29"/>
      <c r="D118" s="229"/>
      <c r="E118" s="227">
        <f>SUM(E92:E117)</f>
        <v>17312</v>
      </c>
      <c r="F118" s="227">
        <f t="shared" ref="F118:K118" si="58">SUM(F92:F117)</f>
        <v>7272</v>
      </c>
      <c r="G118" s="227">
        <f t="shared" si="58"/>
        <v>737</v>
      </c>
      <c r="H118" s="227">
        <f t="shared" si="58"/>
        <v>13546</v>
      </c>
      <c r="I118" s="227">
        <f t="shared" si="58"/>
        <v>1566</v>
      </c>
      <c r="J118" s="227">
        <f t="shared" si="58"/>
        <v>2435</v>
      </c>
      <c r="K118" s="227">
        <f t="shared" si="58"/>
        <v>42868</v>
      </c>
      <c r="N118" s="227">
        <f>SUM(N92:N117)</f>
        <v>7823</v>
      </c>
      <c r="O118" s="227">
        <f t="shared" ref="O118:AV118" si="59">SUM(O92:O117)</f>
        <v>0</v>
      </c>
      <c r="P118" s="227">
        <f t="shared" si="59"/>
        <v>0</v>
      </c>
      <c r="Q118" s="227">
        <f t="shared" si="59"/>
        <v>0</v>
      </c>
      <c r="R118" s="227">
        <f t="shared" si="59"/>
        <v>52</v>
      </c>
      <c r="S118" s="227">
        <f t="shared" si="59"/>
        <v>0</v>
      </c>
      <c r="T118" s="227">
        <f t="shared" si="59"/>
        <v>0</v>
      </c>
      <c r="U118" s="227">
        <f t="shared" si="59"/>
        <v>52</v>
      </c>
      <c r="V118" s="227">
        <f t="shared" si="59"/>
        <v>0</v>
      </c>
      <c r="W118" s="227">
        <f t="shared" si="59"/>
        <v>0</v>
      </c>
      <c r="X118" s="227">
        <f t="shared" si="59"/>
        <v>159</v>
      </c>
      <c r="Y118" s="227">
        <f t="shared" si="59"/>
        <v>0</v>
      </c>
      <c r="Z118" s="227">
        <f t="shared" si="59"/>
        <v>13608</v>
      </c>
      <c r="AA118" s="227">
        <f t="shared" si="59"/>
        <v>0</v>
      </c>
      <c r="AB118" s="227">
        <f t="shared" si="59"/>
        <v>38</v>
      </c>
      <c r="AC118" s="227">
        <f t="shared" si="59"/>
        <v>0</v>
      </c>
      <c r="AD118" s="227">
        <f t="shared" si="59"/>
        <v>1088</v>
      </c>
      <c r="AE118" s="227">
        <f t="shared" si="59"/>
        <v>0</v>
      </c>
      <c r="AF118" s="227">
        <f t="shared" si="59"/>
        <v>9518</v>
      </c>
      <c r="AG118" s="227">
        <f t="shared" si="59"/>
        <v>3749</v>
      </c>
      <c r="AH118" s="227">
        <f t="shared" si="59"/>
        <v>235</v>
      </c>
      <c r="AI118" s="227">
        <f t="shared" si="59"/>
        <v>122</v>
      </c>
      <c r="AJ118" s="227">
        <f t="shared" si="59"/>
        <v>1117</v>
      </c>
      <c r="AK118" s="227">
        <f t="shared" si="59"/>
        <v>1170</v>
      </c>
      <c r="AL118" s="227">
        <f t="shared" si="59"/>
        <v>1276</v>
      </c>
      <c r="AM118" s="227">
        <f t="shared" si="59"/>
        <v>156</v>
      </c>
      <c r="AN118" s="227">
        <f t="shared" si="59"/>
        <v>621</v>
      </c>
      <c r="AO118" s="227">
        <f t="shared" si="59"/>
        <v>500</v>
      </c>
      <c r="AP118" s="227">
        <f t="shared" si="59"/>
        <v>0</v>
      </c>
      <c r="AQ118" s="227">
        <f t="shared" si="59"/>
        <v>1072</v>
      </c>
      <c r="AR118" s="227">
        <f t="shared" si="59"/>
        <v>512</v>
      </c>
      <c r="AS118" s="227">
        <f t="shared" si="59"/>
        <v>0</v>
      </c>
      <c r="AT118" s="227">
        <f t="shared" si="59"/>
        <v>0</v>
      </c>
      <c r="AU118" s="227">
        <f t="shared" si="59"/>
        <v>0</v>
      </c>
      <c r="AV118" s="227">
        <f t="shared" si="59"/>
        <v>0</v>
      </c>
      <c r="AW118"/>
      <c r="AX118" s="227">
        <f>SUM(AX92:AX117)</f>
        <v>42868</v>
      </c>
      <c r="AY118" s="227">
        <f>SUM(AY92:AY117)</f>
        <v>0</v>
      </c>
      <c r="BA118" s="227">
        <f>SUM(BA92:BA117)</f>
        <v>211</v>
      </c>
      <c r="BB118" s="227">
        <f>SUM(BB92:BB117)</f>
        <v>7823</v>
      </c>
      <c r="BC118" s="227">
        <f>SUM(BC92:BC117)</f>
        <v>35045</v>
      </c>
      <c r="BE118" s="227">
        <f>SUM(BE92:BE117)</f>
        <v>42868</v>
      </c>
      <c r="BG118" s="249">
        <f>SUM(BG92:BG117)</f>
        <v>42868</v>
      </c>
      <c r="BH118" s="19">
        <f>SUM(BH92:BH117)</f>
        <v>0</v>
      </c>
    </row>
    <row r="119" spans="1:60" s="19" customFormat="1" ht="8.1" customHeight="1" x14ac:dyDescent="0.2">
      <c r="A119" s="207"/>
      <c r="B119" s="29"/>
      <c r="D119" s="205"/>
      <c r="F119" s="21"/>
      <c r="G119" s="21"/>
      <c r="K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c r="AO119" s="21"/>
      <c r="AP119" s="21"/>
      <c r="AQ119" s="21"/>
      <c r="AR119" s="21"/>
      <c r="AS119" s="21"/>
      <c r="AT119" s="21"/>
      <c r="AU119" s="21"/>
      <c r="AV119" s="21"/>
      <c r="AW119"/>
      <c r="AX119" s="21"/>
      <c r="AY119" s="21"/>
      <c r="BA119" s="21"/>
      <c r="BB119" s="21"/>
      <c r="BC119" s="21"/>
      <c r="BE119" s="21"/>
      <c r="BF119" s="21"/>
      <c r="BG119" s="234"/>
    </row>
    <row r="120" spans="1:60" s="19" customFormat="1" ht="12.95" customHeight="1" x14ac:dyDescent="0.2">
      <c r="A120" s="207" t="s">
        <v>343</v>
      </c>
      <c r="B120" s="29"/>
      <c r="D120" s="205"/>
      <c r="F120" s="21"/>
      <c r="G120" s="21"/>
      <c r="K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c r="AO120" s="21"/>
      <c r="AP120" s="21"/>
      <c r="AQ120" s="21"/>
      <c r="AR120" s="21"/>
      <c r="AS120" s="21"/>
      <c r="AT120" s="21"/>
      <c r="AU120" s="21"/>
      <c r="AV120" s="21"/>
      <c r="AW120"/>
      <c r="AX120" s="21"/>
      <c r="AY120" s="21"/>
      <c r="BA120" s="21"/>
      <c r="BB120" s="21"/>
      <c r="BC120" s="21"/>
      <c r="BE120" s="21"/>
      <c r="BF120" s="21"/>
      <c r="BG120" s="234"/>
    </row>
    <row r="121" spans="1:60" s="19" customFormat="1" ht="12.95" customHeight="1" x14ac:dyDescent="0.2">
      <c r="A121" s="85">
        <f>+'CCs # Master'!A42</f>
        <v>11</v>
      </c>
      <c r="B121" s="19" t="str">
        <f>+'CCs # Master'!B42</f>
        <v>Public Relations - Advertising</v>
      </c>
      <c r="C121" s="19" t="str">
        <f>+'CCs # Master'!C42</f>
        <v>Kean, Steve</v>
      </c>
      <c r="D121" s="205">
        <f>+'CCs # Master'!D42</f>
        <v>100046</v>
      </c>
      <c r="E121" s="19">
        <f>+'CCs # Master'!E42</f>
        <v>0</v>
      </c>
      <c r="F121" s="19">
        <f>+'CCs # Master'!F42</f>
        <v>50</v>
      </c>
      <c r="G121" s="19">
        <f>+'CCs # Master'!G42</f>
        <v>0</v>
      </c>
      <c r="H121" s="19">
        <f>+'CCs # Master'!H42</f>
        <v>18410</v>
      </c>
      <c r="I121" s="19">
        <f>+'CCs # Master'!I42</f>
        <v>0</v>
      </c>
      <c r="J121" s="19">
        <f>+'CCs # Master'!J42</f>
        <v>0</v>
      </c>
      <c r="K121" s="21">
        <f>SUM(E121:J121)</f>
        <v>18460</v>
      </c>
      <c r="M121" s="19" t="str">
        <f>+'CCs # Master'!M42</f>
        <v>Retained At Corp</v>
      </c>
      <c r="N121" s="19">
        <f>+'CCs # Master'!AW42</f>
        <v>18460</v>
      </c>
      <c r="O121" s="19">
        <v>0</v>
      </c>
      <c r="P121" s="19">
        <f>+'CCs # Master'!N42</f>
        <v>0</v>
      </c>
      <c r="Q121" s="19">
        <f>+'CCs # Master'!O42</f>
        <v>0</v>
      </c>
      <c r="R121" s="19">
        <f>+'CCs # Master'!P42</f>
        <v>0</v>
      </c>
      <c r="S121" s="19">
        <f>+'CCs # Master'!Q42</f>
        <v>0</v>
      </c>
      <c r="T121" s="19">
        <f>+'CCs # Master'!R42</f>
        <v>0</v>
      </c>
      <c r="U121" s="19">
        <f>+'CCs # Master'!S42</f>
        <v>0</v>
      </c>
      <c r="V121" s="19">
        <f>+'CCs # Master'!T42</f>
        <v>0</v>
      </c>
      <c r="W121" s="19">
        <f>+'CCs # Master'!U42</f>
        <v>0</v>
      </c>
      <c r="X121" s="19">
        <f>+'CCs # Master'!V42</f>
        <v>0</v>
      </c>
      <c r="Y121" s="19">
        <f>+'CCs # Master'!W42</f>
        <v>0</v>
      </c>
      <c r="Z121" s="19">
        <f>+'CCs # Master'!X42</f>
        <v>0</v>
      </c>
      <c r="AA121" s="19">
        <f>+'CCs # Master'!Y42</f>
        <v>0</v>
      </c>
      <c r="AB121" s="19">
        <f>+'CCs # Master'!Z42</f>
        <v>0</v>
      </c>
      <c r="AC121" s="19">
        <f>+'CCs # Master'!AA42</f>
        <v>0</v>
      </c>
      <c r="AD121" s="19">
        <f>+'CCs # Master'!AB42</f>
        <v>0</v>
      </c>
      <c r="AE121" s="19">
        <f>+'CCs # Master'!AC42</f>
        <v>0</v>
      </c>
      <c r="AF121" s="19">
        <f>+'CCs # Master'!AD42</f>
        <v>0</v>
      </c>
      <c r="AG121" s="19">
        <f>+'CCs # Master'!AE42</f>
        <v>0</v>
      </c>
      <c r="AH121" s="19">
        <f>+'CCs # Master'!AF42</f>
        <v>0</v>
      </c>
      <c r="AI121" s="19">
        <f>+'CCs # Master'!AG42</f>
        <v>0</v>
      </c>
      <c r="AJ121" s="19">
        <f>+'CCs # Master'!AH42</f>
        <v>0</v>
      </c>
      <c r="AK121" s="19">
        <f>+'CCs # Master'!AI42</f>
        <v>0</v>
      </c>
      <c r="AL121" s="19">
        <f>+'CCs # Master'!AJ42</f>
        <v>0</v>
      </c>
      <c r="AM121" s="19">
        <f>+'CCs # Master'!AK42</f>
        <v>0</v>
      </c>
      <c r="AN121" s="19">
        <f>+'CCs # Master'!AL42</f>
        <v>0</v>
      </c>
      <c r="AO121" s="19">
        <f>+'CCs # Master'!AM42</f>
        <v>0</v>
      </c>
      <c r="AP121" s="19">
        <f>+'CCs # Master'!AN42</f>
        <v>0</v>
      </c>
      <c r="AQ121" s="19">
        <f>+'CCs # Master'!AO42</f>
        <v>0</v>
      </c>
      <c r="AR121" s="19">
        <f>+'CCs # Master'!AP42</f>
        <v>0</v>
      </c>
      <c r="AS121" s="19">
        <f>+'CCs # Master'!AQ42</f>
        <v>0</v>
      </c>
      <c r="AT121" s="19">
        <f>+'CCs # Master'!AR42</f>
        <v>0</v>
      </c>
      <c r="AU121" s="19">
        <f>+'CCs # Master'!AS42</f>
        <v>0</v>
      </c>
      <c r="AV121" s="19">
        <f>+'CCs # Master'!AT42</f>
        <v>0</v>
      </c>
      <c r="AW121"/>
      <c r="AX121" s="21">
        <f t="shared" ref="AX121:AX128" si="60">SUM(N121:AW121)</f>
        <v>18460</v>
      </c>
      <c r="AY121" s="21">
        <f t="shared" ref="AY121:AY131" si="61">+K121-AX121</f>
        <v>0</v>
      </c>
      <c r="BA121" s="19">
        <f t="shared" ref="BA121:BA132" si="62">+P121+Q121+T121+U121+V121+W121+X121+Y121</f>
        <v>0</v>
      </c>
      <c r="BB121" s="19">
        <f t="shared" ref="BB121:BB128" si="63">N121</f>
        <v>18460</v>
      </c>
      <c r="BC121" s="19">
        <f t="shared" ref="BC121:BC131" si="64">SUM(P121:AW121)</f>
        <v>0</v>
      </c>
      <c r="BE121" s="19">
        <f t="shared" ref="BE121:BE131" si="65">SUM(BB121:BC121)</f>
        <v>18460</v>
      </c>
      <c r="BG121" s="234">
        <f t="shared" ref="BG121:BG131" si="66">SUM(N121:AW121)</f>
        <v>18460</v>
      </c>
      <c r="BH121" s="19">
        <f t="shared" ref="BH121:BH128" si="67">BE121-BG121</f>
        <v>0</v>
      </c>
    </row>
    <row r="122" spans="1:60" s="19" customFormat="1" ht="12.95" customHeight="1" x14ac:dyDescent="0.2">
      <c r="A122" s="85" t="str">
        <f>+'CCs # Master'!A59</f>
        <v>0011</v>
      </c>
      <c r="B122" s="19" t="str">
        <f>+'CCs # Master'!B59</f>
        <v>Public Relations - Astros</v>
      </c>
      <c r="C122" s="19" t="str">
        <f>+'CCs # Master'!C59</f>
        <v>Kean, Steve</v>
      </c>
      <c r="D122" s="205">
        <f>+'CCs # Master'!D59</f>
        <v>100073</v>
      </c>
      <c r="E122" s="19">
        <f>+'CCs # Master'!E59</f>
        <v>0</v>
      </c>
      <c r="F122" s="19">
        <f>+'CCs # Master'!F59</f>
        <v>0</v>
      </c>
      <c r="G122" s="19">
        <f>+'CCs # Master'!G59</f>
        <v>0</v>
      </c>
      <c r="H122" s="19">
        <f>+'CCs # Master'!H59</f>
        <v>3416</v>
      </c>
      <c r="I122" s="19">
        <f>+'CCs # Master'!I59</f>
        <v>0</v>
      </c>
      <c r="J122" s="19">
        <f>+'CCs # Master'!J59</f>
        <v>0</v>
      </c>
      <c r="K122" s="21">
        <f t="shared" ref="K122:K132" si="68">SUM(E122:J122)</f>
        <v>3416</v>
      </c>
      <c r="M122" s="19" t="str">
        <f>+'CCs # Master'!M59</f>
        <v>Agreed by Executive Com</v>
      </c>
      <c r="N122" s="19">
        <f>+'CCs # Master'!AW59</f>
        <v>765</v>
      </c>
      <c r="O122" s="19">
        <v>0</v>
      </c>
      <c r="P122" s="19">
        <f>+'CCs # Master'!N59</f>
        <v>0</v>
      </c>
      <c r="Q122" s="19">
        <f>+'CCs # Master'!O59</f>
        <v>0</v>
      </c>
      <c r="R122" s="19">
        <f>+'CCs # Master'!P59</f>
        <v>0</v>
      </c>
      <c r="S122" s="19">
        <f>+'CCs # Master'!Q59</f>
        <v>0</v>
      </c>
      <c r="T122" s="19">
        <f>+'CCs # Master'!R59</f>
        <v>0</v>
      </c>
      <c r="U122" s="19">
        <f>+'CCs # Master'!S59</f>
        <v>0</v>
      </c>
      <c r="V122" s="19">
        <f>+'CCs # Master'!T59</f>
        <v>0</v>
      </c>
      <c r="W122" s="19">
        <f>+'CCs # Master'!U59</f>
        <v>0</v>
      </c>
      <c r="X122" s="19">
        <f>+'CCs # Master'!V59</f>
        <v>187</v>
      </c>
      <c r="Y122" s="19">
        <f>+'CCs # Master'!W59</f>
        <v>0</v>
      </c>
      <c r="Z122" s="19">
        <f>+'CCs # Master'!X59</f>
        <v>162</v>
      </c>
      <c r="AA122" s="19">
        <f>+'CCs # Master'!Y59</f>
        <v>0</v>
      </c>
      <c r="AB122" s="19">
        <f>+'CCs # Master'!Z59</f>
        <v>0</v>
      </c>
      <c r="AC122" s="19">
        <f>+'CCs # Master'!AA59</f>
        <v>0</v>
      </c>
      <c r="AD122" s="19">
        <f>+'CCs # Master'!AB59</f>
        <v>187</v>
      </c>
      <c r="AE122" s="19">
        <f>+'CCs # Master'!AC59</f>
        <v>0</v>
      </c>
      <c r="AF122" s="19">
        <f>+'CCs # Master'!AD59</f>
        <v>1902</v>
      </c>
      <c r="AG122" s="19">
        <f>+'CCs # Master'!AE59</f>
        <v>0</v>
      </c>
      <c r="AH122" s="19">
        <f>+'CCs # Master'!AF59</f>
        <v>0</v>
      </c>
      <c r="AI122" s="19">
        <f>+'CCs # Master'!AG59</f>
        <v>0</v>
      </c>
      <c r="AJ122" s="19">
        <f>+'CCs # Master'!AH59</f>
        <v>47</v>
      </c>
      <c r="AK122" s="19">
        <f>+'CCs # Master'!AI59</f>
        <v>47</v>
      </c>
      <c r="AL122" s="19">
        <f>+'CCs # Master'!AJ59</f>
        <v>47</v>
      </c>
      <c r="AM122" s="19">
        <f>+'CCs # Master'!AK59</f>
        <v>0</v>
      </c>
      <c r="AN122" s="19">
        <f>+'CCs # Master'!AL59</f>
        <v>21</v>
      </c>
      <c r="AO122" s="19">
        <f>+'CCs # Master'!AM59</f>
        <v>0</v>
      </c>
      <c r="AP122" s="19">
        <f>+'CCs # Master'!AN59</f>
        <v>0</v>
      </c>
      <c r="AQ122" s="19">
        <f>+'CCs # Master'!AO59</f>
        <v>41</v>
      </c>
      <c r="AR122" s="19">
        <f>+'CCs # Master'!AP59</f>
        <v>10</v>
      </c>
      <c r="AS122" s="19">
        <f>+'CCs # Master'!AQ59</f>
        <v>0</v>
      </c>
      <c r="AT122" s="19">
        <f>+'CCs # Master'!AR59</f>
        <v>0</v>
      </c>
      <c r="AU122" s="19">
        <f>+'CCs # Master'!AS59</f>
        <v>0</v>
      </c>
      <c r="AV122" s="19">
        <f>+'CCs # Master'!AT59</f>
        <v>0</v>
      </c>
      <c r="AW122"/>
      <c r="AX122" s="21">
        <f t="shared" si="60"/>
        <v>3416</v>
      </c>
      <c r="AY122" s="21">
        <f t="shared" si="61"/>
        <v>0</v>
      </c>
      <c r="BA122" s="19">
        <f t="shared" si="62"/>
        <v>187</v>
      </c>
      <c r="BB122" s="19">
        <f t="shared" si="63"/>
        <v>765</v>
      </c>
      <c r="BC122" s="19">
        <f t="shared" si="64"/>
        <v>2651</v>
      </c>
      <c r="BE122" s="19">
        <f t="shared" si="65"/>
        <v>3416</v>
      </c>
      <c r="BG122" s="234">
        <f t="shared" si="66"/>
        <v>3416</v>
      </c>
      <c r="BH122" s="19">
        <f t="shared" si="67"/>
        <v>0</v>
      </c>
    </row>
    <row r="123" spans="1:60" s="19" customFormat="1" ht="12.95" customHeight="1" x14ac:dyDescent="0.2">
      <c r="A123" s="85">
        <f>+'CCs # Master'!A69</f>
        <v>11</v>
      </c>
      <c r="B123" s="19" t="str">
        <f>+'CCs # Master'!B69</f>
        <v>PR - Internet Marketing / Strategic Marketing and Brand Management</v>
      </c>
      <c r="C123" s="19" t="str">
        <f>+'CCs # Master'!C69</f>
        <v>Kean, Steve</v>
      </c>
      <c r="D123" s="205">
        <f>+'CCs # Master'!D69</f>
        <v>100102</v>
      </c>
      <c r="E123" s="19">
        <f>+'CCs # Master'!E69</f>
        <v>808</v>
      </c>
      <c r="F123" s="19">
        <f>+'CCs # Master'!F69</f>
        <v>187</v>
      </c>
      <c r="G123" s="19">
        <f>+'CCs # Master'!G69</f>
        <v>17</v>
      </c>
      <c r="H123" s="19">
        <f>+'CCs # Master'!H69</f>
        <v>695</v>
      </c>
      <c r="I123" s="19">
        <f>+'CCs # Master'!I69</f>
        <v>0</v>
      </c>
      <c r="J123" s="19">
        <f>+'CCs # Master'!J69</f>
        <v>31</v>
      </c>
      <c r="K123" s="21">
        <f t="shared" si="68"/>
        <v>1738</v>
      </c>
      <c r="M123" s="19" t="str">
        <f>+'CCs # Master'!M69</f>
        <v>MMF</v>
      </c>
      <c r="N123" s="19">
        <f>+'CCs # Master'!AW69</f>
        <v>1738</v>
      </c>
      <c r="O123" s="19">
        <v>0</v>
      </c>
      <c r="P123" s="19">
        <f>+'CCs # Master'!N69</f>
        <v>0</v>
      </c>
      <c r="Q123" s="19">
        <f>+'CCs # Master'!O69</f>
        <v>0</v>
      </c>
      <c r="R123" s="19">
        <f>+'CCs # Master'!P69</f>
        <v>0</v>
      </c>
      <c r="S123" s="19">
        <f>+'CCs # Master'!Q69</f>
        <v>0</v>
      </c>
      <c r="T123" s="19">
        <f>+'CCs # Master'!R69</f>
        <v>0</v>
      </c>
      <c r="U123" s="19">
        <f>+'CCs # Master'!S69</f>
        <v>0</v>
      </c>
      <c r="V123" s="19">
        <f>+'CCs # Master'!T69</f>
        <v>0</v>
      </c>
      <c r="W123" s="19">
        <f>+'CCs # Master'!U69</f>
        <v>0</v>
      </c>
      <c r="X123" s="19">
        <f>+'CCs # Master'!V69</f>
        <v>0</v>
      </c>
      <c r="Y123" s="19">
        <f>+'CCs # Master'!W69</f>
        <v>0</v>
      </c>
      <c r="Z123" s="19">
        <f>+'CCs # Master'!X69</f>
        <v>0</v>
      </c>
      <c r="AA123" s="19">
        <f>+'CCs # Master'!Y69</f>
        <v>0</v>
      </c>
      <c r="AB123" s="19">
        <f>+'CCs # Master'!Z69</f>
        <v>0</v>
      </c>
      <c r="AC123" s="19">
        <f>+'CCs # Master'!AA69</f>
        <v>0</v>
      </c>
      <c r="AD123" s="19">
        <f>+'CCs # Master'!AB69</f>
        <v>0</v>
      </c>
      <c r="AE123" s="19">
        <f>+'CCs # Master'!AC69</f>
        <v>0</v>
      </c>
      <c r="AF123" s="19">
        <f>+'CCs # Master'!AD69</f>
        <v>0</v>
      </c>
      <c r="AG123" s="19">
        <f>+'CCs # Master'!AE69</f>
        <v>0</v>
      </c>
      <c r="AH123" s="19">
        <f>+'CCs # Master'!AF69</f>
        <v>0</v>
      </c>
      <c r="AI123" s="19">
        <f>+'CCs # Master'!AG69</f>
        <v>0</v>
      </c>
      <c r="AJ123" s="19">
        <f>+'CCs # Master'!AH69</f>
        <v>0</v>
      </c>
      <c r="AK123" s="19">
        <f>+'CCs # Master'!AI69</f>
        <v>0</v>
      </c>
      <c r="AL123" s="19">
        <f>+'CCs # Master'!AJ69</f>
        <v>0</v>
      </c>
      <c r="AM123" s="19">
        <f>+'CCs # Master'!AK69</f>
        <v>0</v>
      </c>
      <c r="AN123" s="19">
        <f>+'CCs # Master'!AL69</f>
        <v>0</v>
      </c>
      <c r="AO123" s="19">
        <f>+'CCs # Master'!AM69</f>
        <v>0</v>
      </c>
      <c r="AP123" s="19">
        <f>+'CCs # Master'!AN69</f>
        <v>0</v>
      </c>
      <c r="AQ123" s="19">
        <f>+'CCs # Master'!AO69</f>
        <v>0</v>
      </c>
      <c r="AR123" s="19">
        <f>+'CCs # Master'!AP69</f>
        <v>0</v>
      </c>
      <c r="AS123" s="19">
        <f>+'CCs # Master'!AQ69</f>
        <v>0</v>
      </c>
      <c r="AT123" s="19">
        <f>+'CCs # Master'!AR69</f>
        <v>0</v>
      </c>
      <c r="AU123" s="19">
        <f>+'CCs # Master'!AS69</f>
        <v>0</v>
      </c>
      <c r="AV123" s="19">
        <f>+'CCs # Master'!AT69</f>
        <v>0</v>
      </c>
      <c r="AW123"/>
      <c r="AX123" s="21">
        <f t="shared" si="60"/>
        <v>1738</v>
      </c>
      <c r="AY123" s="21">
        <f t="shared" si="61"/>
        <v>0</v>
      </c>
      <c r="BA123" s="19">
        <f t="shared" si="62"/>
        <v>0</v>
      </c>
      <c r="BB123" s="19">
        <f t="shared" si="63"/>
        <v>1738</v>
      </c>
      <c r="BC123" s="19">
        <f t="shared" si="64"/>
        <v>0</v>
      </c>
      <c r="BE123" s="19">
        <f t="shared" si="65"/>
        <v>1738</v>
      </c>
      <c r="BG123" s="234">
        <f t="shared" si="66"/>
        <v>1738</v>
      </c>
      <c r="BH123" s="19">
        <f t="shared" si="67"/>
        <v>0</v>
      </c>
    </row>
    <row r="124" spans="1:60" s="19" customFormat="1" ht="12.95" customHeight="1" x14ac:dyDescent="0.2">
      <c r="A124" s="85">
        <f>+'CCs # Master'!A93</f>
        <v>11</v>
      </c>
      <c r="B124" s="19" t="str">
        <f>+'CCs # Master'!B93</f>
        <v>Public Relations - Employee Comm.</v>
      </c>
      <c r="C124" s="19" t="str">
        <f>+'CCs # Master'!C93</f>
        <v>Palmer, Mark</v>
      </c>
      <c r="D124" s="205">
        <f>+'CCs # Master'!D93</f>
        <v>100135</v>
      </c>
      <c r="E124" s="19">
        <f>+'CCs # Master'!E93</f>
        <v>0</v>
      </c>
      <c r="F124" s="19">
        <f>+'CCs # Master'!F93</f>
        <v>90</v>
      </c>
      <c r="G124" s="19">
        <f>+'CCs # Master'!G93</f>
        <v>10</v>
      </c>
      <c r="H124" s="19">
        <f>+'CCs # Master'!H93</f>
        <v>818</v>
      </c>
      <c r="I124" s="19">
        <f>+'CCs # Master'!I93</f>
        <v>3</v>
      </c>
      <c r="J124" s="19">
        <f>+'CCs # Master'!J93</f>
        <v>28</v>
      </c>
      <c r="K124" s="21">
        <f t="shared" si="68"/>
        <v>949</v>
      </c>
      <c r="M124" s="19" t="str">
        <f>+'CCs # Master'!M93</f>
        <v>% of Total Employees</v>
      </c>
      <c r="N124" s="19">
        <f>+'CCs # Master'!AW93</f>
        <v>0</v>
      </c>
      <c r="O124" s="19">
        <v>0</v>
      </c>
      <c r="P124" s="19">
        <f>+'CCs # Master'!N93</f>
        <v>1</v>
      </c>
      <c r="Q124" s="19">
        <f>+'CCs # Master'!O93</f>
        <v>20</v>
      </c>
      <c r="R124" s="19">
        <f>+'CCs # Master'!P93</f>
        <v>30</v>
      </c>
      <c r="S124" s="19">
        <f>+'CCs # Master'!Q93</f>
        <v>30</v>
      </c>
      <c r="T124" s="19">
        <f>+'CCs # Master'!R93</f>
        <v>2</v>
      </c>
      <c r="U124" s="19">
        <f>+'CCs # Master'!S93</f>
        <v>0</v>
      </c>
      <c r="V124" s="19">
        <f>+'CCs # Master'!T93</f>
        <v>10</v>
      </c>
      <c r="W124" s="19">
        <f>+'CCs # Master'!U93</f>
        <v>52</v>
      </c>
      <c r="X124" s="19">
        <f>+'CCs # Master'!V93</f>
        <v>20</v>
      </c>
      <c r="Y124" s="19">
        <f>+'CCs # Master'!W93</f>
        <v>0</v>
      </c>
      <c r="Z124" s="19">
        <f>+'CCs # Master'!X93</f>
        <v>105</v>
      </c>
      <c r="AA124" s="19">
        <f>+'CCs # Master'!Y93</f>
        <v>1</v>
      </c>
      <c r="AB124" s="19">
        <f>+'CCs # Master'!Z93</f>
        <v>10</v>
      </c>
      <c r="AC124" s="19">
        <f>+'CCs # Master'!AA93</f>
        <v>2</v>
      </c>
      <c r="AD124" s="19">
        <f>+'CCs # Master'!AB93</f>
        <v>105</v>
      </c>
      <c r="AE124" s="19">
        <f>+'CCs # Master'!AC93</f>
        <v>4</v>
      </c>
      <c r="AF124" s="19">
        <f>+'CCs # Master'!AD93</f>
        <v>71</v>
      </c>
      <c r="AG124" s="19">
        <f>+'CCs # Master'!AE93</f>
        <v>81</v>
      </c>
      <c r="AH124" s="19">
        <f>+'CCs # Master'!AF93</f>
        <v>51</v>
      </c>
      <c r="AI124" s="19">
        <f>+'CCs # Master'!AG93</f>
        <v>220</v>
      </c>
      <c r="AJ124" s="19">
        <f>+'CCs # Master'!AH93</f>
        <v>4</v>
      </c>
      <c r="AK124" s="19">
        <f>+'CCs # Master'!AI93</f>
        <v>10</v>
      </c>
      <c r="AL124" s="19">
        <f>+'CCs # Master'!AJ93</f>
        <v>10</v>
      </c>
      <c r="AM124" s="19">
        <f>+'CCs # Master'!AK93</f>
        <v>10</v>
      </c>
      <c r="AN124" s="19">
        <f>+'CCs # Master'!AL93</f>
        <v>0</v>
      </c>
      <c r="AO124" s="19">
        <f>+'CCs # Master'!AM93</f>
        <v>60</v>
      </c>
      <c r="AP124" s="19">
        <f>+'CCs # Master'!AN93</f>
        <v>0</v>
      </c>
      <c r="AQ124" s="19">
        <f>+'CCs # Master'!AO93</f>
        <v>30</v>
      </c>
      <c r="AR124" s="19">
        <f>+'CCs # Master'!AP93</f>
        <v>10</v>
      </c>
      <c r="AS124" s="19">
        <f>+'CCs # Master'!AQ93</f>
        <v>0</v>
      </c>
      <c r="AT124" s="19">
        <f>+'CCs # Master'!AR93</f>
        <v>0</v>
      </c>
      <c r="AU124" s="19">
        <f>+'CCs # Master'!AS93</f>
        <v>0</v>
      </c>
      <c r="AV124" s="19">
        <f>+'CCs # Master'!AT93</f>
        <v>0</v>
      </c>
      <c r="AW124"/>
      <c r="AX124" s="21">
        <f t="shared" si="60"/>
        <v>949</v>
      </c>
      <c r="AY124" s="21">
        <f t="shared" si="61"/>
        <v>0</v>
      </c>
      <c r="BA124" s="19">
        <f t="shared" si="62"/>
        <v>105</v>
      </c>
      <c r="BB124" s="19">
        <f t="shared" si="63"/>
        <v>0</v>
      </c>
      <c r="BC124" s="19">
        <f t="shared" si="64"/>
        <v>949</v>
      </c>
      <c r="BE124" s="19">
        <f t="shared" si="65"/>
        <v>949</v>
      </c>
      <c r="BG124" s="234">
        <f>SUM(N124:AW124)</f>
        <v>949</v>
      </c>
      <c r="BH124" s="19">
        <f t="shared" si="67"/>
        <v>0</v>
      </c>
    </row>
    <row r="125" spans="1:60" s="19" customFormat="1" ht="12.95" customHeight="1" x14ac:dyDescent="0.2">
      <c r="A125" s="85">
        <f>+'CCs # Master'!A94</f>
        <v>11</v>
      </c>
      <c r="B125" s="19" t="str">
        <f>+'CCs # Master'!B94</f>
        <v>Public Relations - Annual Report</v>
      </c>
      <c r="C125" s="19" t="str">
        <f>+'CCs # Master'!C94</f>
        <v>Palmer, Mark</v>
      </c>
      <c r="D125" s="205">
        <f>+'CCs # Master'!D94</f>
        <v>100136</v>
      </c>
      <c r="E125" s="19">
        <f>+'CCs # Master'!E94</f>
        <v>0</v>
      </c>
      <c r="F125" s="19">
        <f>+'CCs # Master'!F94</f>
        <v>33</v>
      </c>
      <c r="G125" s="19">
        <f>+'CCs # Master'!G94</f>
        <v>0</v>
      </c>
      <c r="H125" s="19">
        <f>+'CCs # Master'!H94</f>
        <v>1380</v>
      </c>
      <c r="I125" s="19">
        <f>+'CCs # Master'!I94</f>
        <v>0</v>
      </c>
      <c r="J125" s="19">
        <f>+'CCs # Master'!J94</f>
        <v>2</v>
      </c>
      <c r="K125" s="21">
        <f t="shared" si="68"/>
        <v>1415</v>
      </c>
      <c r="M125" s="19" t="str">
        <f>+'CCs # Master'!M94</f>
        <v>MMF</v>
      </c>
      <c r="N125" s="19">
        <f>+'CCs # Master'!AW94</f>
        <v>1415</v>
      </c>
      <c r="O125" s="19">
        <v>0</v>
      </c>
      <c r="P125" s="19">
        <f>+'CCs # Master'!N94</f>
        <v>0</v>
      </c>
      <c r="Q125" s="19">
        <f>+'CCs # Master'!O94</f>
        <v>0</v>
      </c>
      <c r="R125" s="19">
        <f>+'CCs # Master'!P94</f>
        <v>0</v>
      </c>
      <c r="S125" s="19">
        <f>+'CCs # Master'!Q94</f>
        <v>0</v>
      </c>
      <c r="T125" s="19">
        <f>+'CCs # Master'!R94</f>
        <v>0</v>
      </c>
      <c r="U125" s="19">
        <f>+'CCs # Master'!S94</f>
        <v>0</v>
      </c>
      <c r="V125" s="19">
        <f>+'CCs # Master'!T94</f>
        <v>0</v>
      </c>
      <c r="W125" s="19">
        <f>+'CCs # Master'!U94</f>
        <v>0</v>
      </c>
      <c r="X125" s="19">
        <f>+'CCs # Master'!V94</f>
        <v>0</v>
      </c>
      <c r="Y125" s="19">
        <f>+'CCs # Master'!W94</f>
        <v>0</v>
      </c>
      <c r="Z125" s="19">
        <f>+'CCs # Master'!X94</f>
        <v>0</v>
      </c>
      <c r="AA125" s="19">
        <f>+'CCs # Master'!Y94</f>
        <v>0</v>
      </c>
      <c r="AB125" s="19">
        <f>+'CCs # Master'!Z94</f>
        <v>0</v>
      </c>
      <c r="AC125" s="19">
        <f>+'CCs # Master'!AA94</f>
        <v>0</v>
      </c>
      <c r="AD125" s="19">
        <f>+'CCs # Master'!AB94</f>
        <v>0</v>
      </c>
      <c r="AE125" s="19">
        <f>+'CCs # Master'!AC94</f>
        <v>0</v>
      </c>
      <c r="AF125" s="19">
        <f>+'CCs # Master'!AD94</f>
        <v>0</v>
      </c>
      <c r="AG125" s="19">
        <f>+'CCs # Master'!AE94</f>
        <v>0</v>
      </c>
      <c r="AH125" s="19">
        <f>+'CCs # Master'!AF94</f>
        <v>0</v>
      </c>
      <c r="AI125" s="19">
        <f>+'CCs # Master'!AG94</f>
        <v>0</v>
      </c>
      <c r="AJ125" s="19">
        <f>+'CCs # Master'!AH94</f>
        <v>0</v>
      </c>
      <c r="AK125" s="19">
        <f>+'CCs # Master'!AI94</f>
        <v>0</v>
      </c>
      <c r="AL125" s="19">
        <f>+'CCs # Master'!AJ94</f>
        <v>0</v>
      </c>
      <c r="AM125" s="19">
        <f>+'CCs # Master'!AK94</f>
        <v>0</v>
      </c>
      <c r="AN125" s="19">
        <f>+'CCs # Master'!AL94</f>
        <v>0</v>
      </c>
      <c r="AO125" s="19">
        <f>+'CCs # Master'!AM94</f>
        <v>0</v>
      </c>
      <c r="AP125" s="19">
        <f>+'CCs # Master'!AN94</f>
        <v>0</v>
      </c>
      <c r="AQ125" s="19">
        <f>+'CCs # Master'!AO94</f>
        <v>0</v>
      </c>
      <c r="AR125" s="19">
        <f>+'CCs # Master'!AP94</f>
        <v>0</v>
      </c>
      <c r="AS125" s="19">
        <f>+'CCs # Master'!AQ94</f>
        <v>0</v>
      </c>
      <c r="AT125" s="19">
        <f>+'CCs # Master'!AR94</f>
        <v>0</v>
      </c>
      <c r="AU125" s="19">
        <f>+'CCs # Master'!AS94</f>
        <v>0</v>
      </c>
      <c r="AV125" s="19">
        <f>+'CCs # Master'!AT94</f>
        <v>0</v>
      </c>
      <c r="AW125"/>
      <c r="AX125" s="21">
        <f t="shared" si="60"/>
        <v>1415</v>
      </c>
      <c r="AY125" s="21">
        <f t="shared" si="61"/>
        <v>0</v>
      </c>
      <c r="BA125" s="19">
        <f t="shared" si="62"/>
        <v>0</v>
      </c>
      <c r="BB125" s="19">
        <f t="shared" si="63"/>
        <v>1415</v>
      </c>
      <c r="BC125" s="19">
        <f t="shared" si="64"/>
        <v>0</v>
      </c>
      <c r="BE125" s="19">
        <f t="shared" si="65"/>
        <v>1415</v>
      </c>
      <c r="BG125" s="234">
        <f t="shared" si="66"/>
        <v>1415</v>
      </c>
      <c r="BH125" s="19">
        <f t="shared" si="67"/>
        <v>0</v>
      </c>
    </row>
    <row r="126" spans="1:60" s="19" customFormat="1" ht="12.95" customHeight="1" x14ac:dyDescent="0.2">
      <c r="A126" s="85">
        <f>+'CCs # Master'!A95</f>
        <v>11</v>
      </c>
      <c r="B126" s="19" t="str">
        <f>+'CCs # Master'!B95</f>
        <v>Corp Communications</v>
      </c>
      <c r="C126" s="19" t="str">
        <f>+'CCs # Master'!C95</f>
        <v>Palmer, Mark</v>
      </c>
      <c r="D126" s="205">
        <f>+'CCs # Master'!D95</f>
        <v>100137</v>
      </c>
      <c r="E126" s="19">
        <f>+'CCs # Master'!E95</f>
        <v>1895</v>
      </c>
      <c r="F126" s="19">
        <f>+'CCs # Master'!F95</f>
        <v>249</v>
      </c>
      <c r="G126" s="19">
        <f>+'CCs # Master'!G95</f>
        <v>30</v>
      </c>
      <c r="H126" s="19">
        <f>+'CCs # Master'!H95</f>
        <v>387</v>
      </c>
      <c r="I126" s="19">
        <f>+'CCs # Master'!I95</f>
        <v>500</v>
      </c>
      <c r="J126" s="19">
        <f>+'CCs # Master'!J95</f>
        <v>119</v>
      </c>
      <c r="K126" s="21">
        <f t="shared" si="68"/>
        <v>3180</v>
      </c>
      <c r="M126" s="19" t="str">
        <f>+'CCs # Master'!M95</f>
        <v>MMF</v>
      </c>
      <c r="N126" s="19">
        <f>+'CCs # Master'!AW95</f>
        <v>3180</v>
      </c>
      <c r="O126" s="19">
        <v>0</v>
      </c>
      <c r="P126" s="19">
        <f>+'CCs # Master'!N95</f>
        <v>0</v>
      </c>
      <c r="Q126" s="19">
        <f>+'CCs # Master'!O95</f>
        <v>0</v>
      </c>
      <c r="R126" s="19">
        <f>+'CCs # Master'!P95</f>
        <v>0</v>
      </c>
      <c r="S126" s="19">
        <f>+'CCs # Master'!Q95</f>
        <v>0</v>
      </c>
      <c r="T126" s="19">
        <f>+'CCs # Master'!R95</f>
        <v>0</v>
      </c>
      <c r="U126" s="19">
        <f>+'CCs # Master'!S95</f>
        <v>0</v>
      </c>
      <c r="V126" s="19">
        <f>+'CCs # Master'!T95</f>
        <v>0</v>
      </c>
      <c r="W126" s="19">
        <f>+'CCs # Master'!U95</f>
        <v>0</v>
      </c>
      <c r="X126" s="19">
        <f>+'CCs # Master'!V95</f>
        <v>0</v>
      </c>
      <c r="Y126" s="19">
        <f>+'CCs # Master'!W95</f>
        <v>0</v>
      </c>
      <c r="Z126" s="19">
        <f>+'CCs # Master'!X95</f>
        <v>0</v>
      </c>
      <c r="AA126" s="19">
        <f>+'CCs # Master'!Y95</f>
        <v>0</v>
      </c>
      <c r="AB126" s="19">
        <f>+'CCs # Master'!Z95</f>
        <v>0</v>
      </c>
      <c r="AC126" s="19">
        <f>+'CCs # Master'!AA95</f>
        <v>0</v>
      </c>
      <c r="AD126" s="19">
        <f>+'CCs # Master'!AB95</f>
        <v>0</v>
      </c>
      <c r="AE126" s="19">
        <f>+'CCs # Master'!AC95</f>
        <v>0</v>
      </c>
      <c r="AF126" s="19">
        <f>+'CCs # Master'!AD95</f>
        <v>0</v>
      </c>
      <c r="AG126" s="19">
        <f>+'CCs # Master'!AE95</f>
        <v>0</v>
      </c>
      <c r="AH126" s="19">
        <f>+'CCs # Master'!AF95</f>
        <v>0</v>
      </c>
      <c r="AI126" s="19">
        <f>+'CCs # Master'!AG95</f>
        <v>0</v>
      </c>
      <c r="AJ126" s="19">
        <f>+'CCs # Master'!AH95</f>
        <v>0</v>
      </c>
      <c r="AK126" s="19">
        <f>+'CCs # Master'!AI95</f>
        <v>0</v>
      </c>
      <c r="AL126" s="19">
        <f>+'CCs # Master'!AJ95</f>
        <v>0</v>
      </c>
      <c r="AM126" s="19">
        <f>+'CCs # Master'!AK95</f>
        <v>0</v>
      </c>
      <c r="AN126" s="19">
        <f>+'CCs # Master'!AL95</f>
        <v>0</v>
      </c>
      <c r="AO126" s="19">
        <f>+'CCs # Master'!AM95</f>
        <v>0</v>
      </c>
      <c r="AP126" s="19">
        <f>+'CCs # Master'!AN95</f>
        <v>0</v>
      </c>
      <c r="AQ126" s="19">
        <f>+'CCs # Master'!AO95</f>
        <v>0</v>
      </c>
      <c r="AR126" s="19">
        <f>+'CCs # Master'!AP95</f>
        <v>0</v>
      </c>
      <c r="AS126" s="19">
        <f>+'CCs # Master'!AQ95</f>
        <v>0</v>
      </c>
      <c r="AT126" s="19">
        <f>+'CCs # Master'!AR95</f>
        <v>0</v>
      </c>
      <c r="AU126" s="19">
        <f>+'CCs # Master'!AS95</f>
        <v>0</v>
      </c>
      <c r="AV126" s="19">
        <f>+'CCs # Master'!AT95</f>
        <v>0</v>
      </c>
      <c r="AW126"/>
      <c r="AX126" s="21">
        <f t="shared" si="60"/>
        <v>3180</v>
      </c>
      <c r="AY126" s="21">
        <f t="shared" si="61"/>
        <v>0</v>
      </c>
      <c r="BA126" s="19">
        <f t="shared" si="62"/>
        <v>0</v>
      </c>
      <c r="BB126" s="19">
        <f t="shared" si="63"/>
        <v>3180</v>
      </c>
      <c r="BC126" s="19">
        <f t="shared" si="64"/>
        <v>0</v>
      </c>
      <c r="BE126" s="19">
        <f t="shared" si="65"/>
        <v>3180</v>
      </c>
      <c r="BG126" s="234">
        <f t="shared" si="66"/>
        <v>3180</v>
      </c>
      <c r="BH126" s="19">
        <f t="shared" si="67"/>
        <v>0</v>
      </c>
    </row>
    <row r="127" spans="1:60" s="19" customFormat="1" ht="12.95" customHeight="1" x14ac:dyDescent="0.2">
      <c r="A127" s="85">
        <f>+'CCs # Master'!A130</f>
        <v>11</v>
      </c>
      <c r="B127" s="19" t="str">
        <f>+'CCs # Master'!B130</f>
        <v>Marketing Services</v>
      </c>
      <c r="C127" s="19" t="str">
        <f>+'CCs # Master'!C130</f>
        <v>Feener, Lisa</v>
      </c>
      <c r="D127" s="205">
        <f>+'CCs # Master'!D130</f>
        <v>100144</v>
      </c>
      <c r="E127" s="19">
        <f>+'CCs # Master'!E130</f>
        <v>645</v>
      </c>
      <c r="F127" s="19">
        <f>+'CCs # Master'!F130</f>
        <v>127</v>
      </c>
      <c r="G127" s="19">
        <f>+'CCs # Master'!G130</f>
        <v>-1153</v>
      </c>
      <c r="H127" s="19">
        <f>+'CCs # Master'!H130</f>
        <v>440</v>
      </c>
      <c r="I127" s="19">
        <f>+'CCs # Master'!I130</f>
        <v>61</v>
      </c>
      <c r="J127" s="19">
        <f>+'CCs # Master'!J130</f>
        <v>46</v>
      </c>
      <c r="K127" s="21">
        <f t="shared" si="68"/>
        <v>166</v>
      </c>
      <c r="M127" s="19" t="str">
        <f>+'CCs # Master'!M130</f>
        <v>Direct Usage</v>
      </c>
      <c r="N127" s="19">
        <f>+'CCs # Master'!AW130</f>
        <v>166</v>
      </c>
      <c r="O127" s="19">
        <v>0</v>
      </c>
      <c r="P127" s="19">
        <f>+'CCs # Master'!N130</f>
        <v>0</v>
      </c>
      <c r="Q127" s="19">
        <f>+'CCs # Master'!O130</f>
        <v>0</v>
      </c>
      <c r="R127" s="19">
        <f>+'CCs # Master'!P130</f>
        <v>0</v>
      </c>
      <c r="S127" s="19">
        <f>+'CCs # Master'!Q130</f>
        <v>0</v>
      </c>
      <c r="T127" s="19">
        <f>+'CCs # Master'!R130</f>
        <v>0</v>
      </c>
      <c r="U127" s="19">
        <f>+'CCs # Master'!S130</f>
        <v>0</v>
      </c>
      <c r="V127" s="19">
        <f>+'CCs # Master'!T130</f>
        <v>0</v>
      </c>
      <c r="W127" s="19">
        <f>+'CCs # Master'!U130</f>
        <v>0</v>
      </c>
      <c r="X127" s="19">
        <f>+'CCs # Master'!V130</f>
        <v>0</v>
      </c>
      <c r="Y127" s="19">
        <f>+'CCs # Master'!W130</f>
        <v>0</v>
      </c>
      <c r="Z127" s="19">
        <f>+'CCs # Master'!X130</f>
        <v>0</v>
      </c>
      <c r="AA127" s="19">
        <f>+'CCs # Master'!Y130</f>
        <v>0</v>
      </c>
      <c r="AB127" s="19">
        <f>+'CCs # Master'!Z130</f>
        <v>0</v>
      </c>
      <c r="AC127" s="19">
        <f>+'CCs # Master'!AA130</f>
        <v>0</v>
      </c>
      <c r="AD127" s="19">
        <f>+'CCs # Master'!AB130</f>
        <v>0</v>
      </c>
      <c r="AE127" s="19">
        <f>+'CCs # Master'!AC130</f>
        <v>0</v>
      </c>
      <c r="AF127" s="19">
        <f>+'CCs # Master'!AD130</f>
        <v>0</v>
      </c>
      <c r="AG127" s="19">
        <f>+'CCs # Master'!AE130</f>
        <v>0</v>
      </c>
      <c r="AH127" s="19">
        <f>+'CCs # Master'!AF130</f>
        <v>0</v>
      </c>
      <c r="AI127" s="19">
        <f>+'CCs # Master'!AG130</f>
        <v>0</v>
      </c>
      <c r="AJ127" s="19">
        <f>+'CCs # Master'!AH130</f>
        <v>0</v>
      </c>
      <c r="AK127" s="19">
        <f>+'CCs # Master'!AI130</f>
        <v>0</v>
      </c>
      <c r="AL127" s="19">
        <f>+'CCs # Master'!AJ130</f>
        <v>0</v>
      </c>
      <c r="AM127" s="19">
        <f>+'CCs # Master'!AK130</f>
        <v>0</v>
      </c>
      <c r="AN127" s="19">
        <f>+'CCs # Master'!AL130</f>
        <v>0</v>
      </c>
      <c r="AO127" s="19">
        <f>+'CCs # Master'!AM130</f>
        <v>0</v>
      </c>
      <c r="AP127" s="19">
        <f>+'CCs # Master'!AN130</f>
        <v>0</v>
      </c>
      <c r="AQ127" s="19">
        <f>+'CCs # Master'!AO130</f>
        <v>0</v>
      </c>
      <c r="AR127" s="19">
        <f>+'CCs # Master'!AP130</f>
        <v>0</v>
      </c>
      <c r="AS127" s="19">
        <f>+'CCs # Master'!AQ130</f>
        <v>0</v>
      </c>
      <c r="AT127" s="19">
        <f>+'CCs # Master'!AR130</f>
        <v>0</v>
      </c>
      <c r="AU127" s="19">
        <f>+'CCs # Master'!AS130</f>
        <v>0</v>
      </c>
      <c r="AV127" s="19">
        <f>+'CCs # Master'!AT130</f>
        <v>0</v>
      </c>
      <c r="AW127"/>
      <c r="AX127" s="21">
        <f>SUM(N127:AW127)</f>
        <v>166</v>
      </c>
      <c r="AY127" s="21">
        <f>+K127-AX127</f>
        <v>0</v>
      </c>
      <c r="BA127" s="19">
        <f t="shared" si="62"/>
        <v>0</v>
      </c>
      <c r="BB127" s="19">
        <f>N127</f>
        <v>166</v>
      </c>
      <c r="BC127" s="19">
        <f>SUM(P127:AW127)</f>
        <v>0</v>
      </c>
      <c r="BE127" s="19">
        <f>SUM(BB127:BC127)</f>
        <v>166</v>
      </c>
      <c r="BG127" s="234">
        <f>SUM(N127:AW127)</f>
        <v>166</v>
      </c>
      <c r="BH127" s="19">
        <f>BE127-BG127</f>
        <v>0</v>
      </c>
    </row>
    <row r="128" spans="1:60" s="19" customFormat="1" ht="12.95" customHeight="1" x14ac:dyDescent="0.2">
      <c r="A128" s="85">
        <f>+'CCs # Master'!A102</f>
        <v>11</v>
      </c>
      <c r="B128" s="19" t="str">
        <f>+'CCs # Master'!B102</f>
        <v>Intl PR, Marketing, &amp; Communications</v>
      </c>
      <c r="C128" s="19" t="str">
        <f>+'CCs # Master'!C102</f>
        <v>Kimberly, Kelly</v>
      </c>
      <c r="D128" s="205">
        <f>+'CCs # Master'!D102</f>
        <v>100145</v>
      </c>
      <c r="E128" s="19">
        <f>+'CCs # Master'!E102</f>
        <v>925</v>
      </c>
      <c r="F128" s="19">
        <f>+'CCs # Master'!F102</f>
        <v>509</v>
      </c>
      <c r="G128" s="19">
        <f>+'CCs # Master'!G102</f>
        <v>29</v>
      </c>
      <c r="H128" s="19">
        <f>+'CCs # Master'!H102</f>
        <v>1124</v>
      </c>
      <c r="I128" s="19">
        <f>+'CCs # Master'!I102</f>
        <v>77</v>
      </c>
      <c r="J128" s="19">
        <f>+'CCs # Master'!J102</f>
        <v>139</v>
      </c>
      <c r="K128" s="21">
        <f t="shared" si="68"/>
        <v>2803</v>
      </c>
      <c r="M128" s="19" t="str">
        <f>+'CCs # Master'!M102</f>
        <v>Direct Usage</v>
      </c>
      <c r="N128" s="19">
        <f>+'CCs # Master'!AW102</f>
        <v>414</v>
      </c>
      <c r="O128" s="19">
        <v>0</v>
      </c>
      <c r="P128" s="19">
        <f>+'CCs # Master'!N102</f>
        <v>0</v>
      </c>
      <c r="Q128" s="19">
        <f>+'CCs # Master'!O102</f>
        <v>0</v>
      </c>
      <c r="R128" s="19">
        <f>+'CCs # Master'!P102</f>
        <v>0</v>
      </c>
      <c r="S128" s="19">
        <f>+'CCs # Master'!Q102</f>
        <v>0</v>
      </c>
      <c r="T128" s="19">
        <f>+'CCs # Master'!R102</f>
        <v>0</v>
      </c>
      <c r="U128" s="19">
        <f>+'CCs # Master'!S102</f>
        <v>0</v>
      </c>
      <c r="V128" s="19">
        <f>+'CCs # Master'!T102</f>
        <v>0</v>
      </c>
      <c r="W128" s="19">
        <f>+'CCs # Master'!U102</f>
        <v>0</v>
      </c>
      <c r="X128" s="19">
        <f>+'CCs # Master'!V102</f>
        <v>0</v>
      </c>
      <c r="Y128" s="19">
        <f>+'CCs # Master'!W102</f>
        <v>0</v>
      </c>
      <c r="Z128" s="19">
        <f>+'CCs # Master'!X102</f>
        <v>0</v>
      </c>
      <c r="AA128" s="19">
        <f>+'CCs # Master'!Y102</f>
        <v>0</v>
      </c>
      <c r="AB128" s="19">
        <f>+'CCs # Master'!Z102</f>
        <v>0</v>
      </c>
      <c r="AC128" s="19">
        <f>+'CCs # Master'!AA102</f>
        <v>0</v>
      </c>
      <c r="AD128" s="19">
        <f>+'CCs # Master'!AB102</f>
        <v>0</v>
      </c>
      <c r="AE128" s="19">
        <f>+'CCs # Master'!AC102</f>
        <v>0</v>
      </c>
      <c r="AF128" s="19">
        <f>+'CCs # Master'!AD102</f>
        <v>0</v>
      </c>
      <c r="AG128" s="19">
        <f>+'CCs # Master'!AE102</f>
        <v>0</v>
      </c>
      <c r="AH128" s="19">
        <f>+'CCs # Master'!AF102</f>
        <v>62</v>
      </c>
      <c r="AI128" s="19">
        <f>+'CCs # Master'!AG102</f>
        <v>0</v>
      </c>
      <c r="AJ128" s="19">
        <f>+'CCs # Master'!AH102</f>
        <v>372</v>
      </c>
      <c r="AK128" s="19">
        <f>+'CCs # Master'!AI102</f>
        <v>776</v>
      </c>
      <c r="AL128" s="19">
        <f>+'CCs # Master'!AJ102</f>
        <v>217</v>
      </c>
      <c r="AM128" s="19">
        <f>+'CCs # Master'!AK102</f>
        <v>124</v>
      </c>
      <c r="AN128" s="19">
        <f>+'CCs # Master'!AL102</f>
        <v>217</v>
      </c>
      <c r="AO128" s="19">
        <f>+'CCs # Master'!AM102</f>
        <v>0</v>
      </c>
      <c r="AP128" s="19">
        <f>+'CCs # Master'!AN102</f>
        <v>0</v>
      </c>
      <c r="AQ128" s="19">
        <f>+'CCs # Master'!AO102</f>
        <v>621</v>
      </c>
      <c r="AR128" s="19">
        <f>+'CCs # Master'!AP102</f>
        <v>0</v>
      </c>
      <c r="AS128" s="19">
        <f>+'CCs # Master'!AQ102</f>
        <v>0</v>
      </c>
      <c r="AT128" s="19">
        <f>+'CCs # Master'!AR102</f>
        <v>0</v>
      </c>
      <c r="AU128" s="19">
        <f>+'CCs # Master'!AS102</f>
        <v>0</v>
      </c>
      <c r="AV128" s="19">
        <f>+'CCs # Master'!AT102</f>
        <v>0</v>
      </c>
      <c r="AW128"/>
      <c r="AX128" s="21">
        <f t="shared" si="60"/>
        <v>2803</v>
      </c>
      <c r="AY128" s="21">
        <f t="shared" si="61"/>
        <v>0</v>
      </c>
      <c r="BA128" s="19">
        <f t="shared" si="62"/>
        <v>0</v>
      </c>
      <c r="BB128" s="19">
        <f t="shared" si="63"/>
        <v>414</v>
      </c>
      <c r="BC128" s="19">
        <f t="shared" si="64"/>
        <v>2389</v>
      </c>
      <c r="BE128" s="19">
        <f t="shared" si="65"/>
        <v>2803</v>
      </c>
      <c r="BG128" s="234">
        <f t="shared" si="66"/>
        <v>2803</v>
      </c>
      <c r="BH128" s="19">
        <f t="shared" si="67"/>
        <v>0</v>
      </c>
    </row>
    <row r="129" spans="1:60" s="19" customFormat="1" ht="12.95" customHeight="1" x14ac:dyDescent="0.2">
      <c r="A129" s="85">
        <f>+'CCs # Master'!A184</f>
        <v>11</v>
      </c>
      <c r="B129" s="226" t="str">
        <f>+'CCs # Master'!B184</f>
        <v>Experience Enron</v>
      </c>
      <c r="C129" s="226" t="str">
        <f>+'CCs # Master'!C184</f>
        <v>Palmer, Mark</v>
      </c>
      <c r="D129" s="85">
        <f>+'CCs # Master'!D184</f>
        <v>103243</v>
      </c>
      <c r="E129" s="19">
        <f>+'CCs # Master'!E184</f>
        <v>0</v>
      </c>
      <c r="F129" s="19">
        <f>+'CCs # Master'!F184</f>
        <v>15</v>
      </c>
      <c r="G129" s="19">
        <f>+'CCs # Master'!G184</f>
        <v>36</v>
      </c>
      <c r="H129" s="19">
        <f>+'CCs # Master'!H184</f>
        <v>110</v>
      </c>
      <c r="I129" s="19">
        <f>+'CCs # Master'!I184</f>
        <v>0</v>
      </c>
      <c r="J129" s="19">
        <f>+'CCs # Master'!J184</f>
        <v>4</v>
      </c>
      <c r="K129" s="21">
        <f t="shared" si="68"/>
        <v>165</v>
      </c>
      <c r="M129" s="19" t="str">
        <f>+'CCs # Master'!M184</f>
        <v>Retained at Corp</v>
      </c>
      <c r="N129" s="19">
        <f>+'CCs # Master'!AW184</f>
        <v>165</v>
      </c>
      <c r="O129" s="19">
        <v>0</v>
      </c>
      <c r="P129" s="19">
        <f>+'CCs # Master'!N184</f>
        <v>0</v>
      </c>
      <c r="Q129" s="19">
        <f>+'CCs # Master'!O184</f>
        <v>0</v>
      </c>
      <c r="R129" s="19">
        <f>+'CCs # Master'!P184</f>
        <v>0</v>
      </c>
      <c r="S129" s="19">
        <f>+'CCs # Master'!Q184</f>
        <v>0</v>
      </c>
      <c r="T129" s="19">
        <f>+'CCs # Master'!R184</f>
        <v>0</v>
      </c>
      <c r="U129" s="19">
        <f>+'CCs # Master'!S184</f>
        <v>0</v>
      </c>
      <c r="V129" s="19">
        <f>+'CCs # Master'!T184</f>
        <v>0</v>
      </c>
      <c r="W129" s="19">
        <f>+'CCs # Master'!U184</f>
        <v>0</v>
      </c>
      <c r="X129" s="19">
        <f>+'CCs # Master'!V184</f>
        <v>0</v>
      </c>
      <c r="Y129" s="19">
        <f>+'CCs # Master'!W184</f>
        <v>0</v>
      </c>
      <c r="Z129" s="19">
        <f>+'CCs # Master'!X184</f>
        <v>0</v>
      </c>
      <c r="AA129" s="19">
        <f>+'CCs # Master'!Y184</f>
        <v>0</v>
      </c>
      <c r="AB129" s="19">
        <f>+'CCs # Master'!Z184</f>
        <v>0</v>
      </c>
      <c r="AC129" s="19">
        <f>+'CCs # Master'!AA184</f>
        <v>0</v>
      </c>
      <c r="AD129" s="19">
        <f>+'CCs # Master'!AB184</f>
        <v>0</v>
      </c>
      <c r="AE129" s="19">
        <f>+'CCs # Master'!AC184</f>
        <v>0</v>
      </c>
      <c r="AF129" s="19">
        <f>+'CCs # Master'!AD184</f>
        <v>0</v>
      </c>
      <c r="AG129" s="19">
        <f>+'CCs # Master'!AE184</f>
        <v>0</v>
      </c>
      <c r="AH129" s="19">
        <f>+'CCs # Master'!AF184</f>
        <v>0</v>
      </c>
      <c r="AI129" s="19">
        <f>+'CCs # Master'!AG184</f>
        <v>0</v>
      </c>
      <c r="AJ129" s="19">
        <f>+'CCs # Master'!AH184</f>
        <v>0</v>
      </c>
      <c r="AK129" s="19">
        <f>+'CCs # Master'!AI184</f>
        <v>0</v>
      </c>
      <c r="AL129" s="19">
        <f>+'CCs # Master'!AJ184</f>
        <v>0</v>
      </c>
      <c r="AM129" s="19">
        <f>+'CCs # Master'!AK184</f>
        <v>0</v>
      </c>
      <c r="AN129" s="19">
        <f>+'CCs # Master'!AL184</f>
        <v>0</v>
      </c>
      <c r="AO129" s="19">
        <f>+'CCs # Master'!AM184</f>
        <v>0</v>
      </c>
      <c r="AP129" s="19">
        <f>+'CCs # Master'!AN184</f>
        <v>0</v>
      </c>
      <c r="AQ129" s="19">
        <f>+'CCs # Master'!AO184</f>
        <v>0</v>
      </c>
      <c r="AR129" s="19">
        <f>+'CCs # Master'!AP184</f>
        <v>0</v>
      </c>
      <c r="AS129" s="19">
        <f>+'CCs # Master'!AQ184</f>
        <v>0</v>
      </c>
      <c r="AT129" s="19">
        <f>+'CCs # Master'!AR184</f>
        <v>0</v>
      </c>
      <c r="AU129" s="19">
        <f>+'CCs # Master'!AS184</f>
        <v>0</v>
      </c>
      <c r="AV129" s="19">
        <f>+'CCs # Master'!AT184</f>
        <v>0</v>
      </c>
      <c r="AW129"/>
      <c r="AX129" s="21">
        <f>SUM(N129:AW129)</f>
        <v>165</v>
      </c>
      <c r="AY129" s="21">
        <f t="shared" si="61"/>
        <v>0</v>
      </c>
      <c r="BA129" s="19">
        <f t="shared" si="62"/>
        <v>0</v>
      </c>
      <c r="BB129" s="19">
        <f>N129</f>
        <v>165</v>
      </c>
      <c r="BC129" s="19">
        <f t="shared" si="64"/>
        <v>0</v>
      </c>
      <c r="BE129" s="19">
        <f t="shared" si="65"/>
        <v>165</v>
      </c>
      <c r="BG129" s="234">
        <f>SUM(N129:AW129)</f>
        <v>165</v>
      </c>
      <c r="BH129" s="19">
        <f>BE129-BG129</f>
        <v>0</v>
      </c>
    </row>
    <row r="130" spans="1:60" s="19" customFormat="1" ht="12.95" customHeight="1" x14ac:dyDescent="0.2">
      <c r="A130" s="85">
        <f>+'CCs # Master'!A185</f>
        <v>11</v>
      </c>
      <c r="B130" s="226" t="str">
        <f>+'CCs # Master'!B185</f>
        <v>Brand</v>
      </c>
      <c r="C130" s="226" t="str">
        <f>+'CCs # Master'!C185</f>
        <v>Palmer, Mark</v>
      </c>
      <c r="D130" s="85">
        <f>+'CCs # Master'!D185</f>
        <v>103244</v>
      </c>
      <c r="E130" s="19">
        <f>+'CCs # Master'!E185</f>
        <v>0</v>
      </c>
      <c r="F130" s="19">
        <f>+'CCs # Master'!F185</f>
        <v>0</v>
      </c>
      <c r="G130" s="19">
        <f>+'CCs # Master'!G185</f>
        <v>0</v>
      </c>
      <c r="H130" s="19">
        <f>+'CCs # Master'!H185</f>
        <v>0</v>
      </c>
      <c r="I130" s="19">
        <f>+'CCs # Master'!I185</f>
        <v>0</v>
      </c>
      <c r="J130" s="19">
        <f>+'CCs # Master'!J185</f>
        <v>0</v>
      </c>
      <c r="K130" s="21">
        <f t="shared" si="68"/>
        <v>0</v>
      </c>
      <c r="M130" s="19" t="str">
        <f>+'CCs # Master'!M185</f>
        <v>Retained at Corp</v>
      </c>
      <c r="N130" s="19">
        <f>+'CCs # Master'!AW185</f>
        <v>0</v>
      </c>
      <c r="O130" s="19">
        <v>0</v>
      </c>
      <c r="P130" s="19">
        <f>+'CCs # Master'!N185</f>
        <v>0</v>
      </c>
      <c r="Q130" s="19">
        <f>+'CCs # Master'!O185</f>
        <v>0</v>
      </c>
      <c r="R130" s="19">
        <f>+'CCs # Master'!P185</f>
        <v>0</v>
      </c>
      <c r="S130" s="19">
        <f>+'CCs # Master'!Q185</f>
        <v>0</v>
      </c>
      <c r="T130" s="19">
        <f>+'CCs # Master'!R185</f>
        <v>0</v>
      </c>
      <c r="U130" s="19">
        <f>+'CCs # Master'!S185</f>
        <v>0</v>
      </c>
      <c r="V130" s="19">
        <f>+'CCs # Master'!T185</f>
        <v>0</v>
      </c>
      <c r="W130" s="19">
        <f>+'CCs # Master'!U185</f>
        <v>0</v>
      </c>
      <c r="X130" s="19">
        <f>+'CCs # Master'!V185</f>
        <v>0</v>
      </c>
      <c r="Y130" s="19">
        <f>+'CCs # Master'!W185</f>
        <v>0</v>
      </c>
      <c r="Z130" s="19">
        <f>+'CCs # Master'!X185</f>
        <v>0</v>
      </c>
      <c r="AA130" s="19">
        <f>+'CCs # Master'!Y185</f>
        <v>0</v>
      </c>
      <c r="AB130" s="19">
        <f>+'CCs # Master'!Z185</f>
        <v>0</v>
      </c>
      <c r="AC130" s="19">
        <f>+'CCs # Master'!AA185</f>
        <v>0</v>
      </c>
      <c r="AD130" s="19">
        <f>+'CCs # Master'!AB185</f>
        <v>0</v>
      </c>
      <c r="AE130" s="19">
        <f>+'CCs # Master'!AC185</f>
        <v>0</v>
      </c>
      <c r="AF130" s="19">
        <f>+'CCs # Master'!AD185</f>
        <v>0</v>
      </c>
      <c r="AG130" s="19">
        <f>+'CCs # Master'!AE185</f>
        <v>0</v>
      </c>
      <c r="AH130" s="19">
        <f>+'CCs # Master'!AF185</f>
        <v>0</v>
      </c>
      <c r="AI130" s="19">
        <f>+'CCs # Master'!AG185</f>
        <v>0</v>
      </c>
      <c r="AJ130" s="19">
        <f>+'CCs # Master'!AH185</f>
        <v>0</v>
      </c>
      <c r="AK130" s="19">
        <f>+'CCs # Master'!AI185</f>
        <v>0</v>
      </c>
      <c r="AL130" s="19">
        <f>+'CCs # Master'!AJ185</f>
        <v>0</v>
      </c>
      <c r="AM130" s="19">
        <f>+'CCs # Master'!AK185</f>
        <v>0</v>
      </c>
      <c r="AN130" s="19">
        <f>+'CCs # Master'!AL185</f>
        <v>0</v>
      </c>
      <c r="AO130" s="19">
        <f>+'CCs # Master'!AM185</f>
        <v>0</v>
      </c>
      <c r="AP130" s="19">
        <f>+'CCs # Master'!AN185</f>
        <v>0</v>
      </c>
      <c r="AQ130" s="19">
        <f>+'CCs # Master'!AO185</f>
        <v>0</v>
      </c>
      <c r="AR130" s="19">
        <f>+'CCs # Master'!AP185</f>
        <v>0</v>
      </c>
      <c r="AS130" s="19">
        <f>+'CCs # Master'!AQ185</f>
        <v>0</v>
      </c>
      <c r="AT130" s="19">
        <f>+'CCs # Master'!AR185</f>
        <v>0</v>
      </c>
      <c r="AU130" s="19">
        <f>+'CCs # Master'!AS185</f>
        <v>0</v>
      </c>
      <c r="AV130" s="19">
        <f>+'CCs # Master'!AT185</f>
        <v>0</v>
      </c>
      <c r="AW130"/>
      <c r="AX130" s="21">
        <f>SUM(N130:AW130)</f>
        <v>0</v>
      </c>
      <c r="AY130" s="21">
        <f t="shared" si="61"/>
        <v>0</v>
      </c>
      <c r="BA130" s="19">
        <f t="shared" si="62"/>
        <v>0</v>
      </c>
      <c r="BB130" s="19">
        <f>N130</f>
        <v>0</v>
      </c>
      <c r="BC130" s="19">
        <f t="shared" si="64"/>
        <v>0</v>
      </c>
      <c r="BE130" s="19">
        <f t="shared" si="65"/>
        <v>0</v>
      </c>
      <c r="BG130" s="234">
        <f t="shared" si="66"/>
        <v>0</v>
      </c>
      <c r="BH130" s="19">
        <f>BE130-BG130</f>
        <v>0</v>
      </c>
    </row>
    <row r="131" spans="1:60" s="19" customFormat="1" ht="12.95" customHeight="1" x14ac:dyDescent="0.2">
      <c r="A131" s="85">
        <f>+'CCs # Master'!A186</f>
        <v>11</v>
      </c>
      <c r="B131" s="226" t="str">
        <f>+'CCs # Master'!B186</f>
        <v>Oral History</v>
      </c>
      <c r="C131" s="226" t="str">
        <f>+'CCs # Master'!C186</f>
        <v>Palmer, Mark</v>
      </c>
      <c r="D131" s="85">
        <f>+'CCs # Master'!D186</f>
        <v>103245</v>
      </c>
      <c r="E131" s="19">
        <f>+'CCs # Master'!E186</f>
        <v>0</v>
      </c>
      <c r="F131" s="19">
        <f>+'CCs # Master'!F186</f>
        <v>30</v>
      </c>
      <c r="G131" s="19">
        <f>+'CCs # Master'!G186</f>
        <v>25</v>
      </c>
      <c r="H131" s="19">
        <f>+'CCs # Master'!H186</f>
        <v>160</v>
      </c>
      <c r="I131" s="19">
        <f>+'CCs # Master'!I186</f>
        <v>0</v>
      </c>
      <c r="J131" s="19">
        <f>+'CCs # Master'!J186</f>
        <v>0</v>
      </c>
      <c r="K131" s="21">
        <f t="shared" si="68"/>
        <v>215</v>
      </c>
      <c r="M131" s="19" t="str">
        <f>+'CCs # Master'!M186</f>
        <v>Retained at Corp</v>
      </c>
      <c r="N131" s="19">
        <f>+'CCs # Master'!AW186</f>
        <v>215</v>
      </c>
      <c r="O131" s="19">
        <v>0</v>
      </c>
      <c r="P131" s="19">
        <f>+'CCs # Master'!N186</f>
        <v>0</v>
      </c>
      <c r="Q131" s="19">
        <f>+'CCs # Master'!O186</f>
        <v>0</v>
      </c>
      <c r="R131" s="19">
        <f>+'CCs # Master'!P186</f>
        <v>0</v>
      </c>
      <c r="S131" s="19">
        <f>+'CCs # Master'!Q186</f>
        <v>0</v>
      </c>
      <c r="T131" s="19">
        <f>+'CCs # Master'!R186</f>
        <v>0</v>
      </c>
      <c r="U131" s="19">
        <f>+'CCs # Master'!S186</f>
        <v>0</v>
      </c>
      <c r="V131" s="19">
        <f>+'CCs # Master'!T186</f>
        <v>0</v>
      </c>
      <c r="W131" s="19">
        <f>+'CCs # Master'!U186</f>
        <v>0</v>
      </c>
      <c r="X131" s="19">
        <f>+'CCs # Master'!V186</f>
        <v>0</v>
      </c>
      <c r="Y131" s="19">
        <f>+'CCs # Master'!W186</f>
        <v>0</v>
      </c>
      <c r="Z131" s="19">
        <f>+'CCs # Master'!X186</f>
        <v>0</v>
      </c>
      <c r="AA131" s="19">
        <f>+'CCs # Master'!Y186</f>
        <v>0</v>
      </c>
      <c r="AB131" s="19">
        <f>+'CCs # Master'!Z186</f>
        <v>0</v>
      </c>
      <c r="AC131" s="19">
        <f>+'CCs # Master'!AA186</f>
        <v>0</v>
      </c>
      <c r="AD131" s="19">
        <f>+'CCs # Master'!AB186</f>
        <v>0</v>
      </c>
      <c r="AE131" s="19">
        <f>+'CCs # Master'!AC186</f>
        <v>0</v>
      </c>
      <c r="AF131" s="19">
        <f>+'CCs # Master'!AD186</f>
        <v>0</v>
      </c>
      <c r="AG131" s="19">
        <f>+'CCs # Master'!AE186</f>
        <v>0</v>
      </c>
      <c r="AH131" s="19">
        <f>+'CCs # Master'!AF186</f>
        <v>0</v>
      </c>
      <c r="AI131" s="19">
        <f>+'CCs # Master'!AG186</f>
        <v>0</v>
      </c>
      <c r="AJ131" s="19">
        <f>+'CCs # Master'!AH186</f>
        <v>0</v>
      </c>
      <c r="AK131" s="19">
        <f>+'CCs # Master'!AI186</f>
        <v>0</v>
      </c>
      <c r="AL131" s="19">
        <f>+'CCs # Master'!AJ186</f>
        <v>0</v>
      </c>
      <c r="AM131" s="19">
        <f>+'CCs # Master'!AK186</f>
        <v>0</v>
      </c>
      <c r="AN131" s="19">
        <f>+'CCs # Master'!AL186</f>
        <v>0</v>
      </c>
      <c r="AO131" s="19">
        <f>+'CCs # Master'!AM186</f>
        <v>0</v>
      </c>
      <c r="AP131" s="19">
        <f>+'CCs # Master'!AN186</f>
        <v>0</v>
      </c>
      <c r="AQ131" s="19">
        <f>+'CCs # Master'!AO186</f>
        <v>0</v>
      </c>
      <c r="AR131" s="19">
        <f>+'CCs # Master'!AP186</f>
        <v>0</v>
      </c>
      <c r="AS131" s="19">
        <f>+'CCs # Master'!AQ186</f>
        <v>0</v>
      </c>
      <c r="AT131" s="19">
        <f>+'CCs # Master'!AR186</f>
        <v>0</v>
      </c>
      <c r="AU131" s="19">
        <f>+'CCs # Master'!AS186</f>
        <v>0</v>
      </c>
      <c r="AV131" s="19">
        <f>+'CCs # Master'!AT186</f>
        <v>0</v>
      </c>
      <c r="AW131"/>
      <c r="AX131" s="21">
        <f>SUM(N131:AW131)</f>
        <v>215</v>
      </c>
      <c r="AY131" s="21">
        <f t="shared" si="61"/>
        <v>0</v>
      </c>
      <c r="BA131" s="19">
        <f t="shared" si="62"/>
        <v>0</v>
      </c>
      <c r="BB131" s="19">
        <f>N131</f>
        <v>215</v>
      </c>
      <c r="BC131" s="19">
        <f t="shared" si="64"/>
        <v>0</v>
      </c>
      <c r="BE131" s="19">
        <f t="shared" si="65"/>
        <v>215</v>
      </c>
      <c r="BG131" s="234">
        <f t="shared" si="66"/>
        <v>215</v>
      </c>
      <c r="BH131" s="19">
        <f>BE131-BG131</f>
        <v>0</v>
      </c>
    </row>
    <row r="132" spans="1:60" s="19" customFormat="1" ht="12.95" customHeight="1" x14ac:dyDescent="0.2">
      <c r="A132" s="85">
        <f>+'CCs # Master'!A190</f>
        <v>11</v>
      </c>
      <c r="B132" s="226" t="str">
        <f>'CCs # Master'!B188</f>
        <v>University Relations</v>
      </c>
      <c r="C132" s="226" t="str">
        <f>'CCs # Master'!C188</f>
        <v>Palmer, Mark</v>
      </c>
      <c r="D132" s="85">
        <f>'CCs # Master'!D188</f>
        <v>103247</v>
      </c>
      <c r="E132" s="19">
        <f>+'CCs # Master'!E188</f>
        <v>367</v>
      </c>
      <c r="F132" s="19">
        <f>+'CCs # Master'!F188</f>
        <v>170</v>
      </c>
      <c r="G132" s="19">
        <f>+'CCs # Master'!G188</f>
        <v>5</v>
      </c>
      <c r="H132" s="19">
        <f>+'CCs # Master'!H188</f>
        <v>530</v>
      </c>
      <c r="I132" s="19">
        <f>+'CCs # Master'!I188</f>
        <v>42</v>
      </c>
      <c r="J132" s="19">
        <f>+'CCs # Master'!J188</f>
        <v>532</v>
      </c>
      <c r="K132" s="21">
        <f t="shared" si="68"/>
        <v>1646</v>
      </c>
      <c r="M132" s="19" t="str">
        <f>+'CCs # Master'!M188</f>
        <v>Retained at Corp</v>
      </c>
      <c r="N132" s="19">
        <f>+'CCs # Master'!AW188</f>
        <v>1646</v>
      </c>
      <c r="O132" s="19">
        <f>+'CCs # Master'!AX188</f>
        <v>0</v>
      </c>
      <c r="P132" s="19">
        <f>+'CCs # Master'!N188</f>
        <v>0</v>
      </c>
      <c r="Q132" s="19">
        <f>+'CCs # Master'!O188</f>
        <v>0</v>
      </c>
      <c r="R132" s="19">
        <f>+'CCs # Master'!P188</f>
        <v>0</v>
      </c>
      <c r="S132" s="19">
        <f>+'CCs # Master'!Q188</f>
        <v>0</v>
      </c>
      <c r="T132" s="19">
        <f>+'CCs # Master'!R188</f>
        <v>0</v>
      </c>
      <c r="U132" s="19">
        <f>+'CCs # Master'!S188</f>
        <v>0</v>
      </c>
      <c r="V132" s="19">
        <f>+'CCs # Master'!T188</f>
        <v>0</v>
      </c>
      <c r="W132" s="19">
        <f>+'CCs # Master'!U188</f>
        <v>0</v>
      </c>
      <c r="X132" s="19">
        <f>+'CCs # Master'!V188</f>
        <v>0</v>
      </c>
      <c r="Y132" s="19">
        <f>+'CCs # Master'!W188</f>
        <v>0</v>
      </c>
      <c r="Z132" s="19">
        <f>+'CCs # Master'!X188</f>
        <v>0</v>
      </c>
      <c r="AA132" s="19">
        <f>+'CCs # Master'!Y188</f>
        <v>0</v>
      </c>
      <c r="AB132" s="19">
        <f>+'CCs # Master'!Z188</f>
        <v>0</v>
      </c>
      <c r="AC132" s="19">
        <f>+'CCs # Master'!AA188</f>
        <v>0</v>
      </c>
      <c r="AD132" s="19">
        <f>+'CCs # Master'!AB188</f>
        <v>0</v>
      </c>
      <c r="AE132" s="19">
        <f>+'CCs # Master'!AC188</f>
        <v>0</v>
      </c>
      <c r="AF132" s="19">
        <f>+'CCs # Master'!AD188</f>
        <v>0</v>
      </c>
      <c r="AG132" s="19">
        <f>+'CCs # Master'!AE188</f>
        <v>0</v>
      </c>
      <c r="AH132" s="19">
        <f>+'CCs # Master'!AF188</f>
        <v>0</v>
      </c>
      <c r="AI132" s="19">
        <f>+'CCs # Master'!AG188</f>
        <v>0</v>
      </c>
      <c r="AJ132" s="19">
        <f>+'CCs # Master'!AH188</f>
        <v>0</v>
      </c>
      <c r="AK132" s="19">
        <f>+'CCs # Master'!AI188</f>
        <v>0</v>
      </c>
      <c r="AL132" s="19">
        <f>+'CCs # Master'!AJ188</f>
        <v>0</v>
      </c>
      <c r="AM132" s="19">
        <f>+'CCs # Master'!AK188</f>
        <v>0</v>
      </c>
      <c r="AN132" s="19">
        <f>+'CCs # Master'!AL188</f>
        <v>0</v>
      </c>
      <c r="AO132" s="19">
        <f>+'CCs # Master'!AM188</f>
        <v>0</v>
      </c>
      <c r="AP132" s="19">
        <f>+'CCs # Master'!AN188</f>
        <v>0</v>
      </c>
      <c r="AQ132" s="19">
        <f>+'CCs # Master'!AO188</f>
        <v>0</v>
      </c>
      <c r="AR132" s="19">
        <f>+'CCs # Master'!AP188</f>
        <v>0</v>
      </c>
      <c r="AS132" s="19">
        <f>+'CCs # Master'!AQ188</f>
        <v>0</v>
      </c>
      <c r="AT132" s="19">
        <f>+'CCs # Master'!AR188</f>
        <v>0</v>
      </c>
      <c r="AU132" s="19">
        <f>+'CCs # Master'!AS188</f>
        <v>0</v>
      </c>
      <c r="AV132" s="19">
        <f>+'CCs # Master'!AT188</f>
        <v>0</v>
      </c>
      <c r="AW132"/>
      <c r="AX132" s="21">
        <f>SUM(N132:AW132)</f>
        <v>1646</v>
      </c>
      <c r="AY132" s="21">
        <f>+K132-AX132</f>
        <v>0</v>
      </c>
      <c r="BA132" s="19">
        <f t="shared" si="62"/>
        <v>0</v>
      </c>
      <c r="BB132" s="19">
        <f>N132</f>
        <v>1646</v>
      </c>
      <c r="BC132" s="227">
        <f>SUM(P132:AW132)</f>
        <v>0</v>
      </c>
      <c r="BE132" s="227">
        <f>SUM(BB132:BC132)</f>
        <v>1646</v>
      </c>
      <c r="BG132" s="249">
        <f>SUM(N132:AW132)</f>
        <v>1646</v>
      </c>
      <c r="BH132" s="19">
        <f>BE132-BG132</f>
        <v>0</v>
      </c>
    </row>
    <row r="133" spans="1:60" s="19" customFormat="1" ht="8.1" customHeight="1" x14ac:dyDescent="0.2">
      <c r="E133" s="191"/>
      <c r="F133" s="191"/>
      <c r="G133" s="191"/>
      <c r="H133" s="191"/>
      <c r="I133" s="191"/>
      <c r="J133" s="191"/>
      <c r="K133" s="191"/>
      <c r="N133" s="191"/>
      <c r="O133" s="191"/>
      <c r="P133" s="191"/>
      <c r="Q133" s="191"/>
      <c r="R133" s="191"/>
      <c r="S133" s="191"/>
      <c r="T133" s="191"/>
      <c r="U133" s="191"/>
      <c r="V133" s="191"/>
      <c r="W133" s="191"/>
      <c r="X133" s="191"/>
      <c r="Y133" s="191"/>
      <c r="Z133" s="191"/>
      <c r="AA133" s="191"/>
      <c r="AB133" s="191"/>
      <c r="AC133" s="191"/>
      <c r="AD133" s="191"/>
      <c r="AE133" s="191"/>
      <c r="AF133" s="191"/>
      <c r="AG133" s="191"/>
      <c r="AH133" s="191"/>
      <c r="AI133" s="191"/>
      <c r="AJ133" s="191"/>
      <c r="AK133" s="191"/>
      <c r="AL133" s="191"/>
      <c r="AM133" s="191"/>
      <c r="AN133" s="191"/>
      <c r="AO133" s="191"/>
      <c r="AP133" s="191"/>
      <c r="AQ133" s="191"/>
      <c r="AR133" s="191"/>
      <c r="AS133" s="191"/>
      <c r="AT133" s="191"/>
      <c r="AU133" s="191"/>
      <c r="AV133" s="191"/>
      <c r="AW133"/>
      <c r="AX133" s="191"/>
      <c r="AY133" s="191"/>
      <c r="BA133" s="191"/>
      <c r="BB133" s="191"/>
      <c r="BG133" s="234"/>
    </row>
    <row r="134" spans="1:60" s="19" customFormat="1" ht="12.95" customHeight="1" x14ac:dyDescent="0.2">
      <c r="E134" s="227">
        <f>SUM(E121:E133)</f>
        <v>4640</v>
      </c>
      <c r="F134" s="227">
        <f t="shared" ref="F134:K134" si="69">SUM(F121:F133)</f>
        <v>1460</v>
      </c>
      <c r="G134" s="227">
        <f t="shared" si="69"/>
        <v>-1001</v>
      </c>
      <c r="H134" s="227">
        <f t="shared" si="69"/>
        <v>27470</v>
      </c>
      <c r="I134" s="227">
        <f t="shared" si="69"/>
        <v>683</v>
      </c>
      <c r="J134" s="227">
        <f t="shared" si="69"/>
        <v>901</v>
      </c>
      <c r="K134" s="227">
        <f t="shared" si="69"/>
        <v>34153</v>
      </c>
      <c r="N134" s="227">
        <f>SUM(N121:N133)</f>
        <v>28164</v>
      </c>
      <c r="O134" s="227">
        <f t="shared" ref="O134:AM134" si="70">SUM(O121:O133)</f>
        <v>0</v>
      </c>
      <c r="P134" s="227">
        <f t="shared" si="70"/>
        <v>1</v>
      </c>
      <c r="Q134" s="227">
        <f t="shared" si="70"/>
        <v>20</v>
      </c>
      <c r="R134" s="227">
        <f t="shared" si="70"/>
        <v>30</v>
      </c>
      <c r="S134" s="227">
        <f t="shared" si="70"/>
        <v>30</v>
      </c>
      <c r="T134" s="227">
        <f t="shared" si="70"/>
        <v>2</v>
      </c>
      <c r="U134" s="227">
        <f t="shared" si="70"/>
        <v>0</v>
      </c>
      <c r="V134" s="227">
        <f t="shared" si="70"/>
        <v>10</v>
      </c>
      <c r="W134" s="227">
        <f t="shared" si="70"/>
        <v>52</v>
      </c>
      <c r="X134" s="227">
        <f t="shared" si="70"/>
        <v>207</v>
      </c>
      <c r="Y134" s="227">
        <f t="shared" si="70"/>
        <v>0</v>
      </c>
      <c r="Z134" s="227">
        <f t="shared" si="70"/>
        <v>267</v>
      </c>
      <c r="AA134" s="227">
        <f t="shared" si="70"/>
        <v>1</v>
      </c>
      <c r="AB134" s="227">
        <f t="shared" si="70"/>
        <v>10</v>
      </c>
      <c r="AC134" s="227">
        <f t="shared" si="70"/>
        <v>2</v>
      </c>
      <c r="AD134" s="227">
        <f t="shared" si="70"/>
        <v>292</v>
      </c>
      <c r="AE134" s="227">
        <f t="shared" si="70"/>
        <v>4</v>
      </c>
      <c r="AF134" s="227">
        <f t="shared" si="70"/>
        <v>1973</v>
      </c>
      <c r="AG134" s="227">
        <f t="shared" si="70"/>
        <v>81</v>
      </c>
      <c r="AH134" s="227">
        <f t="shared" si="70"/>
        <v>113</v>
      </c>
      <c r="AI134" s="227">
        <f t="shared" si="70"/>
        <v>220</v>
      </c>
      <c r="AJ134" s="227">
        <f>SUM(AJ121:AJ133)</f>
        <v>423</v>
      </c>
      <c r="AK134" s="227">
        <f>SUM(AK121:AK133)</f>
        <v>833</v>
      </c>
      <c r="AL134" s="227">
        <f>SUM(AL121:AL133)</f>
        <v>274</v>
      </c>
      <c r="AM134" s="227">
        <f t="shared" si="70"/>
        <v>134</v>
      </c>
      <c r="AN134" s="227">
        <f t="shared" ref="AN134:AV134" si="71">SUM(AN121:AN133)</f>
        <v>238</v>
      </c>
      <c r="AO134" s="227">
        <f t="shared" si="71"/>
        <v>60</v>
      </c>
      <c r="AP134" s="227">
        <f t="shared" si="71"/>
        <v>0</v>
      </c>
      <c r="AQ134" s="227">
        <f t="shared" si="71"/>
        <v>692</v>
      </c>
      <c r="AR134" s="227">
        <f t="shared" si="71"/>
        <v>20</v>
      </c>
      <c r="AS134" s="227">
        <f t="shared" si="71"/>
        <v>0</v>
      </c>
      <c r="AT134" s="227">
        <f t="shared" si="71"/>
        <v>0</v>
      </c>
      <c r="AU134" s="227">
        <f t="shared" si="71"/>
        <v>0</v>
      </c>
      <c r="AV134" s="227">
        <f t="shared" si="71"/>
        <v>0</v>
      </c>
      <c r="AW134"/>
      <c r="AX134" s="227">
        <f>SUM(AX121:AX133)</f>
        <v>34153</v>
      </c>
      <c r="AY134" s="227">
        <f>SUM(AY121:AY133)</f>
        <v>0</v>
      </c>
      <c r="BA134" s="227">
        <f>SUM(BA121:BA133)</f>
        <v>292</v>
      </c>
      <c r="BB134" s="227">
        <f>SUM(BB121:BB133)</f>
        <v>28164</v>
      </c>
      <c r="BC134" s="227">
        <f>SUM(BC121:BC133)</f>
        <v>5989</v>
      </c>
      <c r="BE134" s="227">
        <f>SUM(BE121:BE133)</f>
        <v>34153</v>
      </c>
      <c r="BG134" s="227">
        <f>SUM(BG121:BG133)</f>
        <v>34153</v>
      </c>
      <c r="BH134" s="19">
        <f>SUM(BH121:BH133)</f>
        <v>0</v>
      </c>
    </row>
    <row r="135" spans="1:60" s="19" customFormat="1" ht="8.1" customHeight="1" x14ac:dyDescent="0.2">
      <c r="AW135"/>
      <c r="BG135" s="234"/>
    </row>
    <row r="137" spans="1:60" ht="12.95" customHeight="1" x14ac:dyDescent="0.2">
      <c r="A137" s="25" t="s">
        <v>554</v>
      </c>
    </row>
    <row r="138" spans="1:60" s="19" customFormat="1" ht="12.95" customHeight="1" x14ac:dyDescent="0.2">
      <c r="A138" s="85">
        <f>+'CCs # Master'!A21</f>
        <v>11</v>
      </c>
      <c r="B138" s="19" t="str">
        <f>+'CCs # Master'!B21</f>
        <v>Community Relations</v>
      </c>
      <c r="C138" s="19" t="str">
        <f>+'CCs # Master'!C21</f>
        <v>Olson, Cindy</v>
      </c>
      <c r="D138" s="205">
        <f>+'CCs # Master'!D21</f>
        <v>100019</v>
      </c>
      <c r="E138" s="19">
        <f>+'CCs # Master'!E21</f>
        <v>1031</v>
      </c>
      <c r="F138" s="19">
        <f>+'CCs # Master'!F21</f>
        <v>174</v>
      </c>
      <c r="G138" s="19">
        <f>+'CCs # Master'!G21</f>
        <v>60</v>
      </c>
      <c r="H138" s="19">
        <f>+'CCs # Master'!H21</f>
        <v>220</v>
      </c>
      <c r="I138" s="19">
        <f>+'CCs # Master'!I21</f>
        <v>0</v>
      </c>
      <c r="J138" s="19">
        <f>+'CCs # Master'!J21</f>
        <v>53</v>
      </c>
      <c r="K138" s="21">
        <f t="shared" ref="K138:K181" si="72">SUM(E138:J138)</f>
        <v>1538</v>
      </c>
      <c r="M138" s="19" t="str">
        <f>+'CCs # Master'!M21</f>
        <v>MMF</v>
      </c>
      <c r="N138" s="19">
        <f>+'CCs # Master'!AW21</f>
        <v>1538</v>
      </c>
      <c r="O138" s="19">
        <v>0</v>
      </c>
      <c r="P138" s="19">
        <f>+'CCs # Master'!N21</f>
        <v>0</v>
      </c>
      <c r="Q138" s="19">
        <f>+'CCs # Master'!O21</f>
        <v>0</v>
      </c>
      <c r="R138" s="19">
        <f>+'CCs # Master'!P21</f>
        <v>0</v>
      </c>
      <c r="S138" s="19">
        <f>+'CCs # Master'!Q21</f>
        <v>0</v>
      </c>
      <c r="T138" s="19">
        <f>+'CCs # Master'!R21</f>
        <v>0</v>
      </c>
      <c r="U138" s="19">
        <f>+'CCs # Master'!S21</f>
        <v>0</v>
      </c>
      <c r="V138" s="19">
        <f>+'CCs # Master'!T21</f>
        <v>0</v>
      </c>
      <c r="W138" s="19">
        <f>+'CCs # Master'!U21</f>
        <v>0</v>
      </c>
      <c r="X138" s="19">
        <f>+'CCs # Master'!V21</f>
        <v>0</v>
      </c>
      <c r="Y138" s="19">
        <f>+'CCs # Master'!W21</f>
        <v>0</v>
      </c>
      <c r="Z138" s="19">
        <f>+'CCs # Master'!X21</f>
        <v>0</v>
      </c>
      <c r="AA138" s="19">
        <f>+'CCs # Master'!Y21</f>
        <v>0</v>
      </c>
      <c r="AB138" s="19">
        <f>+'CCs # Master'!Z21</f>
        <v>0</v>
      </c>
      <c r="AC138" s="19">
        <f>+'CCs # Master'!AA21</f>
        <v>0</v>
      </c>
      <c r="AD138" s="19">
        <f>+'CCs # Master'!AB21</f>
        <v>0</v>
      </c>
      <c r="AE138" s="19">
        <f>+'CCs # Master'!AC21</f>
        <v>0</v>
      </c>
      <c r="AF138" s="19">
        <f>+'CCs # Master'!AD21</f>
        <v>0</v>
      </c>
      <c r="AG138" s="19">
        <f>+'CCs # Master'!AE21</f>
        <v>0</v>
      </c>
      <c r="AH138" s="19">
        <f>+'CCs # Master'!AF21</f>
        <v>0</v>
      </c>
      <c r="AI138" s="19">
        <f>+'CCs # Master'!AG21</f>
        <v>0</v>
      </c>
      <c r="AJ138" s="19">
        <f>+'CCs # Master'!AH21</f>
        <v>0</v>
      </c>
      <c r="AK138" s="19">
        <f>+'CCs # Master'!AI21</f>
        <v>0</v>
      </c>
      <c r="AL138" s="19">
        <f>+'CCs # Master'!AJ21</f>
        <v>0</v>
      </c>
      <c r="AM138" s="19">
        <f>+'CCs # Master'!AK21</f>
        <v>0</v>
      </c>
      <c r="AN138" s="19">
        <f>+'CCs # Master'!AL21</f>
        <v>0</v>
      </c>
      <c r="AO138" s="19">
        <f>+'CCs # Master'!AM21</f>
        <v>0</v>
      </c>
      <c r="AP138" s="19">
        <f>+'CCs # Master'!AN21</f>
        <v>0</v>
      </c>
      <c r="AQ138" s="19">
        <f>+'CCs # Master'!AO21</f>
        <v>0</v>
      </c>
      <c r="AR138" s="19">
        <f>+'CCs # Master'!AP21</f>
        <v>0</v>
      </c>
      <c r="AS138" s="19">
        <f>+'CCs # Master'!AQ21</f>
        <v>0</v>
      </c>
      <c r="AT138" s="19">
        <f>+'CCs # Master'!AR21</f>
        <v>0</v>
      </c>
      <c r="AU138" s="19">
        <f>+'CCs # Master'!AS21</f>
        <v>0</v>
      </c>
      <c r="AV138" s="19">
        <f>+'CCs # Master'!AT21</f>
        <v>0</v>
      </c>
      <c r="AW138" s="265"/>
      <c r="AX138" s="21">
        <f t="shared" ref="AX138:AX166" si="73">SUM(N138:AW138)</f>
        <v>1538</v>
      </c>
      <c r="AY138" s="21">
        <f t="shared" ref="AY138:AY181" si="74">+K138-AX138</f>
        <v>0</v>
      </c>
      <c r="BA138" s="19">
        <f t="shared" ref="BA138:BA181" si="75">+P138+Q138+T138+U138+V138+W138+X138+Y138</f>
        <v>0</v>
      </c>
      <c r="BB138" s="19">
        <f t="shared" ref="BB138:BB166" si="76">N138</f>
        <v>1538</v>
      </c>
      <c r="BC138" s="19">
        <f t="shared" ref="BC138:BC166" si="77">SUM(P138:AW138)</f>
        <v>0</v>
      </c>
      <c r="BE138" s="19">
        <f t="shared" ref="BE138:BE166" si="78">SUM(BB138:BC138)</f>
        <v>1538</v>
      </c>
      <c r="BG138" s="234">
        <f t="shared" ref="BG138:BG181" si="79">SUM(N138:AW138)</f>
        <v>1538</v>
      </c>
      <c r="BH138" s="19">
        <f t="shared" ref="BH138:BH145" si="80">BE138-BG138</f>
        <v>0</v>
      </c>
    </row>
    <row r="139" spans="1:60" s="19" customFormat="1" ht="12.95" customHeight="1" x14ac:dyDescent="0.2">
      <c r="A139" s="85">
        <f>+'CCs # Master'!A47</f>
        <v>11</v>
      </c>
      <c r="B139" s="19" t="str">
        <f>+'CCs # Master'!B47</f>
        <v>Community Relations Programs</v>
      </c>
      <c r="C139" s="19" t="str">
        <f>+'CCs # Master'!C47</f>
        <v>Olson, Cindy</v>
      </c>
      <c r="D139" s="205">
        <f>+'CCs # Master'!D47</f>
        <v>100056</v>
      </c>
      <c r="E139" s="19">
        <f>+'CCs # Master'!E47</f>
        <v>0</v>
      </c>
      <c r="F139" s="19">
        <f>+'CCs # Master'!F47</f>
        <v>0</v>
      </c>
      <c r="G139" s="19">
        <f>+'CCs # Master'!G47</f>
        <v>0</v>
      </c>
      <c r="H139" s="19">
        <f>+'CCs # Master'!H47</f>
        <v>0</v>
      </c>
      <c r="I139" s="19">
        <f>+'CCs # Master'!I47</f>
        <v>0</v>
      </c>
      <c r="J139" s="19">
        <f>+'CCs # Master'!J47</f>
        <v>1195</v>
      </c>
      <c r="K139" s="21">
        <f t="shared" ref="K139:K145" si="81">SUM(E139:J139)</f>
        <v>1195</v>
      </c>
      <c r="M139" s="19" t="str">
        <f>+'CCs # Master'!M47</f>
        <v>% of DT Headcount</v>
      </c>
      <c r="N139" s="19">
        <f>+'CCs # Master'!AW47</f>
        <v>121</v>
      </c>
      <c r="O139" s="19">
        <v>0</v>
      </c>
      <c r="P139" s="19">
        <f>+'CCs # Master'!N47</f>
        <v>19</v>
      </c>
      <c r="Q139" s="19">
        <f>+'CCs # Master'!O47</f>
        <v>36</v>
      </c>
      <c r="R139" s="19">
        <f>+'CCs # Master'!P47</f>
        <v>38</v>
      </c>
      <c r="S139" s="19">
        <f>+'CCs # Master'!Q47</f>
        <v>41</v>
      </c>
      <c r="T139" s="19">
        <f>+'CCs # Master'!R47</f>
        <v>4</v>
      </c>
      <c r="U139" s="19">
        <f>+'CCs # Master'!S47</f>
        <v>0</v>
      </c>
      <c r="V139" s="19">
        <f>+'CCs # Master'!T47</f>
        <v>22</v>
      </c>
      <c r="W139" s="19">
        <f>+'CCs # Master'!U47</f>
        <v>140</v>
      </c>
      <c r="X139" s="19">
        <f>+'CCs # Master'!V47</f>
        <v>26</v>
      </c>
      <c r="Y139" s="19">
        <f>+'CCs # Master'!W47</f>
        <v>11</v>
      </c>
      <c r="Z139" s="19">
        <f>+'CCs # Master'!X47</f>
        <v>194</v>
      </c>
      <c r="AA139" s="19">
        <f>+'CCs # Master'!Y47</f>
        <v>2</v>
      </c>
      <c r="AB139" s="19">
        <f>+'CCs # Master'!Z47</f>
        <v>22</v>
      </c>
      <c r="AC139" s="19">
        <f>+'CCs # Master'!AA47</f>
        <v>4</v>
      </c>
      <c r="AD139" s="19">
        <f>+'CCs # Master'!AB47</f>
        <v>1</v>
      </c>
      <c r="AE139" s="19">
        <f>+'CCs # Master'!AC47</f>
        <v>9</v>
      </c>
      <c r="AF139" s="19">
        <f>+'CCs # Master'!AD47</f>
        <v>172</v>
      </c>
      <c r="AG139" s="19">
        <f>+'CCs # Master'!AE47</f>
        <v>138</v>
      </c>
      <c r="AH139" s="19">
        <f>+'CCs # Master'!AF47</f>
        <v>2</v>
      </c>
      <c r="AI139" s="19">
        <f>+'CCs # Master'!AG47</f>
        <v>0</v>
      </c>
      <c r="AJ139" s="19">
        <f>+'CCs # Master'!AH47</f>
        <v>10</v>
      </c>
      <c r="AK139" s="19">
        <f>+'CCs # Master'!AI47</f>
        <v>9</v>
      </c>
      <c r="AL139" s="19">
        <f>+'CCs # Master'!AJ47</f>
        <v>4</v>
      </c>
      <c r="AM139" s="19">
        <f>+'CCs # Master'!AK47</f>
        <v>11</v>
      </c>
      <c r="AN139" s="19">
        <f>+'CCs # Master'!AL47</f>
        <v>4</v>
      </c>
      <c r="AO139" s="19">
        <f>+'CCs # Master'!AM47</f>
        <v>89</v>
      </c>
      <c r="AP139" s="19">
        <f>+'CCs # Master'!AN47</f>
        <v>0</v>
      </c>
      <c r="AQ139" s="19">
        <f>+'CCs # Master'!AO47</f>
        <v>52</v>
      </c>
      <c r="AR139" s="19">
        <f>+'CCs # Master'!AP47</f>
        <v>14</v>
      </c>
      <c r="AS139" s="19">
        <f>+'CCs # Master'!AQ47</f>
        <v>0</v>
      </c>
      <c r="AT139" s="19">
        <f>+'CCs # Master'!AR47</f>
        <v>0</v>
      </c>
      <c r="AU139" s="19">
        <f>+'CCs # Master'!AS47</f>
        <v>0</v>
      </c>
      <c r="AV139" s="19">
        <f>+'CCs # Master'!AT47</f>
        <v>0</v>
      </c>
      <c r="AW139" s="265"/>
      <c r="AX139" s="21">
        <f t="shared" ref="AX139:AX145" si="82">SUM(N139:AW139)</f>
        <v>1195</v>
      </c>
      <c r="AY139" s="21">
        <f t="shared" ref="AY139:AY145" si="83">+K139-AX139</f>
        <v>0</v>
      </c>
      <c r="BA139" s="19">
        <f t="shared" ref="BA139:BA145" si="84">+P139+Q139+T139+U139+V139+W139+X139+Y139</f>
        <v>258</v>
      </c>
      <c r="BB139" s="19">
        <f t="shared" ref="BB139:BB145" si="85">N139</f>
        <v>121</v>
      </c>
      <c r="BC139" s="19">
        <f t="shared" ref="BC139:BC145" si="86">SUM(P139:AW139)</f>
        <v>1074</v>
      </c>
      <c r="BE139" s="19">
        <f t="shared" ref="BE139:BE145" si="87">SUM(BB139:BC139)</f>
        <v>1195</v>
      </c>
      <c r="BG139" s="234">
        <f t="shared" ref="BG139:BG145" si="88">SUM(N139:AW139)</f>
        <v>1195</v>
      </c>
      <c r="BH139" s="19">
        <f t="shared" si="80"/>
        <v>0</v>
      </c>
    </row>
    <row r="140" spans="1:60" s="19" customFormat="1" ht="12.95" customHeight="1" x14ac:dyDescent="0.2">
      <c r="A140" s="85">
        <f>+'CCs # Master'!A56</f>
        <v>11</v>
      </c>
      <c r="B140" s="19" t="str">
        <f>+'CCs # Master'!B56</f>
        <v>United Way Campaign</v>
      </c>
      <c r="C140" s="19" t="str">
        <f>+'CCs # Master'!C56</f>
        <v>Olson, Cindy</v>
      </c>
      <c r="D140" s="205">
        <f>+'CCs # Master'!D56</f>
        <v>100069</v>
      </c>
      <c r="E140" s="19">
        <f>+'CCs # Master'!E56</f>
        <v>0</v>
      </c>
      <c r="F140" s="19">
        <f>+'CCs # Master'!F56</f>
        <v>0</v>
      </c>
      <c r="G140" s="19">
        <f>+'CCs # Master'!G56</f>
        <v>0</v>
      </c>
      <c r="H140" s="19">
        <f>+'CCs # Master'!H56</f>
        <v>0</v>
      </c>
      <c r="I140" s="19">
        <f>+'CCs # Master'!I56</f>
        <v>0</v>
      </c>
      <c r="J140" s="19">
        <f>+'CCs # Master'!J56</f>
        <v>3000</v>
      </c>
      <c r="K140" s="21">
        <f t="shared" si="81"/>
        <v>3000</v>
      </c>
      <c r="M140" s="19" t="str">
        <f>+'CCs # Master'!M56</f>
        <v>Estimated on 2000 Matching</v>
      </c>
      <c r="N140" s="19">
        <f>+'CCs # Master'!AW56</f>
        <v>304</v>
      </c>
      <c r="O140" s="19">
        <v>0</v>
      </c>
      <c r="P140" s="19">
        <f>+'CCs # Master'!N56</f>
        <v>48</v>
      </c>
      <c r="Q140" s="19">
        <f>+'CCs # Master'!O56</f>
        <v>90</v>
      </c>
      <c r="R140" s="19">
        <f>+'CCs # Master'!P56</f>
        <v>96</v>
      </c>
      <c r="S140" s="19">
        <f>+'CCs # Master'!Q56</f>
        <v>102</v>
      </c>
      <c r="T140" s="19">
        <f>+'CCs # Master'!R56</f>
        <v>9</v>
      </c>
      <c r="U140" s="19">
        <f>+'CCs # Master'!S56</f>
        <v>0</v>
      </c>
      <c r="V140" s="19">
        <f>+'CCs # Master'!T56</f>
        <v>54</v>
      </c>
      <c r="W140" s="19">
        <f>+'CCs # Master'!U56</f>
        <v>350</v>
      </c>
      <c r="X140" s="19">
        <f>+'CCs # Master'!V56</f>
        <v>68</v>
      </c>
      <c r="Y140" s="19">
        <f>+'CCs # Master'!W56</f>
        <v>27</v>
      </c>
      <c r="Z140" s="19">
        <f>+'CCs # Master'!X56</f>
        <v>488</v>
      </c>
      <c r="AA140" s="19">
        <f>+'CCs # Master'!Y56</f>
        <v>4</v>
      </c>
      <c r="AB140" s="19">
        <f>+'CCs # Master'!Z56</f>
        <v>54</v>
      </c>
      <c r="AC140" s="19">
        <f>+'CCs # Master'!AA56</f>
        <v>11</v>
      </c>
      <c r="AD140" s="19">
        <f>+'CCs # Master'!AB56</f>
        <v>3</v>
      </c>
      <c r="AE140" s="19">
        <f>+'CCs # Master'!AC56</f>
        <v>22</v>
      </c>
      <c r="AF140" s="19">
        <f>+'CCs # Master'!AD56</f>
        <v>434</v>
      </c>
      <c r="AG140" s="19">
        <f>+'CCs # Master'!AE56</f>
        <v>347</v>
      </c>
      <c r="AH140" s="19">
        <f>+'CCs # Master'!AF56</f>
        <v>5</v>
      </c>
      <c r="AI140" s="19">
        <f>+'CCs # Master'!AG56</f>
        <v>0</v>
      </c>
      <c r="AJ140" s="19">
        <f>+'CCs # Master'!AH56</f>
        <v>24</v>
      </c>
      <c r="AK140" s="19">
        <f>+'CCs # Master'!AI56</f>
        <v>23</v>
      </c>
      <c r="AL140" s="19">
        <f>+'CCs # Master'!AJ56</f>
        <v>11</v>
      </c>
      <c r="AM140" s="19">
        <f>+'CCs # Master'!AK56</f>
        <v>28</v>
      </c>
      <c r="AN140" s="19">
        <f>+'CCs # Master'!AL56</f>
        <v>10</v>
      </c>
      <c r="AO140" s="19">
        <f>+'CCs # Master'!AM56</f>
        <v>223</v>
      </c>
      <c r="AP140" s="19">
        <f>+'CCs # Master'!AN56</f>
        <v>0</v>
      </c>
      <c r="AQ140" s="19">
        <f>+'CCs # Master'!AO56</f>
        <v>130</v>
      </c>
      <c r="AR140" s="19">
        <f>+'CCs # Master'!AP56</f>
        <v>35</v>
      </c>
      <c r="AS140" s="19">
        <f>+'CCs # Master'!AQ56</f>
        <v>0</v>
      </c>
      <c r="AT140" s="19">
        <f>+'CCs # Master'!AR56</f>
        <v>0</v>
      </c>
      <c r="AU140" s="19">
        <f>+'CCs # Master'!AS56</f>
        <v>0</v>
      </c>
      <c r="AV140" s="19">
        <f>+'CCs # Master'!AT56</f>
        <v>0</v>
      </c>
      <c r="AW140" s="265"/>
      <c r="AX140" s="21">
        <f t="shared" si="82"/>
        <v>3000</v>
      </c>
      <c r="AY140" s="21">
        <f t="shared" si="83"/>
        <v>0</v>
      </c>
      <c r="BA140" s="19">
        <f t="shared" si="84"/>
        <v>646</v>
      </c>
      <c r="BB140" s="19">
        <f t="shared" si="85"/>
        <v>304</v>
      </c>
      <c r="BC140" s="19">
        <f t="shared" si="86"/>
        <v>2696</v>
      </c>
      <c r="BE140" s="19">
        <f t="shared" si="87"/>
        <v>3000</v>
      </c>
      <c r="BG140" s="234">
        <f t="shared" si="88"/>
        <v>3000</v>
      </c>
      <c r="BH140" s="19">
        <f t="shared" si="80"/>
        <v>0</v>
      </c>
    </row>
    <row r="141" spans="1:60" s="19" customFormat="1" ht="12.95" customHeight="1" x14ac:dyDescent="0.2">
      <c r="A141" s="85">
        <f>+'CCs # Master'!A57</f>
        <v>11</v>
      </c>
      <c r="B141" s="19" t="str">
        <f>+'CCs # Master'!B57</f>
        <v>Community Relations - Employee Events</v>
      </c>
      <c r="C141" s="19" t="str">
        <f>+'CCs # Master'!C57</f>
        <v>Olson, Cindy</v>
      </c>
      <c r="D141" s="205">
        <f>+'CCs # Master'!D57</f>
        <v>100070</v>
      </c>
      <c r="E141" s="19">
        <f>+'CCs # Master'!E57</f>
        <v>0</v>
      </c>
      <c r="F141" s="19">
        <f>+'CCs # Master'!F57</f>
        <v>0</v>
      </c>
      <c r="G141" s="19">
        <f>+'CCs # Master'!G57</f>
        <v>0</v>
      </c>
      <c r="H141" s="19">
        <f>+'CCs # Master'!H57</f>
        <v>0</v>
      </c>
      <c r="I141" s="19">
        <f>+'CCs # Master'!I57</f>
        <v>0</v>
      </c>
      <c r="J141" s="19">
        <f>+'CCs # Master'!J57</f>
        <v>486</v>
      </c>
      <c r="K141" s="21">
        <f t="shared" si="81"/>
        <v>486</v>
      </c>
      <c r="M141" s="19" t="str">
        <f>+'CCs # Master'!M57</f>
        <v>% of DT Headcount</v>
      </c>
      <c r="N141" s="19">
        <f>+'CCs # Master'!AW57</f>
        <v>486</v>
      </c>
      <c r="O141" s="19">
        <v>0</v>
      </c>
      <c r="P141" s="19">
        <f>+'CCs # Master'!N57</f>
        <v>0</v>
      </c>
      <c r="Q141" s="19">
        <f>+'CCs # Master'!O57</f>
        <v>0</v>
      </c>
      <c r="R141" s="19">
        <f>+'CCs # Master'!P57</f>
        <v>0</v>
      </c>
      <c r="S141" s="19">
        <f>+'CCs # Master'!Q57</f>
        <v>0</v>
      </c>
      <c r="T141" s="19">
        <f>+'CCs # Master'!R57</f>
        <v>0</v>
      </c>
      <c r="U141" s="19">
        <f>+'CCs # Master'!S57</f>
        <v>0</v>
      </c>
      <c r="V141" s="19">
        <f>+'CCs # Master'!T57</f>
        <v>0</v>
      </c>
      <c r="W141" s="19">
        <f>+'CCs # Master'!U57</f>
        <v>0</v>
      </c>
      <c r="X141" s="19">
        <f>+'CCs # Master'!V57</f>
        <v>0</v>
      </c>
      <c r="Y141" s="19">
        <f>+'CCs # Master'!W57</f>
        <v>0</v>
      </c>
      <c r="Z141" s="19">
        <f>+'CCs # Master'!X57</f>
        <v>0</v>
      </c>
      <c r="AA141" s="19">
        <f>+'CCs # Master'!Y57</f>
        <v>0</v>
      </c>
      <c r="AB141" s="19">
        <f>+'CCs # Master'!Z57</f>
        <v>0</v>
      </c>
      <c r="AC141" s="19">
        <f>+'CCs # Master'!AA57</f>
        <v>0</v>
      </c>
      <c r="AD141" s="19">
        <f>+'CCs # Master'!AB57</f>
        <v>0</v>
      </c>
      <c r="AE141" s="19">
        <f>+'CCs # Master'!AC57</f>
        <v>0</v>
      </c>
      <c r="AF141" s="19">
        <f>+'CCs # Master'!AD57</f>
        <v>0</v>
      </c>
      <c r="AG141" s="19">
        <f>+'CCs # Master'!AE57</f>
        <v>0</v>
      </c>
      <c r="AH141" s="19">
        <f>+'CCs # Master'!AF57</f>
        <v>0</v>
      </c>
      <c r="AI141" s="19">
        <f>+'CCs # Master'!AG57</f>
        <v>0</v>
      </c>
      <c r="AJ141" s="19">
        <f>+'CCs # Master'!AH57</f>
        <v>0</v>
      </c>
      <c r="AK141" s="19">
        <f>+'CCs # Master'!AI57</f>
        <v>0</v>
      </c>
      <c r="AL141" s="19">
        <f>+'CCs # Master'!AJ57</f>
        <v>0</v>
      </c>
      <c r="AM141" s="19">
        <f>+'CCs # Master'!AK57</f>
        <v>0</v>
      </c>
      <c r="AN141" s="19">
        <f>+'CCs # Master'!AL57</f>
        <v>0</v>
      </c>
      <c r="AO141" s="19">
        <f>+'CCs # Master'!AM57</f>
        <v>0</v>
      </c>
      <c r="AP141" s="19">
        <f>+'CCs # Master'!AN57</f>
        <v>0</v>
      </c>
      <c r="AQ141" s="19">
        <f>+'CCs # Master'!AO57</f>
        <v>0</v>
      </c>
      <c r="AR141" s="19">
        <f>+'CCs # Master'!AP57</f>
        <v>0</v>
      </c>
      <c r="AS141" s="19">
        <f>+'CCs # Master'!AQ57</f>
        <v>0</v>
      </c>
      <c r="AT141" s="19">
        <f>+'CCs # Master'!AR57</f>
        <v>0</v>
      </c>
      <c r="AU141" s="19">
        <f>+'CCs # Master'!AS57</f>
        <v>0</v>
      </c>
      <c r="AV141" s="19">
        <f>+'CCs # Master'!AT57</f>
        <v>0</v>
      </c>
      <c r="AW141" s="265"/>
      <c r="AX141" s="21">
        <f t="shared" si="82"/>
        <v>486</v>
      </c>
      <c r="AY141" s="21">
        <f t="shared" si="83"/>
        <v>0</v>
      </c>
      <c r="BA141" s="19">
        <f t="shared" si="84"/>
        <v>0</v>
      </c>
      <c r="BB141" s="19">
        <f t="shared" si="85"/>
        <v>486</v>
      </c>
      <c r="BC141" s="19">
        <f t="shared" si="86"/>
        <v>0</v>
      </c>
      <c r="BE141" s="19">
        <f t="shared" si="87"/>
        <v>486</v>
      </c>
      <c r="BG141" s="234">
        <f t="shared" si="88"/>
        <v>486</v>
      </c>
      <c r="BH141" s="19">
        <f t="shared" si="80"/>
        <v>0</v>
      </c>
    </row>
    <row r="142" spans="1:60" s="19" customFormat="1" ht="12.95" customHeight="1" x14ac:dyDescent="0.2">
      <c r="A142" s="85">
        <f>+'CCs # Master'!A91</f>
        <v>11</v>
      </c>
      <c r="B142" s="19" t="str">
        <f>+'CCs # Master'!B91</f>
        <v>Corporate Contributions</v>
      </c>
      <c r="C142" s="19" t="str">
        <f>+'CCs # Master'!C91</f>
        <v>Olson, Cindy</v>
      </c>
      <c r="D142" s="205">
        <f>+'CCs # Master'!D91</f>
        <v>100133</v>
      </c>
      <c r="E142" s="19">
        <f>+'CCs # Master'!E91</f>
        <v>0</v>
      </c>
      <c r="F142" s="19">
        <f>+'CCs # Master'!F91</f>
        <v>0</v>
      </c>
      <c r="G142" s="19">
        <f>+'CCs # Master'!G91</f>
        <v>0</v>
      </c>
      <c r="H142" s="19">
        <f>+'CCs # Master'!H91</f>
        <v>0</v>
      </c>
      <c r="I142" s="19">
        <f>+'CCs # Master'!I91</f>
        <v>0</v>
      </c>
      <c r="J142" s="19">
        <f>+'CCs # Master'!J91</f>
        <v>4265</v>
      </c>
      <c r="K142" s="21">
        <f t="shared" si="81"/>
        <v>4265</v>
      </c>
      <c r="M142" s="19" t="str">
        <f>+'CCs # Master'!M91</f>
        <v>Retained At Corp</v>
      </c>
      <c r="N142" s="19">
        <f>+'CCs # Master'!AW91</f>
        <v>4265</v>
      </c>
      <c r="O142" s="19">
        <v>0</v>
      </c>
      <c r="P142" s="19">
        <f>+'CCs # Master'!N91</f>
        <v>0</v>
      </c>
      <c r="Q142" s="19">
        <f>+'CCs # Master'!O91</f>
        <v>0</v>
      </c>
      <c r="R142" s="19">
        <f>+'CCs # Master'!P91</f>
        <v>0</v>
      </c>
      <c r="S142" s="19">
        <f>+'CCs # Master'!Q91</f>
        <v>0</v>
      </c>
      <c r="T142" s="19">
        <f>+'CCs # Master'!R91</f>
        <v>0</v>
      </c>
      <c r="U142" s="19">
        <f>+'CCs # Master'!S91</f>
        <v>0</v>
      </c>
      <c r="V142" s="19">
        <f>+'CCs # Master'!T91</f>
        <v>0</v>
      </c>
      <c r="W142" s="19">
        <f>+'CCs # Master'!U91</f>
        <v>0</v>
      </c>
      <c r="X142" s="19">
        <f>+'CCs # Master'!V91</f>
        <v>0</v>
      </c>
      <c r="Y142" s="19">
        <f>+'CCs # Master'!W91</f>
        <v>0</v>
      </c>
      <c r="Z142" s="19">
        <f>+'CCs # Master'!X91</f>
        <v>0</v>
      </c>
      <c r="AA142" s="19">
        <f>+'CCs # Master'!Y91</f>
        <v>0</v>
      </c>
      <c r="AB142" s="19">
        <f>+'CCs # Master'!Z91</f>
        <v>0</v>
      </c>
      <c r="AC142" s="19">
        <f>+'CCs # Master'!AA91</f>
        <v>0</v>
      </c>
      <c r="AD142" s="19">
        <f>+'CCs # Master'!AB91</f>
        <v>0</v>
      </c>
      <c r="AE142" s="19">
        <f>+'CCs # Master'!AC91</f>
        <v>0</v>
      </c>
      <c r="AF142" s="19">
        <f>+'CCs # Master'!AD91</f>
        <v>0</v>
      </c>
      <c r="AG142" s="19">
        <f>+'CCs # Master'!AE91</f>
        <v>0</v>
      </c>
      <c r="AH142" s="19">
        <f>+'CCs # Master'!AF91</f>
        <v>0</v>
      </c>
      <c r="AI142" s="19">
        <f>+'CCs # Master'!AG91</f>
        <v>0</v>
      </c>
      <c r="AJ142" s="19">
        <f>+'CCs # Master'!AH91</f>
        <v>0</v>
      </c>
      <c r="AK142" s="19">
        <f>+'CCs # Master'!AI91</f>
        <v>0</v>
      </c>
      <c r="AL142" s="19">
        <f>+'CCs # Master'!AJ91</f>
        <v>0</v>
      </c>
      <c r="AM142" s="19">
        <f>+'CCs # Master'!AK91</f>
        <v>0</v>
      </c>
      <c r="AN142" s="19">
        <f>+'CCs # Master'!AL91</f>
        <v>0</v>
      </c>
      <c r="AO142" s="19">
        <f>+'CCs # Master'!AM91</f>
        <v>0</v>
      </c>
      <c r="AP142" s="19">
        <f>+'CCs # Master'!AN91</f>
        <v>0</v>
      </c>
      <c r="AQ142" s="19">
        <f>+'CCs # Master'!AO91</f>
        <v>0</v>
      </c>
      <c r="AR142" s="19">
        <f>+'CCs # Master'!AP91</f>
        <v>0</v>
      </c>
      <c r="AS142" s="19">
        <f>+'CCs # Master'!AQ91</f>
        <v>0</v>
      </c>
      <c r="AT142" s="19">
        <f>+'CCs # Master'!AR91</f>
        <v>0</v>
      </c>
      <c r="AU142" s="19">
        <f>+'CCs # Master'!AS91</f>
        <v>0</v>
      </c>
      <c r="AV142" s="19">
        <f>+'CCs # Master'!AT91</f>
        <v>0</v>
      </c>
      <c r="AW142" s="265"/>
      <c r="AX142" s="21">
        <f t="shared" si="82"/>
        <v>4265</v>
      </c>
      <c r="AY142" s="21">
        <f t="shared" si="83"/>
        <v>0</v>
      </c>
      <c r="BA142" s="19">
        <f t="shared" si="84"/>
        <v>0</v>
      </c>
      <c r="BB142" s="19">
        <f t="shared" si="85"/>
        <v>4265</v>
      </c>
      <c r="BC142" s="19">
        <f t="shared" si="86"/>
        <v>0</v>
      </c>
      <c r="BE142" s="19">
        <f t="shared" si="87"/>
        <v>4265</v>
      </c>
      <c r="BG142" s="234">
        <f t="shared" si="88"/>
        <v>4265</v>
      </c>
      <c r="BH142" s="19">
        <f t="shared" si="80"/>
        <v>0</v>
      </c>
    </row>
    <row r="143" spans="1:60" s="19" customFormat="1" ht="12.95" customHeight="1" x14ac:dyDescent="0.2">
      <c r="A143" s="85">
        <f>+'CCs # Master'!A92</f>
        <v>11</v>
      </c>
      <c r="B143" s="19" t="str">
        <f>+'CCs # Master'!B92</f>
        <v>Corporate Memberships</v>
      </c>
      <c r="C143" s="19" t="str">
        <f>+'CCs # Master'!C92</f>
        <v>Olson, Cindy</v>
      </c>
      <c r="D143" s="205">
        <f>+'CCs # Master'!D92</f>
        <v>100134</v>
      </c>
      <c r="E143" s="19">
        <f>+'CCs # Master'!E92</f>
        <v>0</v>
      </c>
      <c r="F143" s="19">
        <f>+'CCs # Master'!F92</f>
        <v>0</v>
      </c>
      <c r="G143" s="19">
        <f>+'CCs # Master'!G92</f>
        <v>0</v>
      </c>
      <c r="H143" s="19">
        <f>+'CCs # Master'!H92</f>
        <v>0</v>
      </c>
      <c r="I143" s="19">
        <f>+'CCs # Master'!I92</f>
        <v>0</v>
      </c>
      <c r="J143" s="19">
        <f>+'CCs # Master'!J92</f>
        <v>600</v>
      </c>
      <c r="K143" s="21">
        <f t="shared" si="81"/>
        <v>600</v>
      </c>
      <c r="M143" s="19" t="str">
        <f>+'CCs # Master'!M92</f>
        <v>% of Domestic Headcount</v>
      </c>
      <c r="N143" s="19">
        <f>+'CCs # Master'!AW92</f>
        <v>600</v>
      </c>
      <c r="O143" s="19">
        <v>0</v>
      </c>
      <c r="P143" s="19">
        <f>+'CCs # Master'!N92</f>
        <v>0</v>
      </c>
      <c r="Q143" s="19">
        <f>+'CCs # Master'!O92</f>
        <v>0</v>
      </c>
      <c r="R143" s="19">
        <f>+'CCs # Master'!P92</f>
        <v>0</v>
      </c>
      <c r="S143" s="19">
        <f>+'CCs # Master'!Q92</f>
        <v>0</v>
      </c>
      <c r="T143" s="19">
        <f>+'CCs # Master'!R92</f>
        <v>0</v>
      </c>
      <c r="U143" s="19">
        <f>+'CCs # Master'!S92</f>
        <v>0</v>
      </c>
      <c r="V143" s="19">
        <f>+'CCs # Master'!T92</f>
        <v>0</v>
      </c>
      <c r="W143" s="19">
        <f>+'CCs # Master'!U92</f>
        <v>0</v>
      </c>
      <c r="X143" s="19">
        <f>+'CCs # Master'!V92</f>
        <v>0</v>
      </c>
      <c r="Y143" s="19">
        <f>+'CCs # Master'!W92</f>
        <v>0</v>
      </c>
      <c r="Z143" s="19">
        <f>+'CCs # Master'!X92</f>
        <v>0</v>
      </c>
      <c r="AA143" s="19">
        <f>+'CCs # Master'!Y92</f>
        <v>0</v>
      </c>
      <c r="AB143" s="19">
        <f>+'CCs # Master'!Z92</f>
        <v>0</v>
      </c>
      <c r="AC143" s="19">
        <f>+'CCs # Master'!AA92</f>
        <v>0</v>
      </c>
      <c r="AD143" s="19">
        <f>+'CCs # Master'!AB92</f>
        <v>0</v>
      </c>
      <c r="AE143" s="19">
        <f>+'CCs # Master'!AC92</f>
        <v>0</v>
      </c>
      <c r="AF143" s="19">
        <f>+'CCs # Master'!AD92</f>
        <v>0</v>
      </c>
      <c r="AG143" s="19">
        <f>+'CCs # Master'!AE92</f>
        <v>0</v>
      </c>
      <c r="AH143" s="19">
        <f>+'CCs # Master'!AF92</f>
        <v>0</v>
      </c>
      <c r="AI143" s="19">
        <f>+'CCs # Master'!AG92</f>
        <v>0</v>
      </c>
      <c r="AJ143" s="19">
        <f>+'CCs # Master'!AH92</f>
        <v>0</v>
      </c>
      <c r="AK143" s="19">
        <f>+'CCs # Master'!AI92</f>
        <v>0</v>
      </c>
      <c r="AL143" s="19">
        <f>+'CCs # Master'!AJ92</f>
        <v>0</v>
      </c>
      <c r="AM143" s="19">
        <f>+'CCs # Master'!AK92</f>
        <v>0</v>
      </c>
      <c r="AN143" s="19">
        <f>+'CCs # Master'!AL92</f>
        <v>0</v>
      </c>
      <c r="AO143" s="19">
        <f>+'CCs # Master'!AM92</f>
        <v>0</v>
      </c>
      <c r="AP143" s="19">
        <f>+'CCs # Master'!AN92</f>
        <v>0</v>
      </c>
      <c r="AQ143" s="19">
        <f>+'CCs # Master'!AO92</f>
        <v>0</v>
      </c>
      <c r="AR143" s="19">
        <f>+'CCs # Master'!AP92</f>
        <v>0</v>
      </c>
      <c r="AS143" s="19">
        <f>+'CCs # Master'!AQ92</f>
        <v>0</v>
      </c>
      <c r="AT143" s="19">
        <f>+'CCs # Master'!AR92</f>
        <v>0</v>
      </c>
      <c r="AU143" s="19">
        <f>+'CCs # Master'!AS92</f>
        <v>0</v>
      </c>
      <c r="AV143" s="19">
        <f>+'CCs # Master'!AT92</f>
        <v>0</v>
      </c>
      <c r="AW143" s="265"/>
      <c r="AX143" s="21">
        <f t="shared" si="82"/>
        <v>600</v>
      </c>
      <c r="AY143" s="21">
        <f t="shared" si="83"/>
        <v>0</v>
      </c>
      <c r="BA143" s="19">
        <f t="shared" si="84"/>
        <v>0</v>
      </c>
      <c r="BB143" s="19">
        <f t="shared" si="85"/>
        <v>600</v>
      </c>
      <c r="BC143" s="19">
        <f t="shared" si="86"/>
        <v>0</v>
      </c>
      <c r="BE143" s="19">
        <f t="shared" si="87"/>
        <v>600</v>
      </c>
      <c r="BG143" s="234">
        <f t="shared" si="88"/>
        <v>600</v>
      </c>
      <c r="BH143" s="19">
        <f t="shared" si="80"/>
        <v>0</v>
      </c>
    </row>
    <row r="144" spans="1:60" s="19" customFormat="1" ht="12.95" customHeight="1" x14ac:dyDescent="0.2">
      <c r="A144" s="85">
        <f>+'CCs # Master'!A96</f>
        <v>11</v>
      </c>
      <c r="B144" s="19" t="str">
        <f>+'CCs # Master'!B96</f>
        <v>Matching Gifts</v>
      </c>
      <c r="C144" s="19" t="str">
        <f>+'CCs # Master'!C96</f>
        <v>Olson, Cindy</v>
      </c>
      <c r="D144" s="205">
        <f>+'CCs # Master'!D96</f>
        <v>100138</v>
      </c>
      <c r="E144" s="19">
        <f>+'CCs # Master'!E96</f>
        <v>0</v>
      </c>
      <c r="F144" s="19">
        <f>+'CCs # Master'!F96</f>
        <v>0</v>
      </c>
      <c r="G144" s="19">
        <f>+'CCs # Master'!G96</f>
        <v>0</v>
      </c>
      <c r="H144" s="19">
        <f>+'CCs # Master'!H96</f>
        <v>0</v>
      </c>
      <c r="I144" s="19">
        <f>+'CCs # Master'!I96</f>
        <v>0</v>
      </c>
      <c r="J144" s="19">
        <f>+'CCs # Master'!J96</f>
        <v>2600</v>
      </c>
      <c r="K144" s="21">
        <f t="shared" si="81"/>
        <v>2600</v>
      </c>
      <c r="M144" s="19" t="str">
        <f>+'CCs # Master'!M96</f>
        <v>Matching gifts</v>
      </c>
      <c r="N144" s="19">
        <f>+'CCs # Master'!AW96</f>
        <v>264</v>
      </c>
      <c r="O144" s="19">
        <v>0</v>
      </c>
      <c r="P144" s="19">
        <f>+'CCs # Master'!N96</f>
        <v>41</v>
      </c>
      <c r="Q144" s="19">
        <f>+'CCs # Master'!O96</f>
        <v>78</v>
      </c>
      <c r="R144" s="19">
        <f>+'CCs # Master'!P96</f>
        <v>83</v>
      </c>
      <c r="S144" s="19">
        <f>+'CCs # Master'!Q96</f>
        <v>88</v>
      </c>
      <c r="T144" s="19">
        <f>+'CCs # Master'!R96</f>
        <v>8</v>
      </c>
      <c r="U144" s="19">
        <f>+'CCs # Master'!S96</f>
        <v>0</v>
      </c>
      <c r="V144" s="19">
        <f>+'CCs # Master'!T96</f>
        <v>47</v>
      </c>
      <c r="W144" s="19">
        <f>+'CCs # Master'!U96</f>
        <v>304</v>
      </c>
      <c r="X144" s="19">
        <f>+'CCs # Master'!V96</f>
        <v>59</v>
      </c>
      <c r="Y144" s="19">
        <f>+'CCs # Master'!W96</f>
        <v>23</v>
      </c>
      <c r="Z144" s="19">
        <f>+'CCs # Master'!X96</f>
        <v>422</v>
      </c>
      <c r="AA144" s="19">
        <f>+'CCs # Master'!Y96</f>
        <v>4</v>
      </c>
      <c r="AB144" s="19">
        <f>+'CCs # Master'!Z96</f>
        <v>47</v>
      </c>
      <c r="AC144" s="19">
        <f>+'CCs # Master'!AA96</f>
        <v>10</v>
      </c>
      <c r="AD144" s="19">
        <f>+'CCs # Master'!AB96</f>
        <v>2</v>
      </c>
      <c r="AE144" s="19">
        <f>+'CCs # Master'!AC96</f>
        <v>19</v>
      </c>
      <c r="AF144" s="19">
        <f>+'CCs # Master'!AD96</f>
        <v>375</v>
      </c>
      <c r="AG144" s="19">
        <f>+'CCs # Master'!AE96</f>
        <v>301</v>
      </c>
      <c r="AH144" s="19">
        <f>+'CCs # Master'!AF96</f>
        <v>4</v>
      </c>
      <c r="AI144" s="19">
        <f>+'CCs # Master'!AG96</f>
        <v>0</v>
      </c>
      <c r="AJ144" s="19">
        <f>+'CCs # Master'!AH96</f>
        <v>21</v>
      </c>
      <c r="AK144" s="19">
        <f>+'CCs # Master'!AI96</f>
        <v>20</v>
      </c>
      <c r="AL144" s="19">
        <f>+'CCs # Master'!AJ96</f>
        <v>10</v>
      </c>
      <c r="AM144" s="19">
        <f>+'CCs # Master'!AK96</f>
        <v>25</v>
      </c>
      <c r="AN144" s="19">
        <f>+'CCs # Master'!AL96</f>
        <v>9</v>
      </c>
      <c r="AO144" s="19">
        <f>+'CCs # Master'!AM96</f>
        <v>193</v>
      </c>
      <c r="AP144" s="19">
        <f>+'CCs # Master'!AN96</f>
        <v>0</v>
      </c>
      <c r="AQ144" s="19">
        <f>+'CCs # Master'!AO96</f>
        <v>113</v>
      </c>
      <c r="AR144" s="19">
        <f>+'CCs # Master'!AP96</f>
        <v>30</v>
      </c>
      <c r="AS144" s="19">
        <f>+'CCs # Master'!AQ96</f>
        <v>0</v>
      </c>
      <c r="AT144" s="19">
        <f>+'CCs # Master'!AR96</f>
        <v>0</v>
      </c>
      <c r="AU144" s="19">
        <f>+'CCs # Master'!AS96</f>
        <v>0</v>
      </c>
      <c r="AV144" s="19">
        <f>+'CCs # Master'!AT96</f>
        <v>0</v>
      </c>
      <c r="AW144" s="265"/>
      <c r="AX144" s="21">
        <f t="shared" si="82"/>
        <v>2600</v>
      </c>
      <c r="AY144" s="21">
        <f t="shared" si="83"/>
        <v>0</v>
      </c>
      <c r="BA144" s="19">
        <f t="shared" si="84"/>
        <v>560</v>
      </c>
      <c r="BB144" s="19">
        <f t="shared" si="85"/>
        <v>264</v>
      </c>
      <c r="BC144" s="19">
        <f t="shared" si="86"/>
        <v>2336</v>
      </c>
      <c r="BE144" s="19">
        <f t="shared" si="87"/>
        <v>2600</v>
      </c>
      <c r="BG144" s="234">
        <f t="shared" si="88"/>
        <v>2600</v>
      </c>
      <c r="BH144" s="19">
        <f t="shared" si="80"/>
        <v>0</v>
      </c>
    </row>
    <row r="145" spans="1:60" s="19" customFormat="1" ht="12.95" customHeight="1" x14ac:dyDescent="0.2">
      <c r="A145" s="85">
        <f>+'CCs # Master'!A182</f>
        <v>11</v>
      </c>
      <c r="B145" s="226" t="str">
        <f>+'CCs # Master'!B182</f>
        <v>Sports Marketing</v>
      </c>
      <c r="C145" s="226" t="str">
        <f>+'CCs # Master'!C182</f>
        <v>Olson, Cindy</v>
      </c>
      <c r="D145" s="85">
        <f>+'CCs # Master'!D182</f>
        <v>103226</v>
      </c>
      <c r="E145" s="227">
        <f>+'CCs # Master'!E182</f>
        <v>159</v>
      </c>
      <c r="F145" s="227">
        <f>+'CCs # Master'!F182</f>
        <v>0</v>
      </c>
      <c r="G145" s="227">
        <f>+'CCs # Master'!G182</f>
        <v>0</v>
      </c>
      <c r="H145" s="227">
        <f>+'CCs # Master'!H182</f>
        <v>135</v>
      </c>
      <c r="I145" s="227">
        <f>+'CCs # Master'!I182</f>
        <v>0</v>
      </c>
      <c r="J145" s="227">
        <f>+'CCs # Master'!J182</f>
        <v>0</v>
      </c>
      <c r="K145" s="266">
        <f t="shared" si="81"/>
        <v>294</v>
      </c>
      <c r="M145" s="19" t="str">
        <f>+'CCs # Master'!M182</f>
        <v>Retained at Corp</v>
      </c>
      <c r="N145" s="227">
        <f>+'CCs # Master'!AW182</f>
        <v>294</v>
      </c>
      <c r="O145" s="227">
        <v>0</v>
      </c>
      <c r="P145" s="227">
        <f>+'CCs # Master'!N182</f>
        <v>0</v>
      </c>
      <c r="Q145" s="227">
        <f>+'CCs # Master'!O182</f>
        <v>0</v>
      </c>
      <c r="R145" s="227">
        <f>+'CCs # Master'!P182</f>
        <v>0</v>
      </c>
      <c r="S145" s="227">
        <f>+'CCs # Master'!Q182</f>
        <v>0</v>
      </c>
      <c r="T145" s="227">
        <f>+'CCs # Master'!R182</f>
        <v>0</v>
      </c>
      <c r="U145" s="227">
        <f>+'CCs # Master'!S182</f>
        <v>0</v>
      </c>
      <c r="V145" s="227">
        <f>+'CCs # Master'!T182</f>
        <v>0</v>
      </c>
      <c r="W145" s="227">
        <f>+'CCs # Master'!U182</f>
        <v>0</v>
      </c>
      <c r="X145" s="227">
        <f>+'CCs # Master'!V182</f>
        <v>0</v>
      </c>
      <c r="Y145" s="227">
        <f>+'CCs # Master'!W182</f>
        <v>0</v>
      </c>
      <c r="Z145" s="227">
        <f>+'CCs # Master'!X182</f>
        <v>0</v>
      </c>
      <c r="AA145" s="227">
        <f>+'CCs # Master'!Y182</f>
        <v>0</v>
      </c>
      <c r="AB145" s="227">
        <f>+'CCs # Master'!Z182</f>
        <v>0</v>
      </c>
      <c r="AC145" s="227">
        <f>+'CCs # Master'!AA182</f>
        <v>0</v>
      </c>
      <c r="AD145" s="227">
        <f>+'CCs # Master'!AB182</f>
        <v>0</v>
      </c>
      <c r="AE145" s="227">
        <f>+'CCs # Master'!AC182</f>
        <v>0</v>
      </c>
      <c r="AF145" s="227">
        <f>+'CCs # Master'!AD182</f>
        <v>0</v>
      </c>
      <c r="AG145" s="227">
        <f>+'CCs # Master'!AE182</f>
        <v>0</v>
      </c>
      <c r="AH145" s="227">
        <f>+'CCs # Master'!AF182</f>
        <v>0</v>
      </c>
      <c r="AI145" s="227">
        <f>+'CCs # Master'!AG182</f>
        <v>0</v>
      </c>
      <c r="AJ145" s="227">
        <f>+'CCs # Master'!AH182</f>
        <v>0</v>
      </c>
      <c r="AK145" s="227">
        <f>+'CCs # Master'!AI182</f>
        <v>0</v>
      </c>
      <c r="AL145" s="227">
        <f>+'CCs # Master'!AJ182</f>
        <v>0</v>
      </c>
      <c r="AM145" s="227">
        <f>+'CCs # Master'!AK182</f>
        <v>0</v>
      </c>
      <c r="AN145" s="227">
        <f>+'CCs # Master'!AL182</f>
        <v>0</v>
      </c>
      <c r="AO145" s="227">
        <f>+'CCs # Master'!AM182</f>
        <v>0</v>
      </c>
      <c r="AP145" s="227">
        <f>+'CCs # Master'!AN182</f>
        <v>0</v>
      </c>
      <c r="AQ145" s="227">
        <f>+'CCs # Master'!AO182</f>
        <v>0</v>
      </c>
      <c r="AR145" s="227">
        <f>+'CCs # Master'!AP182</f>
        <v>0</v>
      </c>
      <c r="AS145" s="227">
        <f>+'CCs # Master'!AQ182</f>
        <v>0</v>
      </c>
      <c r="AT145" s="227">
        <f>+'CCs # Master'!AR182</f>
        <v>0</v>
      </c>
      <c r="AU145" s="227">
        <f>+'CCs # Master'!AS182</f>
        <v>0</v>
      </c>
      <c r="AV145" s="227">
        <f>+'CCs # Master'!AT182</f>
        <v>0</v>
      </c>
      <c r="AW145" s="265"/>
      <c r="AX145" s="266">
        <f t="shared" si="82"/>
        <v>294</v>
      </c>
      <c r="AY145" s="266">
        <f t="shared" si="83"/>
        <v>0</v>
      </c>
      <c r="BA145" s="227">
        <f t="shared" si="84"/>
        <v>0</v>
      </c>
      <c r="BB145" s="227">
        <f t="shared" si="85"/>
        <v>294</v>
      </c>
      <c r="BC145" s="227">
        <f t="shared" si="86"/>
        <v>0</v>
      </c>
      <c r="BE145" s="227">
        <f t="shared" si="87"/>
        <v>294</v>
      </c>
      <c r="BG145" s="234">
        <f t="shared" si="88"/>
        <v>294</v>
      </c>
      <c r="BH145" s="19">
        <f t="shared" si="80"/>
        <v>0</v>
      </c>
    </row>
    <row r="146" spans="1:60" s="19" customFormat="1" ht="12.95" customHeight="1" x14ac:dyDescent="0.2">
      <c r="A146" s="85"/>
      <c r="B146" s="226"/>
      <c r="C146" s="226"/>
      <c r="D146" s="85"/>
      <c r="E146" s="19">
        <f>SUM(E138:E145)</f>
        <v>1190</v>
      </c>
      <c r="F146" s="19">
        <f t="shared" ref="F146:K146" si="89">SUM(F138:F145)</f>
        <v>174</v>
      </c>
      <c r="G146" s="19">
        <f t="shared" si="89"/>
        <v>60</v>
      </c>
      <c r="H146" s="19">
        <f t="shared" si="89"/>
        <v>355</v>
      </c>
      <c r="I146" s="19">
        <f t="shared" si="89"/>
        <v>0</v>
      </c>
      <c r="J146" s="19">
        <f t="shared" si="89"/>
        <v>12199</v>
      </c>
      <c r="K146" s="19">
        <f t="shared" si="89"/>
        <v>13978</v>
      </c>
      <c r="N146" s="19">
        <f t="shared" ref="N146:AV146" si="90">SUM(N138:N145)</f>
        <v>7872</v>
      </c>
      <c r="O146" s="19">
        <f t="shared" si="90"/>
        <v>0</v>
      </c>
      <c r="P146" s="19">
        <f t="shared" si="90"/>
        <v>108</v>
      </c>
      <c r="Q146" s="19">
        <f t="shared" si="90"/>
        <v>204</v>
      </c>
      <c r="R146" s="19">
        <f t="shared" si="90"/>
        <v>217</v>
      </c>
      <c r="S146" s="19">
        <f t="shared" si="90"/>
        <v>231</v>
      </c>
      <c r="T146" s="19">
        <f t="shared" si="90"/>
        <v>21</v>
      </c>
      <c r="U146" s="19">
        <f t="shared" si="90"/>
        <v>0</v>
      </c>
      <c r="V146" s="19">
        <f t="shared" si="90"/>
        <v>123</v>
      </c>
      <c r="W146" s="19">
        <f t="shared" si="90"/>
        <v>794</v>
      </c>
      <c r="X146" s="19">
        <f t="shared" si="90"/>
        <v>153</v>
      </c>
      <c r="Y146" s="19">
        <f t="shared" si="90"/>
        <v>61</v>
      </c>
      <c r="Z146" s="19">
        <f t="shared" si="90"/>
        <v>1104</v>
      </c>
      <c r="AA146" s="19">
        <f t="shared" si="90"/>
        <v>10</v>
      </c>
      <c r="AB146" s="19">
        <f t="shared" si="90"/>
        <v>123</v>
      </c>
      <c r="AC146" s="19">
        <f t="shared" si="90"/>
        <v>25</v>
      </c>
      <c r="AD146" s="19">
        <f t="shared" si="90"/>
        <v>6</v>
      </c>
      <c r="AE146" s="19">
        <f t="shared" si="90"/>
        <v>50</v>
      </c>
      <c r="AF146" s="19">
        <f t="shared" si="90"/>
        <v>981</v>
      </c>
      <c r="AG146" s="19">
        <f t="shared" si="90"/>
        <v>786</v>
      </c>
      <c r="AH146" s="19">
        <f t="shared" si="90"/>
        <v>11</v>
      </c>
      <c r="AI146" s="19">
        <f t="shared" si="90"/>
        <v>0</v>
      </c>
      <c r="AJ146" s="19">
        <f t="shared" si="90"/>
        <v>55</v>
      </c>
      <c r="AK146" s="19">
        <f t="shared" si="90"/>
        <v>52</v>
      </c>
      <c r="AL146" s="19">
        <f t="shared" si="90"/>
        <v>25</v>
      </c>
      <c r="AM146" s="19">
        <f t="shared" si="90"/>
        <v>64</v>
      </c>
      <c r="AN146" s="19">
        <f t="shared" si="90"/>
        <v>23</v>
      </c>
      <c r="AO146" s="19">
        <f t="shared" si="90"/>
        <v>505</v>
      </c>
      <c r="AP146" s="19">
        <f t="shared" si="90"/>
        <v>0</v>
      </c>
      <c r="AQ146" s="19">
        <f t="shared" si="90"/>
        <v>295</v>
      </c>
      <c r="AR146" s="19">
        <f t="shared" si="90"/>
        <v>79</v>
      </c>
      <c r="AS146" s="19">
        <f t="shared" si="90"/>
        <v>0</v>
      </c>
      <c r="AT146" s="19">
        <f t="shared" si="90"/>
        <v>0</v>
      </c>
      <c r="AU146" s="19">
        <f t="shared" si="90"/>
        <v>0</v>
      </c>
      <c r="AV146" s="19">
        <f t="shared" si="90"/>
        <v>0</v>
      </c>
      <c r="AW146" s="265"/>
      <c r="AX146" s="19">
        <f>SUM(AX138:AX145)</f>
        <v>13978</v>
      </c>
      <c r="AY146" s="19">
        <f>SUM(AY138:AY145)</f>
        <v>0</v>
      </c>
      <c r="BA146" s="19">
        <f>SUM(BA138:BA145)</f>
        <v>1464</v>
      </c>
      <c r="BB146" s="19">
        <f>SUM(BB138:BB145)</f>
        <v>7872</v>
      </c>
      <c r="BC146" s="19">
        <f>SUM(BC138:BC145)</f>
        <v>6106</v>
      </c>
      <c r="BE146" s="19">
        <f>SUM(BE138:BE145)</f>
        <v>13978</v>
      </c>
      <c r="BG146" s="234"/>
    </row>
    <row r="147" spans="1:60" s="19" customFormat="1" ht="12.95" customHeight="1" x14ac:dyDescent="0.2">
      <c r="A147" s="85"/>
      <c r="B147" s="226"/>
      <c r="C147" s="226"/>
      <c r="D147" s="85"/>
      <c r="K147" s="21"/>
      <c r="AW147" s="265"/>
      <c r="AX147" s="21"/>
      <c r="AY147" s="21"/>
      <c r="BG147" s="234"/>
    </row>
    <row r="148" spans="1:60" s="19" customFormat="1" ht="12.95" customHeight="1" x14ac:dyDescent="0.2">
      <c r="A148" s="25" t="s">
        <v>344</v>
      </c>
      <c r="B148" s="226"/>
      <c r="C148" s="226"/>
      <c r="D148" s="85"/>
      <c r="K148" s="21"/>
      <c r="AW148" s="265"/>
      <c r="AX148" s="21"/>
      <c r="AY148" s="21"/>
      <c r="BG148" s="234"/>
    </row>
    <row r="149" spans="1:60" s="19" customFormat="1" ht="12.95" customHeight="1" x14ac:dyDescent="0.2">
      <c r="A149" s="85" t="str">
        <f>+'CCs # Master'!A14</f>
        <v>0011</v>
      </c>
      <c r="B149" s="19" t="str">
        <f>+'CCs # Master'!B14</f>
        <v>Drug/Alcohol Testing</v>
      </c>
      <c r="C149" s="19" t="str">
        <f>+'CCs # Master'!C14</f>
        <v>Tosoni, S</v>
      </c>
      <c r="D149" s="205">
        <f>+'CCs # Master'!D14</f>
        <v>100008</v>
      </c>
      <c r="E149" s="19">
        <f>+'CCs # Master'!E14</f>
        <v>50</v>
      </c>
      <c r="F149" s="19">
        <f>+'CCs # Master'!F14</f>
        <v>4</v>
      </c>
      <c r="G149" s="19">
        <f>+'CCs # Master'!G14</f>
        <v>1</v>
      </c>
      <c r="H149" s="19">
        <f>+'CCs # Master'!H14</f>
        <v>175</v>
      </c>
      <c r="I149" s="19">
        <f>+'CCs # Master'!I14</f>
        <v>21</v>
      </c>
      <c r="J149" s="19">
        <f>+'CCs # Master'!J14</f>
        <v>-94</v>
      </c>
      <c r="K149" s="21">
        <f>SUM(E149:J149)</f>
        <v>157</v>
      </c>
      <c r="M149" s="19" t="str">
        <f>+'CCs # Master'!M14</f>
        <v>Projected domestic new hires</v>
      </c>
      <c r="N149" s="19">
        <f>+'CCs # Master'!AW14</f>
        <v>5</v>
      </c>
      <c r="O149" s="19">
        <v>0</v>
      </c>
      <c r="P149" s="19">
        <f>+'CCs # Master'!N14</f>
        <v>20</v>
      </c>
      <c r="Q149" s="19">
        <f>+'CCs # Master'!O14</f>
        <v>20</v>
      </c>
      <c r="R149" s="19">
        <f>+'CCs # Master'!P14</f>
        <v>0</v>
      </c>
      <c r="S149" s="19">
        <f>+'CCs # Master'!Q14</f>
        <v>0</v>
      </c>
      <c r="T149" s="19">
        <f>+'CCs # Master'!R14</f>
        <v>19</v>
      </c>
      <c r="U149" s="19">
        <f>+'CCs # Master'!S14</f>
        <v>0</v>
      </c>
      <c r="V149" s="19">
        <f>+'CCs # Master'!T14</f>
        <v>19</v>
      </c>
      <c r="W149" s="19">
        <f>+'CCs # Master'!U14</f>
        <v>19</v>
      </c>
      <c r="X149" s="19">
        <f>+'CCs # Master'!V14</f>
        <v>0</v>
      </c>
      <c r="Y149" s="19">
        <f>+'CCs # Master'!W14</f>
        <v>4</v>
      </c>
      <c r="Z149" s="19">
        <f>+'CCs # Master'!X14</f>
        <v>3</v>
      </c>
      <c r="AA149" s="19">
        <f>+'CCs # Master'!Y14</f>
        <v>0</v>
      </c>
      <c r="AB149" s="19">
        <f>+'CCs # Master'!Z14</f>
        <v>1</v>
      </c>
      <c r="AC149" s="19">
        <f>+'CCs # Master'!AA14</f>
        <v>6</v>
      </c>
      <c r="AD149" s="19">
        <f>+'CCs # Master'!AB14</f>
        <v>0</v>
      </c>
      <c r="AE149" s="19">
        <f>+'CCs # Master'!AC14</f>
        <v>0</v>
      </c>
      <c r="AF149" s="19">
        <f>+'CCs # Master'!AD14</f>
        <v>7</v>
      </c>
      <c r="AG149" s="19">
        <f>+'CCs # Master'!AE14</f>
        <v>7</v>
      </c>
      <c r="AH149" s="19">
        <f>+'CCs # Master'!AF14</f>
        <v>0</v>
      </c>
      <c r="AI149" s="19">
        <f>+'CCs # Master'!AG14</f>
        <v>0</v>
      </c>
      <c r="AJ149" s="19">
        <f>+'CCs # Master'!AH14</f>
        <v>0</v>
      </c>
      <c r="AK149" s="19">
        <f>+'CCs # Master'!AI14</f>
        <v>0</v>
      </c>
      <c r="AL149" s="19">
        <f>+'CCs # Master'!AJ14</f>
        <v>0</v>
      </c>
      <c r="AM149" s="19">
        <f>+'CCs # Master'!AK14</f>
        <v>0</v>
      </c>
      <c r="AN149" s="19">
        <f>+'CCs # Master'!AL14</f>
        <v>0</v>
      </c>
      <c r="AO149" s="19">
        <f>+'CCs # Master'!AM14</f>
        <v>19</v>
      </c>
      <c r="AP149" s="19">
        <f>+'CCs # Master'!AN14</f>
        <v>0</v>
      </c>
      <c r="AQ149" s="19">
        <f>+'CCs # Master'!AO14</f>
        <v>4</v>
      </c>
      <c r="AR149" s="19">
        <f>+'CCs # Master'!AP14</f>
        <v>4</v>
      </c>
      <c r="AS149" s="19">
        <f>+'CCs # Master'!AQ14</f>
        <v>0</v>
      </c>
      <c r="AT149" s="19">
        <f>+'CCs # Master'!AR14</f>
        <v>0</v>
      </c>
      <c r="AU149" s="19">
        <f>+'CCs # Master'!AS14</f>
        <v>0</v>
      </c>
      <c r="AV149" s="19">
        <f>+'CCs # Master'!AT14</f>
        <v>0</v>
      </c>
      <c r="AW149"/>
      <c r="AX149" s="21">
        <f>SUM(N149:AW149)</f>
        <v>157</v>
      </c>
      <c r="AY149" s="21">
        <f>+K149-AX149</f>
        <v>0</v>
      </c>
      <c r="BA149" s="19">
        <f>+P149+Q149+T149+U149+V149+W149+X149+Y149</f>
        <v>101</v>
      </c>
      <c r="BB149" s="19">
        <f>N149</f>
        <v>5</v>
      </c>
      <c r="BC149" s="19">
        <f>SUM(P149:AW149)</f>
        <v>152</v>
      </c>
      <c r="BE149" s="19">
        <f>SUM(BB149:BC149)</f>
        <v>157</v>
      </c>
      <c r="BG149" s="234">
        <f>SUM(N149:AW149)</f>
        <v>157</v>
      </c>
      <c r="BH149" s="19">
        <f t="shared" ref="BH149:BH168" si="91">BE149-BG149</f>
        <v>0</v>
      </c>
    </row>
    <row r="150" spans="1:60" s="19" customFormat="1" ht="12.95" customHeight="1" x14ac:dyDescent="0.2">
      <c r="A150" s="85" t="str">
        <f>+'CCs # Master'!A17</f>
        <v>0011</v>
      </c>
      <c r="B150" s="19" t="str">
        <f>+'CCs # Master'!B17</f>
        <v>HR Support Services</v>
      </c>
      <c r="C150" s="19" t="str">
        <f>+'CCs # Master'!C17</f>
        <v>O'Dell, David</v>
      </c>
      <c r="D150" s="205">
        <f>+'CCs # Master'!D17</f>
        <v>100013</v>
      </c>
      <c r="E150" s="19">
        <f>+'CCs # Master'!E17</f>
        <v>160</v>
      </c>
      <c r="F150" s="19">
        <f>+'CCs # Master'!F17</f>
        <v>11</v>
      </c>
      <c r="G150" s="19">
        <f>+'CCs # Master'!G17</f>
        <v>6</v>
      </c>
      <c r="H150" s="19">
        <f>+'CCs # Master'!H17</f>
        <v>1483</v>
      </c>
      <c r="I150" s="19">
        <f>+'CCs # Master'!I17</f>
        <v>113</v>
      </c>
      <c r="J150" s="19">
        <f>+'CCs # Master'!J17</f>
        <v>-197</v>
      </c>
      <c r="K150" s="21">
        <f>SUM(E150:J150)</f>
        <v>1576</v>
      </c>
      <c r="M150" s="19" t="str">
        <f>+'CCs # Master'!M17</f>
        <v>% of Domestic Headcount</v>
      </c>
      <c r="N150" s="19">
        <f>+'CCs # Master'!AW17</f>
        <v>160</v>
      </c>
      <c r="O150" s="19">
        <v>0</v>
      </c>
      <c r="P150" s="19">
        <f>+'CCs # Master'!N17</f>
        <v>25</v>
      </c>
      <c r="Q150" s="19">
        <f>+'CCs # Master'!O17</f>
        <v>47</v>
      </c>
      <c r="R150" s="19">
        <f>+'CCs # Master'!P17</f>
        <v>50</v>
      </c>
      <c r="S150" s="19">
        <f>+'CCs # Master'!Q17</f>
        <v>54</v>
      </c>
      <c r="T150" s="19">
        <f>+'CCs # Master'!R17</f>
        <v>5</v>
      </c>
      <c r="U150" s="19">
        <f>+'CCs # Master'!S17</f>
        <v>0</v>
      </c>
      <c r="V150" s="19">
        <f>+'CCs # Master'!T17</f>
        <v>29</v>
      </c>
      <c r="W150" s="19">
        <f>+'CCs # Master'!U17</f>
        <v>184</v>
      </c>
      <c r="X150" s="19">
        <f>+'CCs # Master'!V17</f>
        <v>35</v>
      </c>
      <c r="Y150" s="19">
        <f>+'CCs # Master'!W17</f>
        <v>14</v>
      </c>
      <c r="Z150" s="19">
        <f>+'CCs # Master'!X17</f>
        <v>256</v>
      </c>
      <c r="AA150" s="19">
        <f>+'CCs # Master'!Y17</f>
        <v>2</v>
      </c>
      <c r="AB150" s="19">
        <f>+'CCs # Master'!Z17</f>
        <v>29</v>
      </c>
      <c r="AC150" s="19">
        <f>+'CCs # Master'!AA17</f>
        <v>6</v>
      </c>
      <c r="AD150" s="19">
        <f>+'CCs # Master'!AB17</f>
        <v>1</v>
      </c>
      <c r="AE150" s="19">
        <f>+'CCs # Master'!AC17</f>
        <v>12</v>
      </c>
      <c r="AF150" s="19">
        <f>+'CCs # Master'!AD17</f>
        <v>227</v>
      </c>
      <c r="AG150" s="19">
        <f>+'CCs # Master'!AE17</f>
        <v>183</v>
      </c>
      <c r="AH150" s="19">
        <f>+'CCs # Master'!AF17</f>
        <v>3</v>
      </c>
      <c r="AI150" s="19">
        <f>+'CCs # Master'!AG17</f>
        <v>0</v>
      </c>
      <c r="AJ150" s="19">
        <f>+'CCs # Master'!AH17</f>
        <v>13</v>
      </c>
      <c r="AK150" s="19">
        <f>+'CCs # Master'!AI17</f>
        <v>12</v>
      </c>
      <c r="AL150" s="19">
        <f>+'CCs # Master'!AJ17</f>
        <v>6</v>
      </c>
      <c r="AM150" s="19">
        <f>+'CCs # Master'!AK17</f>
        <v>15</v>
      </c>
      <c r="AN150" s="19">
        <f>+'CCs # Master'!AL17</f>
        <v>5</v>
      </c>
      <c r="AO150" s="19">
        <f>+'CCs # Master'!AM17</f>
        <v>117</v>
      </c>
      <c r="AP150" s="19">
        <f>+'CCs # Master'!AN17</f>
        <v>0</v>
      </c>
      <c r="AQ150" s="19">
        <f>+'CCs # Master'!AO17</f>
        <v>68</v>
      </c>
      <c r="AR150" s="19">
        <f>+'CCs # Master'!AP17</f>
        <v>18</v>
      </c>
      <c r="AS150" s="19">
        <f>+'CCs # Master'!AQ17</f>
        <v>0</v>
      </c>
      <c r="AT150" s="19">
        <f>+'CCs # Master'!AR17</f>
        <v>0</v>
      </c>
      <c r="AU150" s="19">
        <f>+'CCs # Master'!AS17</f>
        <v>0</v>
      </c>
      <c r="AV150" s="19">
        <f>+'CCs # Master'!AT17</f>
        <v>0</v>
      </c>
      <c r="AW150"/>
      <c r="AX150" s="21">
        <f>SUM(N150:AW150)</f>
        <v>1576</v>
      </c>
      <c r="AY150" s="21">
        <f>+K150-AX150</f>
        <v>0</v>
      </c>
      <c r="BA150" s="19">
        <f>+P150+Q150+T150+U150+V150+W150+X150+Y150</f>
        <v>339</v>
      </c>
      <c r="BB150" s="19">
        <f>N150</f>
        <v>160</v>
      </c>
      <c r="BC150" s="19">
        <f>SUM(P150:AW150)</f>
        <v>1416</v>
      </c>
      <c r="BE150" s="19">
        <f>SUM(BB150:BC150)</f>
        <v>1576</v>
      </c>
      <c r="BG150" s="234">
        <f>SUM(N150:AW150)</f>
        <v>1576</v>
      </c>
      <c r="BH150" s="19">
        <f t="shared" si="91"/>
        <v>0</v>
      </c>
    </row>
    <row r="151" spans="1:60" s="19" customFormat="1" ht="12.95" customHeight="1" x14ac:dyDescent="0.2">
      <c r="A151" s="85">
        <f>+'CCs # Master'!A10</f>
        <v>1</v>
      </c>
      <c r="B151" s="19" t="str">
        <f>+'CCs # Master'!B10</f>
        <v xml:space="preserve">Benefits &amp; Compensation </v>
      </c>
      <c r="C151" s="19" t="str">
        <f>+'CCs # Master'!C10</f>
        <v>Joyce, Mary</v>
      </c>
      <c r="D151" s="205">
        <f>+'CCs # Master'!D10</f>
        <v>100001</v>
      </c>
      <c r="E151" s="19">
        <f>+'CCs # Master'!E10</f>
        <v>1581</v>
      </c>
      <c r="F151" s="19">
        <f>+'CCs # Master'!F10</f>
        <v>148</v>
      </c>
      <c r="G151" s="19">
        <f>+'CCs # Master'!G10</f>
        <v>12</v>
      </c>
      <c r="H151" s="19">
        <f>+'CCs # Master'!H10</f>
        <v>148</v>
      </c>
      <c r="I151" s="19">
        <f>+'CCs # Master'!I10</f>
        <v>220</v>
      </c>
      <c r="J151" s="19">
        <f>+'CCs # Master'!J10</f>
        <v>-195</v>
      </c>
      <c r="K151" s="21">
        <f>SUM(E151:J151)</f>
        <v>1914</v>
      </c>
      <c r="M151" s="19" t="str">
        <f>+'CCs # Master'!M10</f>
        <v>70% Domestic, 30% MD/VP count</v>
      </c>
      <c r="N151" s="19">
        <f>+'CCs # Master'!AW10</f>
        <v>196</v>
      </c>
      <c r="O151" s="19">
        <v>0</v>
      </c>
      <c r="P151" s="19">
        <f>+'CCs # Master'!N10</f>
        <v>28</v>
      </c>
      <c r="Q151" s="19">
        <f>+'CCs # Master'!O10</f>
        <v>54</v>
      </c>
      <c r="R151" s="19">
        <f>+'CCs # Master'!P10</f>
        <v>61</v>
      </c>
      <c r="S151" s="19">
        <f>+'CCs # Master'!Q10</f>
        <v>61</v>
      </c>
      <c r="T151" s="19">
        <f>+'CCs # Master'!R10</f>
        <v>6</v>
      </c>
      <c r="U151" s="19">
        <f>+'CCs # Master'!S10</f>
        <v>0</v>
      </c>
      <c r="V151" s="19">
        <f>+'CCs # Master'!T10</f>
        <v>32</v>
      </c>
      <c r="W151" s="19">
        <f>+'CCs # Master'!U10</f>
        <v>210</v>
      </c>
      <c r="X151" s="19">
        <f>+'CCs # Master'!V10</f>
        <v>48</v>
      </c>
      <c r="Y151" s="19">
        <f>+'CCs # Master'!W10</f>
        <v>16</v>
      </c>
      <c r="Z151" s="19">
        <f>+'CCs # Master'!X10</f>
        <v>316</v>
      </c>
      <c r="AA151" s="19">
        <f>+'CCs # Master'!Y10</f>
        <v>3</v>
      </c>
      <c r="AB151" s="19">
        <f>+'CCs # Master'!Z10</f>
        <v>33</v>
      </c>
      <c r="AC151" s="19">
        <f>+'CCs # Master'!AA10</f>
        <v>7</v>
      </c>
      <c r="AD151" s="19">
        <f>+'CCs # Master'!AB10</f>
        <v>13</v>
      </c>
      <c r="AE151" s="19">
        <f>+'CCs # Master'!AC10</f>
        <v>13</v>
      </c>
      <c r="AF151" s="19">
        <f>+'CCs # Master'!AD10</f>
        <v>270</v>
      </c>
      <c r="AG151" s="19">
        <f>+'CCs # Master'!AE10</f>
        <v>219</v>
      </c>
      <c r="AH151" s="19">
        <f>+'CCs # Master'!AF10</f>
        <v>8</v>
      </c>
      <c r="AI151" s="19">
        <f>+'CCs # Master'!AG10</f>
        <v>0</v>
      </c>
      <c r="AJ151" s="19">
        <f>+'CCs # Master'!AH10</f>
        <v>19</v>
      </c>
      <c r="AK151" s="19">
        <f>+'CCs # Master'!AI10</f>
        <v>23</v>
      </c>
      <c r="AL151" s="19">
        <f>+'CCs # Master'!AJ10</f>
        <v>10</v>
      </c>
      <c r="AM151" s="19">
        <f>+'CCs # Master'!AK10</f>
        <v>19</v>
      </c>
      <c r="AN151" s="19">
        <f>+'CCs # Master'!AL10</f>
        <v>12</v>
      </c>
      <c r="AO151" s="19">
        <f>+'CCs # Master'!AM10</f>
        <v>138</v>
      </c>
      <c r="AP151" s="19">
        <f>+'CCs # Master'!AN10</f>
        <v>0</v>
      </c>
      <c r="AQ151" s="19">
        <f>+'CCs # Master'!AO10</f>
        <v>78</v>
      </c>
      <c r="AR151" s="19">
        <f>+'CCs # Master'!AP10</f>
        <v>21</v>
      </c>
      <c r="AS151" s="19">
        <f>+'CCs # Master'!AQ10</f>
        <v>0</v>
      </c>
      <c r="AT151" s="19">
        <f>+'CCs # Master'!AR10</f>
        <v>0</v>
      </c>
      <c r="AU151" s="19">
        <f>+'CCs # Master'!AS10</f>
        <v>0</v>
      </c>
      <c r="AV151" s="19">
        <f>+'CCs # Master'!AT10</f>
        <v>0</v>
      </c>
      <c r="AW151"/>
      <c r="AX151" s="21">
        <f>SUM(N151:AW151)</f>
        <v>1914</v>
      </c>
      <c r="AY151" s="21">
        <f>+K151-AX151</f>
        <v>0</v>
      </c>
      <c r="BA151" s="19">
        <f t="shared" si="75"/>
        <v>394</v>
      </c>
      <c r="BB151" s="19">
        <f>N151</f>
        <v>196</v>
      </c>
      <c r="BC151" s="19">
        <f>SUM(P151:AW151)</f>
        <v>1718</v>
      </c>
      <c r="BE151" s="19">
        <f>SUM(BB151:BC151)</f>
        <v>1914</v>
      </c>
      <c r="BG151" s="234">
        <f>SUM(N151:AW151)</f>
        <v>1914</v>
      </c>
      <c r="BH151" s="19">
        <f t="shared" si="91"/>
        <v>0</v>
      </c>
    </row>
    <row r="152" spans="1:60" s="19" customFormat="1" ht="12.95" customHeight="1" x14ac:dyDescent="0.2">
      <c r="A152" s="85">
        <f>+'CCs # Master'!A134</f>
        <v>11</v>
      </c>
      <c r="B152" s="19" t="str">
        <f>+'CCs # Master'!B134</f>
        <v>ODT/Transition Mgt</v>
      </c>
      <c r="C152" s="19" t="str">
        <f>+'CCs # Master'!C134</f>
        <v>Gibson, Gerry</v>
      </c>
      <c r="D152" s="205">
        <f>+'CCs # Master'!D134</f>
        <v>100830</v>
      </c>
      <c r="E152" s="19">
        <f>+'CCs # Master'!E134</f>
        <v>316</v>
      </c>
      <c r="F152" s="19">
        <f>+'CCs # Master'!F134</f>
        <v>60</v>
      </c>
      <c r="G152" s="19">
        <f>+'CCs # Master'!G134</f>
        <v>0</v>
      </c>
      <c r="H152" s="19">
        <f>+'CCs # Master'!H134</f>
        <v>0</v>
      </c>
      <c r="I152" s="19">
        <f>+'CCs # Master'!I134</f>
        <v>36</v>
      </c>
      <c r="J152" s="19">
        <f>+'CCs # Master'!J134</f>
        <v>-200</v>
      </c>
      <c r="K152" s="21">
        <f>SUM(E152:J152)</f>
        <v>212</v>
      </c>
      <c r="M152" s="19" t="str">
        <f>+'CCs # Master'!M134</f>
        <v>% of Domestic Headcount</v>
      </c>
      <c r="N152" s="19">
        <f>+'CCs # Master'!AW134</f>
        <v>21</v>
      </c>
      <c r="O152" s="19">
        <v>0</v>
      </c>
      <c r="P152" s="19">
        <f>+'CCs # Master'!N134</f>
        <v>3</v>
      </c>
      <c r="Q152" s="19">
        <f>+'CCs # Master'!O134</f>
        <v>6</v>
      </c>
      <c r="R152" s="19">
        <f>+'CCs # Master'!P134</f>
        <v>7</v>
      </c>
      <c r="S152" s="19">
        <f>+'CCs # Master'!Q134</f>
        <v>7</v>
      </c>
      <c r="T152" s="19">
        <f>+'CCs # Master'!R134</f>
        <v>1</v>
      </c>
      <c r="U152" s="19">
        <f>+'CCs # Master'!S134</f>
        <v>0</v>
      </c>
      <c r="V152" s="19">
        <f>+'CCs # Master'!T134</f>
        <v>4</v>
      </c>
      <c r="W152" s="19">
        <f>+'CCs # Master'!U134</f>
        <v>25</v>
      </c>
      <c r="X152" s="19">
        <f>+'CCs # Master'!V134</f>
        <v>4</v>
      </c>
      <c r="Y152" s="19">
        <f>+'CCs # Master'!W134</f>
        <v>2</v>
      </c>
      <c r="Z152" s="19">
        <f>+'CCs # Master'!X134</f>
        <v>34</v>
      </c>
      <c r="AA152" s="19">
        <f>+'CCs # Master'!Y134</f>
        <v>0</v>
      </c>
      <c r="AB152" s="19">
        <f>+'CCs # Master'!Z134</f>
        <v>4</v>
      </c>
      <c r="AC152" s="19">
        <f>+'CCs # Master'!AA134</f>
        <v>1</v>
      </c>
      <c r="AD152" s="19">
        <f>+'CCs # Master'!AB134</f>
        <v>0</v>
      </c>
      <c r="AE152" s="19">
        <f>+'CCs # Master'!AC134</f>
        <v>2</v>
      </c>
      <c r="AF152" s="19">
        <f>+'CCs # Master'!AD134</f>
        <v>31</v>
      </c>
      <c r="AG152" s="19">
        <f>+'CCs # Master'!AE134</f>
        <v>25</v>
      </c>
      <c r="AH152" s="19">
        <f>+'CCs # Master'!AF134</f>
        <v>0</v>
      </c>
      <c r="AI152" s="19">
        <f>+'CCs # Master'!AG134</f>
        <v>0</v>
      </c>
      <c r="AJ152" s="19">
        <f>+'CCs # Master'!AH134</f>
        <v>2</v>
      </c>
      <c r="AK152" s="19">
        <f>+'CCs # Master'!AI134</f>
        <v>2</v>
      </c>
      <c r="AL152" s="19">
        <f>+'CCs # Master'!AJ134</f>
        <v>1</v>
      </c>
      <c r="AM152" s="19">
        <f>+'CCs # Master'!AK134</f>
        <v>2</v>
      </c>
      <c r="AN152" s="19">
        <f>+'CCs # Master'!AL134</f>
        <v>1</v>
      </c>
      <c r="AO152" s="19">
        <f>+'CCs # Master'!AM134</f>
        <v>16</v>
      </c>
      <c r="AP152" s="19">
        <f>+'CCs # Master'!AN134</f>
        <v>0</v>
      </c>
      <c r="AQ152" s="19">
        <f>+'CCs # Master'!AO134</f>
        <v>9</v>
      </c>
      <c r="AR152" s="19">
        <f>+'CCs # Master'!AP134</f>
        <v>2</v>
      </c>
      <c r="AS152" s="19">
        <f>+'CCs # Master'!AQ134</f>
        <v>0</v>
      </c>
      <c r="AT152" s="19">
        <f>+'CCs # Master'!AR134</f>
        <v>0</v>
      </c>
      <c r="AU152" s="19">
        <f>+'CCs # Master'!AS134</f>
        <v>0</v>
      </c>
      <c r="AV152" s="19">
        <f>+'CCs # Master'!AT134</f>
        <v>0</v>
      </c>
      <c r="AW152"/>
      <c r="AX152" s="21">
        <f>SUM(N152:AW152)</f>
        <v>212</v>
      </c>
      <c r="AY152" s="21">
        <f>+K152-AX152</f>
        <v>0</v>
      </c>
      <c r="BA152" s="19">
        <f t="shared" si="75"/>
        <v>45</v>
      </c>
      <c r="BB152" s="19">
        <f>N152</f>
        <v>21</v>
      </c>
      <c r="BC152" s="19">
        <f>SUM(P152:AW152)</f>
        <v>191</v>
      </c>
      <c r="BE152" s="19">
        <f>SUM(BB152:BC152)</f>
        <v>212</v>
      </c>
      <c r="BG152" s="249">
        <f>SUM(N152:AW152)</f>
        <v>212</v>
      </c>
      <c r="BH152" s="19">
        <f t="shared" si="91"/>
        <v>0</v>
      </c>
    </row>
    <row r="153" spans="1:60" s="19" customFormat="1" ht="12.95" customHeight="1" x14ac:dyDescent="0.2">
      <c r="A153" s="85" t="str">
        <f>+'CCs # Master'!A33</f>
        <v>0011</v>
      </c>
      <c r="B153" s="226" t="str">
        <f>+'CCs # Master'!B33</f>
        <v>H.R.I.S.</v>
      </c>
      <c r="C153" s="226" t="str">
        <f>+'CCs # Master'!C33</f>
        <v>Jones, Robert</v>
      </c>
      <c r="D153" s="85">
        <f>+'CCs # Master'!D33</f>
        <v>100033</v>
      </c>
      <c r="E153" s="228">
        <f>+'CCs # Master'!E33</f>
        <v>416</v>
      </c>
      <c r="F153" s="228">
        <f>+'CCs # Master'!F33</f>
        <v>22</v>
      </c>
      <c r="G153" s="228">
        <f>+'CCs # Master'!G33</f>
        <v>3</v>
      </c>
      <c r="H153" s="228">
        <f>+'CCs # Master'!H33</f>
        <v>199</v>
      </c>
      <c r="I153" s="228">
        <f>+'CCs # Master'!I33</f>
        <v>67</v>
      </c>
      <c r="J153" s="228">
        <f>+'CCs # Master'!J33</f>
        <v>2</v>
      </c>
      <c r="K153" s="21">
        <f t="shared" si="72"/>
        <v>709</v>
      </c>
      <c r="L153" s="85"/>
      <c r="M153" s="226" t="str">
        <f>+'CCs # Master'!M33</f>
        <v>% of Domestic Headcount</v>
      </c>
      <c r="N153" s="19">
        <f>+'CCs # Master'!AW33</f>
        <v>72</v>
      </c>
      <c r="O153" s="19">
        <v>0</v>
      </c>
      <c r="P153" s="19">
        <f>+'CCs # Master'!N33</f>
        <v>11</v>
      </c>
      <c r="Q153" s="19">
        <f>+'CCs # Master'!O33</f>
        <v>21</v>
      </c>
      <c r="R153" s="19">
        <f>+'CCs # Master'!P33</f>
        <v>23</v>
      </c>
      <c r="S153" s="19">
        <f>+'CCs # Master'!Q33</f>
        <v>24</v>
      </c>
      <c r="T153" s="19">
        <f>+'CCs # Master'!R33</f>
        <v>2</v>
      </c>
      <c r="U153" s="19">
        <f>+'CCs # Master'!S33</f>
        <v>0</v>
      </c>
      <c r="V153" s="19">
        <f>+'CCs # Master'!T33</f>
        <v>13</v>
      </c>
      <c r="W153" s="19">
        <f>+'CCs # Master'!U33</f>
        <v>83</v>
      </c>
      <c r="X153" s="19">
        <f>+'CCs # Master'!V33</f>
        <v>19</v>
      </c>
      <c r="Y153" s="19">
        <f>+'CCs # Master'!W33</f>
        <v>0</v>
      </c>
      <c r="Z153" s="19">
        <f>+'CCs # Master'!X33</f>
        <v>117</v>
      </c>
      <c r="AA153" s="19">
        <f>+'CCs # Master'!Y33</f>
        <v>1</v>
      </c>
      <c r="AB153" s="19">
        <f>+'CCs # Master'!Z33</f>
        <v>13</v>
      </c>
      <c r="AC153" s="19">
        <f>+'CCs # Master'!AA33</f>
        <v>3</v>
      </c>
      <c r="AD153" s="19">
        <f>+'CCs # Master'!AB33</f>
        <v>1</v>
      </c>
      <c r="AE153" s="19">
        <f>+'CCs # Master'!AC33</f>
        <v>5</v>
      </c>
      <c r="AF153" s="19">
        <f>+'CCs # Master'!AD33</f>
        <v>102</v>
      </c>
      <c r="AG153" s="19">
        <f>+'CCs # Master'!AE33</f>
        <v>82</v>
      </c>
      <c r="AH153" s="19">
        <f>+'CCs # Master'!AF33</f>
        <v>1</v>
      </c>
      <c r="AI153" s="19">
        <f>+'CCs # Master'!AG33</f>
        <v>0</v>
      </c>
      <c r="AJ153" s="19">
        <f>+'CCs # Master'!AH33</f>
        <v>6</v>
      </c>
      <c r="AK153" s="19">
        <f>+'CCs # Master'!AI33</f>
        <v>6</v>
      </c>
      <c r="AL153" s="19">
        <f>+'CCs # Master'!AJ33</f>
        <v>3</v>
      </c>
      <c r="AM153" s="19">
        <f>+'CCs # Master'!AK33</f>
        <v>7</v>
      </c>
      <c r="AN153" s="19">
        <f>+'CCs # Master'!AL33</f>
        <v>2</v>
      </c>
      <c r="AO153" s="19">
        <f>+'CCs # Master'!AM33</f>
        <v>53</v>
      </c>
      <c r="AP153" s="19">
        <f>+'CCs # Master'!AN33</f>
        <v>0</v>
      </c>
      <c r="AQ153" s="19">
        <f>+'CCs # Master'!AO33</f>
        <v>31</v>
      </c>
      <c r="AR153" s="19">
        <f>+'CCs # Master'!AP33</f>
        <v>8</v>
      </c>
      <c r="AS153" s="19">
        <f>+'CCs # Master'!AQ33</f>
        <v>0</v>
      </c>
      <c r="AT153" s="19">
        <f>+'CCs # Master'!AR33</f>
        <v>0</v>
      </c>
      <c r="AU153" s="19">
        <f>+'CCs # Master'!AS33</f>
        <v>0</v>
      </c>
      <c r="AV153" s="19">
        <f>+'CCs # Master'!AT33</f>
        <v>0</v>
      </c>
      <c r="AW153"/>
      <c r="AX153" s="21">
        <f t="shared" si="73"/>
        <v>709</v>
      </c>
      <c r="AY153" s="21">
        <f t="shared" si="74"/>
        <v>0</v>
      </c>
      <c r="BA153" s="19">
        <f t="shared" si="75"/>
        <v>149</v>
      </c>
      <c r="BB153" s="19">
        <f t="shared" si="76"/>
        <v>72</v>
      </c>
      <c r="BC153" s="19">
        <f t="shared" si="77"/>
        <v>637</v>
      </c>
      <c r="BE153" s="19">
        <f t="shared" si="78"/>
        <v>709</v>
      </c>
      <c r="BG153" s="234">
        <f t="shared" si="79"/>
        <v>709</v>
      </c>
      <c r="BH153" s="19">
        <f t="shared" si="91"/>
        <v>0</v>
      </c>
    </row>
    <row r="154" spans="1:60" s="19" customFormat="1" ht="12.95" customHeight="1" x14ac:dyDescent="0.2">
      <c r="A154" s="85" t="str">
        <f>+'CCs # Master'!A34</f>
        <v>0011</v>
      </c>
      <c r="B154" s="19" t="str">
        <f>+'CCs # Master'!B34</f>
        <v>Health Center</v>
      </c>
      <c r="C154" s="19" t="str">
        <f>+'CCs # Master'!C34</f>
        <v>Jones, Robert</v>
      </c>
      <c r="D154" s="205">
        <f>+'CCs # Master'!D34</f>
        <v>100034</v>
      </c>
      <c r="E154" s="19">
        <f>+'CCs # Master'!E34</f>
        <v>111</v>
      </c>
      <c r="F154" s="19">
        <f>+'CCs # Master'!F34</f>
        <v>27</v>
      </c>
      <c r="G154" s="19">
        <f>+'CCs # Master'!G34</f>
        <v>236</v>
      </c>
      <c r="H154" s="19">
        <f>+'CCs # Master'!H34</f>
        <v>255</v>
      </c>
      <c r="I154" s="19">
        <f>+'CCs # Master'!I34</f>
        <v>91</v>
      </c>
      <c r="J154" s="19">
        <f>+'CCs # Master'!J34</f>
        <v>-49</v>
      </c>
      <c r="K154" s="21">
        <f t="shared" si="72"/>
        <v>671</v>
      </c>
      <c r="M154" s="19" t="str">
        <f>+'CCs # Master'!M34</f>
        <v>% of DT Headcount</v>
      </c>
      <c r="N154" s="19">
        <f>+'CCs # Master'!AW34</f>
        <v>86</v>
      </c>
      <c r="O154" s="19">
        <v>0</v>
      </c>
      <c r="P154" s="19">
        <f>+'CCs # Master'!N34</f>
        <v>5</v>
      </c>
      <c r="Q154" s="19">
        <f>+'CCs # Master'!O34</f>
        <v>7</v>
      </c>
      <c r="R154" s="19">
        <f>+'CCs # Master'!P34</f>
        <v>35</v>
      </c>
      <c r="S154" s="19">
        <f>+'CCs # Master'!Q34</f>
        <v>0</v>
      </c>
      <c r="T154" s="19">
        <f>+'CCs # Master'!R34</f>
        <v>4</v>
      </c>
      <c r="U154" s="19">
        <f>+'CCs # Master'!S34</f>
        <v>0</v>
      </c>
      <c r="V154" s="19">
        <f>+'CCs # Master'!T34</f>
        <v>0</v>
      </c>
      <c r="W154" s="19">
        <f>+'CCs # Master'!U34</f>
        <v>14</v>
      </c>
      <c r="X154" s="19">
        <f>+'CCs # Master'!V34</f>
        <v>25</v>
      </c>
      <c r="Y154" s="19">
        <f>+'CCs # Master'!W34</f>
        <v>0</v>
      </c>
      <c r="Z154" s="19">
        <f>+'CCs # Master'!X34</f>
        <v>158</v>
      </c>
      <c r="AA154" s="19">
        <f>+'CCs # Master'!Y34</f>
        <v>1</v>
      </c>
      <c r="AB154" s="19">
        <f>+'CCs # Master'!Z34</f>
        <v>2</v>
      </c>
      <c r="AC154" s="19">
        <f>+'CCs # Master'!AA34</f>
        <v>4</v>
      </c>
      <c r="AD154" s="19">
        <f>+'CCs # Master'!AB34</f>
        <v>11</v>
      </c>
      <c r="AE154" s="19">
        <f>+'CCs # Master'!AC34</f>
        <v>8</v>
      </c>
      <c r="AF154" s="19">
        <f>+'CCs # Master'!AD34</f>
        <v>75</v>
      </c>
      <c r="AG154" s="19">
        <f>+'CCs # Master'!AE34</f>
        <v>68</v>
      </c>
      <c r="AH154" s="19">
        <f>+'CCs # Master'!AF34</f>
        <v>2</v>
      </c>
      <c r="AI154" s="19">
        <f>+'CCs # Master'!AG34</f>
        <v>15</v>
      </c>
      <c r="AJ154" s="19">
        <f>+'CCs # Master'!AH34</f>
        <v>8</v>
      </c>
      <c r="AK154" s="19">
        <f>+'CCs # Master'!AI34</f>
        <v>6</v>
      </c>
      <c r="AL154" s="19">
        <f>+'CCs # Master'!AJ34</f>
        <v>4</v>
      </c>
      <c r="AM154" s="19">
        <f>+'CCs # Master'!AK34</f>
        <v>11</v>
      </c>
      <c r="AN154" s="19">
        <f>+'CCs # Master'!AL34</f>
        <v>19</v>
      </c>
      <c r="AO154" s="19">
        <f>+'CCs # Master'!AM34</f>
        <v>103</v>
      </c>
      <c r="AP154" s="19">
        <f>+'CCs # Master'!AN34</f>
        <v>0</v>
      </c>
      <c r="AQ154" s="19">
        <f>+'CCs # Master'!AO34</f>
        <v>0</v>
      </c>
      <c r="AR154" s="19">
        <f>+'CCs # Master'!AP34</f>
        <v>0</v>
      </c>
      <c r="AS154" s="19">
        <f>+'CCs # Master'!AQ34</f>
        <v>0</v>
      </c>
      <c r="AT154" s="19">
        <f>+'CCs # Master'!AR34</f>
        <v>0</v>
      </c>
      <c r="AU154" s="19">
        <f>+'CCs # Master'!AS34</f>
        <v>0</v>
      </c>
      <c r="AV154" s="19">
        <f>+'CCs # Master'!AT34</f>
        <v>0</v>
      </c>
      <c r="AW154"/>
      <c r="AX154" s="21">
        <f t="shared" si="73"/>
        <v>671</v>
      </c>
      <c r="AY154" s="21">
        <f t="shared" si="74"/>
        <v>0</v>
      </c>
      <c r="BA154" s="19">
        <f t="shared" si="75"/>
        <v>55</v>
      </c>
      <c r="BB154" s="19">
        <f t="shared" si="76"/>
        <v>86</v>
      </c>
      <c r="BC154" s="19">
        <f t="shared" si="77"/>
        <v>585</v>
      </c>
      <c r="BE154" s="19">
        <f t="shared" si="78"/>
        <v>671</v>
      </c>
      <c r="BG154" s="234">
        <f t="shared" si="79"/>
        <v>671</v>
      </c>
      <c r="BH154" s="19">
        <f t="shared" si="91"/>
        <v>0</v>
      </c>
    </row>
    <row r="155" spans="1:60" s="19" customFormat="1" ht="12.95" customHeight="1" x14ac:dyDescent="0.2">
      <c r="A155" s="85">
        <f>+'CCs # Master'!A35</f>
        <v>11</v>
      </c>
      <c r="B155" s="19" t="str">
        <f>+'CCs # Master'!B35</f>
        <v>Executive Programs</v>
      </c>
      <c r="C155" s="19" t="str">
        <f>+'CCs # Master'!C35</f>
        <v xml:space="preserve">Amabile, Dick </v>
      </c>
      <c r="D155" s="205">
        <f>+'CCs # Master'!D35</f>
        <v>100035</v>
      </c>
      <c r="E155" s="19">
        <f>+'CCs # Master'!E35</f>
        <v>239</v>
      </c>
      <c r="F155" s="19">
        <f>+'CCs # Master'!F35</f>
        <v>43</v>
      </c>
      <c r="G155" s="19">
        <f>+'CCs # Master'!G35</f>
        <v>4</v>
      </c>
      <c r="H155" s="19">
        <f>+'CCs # Master'!H35</f>
        <v>136</v>
      </c>
      <c r="I155" s="19">
        <f>+'CCs # Master'!I35</f>
        <v>42</v>
      </c>
      <c r="J155" s="19">
        <f>+'CCs # Master'!J35</f>
        <v>-291</v>
      </c>
      <c r="K155" s="21">
        <f t="shared" si="72"/>
        <v>173</v>
      </c>
      <c r="M155" s="19" t="str">
        <f>+'CCs # Master'!M35</f>
        <v>Global MD/VP/Exec Committee/OTC Headcount</v>
      </c>
      <c r="N155" s="19">
        <f>+'CCs # Master'!AW35</f>
        <v>20</v>
      </c>
      <c r="O155" s="19">
        <v>0</v>
      </c>
      <c r="P155" s="19">
        <f>+'CCs # Master'!N35</f>
        <v>0</v>
      </c>
      <c r="Q155" s="19">
        <f>+'CCs # Master'!O35</f>
        <v>0</v>
      </c>
      <c r="R155" s="19">
        <f>+'CCs # Master'!P35</f>
        <v>5</v>
      </c>
      <c r="S155" s="19">
        <f>+'CCs # Master'!Q35</f>
        <v>0</v>
      </c>
      <c r="T155" s="19">
        <f>+'CCs # Master'!R35</f>
        <v>0</v>
      </c>
      <c r="U155" s="19">
        <f>+'CCs # Master'!S35</f>
        <v>0</v>
      </c>
      <c r="V155" s="19">
        <f>+'CCs # Master'!T35</f>
        <v>0</v>
      </c>
      <c r="W155" s="19">
        <f>+'CCs # Master'!U35</f>
        <v>0</v>
      </c>
      <c r="X155" s="19">
        <f>+'CCs # Master'!V35</f>
        <v>11</v>
      </c>
      <c r="Y155" s="19">
        <f>+'CCs # Master'!W35</f>
        <v>0</v>
      </c>
      <c r="Z155" s="19">
        <f>+'CCs # Master'!X35</f>
        <v>35</v>
      </c>
      <c r="AA155" s="19">
        <f>+'CCs # Master'!Y35</f>
        <v>0</v>
      </c>
      <c r="AB155" s="19">
        <f>+'CCs # Master'!Z35</f>
        <v>0</v>
      </c>
      <c r="AC155" s="19">
        <f>+'CCs # Master'!AA35</f>
        <v>0</v>
      </c>
      <c r="AD155" s="19">
        <f>+'CCs # Master'!AB35</f>
        <v>16</v>
      </c>
      <c r="AE155" s="19">
        <f>+'CCs # Master'!AC35</f>
        <v>3</v>
      </c>
      <c r="AF155" s="19">
        <f>+'CCs # Master'!AD35</f>
        <v>17</v>
      </c>
      <c r="AG155" s="19">
        <f>+'CCs # Master'!AE35</f>
        <v>16</v>
      </c>
      <c r="AH155" s="19">
        <f>+'CCs # Master'!AF35</f>
        <v>7</v>
      </c>
      <c r="AI155" s="19">
        <f>+'CCs # Master'!AG35</f>
        <v>0</v>
      </c>
      <c r="AJ155" s="19">
        <f>+'CCs # Master'!AH35</f>
        <v>7</v>
      </c>
      <c r="AK155" s="19">
        <f>+'CCs # Master'!AI35</f>
        <v>14</v>
      </c>
      <c r="AL155" s="19">
        <f>+'CCs # Master'!AJ35</f>
        <v>5</v>
      </c>
      <c r="AM155" s="19">
        <f>+'CCs # Master'!AK35</f>
        <v>2</v>
      </c>
      <c r="AN155" s="19">
        <f>+'CCs # Master'!AL35</f>
        <v>8</v>
      </c>
      <c r="AO155" s="19">
        <f>+'CCs # Master'!AM35</f>
        <v>7</v>
      </c>
      <c r="AP155" s="19">
        <f>+'CCs # Master'!AN35</f>
        <v>0</v>
      </c>
      <c r="AQ155" s="19">
        <f>+'CCs # Master'!AO35</f>
        <v>0</v>
      </c>
      <c r="AR155" s="19">
        <f>+'CCs # Master'!AP35</f>
        <v>0</v>
      </c>
      <c r="AS155" s="19">
        <f>+'CCs # Master'!AQ35</f>
        <v>0</v>
      </c>
      <c r="AT155" s="19">
        <f>+'CCs # Master'!AR35</f>
        <v>0</v>
      </c>
      <c r="AU155" s="19">
        <f>+'CCs # Master'!AS35</f>
        <v>0</v>
      </c>
      <c r="AV155" s="19">
        <f>+'CCs # Master'!AT35</f>
        <v>0</v>
      </c>
      <c r="AW155"/>
      <c r="AX155" s="21">
        <f t="shared" si="73"/>
        <v>173</v>
      </c>
      <c r="AY155" s="21">
        <f t="shared" si="74"/>
        <v>0</v>
      </c>
      <c r="BA155" s="19">
        <f t="shared" si="75"/>
        <v>11</v>
      </c>
      <c r="BB155" s="19">
        <f t="shared" si="76"/>
        <v>20</v>
      </c>
      <c r="BC155" s="19">
        <f t="shared" si="77"/>
        <v>153</v>
      </c>
      <c r="BE155" s="19">
        <f t="shared" si="78"/>
        <v>173</v>
      </c>
      <c r="BG155" s="234">
        <f t="shared" si="79"/>
        <v>173</v>
      </c>
      <c r="BH155" s="19">
        <f t="shared" si="91"/>
        <v>0</v>
      </c>
    </row>
    <row r="156" spans="1:60" s="19" customFormat="1" ht="12.95" customHeight="1" x14ac:dyDescent="0.2">
      <c r="A156" s="85">
        <f>+'CCs # Master'!A48</f>
        <v>11</v>
      </c>
      <c r="B156" s="19" t="str">
        <f>+'CCs # Master'!B48</f>
        <v>Projects - Personic Development and Enhome</v>
      </c>
      <c r="C156" s="19" t="str">
        <f>+'CCs # Master'!C48</f>
        <v>Meg Wysatta</v>
      </c>
      <c r="D156" s="205">
        <f>+'CCs # Master'!D48</f>
        <v>100058</v>
      </c>
      <c r="E156" s="19">
        <f>+'CCs # Master'!E48</f>
        <v>34</v>
      </c>
      <c r="F156" s="19">
        <f>+'CCs # Master'!F48</f>
        <v>5</v>
      </c>
      <c r="G156" s="19">
        <f>+'CCs # Master'!G48</f>
        <v>1</v>
      </c>
      <c r="H156" s="19">
        <f>+'CCs # Master'!H48</f>
        <v>0</v>
      </c>
      <c r="I156" s="19">
        <f>+'CCs # Master'!I48</f>
        <v>7</v>
      </c>
      <c r="J156" s="19">
        <f>+'CCs # Master'!J48</f>
        <v>0</v>
      </c>
      <c r="K156" s="21">
        <f t="shared" si="72"/>
        <v>47</v>
      </c>
      <c r="M156" s="19" t="str">
        <f>+'CCs # Master'!M48</f>
        <v>% of Domestic Headcount</v>
      </c>
      <c r="N156" s="19">
        <f>+'CCs # Master'!AW48</f>
        <v>5</v>
      </c>
      <c r="O156" s="19">
        <v>0</v>
      </c>
      <c r="P156" s="19">
        <f>+'CCs # Master'!N48</f>
        <v>1</v>
      </c>
      <c r="Q156" s="19">
        <f>+'CCs # Master'!O48</f>
        <v>1</v>
      </c>
      <c r="R156" s="19">
        <f>+'CCs # Master'!P48</f>
        <v>1</v>
      </c>
      <c r="S156" s="19">
        <f>+'CCs # Master'!Q48</f>
        <v>2</v>
      </c>
      <c r="T156" s="19">
        <f>+'CCs # Master'!R48</f>
        <v>0</v>
      </c>
      <c r="U156" s="19">
        <f>+'CCs # Master'!S48</f>
        <v>0</v>
      </c>
      <c r="V156" s="19">
        <f>+'CCs # Master'!T48</f>
        <v>1</v>
      </c>
      <c r="W156" s="19">
        <f>+'CCs # Master'!U48</f>
        <v>5</v>
      </c>
      <c r="X156" s="19">
        <f>+'CCs # Master'!V48</f>
        <v>1</v>
      </c>
      <c r="Y156" s="19">
        <f>+'CCs # Master'!W48</f>
        <v>0</v>
      </c>
      <c r="Z156" s="19">
        <f>+'CCs # Master'!X48</f>
        <v>9</v>
      </c>
      <c r="AA156" s="19">
        <f>+'CCs # Master'!Y48</f>
        <v>0</v>
      </c>
      <c r="AB156" s="19">
        <f>+'CCs # Master'!Z48</f>
        <v>1</v>
      </c>
      <c r="AC156" s="19">
        <f>+'CCs # Master'!AA48</f>
        <v>0</v>
      </c>
      <c r="AD156" s="19">
        <f>+'CCs # Master'!AB48</f>
        <v>0</v>
      </c>
      <c r="AE156" s="19">
        <f>+'CCs # Master'!AC48</f>
        <v>0</v>
      </c>
      <c r="AF156" s="19">
        <f>+'CCs # Master'!AD48</f>
        <v>8</v>
      </c>
      <c r="AG156" s="19">
        <f>+'CCs # Master'!AE48</f>
        <v>6</v>
      </c>
      <c r="AH156" s="19">
        <f>+'CCs # Master'!AF48</f>
        <v>0</v>
      </c>
      <c r="AI156" s="19">
        <f>+'CCs # Master'!AG48</f>
        <v>0</v>
      </c>
      <c r="AJ156" s="19">
        <f>+'CCs # Master'!AH48</f>
        <v>0</v>
      </c>
      <c r="AK156" s="19">
        <f>+'CCs # Master'!AI48</f>
        <v>0</v>
      </c>
      <c r="AL156" s="19">
        <f>+'CCs # Master'!AJ48</f>
        <v>0</v>
      </c>
      <c r="AM156" s="19">
        <f>+'CCs # Master'!AK48</f>
        <v>0</v>
      </c>
      <c r="AN156" s="19">
        <f>+'CCs # Master'!AL48</f>
        <v>0</v>
      </c>
      <c r="AO156" s="19">
        <f>+'CCs # Master'!AM48</f>
        <v>3</v>
      </c>
      <c r="AP156" s="19">
        <f>+'CCs # Master'!AN48</f>
        <v>0</v>
      </c>
      <c r="AQ156" s="19">
        <f>+'CCs # Master'!AO48</f>
        <v>2</v>
      </c>
      <c r="AR156" s="19">
        <f>+'CCs # Master'!AP48</f>
        <v>1</v>
      </c>
      <c r="AS156" s="19">
        <f>+'CCs # Master'!AQ48</f>
        <v>0</v>
      </c>
      <c r="AT156" s="19">
        <f>+'CCs # Master'!AR48</f>
        <v>0</v>
      </c>
      <c r="AU156" s="19">
        <f>+'CCs # Master'!AS48</f>
        <v>0</v>
      </c>
      <c r="AV156" s="19">
        <f>+'CCs # Master'!AT48</f>
        <v>0</v>
      </c>
      <c r="AW156" s="265"/>
      <c r="AX156" s="21">
        <f t="shared" si="73"/>
        <v>47</v>
      </c>
      <c r="AY156" s="21">
        <f t="shared" si="74"/>
        <v>0</v>
      </c>
      <c r="BA156" s="19">
        <f t="shared" si="75"/>
        <v>9</v>
      </c>
      <c r="BB156" s="19">
        <f t="shared" si="76"/>
        <v>5</v>
      </c>
      <c r="BC156" s="19">
        <f t="shared" si="77"/>
        <v>42</v>
      </c>
      <c r="BE156" s="19">
        <f t="shared" si="78"/>
        <v>47</v>
      </c>
      <c r="BG156" s="234">
        <f t="shared" si="79"/>
        <v>47</v>
      </c>
      <c r="BH156" s="19">
        <f t="shared" si="91"/>
        <v>0</v>
      </c>
    </row>
    <row r="157" spans="1:60" s="19" customFormat="1" ht="12.95" customHeight="1" x14ac:dyDescent="0.2">
      <c r="A157" s="85">
        <f>+'CCs # Master'!A53</f>
        <v>11</v>
      </c>
      <c r="B157" s="19" t="str">
        <f>+'CCs # Master'!B53</f>
        <v>Houston Children's Chorus</v>
      </c>
      <c r="C157" s="19" t="str">
        <f>+'CCs # Master'!C53</f>
        <v>Lindsey, Mark</v>
      </c>
      <c r="D157" s="205">
        <f>+'CCs # Master'!D53</f>
        <v>100065</v>
      </c>
      <c r="E157" s="19">
        <f>+'CCs # Master'!E53</f>
        <v>0</v>
      </c>
      <c r="F157" s="19">
        <f>+'CCs # Master'!F53</f>
        <v>0</v>
      </c>
      <c r="G157" s="19">
        <f>+'CCs # Master'!G53</f>
        <v>0</v>
      </c>
      <c r="H157" s="19">
        <f>+'CCs # Master'!H53</f>
        <v>0</v>
      </c>
      <c r="I157" s="19">
        <f>+'CCs # Master'!I53</f>
        <v>0</v>
      </c>
      <c r="J157" s="19">
        <f>+'CCs # Master'!J53</f>
        <v>0</v>
      </c>
      <c r="K157" s="21">
        <f t="shared" si="72"/>
        <v>0</v>
      </c>
      <c r="M157" s="19" t="str">
        <f>+'CCs # Master'!M53</f>
        <v>MMF</v>
      </c>
      <c r="N157" s="19">
        <f>+'CCs # Master'!AW53</f>
        <v>0</v>
      </c>
      <c r="O157" s="19">
        <v>0</v>
      </c>
      <c r="P157" s="19">
        <f>+'CCs # Master'!N53</f>
        <v>0</v>
      </c>
      <c r="Q157" s="19">
        <f>+'CCs # Master'!O53</f>
        <v>0</v>
      </c>
      <c r="R157" s="19">
        <f>+'CCs # Master'!P53</f>
        <v>0</v>
      </c>
      <c r="S157" s="19">
        <f>+'CCs # Master'!Q53</f>
        <v>0</v>
      </c>
      <c r="T157" s="19">
        <f>+'CCs # Master'!R53</f>
        <v>0</v>
      </c>
      <c r="U157" s="19">
        <f>+'CCs # Master'!S53</f>
        <v>0</v>
      </c>
      <c r="V157" s="19">
        <f>+'CCs # Master'!T53</f>
        <v>0</v>
      </c>
      <c r="W157" s="19">
        <f>+'CCs # Master'!U53</f>
        <v>0</v>
      </c>
      <c r="X157" s="19">
        <f>+'CCs # Master'!V53</f>
        <v>0</v>
      </c>
      <c r="Y157" s="19">
        <f>+'CCs # Master'!W53</f>
        <v>0</v>
      </c>
      <c r="Z157" s="19">
        <f>+'CCs # Master'!X53</f>
        <v>0</v>
      </c>
      <c r="AA157" s="19">
        <f>+'CCs # Master'!Y53</f>
        <v>0</v>
      </c>
      <c r="AB157" s="19">
        <f>+'CCs # Master'!Z53</f>
        <v>0</v>
      </c>
      <c r="AC157" s="19">
        <f>+'CCs # Master'!AA53</f>
        <v>0</v>
      </c>
      <c r="AD157" s="19">
        <f>+'CCs # Master'!AB53</f>
        <v>0</v>
      </c>
      <c r="AE157" s="19">
        <f>+'CCs # Master'!AC53</f>
        <v>0</v>
      </c>
      <c r="AF157" s="19">
        <f>+'CCs # Master'!AD53</f>
        <v>0</v>
      </c>
      <c r="AG157" s="19">
        <f>+'CCs # Master'!AE53</f>
        <v>0</v>
      </c>
      <c r="AH157" s="19">
        <f>+'CCs # Master'!AF53</f>
        <v>0</v>
      </c>
      <c r="AI157" s="19">
        <f>+'CCs # Master'!AG53</f>
        <v>0</v>
      </c>
      <c r="AJ157" s="19">
        <f>+'CCs # Master'!AH53</f>
        <v>0</v>
      </c>
      <c r="AK157" s="19">
        <f>+'CCs # Master'!AI53</f>
        <v>0</v>
      </c>
      <c r="AL157" s="19">
        <f>+'CCs # Master'!AJ53</f>
        <v>0</v>
      </c>
      <c r="AM157" s="19">
        <f>+'CCs # Master'!AK53</f>
        <v>0</v>
      </c>
      <c r="AN157" s="19">
        <f>+'CCs # Master'!AL53</f>
        <v>0</v>
      </c>
      <c r="AO157" s="19">
        <f>+'CCs # Master'!AM53</f>
        <v>0</v>
      </c>
      <c r="AP157" s="19">
        <f>+'CCs # Master'!AN53</f>
        <v>0</v>
      </c>
      <c r="AQ157" s="19">
        <f>+'CCs # Master'!AO53</f>
        <v>0</v>
      </c>
      <c r="AR157" s="19">
        <f>+'CCs # Master'!AP53</f>
        <v>0</v>
      </c>
      <c r="AS157" s="19">
        <f>+'CCs # Master'!AQ53</f>
        <v>0</v>
      </c>
      <c r="AT157" s="19">
        <f>+'CCs # Master'!AR53</f>
        <v>0</v>
      </c>
      <c r="AU157" s="19">
        <f>+'CCs # Master'!AS53</f>
        <v>0</v>
      </c>
      <c r="AV157" s="19">
        <f>+'CCs # Master'!AT53</f>
        <v>0</v>
      </c>
      <c r="AW157" s="265"/>
      <c r="AX157" s="21">
        <f t="shared" si="73"/>
        <v>0</v>
      </c>
      <c r="AY157" s="21">
        <f t="shared" si="74"/>
        <v>0</v>
      </c>
      <c r="BA157" s="19">
        <f t="shared" si="75"/>
        <v>0</v>
      </c>
      <c r="BB157" s="19">
        <f t="shared" si="76"/>
        <v>0</v>
      </c>
      <c r="BC157" s="19">
        <f t="shared" si="77"/>
        <v>0</v>
      </c>
      <c r="BE157" s="19">
        <f t="shared" si="78"/>
        <v>0</v>
      </c>
      <c r="BG157" s="234">
        <f t="shared" si="79"/>
        <v>0</v>
      </c>
      <c r="BH157" s="19">
        <f t="shared" si="91"/>
        <v>0</v>
      </c>
    </row>
    <row r="158" spans="1:60" s="19" customFormat="1" ht="12.95" customHeight="1" x14ac:dyDescent="0.2">
      <c r="A158" s="85">
        <f>+'CCs # Master'!A61</f>
        <v>11</v>
      </c>
      <c r="B158" s="19" t="str">
        <f>+'CCs # Master'!B61</f>
        <v>Best Buddies</v>
      </c>
      <c r="C158" s="19" t="str">
        <f>+'CCs # Master'!C61</f>
        <v>Lindsey, Mark</v>
      </c>
      <c r="D158" s="205">
        <f>+'CCs # Master'!D61</f>
        <v>100076</v>
      </c>
      <c r="E158" s="19">
        <f>+'CCs # Master'!E61</f>
        <v>0</v>
      </c>
      <c r="F158" s="19">
        <f>+'CCs # Master'!F61</f>
        <v>0</v>
      </c>
      <c r="G158" s="19">
        <f>+'CCs # Master'!G61</f>
        <v>0</v>
      </c>
      <c r="H158" s="19">
        <f>+'CCs # Master'!H61</f>
        <v>0</v>
      </c>
      <c r="I158" s="19">
        <f>+'CCs # Master'!I61</f>
        <v>0</v>
      </c>
      <c r="J158" s="19">
        <f>+'CCs # Master'!J61</f>
        <v>0</v>
      </c>
      <c r="K158" s="21">
        <f t="shared" si="72"/>
        <v>0</v>
      </c>
      <c r="M158" s="19" t="str">
        <f>+'CCs # Master'!M61</f>
        <v>MMF</v>
      </c>
      <c r="N158" s="19">
        <f>+'CCs # Master'!AW61</f>
        <v>0</v>
      </c>
      <c r="O158" s="19">
        <v>0</v>
      </c>
      <c r="P158" s="19">
        <f>+'CCs # Master'!N61</f>
        <v>0</v>
      </c>
      <c r="Q158" s="19">
        <f>+'CCs # Master'!O61</f>
        <v>0</v>
      </c>
      <c r="R158" s="19">
        <f>+'CCs # Master'!P61</f>
        <v>0</v>
      </c>
      <c r="S158" s="19">
        <f>+'CCs # Master'!Q61</f>
        <v>0</v>
      </c>
      <c r="T158" s="19">
        <f>+'CCs # Master'!R61</f>
        <v>0</v>
      </c>
      <c r="U158" s="19">
        <f>+'CCs # Master'!S61</f>
        <v>0</v>
      </c>
      <c r="V158" s="19">
        <f>+'CCs # Master'!T61</f>
        <v>0</v>
      </c>
      <c r="W158" s="19">
        <f>+'CCs # Master'!U61</f>
        <v>0</v>
      </c>
      <c r="X158" s="19">
        <f>+'CCs # Master'!V61</f>
        <v>0</v>
      </c>
      <c r="Y158" s="19">
        <f>+'CCs # Master'!W61</f>
        <v>0</v>
      </c>
      <c r="Z158" s="19">
        <f>+'CCs # Master'!X61</f>
        <v>0</v>
      </c>
      <c r="AA158" s="19">
        <f>+'CCs # Master'!Y61</f>
        <v>0</v>
      </c>
      <c r="AB158" s="19">
        <f>+'CCs # Master'!Z61</f>
        <v>0</v>
      </c>
      <c r="AC158" s="19">
        <f>+'CCs # Master'!AA61</f>
        <v>0</v>
      </c>
      <c r="AD158" s="19">
        <f>+'CCs # Master'!AB61</f>
        <v>0</v>
      </c>
      <c r="AE158" s="19">
        <f>+'CCs # Master'!AC61</f>
        <v>0</v>
      </c>
      <c r="AF158" s="19">
        <f>+'CCs # Master'!AD61</f>
        <v>0</v>
      </c>
      <c r="AG158" s="19">
        <f>+'CCs # Master'!AE61</f>
        <v>0</v>
      </c>
      <c r="AH158" s="19">
        <f>+'CCs # Master'!AF61</f>
        <v>0</v>
      </c>
      <c r="AI158" s="19">
        <f>+'CCs # Master'!AG61</f>
        <v>0</v>
      </c>
      <c r="AJ158" s="19">
        <f>+'CCs # Master'!AH61</f>
        <v>0</v>
      </c>
      <c r="AK158" s="19">
        <f>+'CCs # Master'!AI61</f>
        <v>0</v>
      </c>
      <c r="AL158" s="19">
        <f>+'CCs # Master'!AJ61</f>
        <v>0</v>
      </c>
      <c r="AM158" s="19">
        <f>+'CCs # Master'!AK61</f>
        <v>0</v>
      </c>
      <c r="AN158" s="19">
        <f>+'CCs # Master'!AL61</f>
        <v>0</v>
      </c>
      <c r="AO158" s="19">
        <f>+'CCs # Master'!AM61</f>
        <v>0</v>
      </c>
      <c r="AP158" s="19">
        <f>+'CCs # Master'!AN61</f>
        <v>0</v>
      </c>
      <c r="AQ158" s="19">
        <f>+'CCs # Master'!AO61</f>
        <v>0</v>
      </c>
      <c r="AR158" s="19">
        <f>+'CCs # Master'!AP61</f>
        <v>0</v>
      </c>
      <c r="AS158" s="19">
        <f>+'CCs # Master'!AQ61</f>
        <v>0</v>
      </c>
      <c r="AT158" s="19">
        <f>+'CCs # Master'!AR61</f>
        <v>0</v>
      </c>
      <c r="AU158" s="19">
        <f>+'CCs # Master'!AS61</f>
        <v>0</v>
      </c>
      <c r="AV158" s="19">
        <f>+'CCs # Master'!AT61</f>
        <v>0</v>
      </c>
      <c r="AW158" s="265"/>
      <c r="AX158" s="21">
        <f t="shared" si="73"/>
        <v>0</v>
      </c>
      <c r="AY158" s="21">
        <f t="shared" si="74"/>
        <v>0</v>
      </c>
      <c r="BA158" s="19">
        <f t="shared" si="75"/>
        <v>0</v>
      </c>
      <c r="BB158" s="19">
        <f t="shared" si="76"/>
        <v>0</v>
      </c>
      <c r="BC158" s="19">
        <f t="shared" si="77"/>
        <v>0</v>
      </c>
      <c r="BE158" s="19">
        <f t="shared" si="78"/>
        <v>0</v>
      </c>
      <c r="BG158" s="234">
        <f t="shared" si="79"/>
        <v>0</v>
      </c>
      <c r="BH158" s="19">
        <f t="shared" si="91"/>
        <v>0</v>
      </c>
    </row>
    <row r="159" spans="1:60" s="19" customFormat="1" ht="12.95" customHeight="1" x14ac:dyDescent="0.2">
      <c r="A159" s="85">
        <f>+'CCs # Master'!A126</f>
        <v>11</v>
      </c>
      <c r="B159" s="226" t="str">
        <f>+'CCs # Master'!B126</f>
        <v>HR-Corporate Analysis and Reporting</v>
      </c>
      <c r="C159" s="226" t="str">
        <f>+'CCs # Master'!C126</f>
        <v>Daniels, D</v>
      </c>
      <c r="D159" s="85">
        <f>+'CCs # Master'!D126</f>
        <v>100090</v>
      </c>
      <c r="E159" s="19">
        <f>+'CCs # Master'!E126</f>
        <v>883</v>
      </c>
      <c r="F159" s="19">
        <f>+'CCs # Master'!F126</f>
        <v>40</v>
      </c>
      <c r="G159" s="19">
        <f>+'CCs # Master'!G126</f>
        <v>5</v>
      </c>
      <c r="H159" s="19">
        <f>+'CCs # Master'!H126</f>
        <v>0</v>
      </c>
      <c r="I159" s="19">
        <f>+'CCs # Master'!I126</f>
        <v>162</v>
      </c>
      <c r="J159" s="19">
        <f>+'CCs # Master'!J126</f>
        <v>-290</v>
      </c>
      <c r="K159" s="21">
        <f t="shared" si="72"/>
        <v>800</v>
      </c>
      <c r="M159" s="19" t="str">
        <f>+'CCs # Master'!M126</f>
        <v>% of Domestic Headcount</v>
      </c>
      <c r="N159" s="19">
        <f>+'CCs # Master'!AW126</f>
        <v>81</v>
      </c>
      <c r="O159" s="19">
        <v>0</v>
      </c>
      <c r="P159" s="19">
        <f>+'CCs # Master'!N126</f>
        <v>13</v>
      </c>
      <c r="Q159" s="19">
        <f>+'CCs # Master'!O126</f>
        <v>24</v>
      </c>
      <c r="R159" s="19">
        <f>+'CCs # Master'!P126</f>
        <v>26</v>
      </c>
      <c r="S159" s="19">
        <f>+'CCs # Master'!Q126</f>
        <v>27</v>
      </c>
      <c r="T159" s="19">
        <f>+'CCs # Master'!R126</f>
        <v>2</v>
      </c>
      <c r="U159" s="19">
        <f>+'CCs # Master'!S126</f>
        <v>0</v>
      </c>
      <c r="V159" s="19">
        <f>+'CCs # Master'!T126</f>
        <v>14</v>
      </c>
      <c r="W159" s="19">
        <f>+'CCs # Master'!U126</f>
        <v>93</v>
      </c>
      <c r="X159" s="19">
        <f>+'CCs # Master'!V126</f>
        <v>18</v>
      </c>
      <c r="Y159" s="19">
        <f>+'CCs # Master'!W126</f>
        <v>7</v>
      </c>
      <c r="Z159" s="19">
        <f>+'CCs # Master'!X126</f>
        <v>130</v>
      </c>
      <c r="AA159" s="19">
        <f>+'CCs # Master'!Y126</f>
        <v>1</v>
      </c>
      <c r="AB159" s="19">
        <f>+'CCs # Master'!Z126</f>
        <v>15</v>
      </c>
      <c r="AC159" s="19">
        <f>+'CCs # Master'!AA126</f>
        <v>3</v>
      </c>
      <c r="AD159" s="19">
        <f>+'CCs # Master'!AB126</f>
        <v>1</v>
      </c>
      <c r="AE159" s="19">
        <f>+'CCs # Master'!AC126</f>
        <v>6</v>
      </c>
      <c r="AF159" s="19">
        <f>+'CCs # Master'!AD126</f>
        <v>115</v>
      </c>
      <c r="AG159" s="19">
        <f>+'CCs # Master'!AE126</f>
        <v>93</v>
      </c>
      <c r="AH159" s="19">
        <f>+'CCs # Master'!AF126</f>
        <v>1</v>
      </c>
      <c r="AI159" s="19">
        <f>+'CCs # Master'!AG126</f>
        <v>0</v>
      </c>
      <c r="AJ159" s="19">
        <f>+'CCs # Master'!AH126</f>
        <v>6</v>
      </c>
      <c r="AK159" s="19">
        <f>+'CCs # Master'!AI126</f>
        <v>6</v>
      </c>
      <c r="AL159" s="19">
        <f>+'CCs # Master'!AJ126</f>
        <v>3</v>
      </c>
      <c r="AM159" s="19">
        <f>+'CCs # Master'!AK126</f>
        <v>8</v>
      </c>
      <c r="AN159" s="19">
        <f>+'CCs # Master'!AL126</f>
        <v>3</v>
      </c>
      <c r="AO159" s="19">
        <f>+'CCs # Master'!AM126</f>
        <v>60</v>
      </c>
      <c r="AP159" s="19">
        <f>+'CCs # Master'!AN126</f>
        <v>0</v>
      </c>
      <c r="AQ159" s="19">
        <f>+'CCs # Master'!AO126</f>
        <v>35</v>
      </c>
      <c r="AR159" s="19">
        <f>+'CCs # Master'!AP126</f>
        <v>9</v>
      </c>
      <c r="AS159" s="19">
        <f>+'CCs # Master'!AQ126</f>
        <v>0</v>
      </c>
      <c r="AT159" s="19">
        <f>+'CCs # Master'!AR126</f>
        <v>0</v>
      </c>
      <c r="AU159" s="19">
        <f>+'CCs # Master'!AS126</f>
        <v>0</v>
      </c>
      <c r="AV159" s="19">
        <f>+'CCs # Master'!AT126</f>
        <v>0</v>
      </c>
      <c r="AW159" s="265"/>
      <c r="AX159" s="21">
        <f>SUM(N159:AW159)</f>
        <v>800</v>
      </c>
      <c r="AY159" s="21">
        <f t="shared" si="74"/>
        <v>0</v>
      </c>
      <c r="BA159" s="19">
        <f t="shared" si="75"/>
        <v>171</v>
      </c>
      <c r="BB159" s="19">
        <f>N159</f>
        <v>81</v>
      </c>
      <c r="BC159" s="19">
        <f t="shared" si="77"/>
        <v>719</v>
      </c>
      <c r="BE159" s="19">
        <f t="shared" si="78"/>
        <v>800</v>
      </c>
      <c r="BG159" s="234">
        <f t="shared" si="79"/>
        <v>800</v>
      </c>
      <c r="BH159" s="19">
        <f t="shared" si="91"/>
        <v>0</v>
      </c>
    </row>
    <row r="160" spans="1:60" s="19" customFormat="1" ht="12.95" customHeight="1" x14ac:dyDescent="0.2">
      <c r="A160" s="85" t="str">
        <f>+'CCs # Master'!A67</f>
        <v>0011</v>
      </c>
      <c r="B160" s="19" t="str">
        <f>+'CCs # Master'!B67</f>
        <v>Labor Relations Risk Management</v>
      </c>
      <c r="C160" s="19" t="str">
        <f>+'CCs # Master'!C67</f>
        <v>Gonzales, Paul</v>
      </c>
      <c r="D160" s="205">
        <f>+'CCs # Master'!D67</f>
        <v>100092</v>
      </c>
      <c r="E160" s="19">
        <f>+'CCs # Master'!E67</f>
        <v>119</v>
      </c>
      <c r="F160" s="19">
        <f>+'CCs # Master'!F67</f>
        <v>43</v>
      </c>
      <c r="G160" s="19">
        <f>+'CCs # Master'!G67</f>
        <v>3</v>
      </c>
      <c r="H160" s="19">
        <f>+'CCs # Master'!H67</f>
        <v>11</v>
      </c>
      <c r="I160" s="19">
        <f>+'CCs # Master'!I67</f>
        <v>21</v>
      </c>
      <c r="J160" s="19">
        <f>+'CCs # Master'!J67</f>
        <v>8</v>
      </c>
      <c r="K160" s="21">
        <f t="shared" si="72"/>
        <v>205</v>
      </c>
      <c r="M160" s="19" t="str">
        <f>+'CCs # Master'!M67</f>
        <v>% of Domestic Headcount</v>
      </c>
      <c r="N160" s="19">
        <f>+'CCs # Master'!AW67</f>
        <v>21</v>
      </c>
      <c r="O160" s="19">
        <v>0</v>
      </c>
      <c r="P160" s="19">
        <f>+'CCs # Master'!N67</f>
        <v>3</v>
      </c>
      <c r="Q160" s="19">
        <f>+'CCs # Master'!O67</f>
        <v>6</v>
      </c>
      <c r="R160" s="19">
        <f>+'CCs # Master'!P67</f>
        <v>7</v>
      </c>
      <c r="S160" s="19">
        <f>+'CCs # Master'!Q67</f>
        <v>7</v>
      </c>
      <c r="T160" s="19">
        <f>+'CCs # Master'!R67</f>
        <v>1</v>
      </c>
      <c r="U160" s="19">
        <f>+'CCs # Master'!S67</f>
        <v>0</v>
      </c>
      <c r="V160" s="19">
        <f>+'CCs # Master'!T67</f>
        <v>4</v>
      </c>
      <c r="W160" s="19">
        <f>+'CCs # Master'!U67</f>
        <v>24</v>
      </c>
      <c r="X160" s="19">
        <f>+'CCs # Master'!V67</f>
        <v>5</v>
      </c>
      <c r="Y160" s="19">
        <f>+'CCs # Master'!W67</f>
        <v>0</v>
      </c>
      <c r="Z160" s="19">
        <f>+'CCs # Master'!X67</f>
        <v>34</v>
      </c>
      <c r="AA160" s="19">
        <f>+'CCs # Master'!Y67</f>
        <v>0</v>
      </c>
      <c r="AB160" s="19">
        <f>+'CCs # Master'!Z67</f>
        <v>4</v>
      </c>
      <c r="AC160" s="19">
        <f>+'CCs # Master'!AA67</f>
        <v>1</v>
      </c>
      <c r="AD160" s="19">
        <f>+'CCs # Master'!AB67</f>
        <v>0</v>
      </c>
      <c r="AE160" s="19">
        <f>+'CCs # Master'!AC67</f>
        <v>1</v>
      </c>
      <c r="AF160" s="19">
        <f>+'CCs # Master'!AD67</f>
        <v>29</v>
      </c>
      <c r="AG160" s="19">
        <f>+'CCs # Master'!AE67</f>
        <v>24</v>
      </c>
      <c r="AH160" s="19">
        <f>+'CCs # Master'!AF67</f>
        <v>0</v>
      </c>
      <c r="AI160" s="19">
        <f>+'CCs # Master'!AG67</f>
        <v>0</v>
      </c>
      <c r="AJ160" s="19">
        <f>+'CCs # Master'!AH67</f>
        <v>2</v>
      </c>
      <c r="AK160" s="19">
        <f>+'CCs # Master'!AI67</f>
        <v>2</v>
      </c>
      <c r="AL160" s="19">
        <f>+'CCs # Master'!AJ67</f>
        <v>1</v>
      </c>
      <c r="AM160" s="19">
        <f>+'CCs # Master'!AK67</f>
        <v>2</v>
      </c>
      <c r="AN160" s="19">
        <f>+'CCs # Master'!AL67</f>
        <v>1</v>
      </c>
      <c r="AO160" s="19">
        <f>+'CCs # Master'!AM67</f>
        <v>15</v>
      </c>
      <c r="AP160" s="19">
        <f>+'CCs # Master'!AN67</f>
        <v>0</v>
      </c>
      <c r="AQ160" s="19">
        <f>+'CCs # Master'!AO67</f>
        <v>9</v>
      </c>
      <c r="AR160" s="19">
        <f>+'CCs # Master'!AP67</f>
        <v>2</v>
      </c>
      <c r="AS160" s="19">
        <f>+'CCs # Master'!AQ67</f>
        <v>0</v>
      </c>
      <c r="AT160" s="19">
        <f>+'CCs # Master'!AR67</f>
        <v>0</v>
      </c>
      <c r="AU160" s="19">
        <f>+'CCs # Master'!AS67</f>
        <v>0</v>
      </c>
      <c r="AV160" s="19">
        <f>+'CCs # Master'!AT67</f>
        <v>0</v>
      </c>
      <c r="AW160" s="265"/>
      <c r="AX160" s="21">
        <f t="shared" si="73"/>
        <v>205</v>
      </c>
      <c r="AY160" s="21">
        <f t="shared" si="74"/>
        <v>0</v>
      </c>
      <c r="BA160" s="19">
        <f t="shared" si="75"/>
        <v>43</v>
      </c>
      <c r="BB160" s="19">
        <f t="shared" si="76"/>
        <v>21</v>
      </c>
      <c r="BC160" s="19">
        <f t="shared" si="77"/>
        <v>184</v>
      </c>
      <c r="BE160" s="19">
        <f t="shared" si="78"/>
        <v>205</v>
      </c>
      <c r="BG160" s="234">
        <f t="shared" si="79"/>
        <v>205</v>
      </c>
      <c r="BH160" s="19">
        <f t="shared" si="91"/>
        <v>0</v>
      </c>
    </row>
    <row r="161" spans="1:60" s="19" customFormat="1" ht="12.95" customHeight="1" x14ac:dyDescent="0.2">
      <c r="A161" s="85" t="str">
        <f>+'CCs # Master'!A73</f>
        <v>0011</v>
      </c>
      <c r="B161" s="19" t="str">
        <f>+'CCs # Master'!B73</f>
        <v>OLER</v>
      </c>
      <c r="C161" s="19" t="str">
        <f>+'CCs # Master'!C73</f>
        <v>Hope, V.</v>
      </c>
      <c r="D161" s="205">
        <f>+'CCs # Master'!D73</f>
        <v>100110</v>
      </c>
      <c r="E161" s="19">
        <f>+'CCs # Master'!E73</f>
        <v>209</v>
      </c>
      <c r="F161" s="19">
        <f>+'CCs # Master'!F73</f>
        <v>62</v>
      </c>
      <c r="G161" s="19">
        <f>+'CCs # Master'!G73</f>
        <v>2</v>
      </c>
      <c r="H161" s="19">
        <f>+'CCs # Master'!H73</f>
        <v>48</v>
      </c>
      <c r="I161" s="19">
        <f>+'CCs # Master'!I73</f>
        <v>42</v>
      </c>
      <c r="J161" s="19">
        <f>+'CCs # Master'!J73</f>
        <v>8</v>
      </c>
      <c r="K161" s="21">
        <f t="shared" si="72"/>
        <v>371</v>
      </c>
      <c r="M161" s="19" t="str">
        <f>+'CCs # Master'!M73</f>
        <v>% of Domestic Headcount</v>
      </c>
      <c r="N161" s="19">
        <f>+'CCs # Master'!AW73</f>
        <v>38</v>
      </c>
      <c r="O161" s="19">
        <v>0</v>
      </c>
      <c r="P161" s="19">
        <f>+'CCs # Master'!N73</f>
        <v>6</v>
      </c>
      <c r="Q161" s="19">
        <f>+'CCs # Master'!O73</f>
        <v>11</v>
      </c>
      <c r="R161" s="19">
        <f>+'CCs # Master'!P73</f>
        <v>12</v>
      </c>
      <c r="S161" s="19">
        <f>+'CCs # Master'!Q73</f>
        <v>13</v>
      </c>
      <c r="T161" s="19">
        <f>+'CCs # Master'!R73</f>
        <v>1</v>
      </c>
      <c r="U161" s="19">
        <f>+'CCs # Master'!S73</f>
        <v>0</v>
      </c>
      <c r="V161" s="19">
        <f>+'CCs # Master'!T73</f>
        <v>7</v>
      </c>
      <c r="W161" s="19">
        <f>+'CCs # Master'!U73</f>
        <v>43</v>
      </c>
      <c r="X161" s="19">
        <f>+'CCs # Master'!V73</f>
        <v>10</v>
      </c>
      <c r="Y161" s="19">
        <f>+'CCs # Master'!W73</f>
        <v>0</v>
      </c>
      <c r="Z161" s="19">
        <f>+'CCs # Master'!X73</f>
        <v>63</v>
      </c>
      <c r="AA161" s="19">
        <f>+'CCs # Master'!Y73</f>
        <v>1</v>
      </c>
      <c r="AB161" s="19">
        <f>+'CCs # Master'!Z73</f>
        <v>7</v>
      </c>
      <c r="AC161" s="19">
        <f>+'CCs # Master'!AA73</f>
        <v>1</v>
      </c>
      <c r="AD161" s="19">
        <f>+'CCs # Master'!AB73</f>
        <v>0</v>
      </c>
      <c r="AE161" s="19">
        <f>+'CCs # Master'!AC73</f>
        <v>3</v>
      </c>
      <c r="AF161" s="19">
        <f>+'CCs # Master'!AD73</f>
        <v>53</v>
      </c>
      <c r="AG161" s="19">
        <f>+'CCs # Master'!AE73</f>
        <v>43</v>
      </c>
      <c r="AH161" s="19">
        <f>+'CCs # Master'!AF73</f>
        <v>1</v>
      </c>
      <c r="AI161" s="19">
        <f>+'CCs # Master'!AG73</f>
        <v>0</v>
      </c>
      <c r="AJ161" s="19">
        <f>+'CCs # Master'!AH73</f>
        <v>3</v>
      </c>
      <c r="AK161" s="19">
        <f>+'CCs # Master'!AI73</f>
        <v>3</v>
      </c>
      <c r="AL161" s="19">
        <f>+'CCs # Master'!AJ73</f>
        <v>1</v>
      </c>
      <c r="AM161" s="19">
        <f>+'CCs # Master'!AK73</f>
        <v>4</v>
      </c>
      <c r="AN161" s="19">
        <f>+'CCs # Master'!AL73</f>
        <v>1</v>
      </c>
      <c r="AO161" s="19">
        <f>+'CCs # Master'!AM73</f>
        <v>26</v>
      </c>
      <c r="AP161" s="19">
        <f>+'CCs # Master'!AN73</f>
        <v>0</v>
      </c>
      <c r="AQ161" s="19">
        <f>+'CCs # Master'!AO73</f>
        <v>16</v>
      </c>
      <c r="AR161" s="19">
        <f>+'CCs # Master'!AP73</f>
        <v>4</v>
      </c>
      <c r="AS161" s="19">
        <f>+'CCs # Master'!AQ73</f>
        <v>0</v>
      </c>
      <c r="AT161" s="19">
        <f>+'CCs # Master'!AR73</f>
        <v>0</v>
      </c>
      <c r="AU161" s="19">
        <f>+'CCs # Master'!AS73</f>
        <v>0</v>
      </c>
      <c r="AV161" s="19">
        <f>+'CCs # Master'!AT73</f>
        <v>0</v>
      </c>
      <c r="AW161" s="265"/>
      <c r="AX161" s="21">
        <f t="shared" si="73"/>
        <v>371</v>
      </c>
      <c r="AY161" s="21">
        <f t="shared" si="74"/>
        <v>0</v>
      </c>
      <c r="BA161" s="19">
        <f t="shared" si="75"/>
        <v>78</v>
      </c>
      <c r="BB161" s="19">
        <f t="shared" si="76"/>
        <v>38</v>
      </c>
      <c r="BC161" s="19">
        <f t="shared" si="77"/>
        <v>333</v>
      </c>
      <c r="BE161" s="19">
        <f t="shared" si="78"/>
        <v>371</v>
      </c>
      <c r="BG161" s="234">
        <f t="shared" si="79"/>
        <v>371</v>
      </c>
      <c r="BH161" s="19">
        <f t="shared" si="91"/>
        <v>0</v>
      </c>
    </row>
    <row r="162" spans="1:60" s="19" customFormat="1" ht="12.95" customHeight="1" x14ac:dyDescent="0.2">
      <c r="A162" s="85" t="str">
        <f>+'CCs # Master'!A99</f>
        <v>0011</v>
      </c>
      <c r="B162" s="19" t="str">
        <f>+'CCs # Master'!B99</f>
        <v>Body Shop / Wellness</v>
      </c>
      <c r="C162" s="19" t="str">
        <f>+'CCs # Master'!C99</f>
        <v>Jones, Robert</v>
      </c>
      <c r="D162" s="205">
        <f>+'CCs # Master'!D99</f>
        <v>100141</v>
      </c>
      <c r="E162" s="19">
        <f>+'CCs # Master'!E99</f>
        <v>0</v>
      </c>
      <c r="F162" s="19">
        <f>+'CCs # Master'!F99</f>
        <v>592</v>
      </c>
      <c r="G162" s="19">
        <f>+'CCs # Master'!G99</f>
        <v>24</v>
      </c>
      <c r="H162" s="19">
        <f>+'CCs # Master'!H99</f>
        <v>84</v>
      </c>
      <c r="I162" s="19">
        <f>+'CCs # Master'!I99</f>
        <v>872</v>
      </c>
      <c r="J162" s="19">
        <f>+'CCs # Master'!J99</f>
        <v>-524</v>
      </c>
      <c r="K162" s="21">
        <f t="shared" si="72"/>
        <v>1048</v>
      </c>
      <c r="M162" s="19" t="str">
        <f>+'CCs # Master'!M99</f>
        <v>% of DT Headcount</v>
      </c>
      <c r="N162" s="19">
        <f>+'CCs # Master'!AW99</f>
        <v>134</v>
      </c>
      <c r="O162" s="19">
        <v>0</v>
      </c>
      <c r="P162" s="19">
        <f>+'CCs # Master'!N99</f>
        <v>8</v>
      </c>
      <c r="Q162" s="19">
        <f>+'CCs # Master'!O99</f>
        <v>11</v>
      </c>
      <c r="R162" s="19">
        <f>+'CCs # Master'!P99</f>
        <v>55</v>
      </c>
      <c r="S162" s="19">
        <f>+'CCs # Master'!Q99</f>
        <v>0</v>
      </c>
      <c r="T162" s="19">
        <f>+'CCs # Master'!R99</f>
        <v>7</v>
      </c>
      <c r="U162" s="19">
        <f>+'CCs # Master'!S99</f>
        <v>0</v>
      </c>
      <c r="V162" s="19">
        <f>+'CCs # Master'!T99</f>
        <v>0</v>
      </c>
      <c r="W162" s="19">
        <f>+'CCs # Master'!U99</f>
        <v>22</v>
      </c>
      <c r="X162" s="19">
        <f>+'CCs # Master'!V99</f>
        <v>39</v>
      </c>
      <c r="Y162" s="19">
        <f>+'CCs # Master'!W99</f>
        <v>0</v>
      </c>
      <c r="Z162" s="19">
        <f>+'CCs # Master'!X99</f>
        <v>246</v>
      </c>
      <c r="AA162" s="19">
        <f>+'CCs # Master'!Y99</f>
        <v>2</v>
      </c>
      <c r="AB162" s="19">
        <f>+'CCs # Master'!Z99</f>
        <v>2</v>
      </c>
      <c r="AC162" s="19">
        <f>+'CCs # Master'!AA99</f>
        <v>6</v>
      </c>
      <c r="AD162" s="19">
        <f>+'CCs # Master'!AB99</f>
        <v>17</v>
      </c>
      <c r="AE162" s="19">
        <f>+'CCs # Master'!AC99</f>
        <v>12</v>
      </c>
      <c r="AF162" s="19">
        <f>+'CCs # Master'!AD99</f>
        <v>117</v>
      </c>
      <c r="AG162" s="19">
        <f>+'CCs # Master'!AE99</f>
        <v>108</v>
      </c>
      <c r="AH162" s="19">
        <f>+'CCs # Master'!AF99</f>
        <v>3</v>
      </c>
      <c r="AI162" s="19">
        <f>+'CCs # Master'!AG99</f>
        <v>24</v>
      </c>
      <c r="AJ162" s="19">
        <f>+'CCs # Master'!AH99</f>
        <v>13</v>
      </c>
      <c r="AK162" s="19">
        <f>+'CCs # Master'!AI99</f>
        <v>9</v>
      </c>
      <c r="AL162" s="19">
        <f>+'CCs # Master'!AJ99</f>
        <v>6</v>
      </c>
      <c r="AM162" s="19">
        <f>+'CCs # Master'!AK99</f>
        <v>17</v>
      </c>
      <c r="AN162" s="19">
        <f>+'CCs # Master'!AL99</f>
        <v>29</v>
      </c>
      <c r="AO162" s="19">
        <f>+'CCs # Master'!AM99</f>
        <v>161</v>
      </c>
      <c r="AP162" s="19">
        <f>+'CCs # Master'!AN99</f>
        <v>0</v>
      </c>
      <c r="AQ162" s="19">
        <f>+'CCs # Master'!AO99</f>
        <v>0</v>
      </c>
      <c r="AR162" s="19">
        <f>+'CCs # Master'!AP99</f>
        <v>0</v>
      </c>
      <c r="AS162" s="19">
        <f>+'CCs # Master'!AQ99</f>
        <v>0</v>
      </c>
      <c r="AT162" s="19">
        <f>+'CCs # Master'!AR99</f>
        <v>0</v>
      </c>
      <c r="AU162" s="19">
        <f>+'CCs # Master'!AS99</f>
        <v>0</v>
      </c>
      <c r="AV162" s="19">
        <f>+'CCs # Master'!AT99</f>
        <v>0</v>
      </c>
      <c r="AW162" s="265"/>
      <c r="AX162" s="21">
        <f t="shared" si="73"/>
        <v>1048</v>
      </c>
      <c r="AY162" s="21">
        <f t="shared" si="74"/>
        <v>0</v>
      </c>
      <c r="BA162" s="19">
        <f t="shared" si="75"/>
        <v>87</v>
      </c>
      <c r="BB162" s="19">
        <f t="shared" si="76"/>
        <v>134</v>
      </c>
      <c r="BC162" s="19">
        <f t="shared" si="77"/>
        <v>914</v>
      </c>
      <c r="BE162" s="19">
        <f t="shared" si="78"/>
        <v>1048</v>
      </c>
      <c r="BG162" s="234">
        <f t="shared" si="79"/>
        <v>1048</v>
      </c>
      <c r="BH162" s="19">
        <f t="shared" si="91"/>
        <v>0</v>
      </c>
    </row>
    <row r="163" spans="1:60" s="19" customFormat="1" ht="12.95" customHeight="1" x14ac:dyDescent="0.2">
      <c r="A163" s="85" t="str">
        <f>+'CCs # Master'!A100</f>
        <v>0011</v>
      </c>
      <c r="B163" s="19" t="str">
        <f>+'CCs # Master'!B100</f>
        <v>Employee Recreation</v>
      </c>
      <c r="C163" s="19" t="str">
        <f>+'CCs # Master'!C100</f>
        <v>Jones, Robert</v>
      </c>
      <c r="D163" s="205">
        <f>+'CCs # Master'!D100</f>
        <v>100142</v>
      </c>
      <c r="E163" s="19">
        <f>+'CCs # Master'!E100</f>
        <v>0</v>
      </c>
      <c r="F163" s="19">
        <f>+'CCs # Master'!F100</f>
        <v>2</v>
      </c>
      <c r="G163" s="19">
        <f>+'CCs # Master'!G100</f>
        <v>0</v>
      </c>
      <c r="H163" s="19">
        <f>+'CCs # Master'!H100</f>
        <v>0</v>
      </c>
      <c r="I163" s="19">
        <f>+'CCs # Master'!I100</f>
        <v>0</v>
      </c>
      <c r="J163" s="19">
        <f>+'CCs # Master'!J100</f>
        <v>179</v>
      </c>
      <c r="K163" s="21">
        <f t="shared" si="72"/>
        <v>181</v>
      </c>
      <c r="M163" s="19" t="str">
        <f>+'CCs # Master'!M100</f>
        <v>% of DT Headcount</v>
      </c>
      <c r="N163" s="19">
        <f>+'CCs # Master'!AW100</f>
        <v>24</v>
      </c>
      <c r="O163" s="19">
        <v>0</v>
      </c>
      <c r="P163" s="19">
        <f>+'CCs # Master'!N100</f>
        <v>1</v>
      </c>
      <c r="Q163" s="19">
        <f>+'CCs # Master'!O100</f>
        <v>2</v>
      </c>
      <c r="R163" s="19">
        <f>+'CCs # Master'!P100</f>
        <v>10</v>
      </c>
      <c r="S163" s="19">
        <f>+'CCs # Master'!Q100</f>
        <v>0</v>
      </c>
      <c r="T163" s="19">
        <f>+'CCs # Master'!R100</f>
        <v>1</v>
      </c>
      <c r="U163" s="19">
        <f>+'CCs # Master'!S100</f>
        <v>0</v>
      </c>
      <c r="V163" s="19">
        <f>+'CCs # Master'!T100</f>
        <v>0</v>
      </c>
      <c r="W163" s="19">
        <f>+'CCs # Master'!U100</f>
        <v>4</v>
      </c>
      <c r="X163" s="19">
        <f>+'CCs # Master'!V100</f>
        <v>7</v>
      </c>
      <c r="Y163" s="19">
        <f>+'CCs # Master'!W100</f>
        <v>0</v>
      </c>
      <c r="Z163" s="19">
        <f>+'CCs # Master'!X100</f>
        <v>43</v>
      </c>
      <c r="AA163" s="19">
        <f>+'CCs # Master'!Y100</f>
        <v>0</v>
      </c>
      <c r="AB163" s="19">
        <f>+'CCs # Master'!Z100</f>
        <v>0</v>
      </c>
      <c r="AC163" s="19">
        <f>+'CCs # Master'!AA100</f>
        <v>1</v>
      </c>
      <c r="AD163" s="19">
        <f>+'CCs # Master'!AB100</f>
        <v>3</v>
      </c>
      <c r="AE163" s="19">
        <f>+'CCs # Master'!AC100</f>
        <v>2</v>
      </c>
      <c r="AF163" s="19">
        <f>+'CCs # Master'!AD100</f>
        <v>20</v>
      </c>
      <c r="AG163" s="19">
        <f>+'CCs # Master'!AE100</f>
        <v>18</v>
      </c>
      <c r="AH163" s="19">
        <f>+'CCs # Master'!AF100</f>
        <v>1</v>
      </c>
      <c r="AI163" s="19">
        <f>+'CCs # Master'!AG100</f>
        <v>4</v>
      </c>
      <c r="AJ163" s="19">
        <f>+'CCs # Master'!AH100</f>
        <v>2</v>
      </c>
      <c r="AK163" s="19">
        <f>+'CCs # Master'!AI100</f>
        <v>1</v>
      </c>
      <c r="AL163" s="19">
        <f>+'CCs # Master'!AJ100</f>
        <v>1</v>
      </c>
      <c r="AM163" s="19">
        <f>+'CCs # Master'!AK100</f>
        <v>3</v>
      </c>
      <c r="AN163" s="19">
        <f>+'CCs # Master'!AL100</f>
        <v>5</v>
      </c>
      <c r="AO163" s="19">
        <f>+'CCs # Master'!AM100</f>
        <v>28</v>
      </c>
      <c r="AP163" s="19">
        <f>+'CCs # Master'!AN100</f>
        <v>0</v>
      </c>
      <c r="AQ163" s="19">
        <f>+'CCs # Master'!AO100</f>
        <v>0</v>
      </c>
      <c r="AR163" s="19">
        <f>+'CCs # Master'!AP100</f>
        <v>0</v>
      </c>
      <c r="AS163" s="19">
        <f>+'CCs # Master'!AQ100</f>
        <v>0</v>
      </c>
      <c r="AT163" s="19">
        <f>+'CCs # Master'!AR100</f>
        <v>0</v>
      </c>
      <c r="AU163" s="19">
        <f>+'CCs # Master'!AS100</f>
        <v>0</v>
      </c>
      <c r="AV163" s="19">
        <f>+'CCs # Master'!AT100</f>
        <v>0</v>
      </c>
      <c r="AW163" s="265"/>
      <c r="AX163" s="21">
        <f t="shared" si="73"/>
        <v>181</v>
      </c>
      <c r="AY163" s="21">
        <f t="shared" si="74"/>
        <v>0</v>
      </c>
      <c r="BA163" s="19">
        <f t="shared" si="75"/>
        <v>15</v>
      </c>
      <c r="BB163" s="19">
        <f t="shared" si="76"/>
        <v>24</v>
      </c>
      <c r="BC163" s="19">
        <f t="shared" si="77"/>
        <v>157</v>
      </c>
      <c r="BE163" s="19">
        <f t="shared" si="78"/>
        <v>181</v>
      </c>
      <c r="BG163" s="234">
        <f t="shared" si="79"/>
        <v>181</v>
      </c>
      <c r="BH163" s="19">
        <f t="shared" si="91"/>
        <v>0</v>
      </c>
    </row>
    <row r="164" spans="1:60" s="19" customFormat="1" ht="12.95" customHeight="1" x14ac:dyDescent="0.2">
      <c r="A164" s="85">
        <f>+'CCs # Master'!A105</f>
        <v>11</v>
      </c>
      <c r="B164" s="19" t="str">
        <f>+'CCs # Master'!B105</f>
        <v>HR &amp; Community Relations - Executive</v>
      </c>
      <c r="C164" s="19" t="str">
        <f>+'CCs # Master'!C105</f>
        <v>Olson, Cindy</v>
      </c>
      <c r="D164" s="205">
        <f>+'CCs # Master'!D105</f>
        <v>100218</v>
      </c>
      <c r="E164" s="19">
        <f>+'CCs # Master'!E105</f>
        <v>411</v>
      </c>
      <c r="F164" s="19">
        <f>+'CCs # Master'!F105</f>
        <v>144</v>
      </c>
      <c r="G164" s="19">
        <f>+'CCs # Master'!G105</f>
        <v>6</v>
      </c>
      <c r="H164" s="19">
        <f>+'CCs # Master'!H105</f>
        <v>0</v>
      </c>
      <c r="I164" s="19">
        <f>+'CCs # Master'!I105</f>
        <v>38</v>
      </c>
      <c r="J164" s="19">
        <f>+'CCs # Master'!J105</f>
        <v>-100</v>
      </c>
      <c r="K164" s="21">
        <f t="shared" si="72"/>
        <v>499</v>
      </c>
      <c r="M164" s="19" t="str">
        <f>+'CCs # Master'!M105</f>
        <v>MMF</v>
      </c>
      <c r="N164" s="19">
        <f>+'CCs # Master'!AW105</f>
        <v>499</v>
      </c>
      <c r="O164" s="19">
        <v>0</v>
      </c>
      <c r="P164" s="19">
        <f>+'CCs # Master'!N105</f>
        <v>0</v>
      </c>
      <c r="Q164" s="19">
        <f>+'CCs # Master'!O105</f>
        <v>0</v>
      </c>
      <c r="R164" s="19">
        <f>+'CCs # Master'!P105</f>
        <v>0</v>
      </c>
      <c r="S164" s="19">
        <f>+'CCs # Master'!Q105</f>
        <v>0</v>
      </c>
      <c r="T164" s="19">
        <f>+'CCs # Master'!R105</f>
        <v>0</v>
      </c>
      <c r="U164" s="19">
        <f>+'CCs # Master'!S105</f>
        <v>0</v>
      </c>
      <c r="V164" s="19">
        <f>+'CCs # Master'!T105</f>
        <v>0</v>
      </c>
      <c r="W164" s="19">
        <f>+'CCs # Master'!U105</f>
        <v>0</v>
      </c>
      <c r="X164" s="19">
        <f>+'CCs # Master'!V105</f>
        <v>0</v>
      </c>
      <c r="Y164" s="19">
        <f>+'CCs # Master'!W105</f>
        <v>0</v>
      </c>
      <c r="Z164" s="19">
        <f>+'CCs # Master'!X105</f>
        <v>0</v>
      </c>
      <c r="AA164" s="19">
        <f>+'CCs # Master'!Y105</f>
        <v>0</v>
      </c>
      <c r="AB164" s="19">
        <f>+'CCs # Master'!Z105</f>
        <v>0</v>
      </c>
      <c r="AC164" s="19">
        <f>+'CCs # Master'!AA105</f>
        <v>0</v>
      </c>
      <c r="AD164" s="19">
        <f>+'CCs # Master'!AB105</f>
        <v>0</v>
      </c>
      <c r="AE164" s="19">
        <f>+'CCs # Master'!AC105</f>
        <v>0</v>
      </c>
      <c r="AF164" s="19">
        <f>+'CCs # Master'!AD105</f>
        <v>0</v>
      </c>
      <c r="AG164" s="19">
        <f>+'CCs # Master'!AE105</f>
        <v>0</v>
      </c>
      <c r="AH164" s="19">
        <f>+'CCs # Master'!AF105</f>
        <v>0</v>
      </c>
      <c r="AI164" s="19">
        <f>+'CCs # Master'!AG105</f>
        <v>0</v>
      </c>
      <c r="AJ164" s="19">
        <f>+'CCs # Master'!AH105</f>
        <v>0</v>
      </c>
      <c r="AK164" s="19">
        <f>+'CCs # Master'!AI105</f>
        <v>0</v>
      </c>
      <c r="AL164" s="19">
        <f>+'CCs # Master'!AJ105</f>
        <v>0</v>
      </c>
      <c r="AM164" s="19">
        <f>+'CCs # Master'!AK105</f>
        <v>0</v>
      </c>
      <c r="AN164" s="19">
        <f>+'CCs # Master'!AL105</f>
        <v>0</v>
      </c>
      <c r="AO164" s="19">
        <f>+'CCs # Master'!AM105</f>
        <v>0</v>
      </c>
      <c r="AP164" s="19">
        <f>+'CCs # Master'!AN105</f>
        <v>0</v>
      </c>
      <c r="AQ164" s="19">
        <f>+'CCs # Master'!AO105</f>
        <v>0</v>
      </c>
      <c r="AR164" s="19">
        <f>+'CCs # Master'!AP105</f>
        <v>0</v>
      </c>
      <c r="AS164" s="19">
        <f>+'CCs # Master'!AQ105</f>
        <v>0</v>
      </c>
      <c r="AT164" s="19">
        <f>+'CCs # Master'!AR105</f>
        <v>0</v>
      </c>
      <c r="AU164" s="19">
        <f>+'CCs # Master'!AS105</f>
        <v>0</v>
      </c>
      <c r="AV164" s="19">
        <f>+'CCs # Master'!AT105</f>
        <v>0</v>
      </c>
      <c r="AW164" s="265"/>
      <c r="AX164" s="21">
        <f t="shared" si="73"/>
        <v>499</v>
      </c>
      <c r="AY164" s="21">
        <f t="shared" si="74"/>
        <v>0</v>
      </c>
      <c r="BA164" s="19">
        <f t="shared" si="75"/>
        <v>0</v>
      </c>
      <c r="BB164" s="19">
        <f t="shared" si="76"/>
        <v>499</v>
      </c>
      <c r="BC164" s="19">
        <f t="shared" si="77"/>
        <v>0</v>
      </c>
      <c r="BE164" s="19">
        <f t="shared" si="78"/>
        <v>499</v>
      </c>
      <c r="BG164" s="234">
        <f t="shared" si="79"/>
        <v>499</v>
      </c>
      <c r="BH164" s="19">
        <f t="shared" si="91"/>
        <v>0</v>
      </c>
    </row>
    <row r="165" spans="1:60" s="19" customFormat="1" ht="12.95" customHeight="1" x14ac:dyDescent="0.2">
      <c r="A165" s="85">
        <f>+'CCs # Master'!A119</f>
        <v>11</v>
      </c>
      <c r="B165" s="19" t="str">
        <f>+'CCs # Master'!B119</f>
        <v>Work Life</v>
      </c>
      <c r="C165" s="19" t="str">
        <f>+'CCs # Master'!C119</f>
        <v>Roman deMeza, MaryAnn</v>
      </c>
      <c r="D165" s="205">
        <f>+'CCs # Master'!D119</f>
        <v>100805</v>
      </c>
      <c r="E165" s="19">
        <f>+'CCs # Master'!E119</f>
        <v>102</v>
      </c>
      <c r="F165" s="19">
        <f>+'CCs # Master'!F119</f>
        <v>6</v>
      </c>
      <c r="G165" s="19">
        <f>+'CCs # Master'!G119</f>
        <v>3</v>
      </c>
      <c r="H165" s="19">
        <f>+'CCs # Master'!H119</f>
        <v>0</v>
      </c>
      <c r="I165" s="19">
        <f>+'CCs # Master'!I119</f>
        <v>9</v>
      </c>
      <c r="J165" s="19">
        <f>+'CCs # Master'!J119</f>
        <v>0</v>
      </c>
      <c r="K165" s="21">
        <f t="shared" si="72"/>
        <v>120</v>
      </c>
      <c r="M165" s="19" t="str">
        <f>+'CCs # Master'!M119</f>
        <v>% of DT Headcount</v>
      </c>
      <c r="N165" s="19">
        <f>+'CCs # Master'!AW119</f>
        <v>14</v>
      </c>
      <c r="O165" s="19">
        <v>0</v>
      </c>
      <c r="P165" s="19">
        <f>+'CCs # Master'!N119</f>
        <v>2</v>
      </c>
      <c r="Q165" s="19">
        <f>+'CCs # Master'!O119</f>
        <v>4</v>
      </c>
      <c r="R165" s="19">
        <f>+'CCs # Master'!P119</f>
        <v>9</v>
      </c>
      <c r="S165" s="19">
        <f>+'CCs # Master'!Q119</f>
        <v>0</v>
      </c>
      <c r="T165" s="19">
        <f>+'CCs # Master'!R119</f>
        <v>0</v>
      </c>
      <c r="U165" s="19">
        <f>+'CCs # Master'!S119</f>
        <v>0</v>
      </c>
      <c r="V165" s="19">
        <f>+'CCs # Master'!T119</f>
        <v>2</v>
      </c>
      <c r="W165" s="19">
        <f>+'CCs # Master'!U119</f>
        <v>11</v>
      </c>
      <c r="X165" s="19">
        <f>+'CCs # Master'!V119</f>
        <v>4</v>
      </c>
      <c r="Y165" s="19">
        <f>+'CCs # Master'!W119</f>
        <v>0</v>
      </c>
      <c r="Z165" s="19">
        <f>+'CCs # Master'!X119</f>
        <v>20</v>
      </c>
      <c r="AA165" s="19">
        <f>+'CCs # Master'!Y119</f>
        <v>0</v>
      </c>
      <c r="AB165" s="19">
        <f>+'CCs # Master'!Z119</f>
        <v>2</v>
      </c>
      <c r="AC165" s="19">
        <f>+'CCs # Master'!AA119</f>
        <v>0</v>
      </c>
      <c r="AD165" s="19">
        <f>+'CCs # Master'!AB119</f>
        <v>0</v>
      </c>
      <c r="AE165" s="19">
        <f>+'CCs # Master'!AC119</f>
        <v>1</v>
      </c>
      <c r="AF165" s="19">
        <f>+'CCs # Master'!AD119</f>
        <v>13</v>
      </c>
      <c r="AG165" s="19">
        <f>+'CCs # Master'!AE119</f>
        <v>16</v>
      </c>
      <c r="AH165" s="19">
        <f>+'CCs # Master'!AF119</f>
        <v>5</v>
      </c>
      <c r="AI165" s="19">
        <f>+'CCs # Master'!AG119</f>
        <v>1</v>
      </c>
      <c r="AJ165" s="19">
        <f>+'CCs # Master'!AH119</f>
        <v>1</v>
      </c>
      <c r="AK165" s="19">
        <f>+'CCs # Master'!AI119</f>
        <v>1</v>
      </c>
      <c r="AL165" s="19">
        <f>+'CCs # Master'!AJ119</f>
        <v>1</v>
      </c>
      <c r="AM165" s="19">
        <f>+'CCs # Master'!AK119</f>
        <v>1</v>
      </c>
      <c r="AN165" s="19">
        <f>+'CCs # Master'!AL119</f>
        <v>2</v>
      </c>
      <c r="AO165" s="19">
        <f>+'CCs # Master'!AM119</f>
        <v>10</v>
      </c>
      <c r="AP165" s="19">
        <f>+'CCs # Master'!AN119</f>
        <v>0</v>
      </c>
      <c r="AQ165" s="19">
        <f>+'CCs # Master'!AO119</f>
        <v>0</v>
      </c>
      <c r="AR165" s="19">
        <f>+'CCs # Master'!AP119</f>
        <v>0</v>
      </c>
      <c r="AS165" s="19">
        <f>+'CCs # Master'!AQ119</f>
        <v>0</v>
      </c>
      <c r="AT165" s="19">
        <f>+'CCs # Master'!AR119</f>
        <v>0</v>
      </c>
      <c r="AU165" s="19">
        <f>+'CCs # Master'!AS119</f>
        <v>0</v>
      </c>
      <c r="AV165" s="19">
        <f>+'CCs # Master'!AT119</f>
        <v>0</v>
      </c>
      <c r="AW165" s="265"/>
      <c r="AX165" s="21">
        <f t="shared" si="73"/>
        <v>120</v>
      </c>
      <c r="AY165" s="21">
        <f t="shared" si="74"/>
        <v>0</v>
      </c>
      <c r="BA165" s="19">
        <f t="shared" si="75"/>
        <v>23</v>
      </c>
      <c r="BB165" s="19">
        <f t="shared" si="76"/>
        <v>14</v>
      </c>
      <c r="BC165" s="19">
        <f t="shared" si="77"/>
        <v>106</v>
      </c>
      <c r="BE165" s="19">
        <f t="shared" si="78"/>
        <v>120</v>
      </c>
      <c r="BG165" s="234">
        <f t="shared" si="79"/>
        <v>120</v>
      </c>
      <c r="BH165" s="19">
        <f t="shared" si="91"/>
        <v>0</v>
      </c>
    </row>
    <row r="166" spans="1:60" s="19" customFormat="1" ht="12.95" customHeight="1" x14ac:dyDescent="0.2">
      <c r="A166" s="85">
        <f>+'CCs # Master'!A122</f>
        <v>11</v>
      </c>
      <c r="B166" s="19" t="str">
        <f>+'CCs # Master'!B122</f>
        <v>Resource Management</v>
      </c>
      <c r="C166" s="19" t="str">
        <f>+'CCs # Master'!C122</f>
        <v>Davis, Sarah</v>
      </c>
      <c r="D166" s="205">
        <f>+'CCs # Master'!D122</f>
        <v>100808</v>
      </c>
      <c r="E166" s="19">
        <f>+'CCs # Master'!E122</f>
        <v>456</v>
      </c>
      <c r="F166" s="19">
        <f>+'CCs # Master'!F122</f>
        <v>48</v>
      </c>
      <c r="G166" s="19">
        <f>+'CCs # Master'!G122</f>
        <v>10</v>
      </c>
      <c r="H166" s="19">
        <f>+'CCs # Master'!H122</f>
        <v>78</v>
      </c>
      <c r="I166" s="19">
        <f>+'CCs # Master'!I122</f>
        <v>126</v>
      </c>
      <c r="J166" s="19">
        <f>+'CCs # Master'!J122</f>
        <v>-487</v>
      </c>
      <c r="K166" s="21">
        <f t="shared" si="72"/>
        <v>231</v>
      </c>
      <c r="M166" s="19" t="str">
        <f>+'CCs # Master'!M122</f>
        <v>% of Domestic Headcount</v>
      </c>
      <c r="N166" s="19">
        <f>+'CCs # Master'!AW122</f>
        <v>23</v>
      </c>
      <c r="O166" s="19">
        <v>0</v>
      </c>
      <c r="P166" s="19">
        <f>+'CCs # Master'!N122</f>
        <v>4</v>
      </c>
      <c r="Q166" s="19">
        <f>+'CCs # Master'!O122</f>
        <v>7</v>
      </c>
      <c r="R166" s="19">
        <f>+'CCs # Master'!P122</f>
        <v>7</v>
      </c>
      <c r="S166" s="19">
        <f>+'CCs # Master'!Q122</f>
        <v>8</v>
      </c>
      <c r="T166" s="19">
        <f>+'CCs # Master'!R122</f>
        <v>1</v>
      </c>
      <c r="U166" s="19">
        <f>+'CCs # Master'!S122</f>
        <v>0</v>
      </c>
      <c r="V166" s="19">
        <f>+'CCs # Master'!T122</f>
        <v>4</v>
      </c>
      <c r="W166" s="19">
        <f>+'CCs # Master'!U122</f>
        <v>27</v>
      </c>
      <c r="X166" s="19">
        <f>+'CCs # Master'!V122</f>
        <v>5</v>
      </c>
      <c r="Y166" s="19">
        <f>+'CCs # Master'!W122</f>
        <v>2</v>
      </c>
      <c r="Z166" s="19">
        <f>+'CCs # Master'!X122</f>
        <v>38</v>
      </c>
      <c r="AA166" s="19">
        <f>+'CCs # Master'!Y122</f>
        <v>0</v>
      </c>
      <c r="AB166" s="19">
        <f>+'CCs # Master'!Z122</f>
        <v>4</v>
      </c>
      <c r="AC166" s="19">
        <f>+'CCs # Master'!AA122</f>
        <v>1</v>
      </c>
      <c r="AD166" s="19">
        <f>+'CCs # Master'!AB122</f>
        <v>0</v>
      </c>
      <c r="AE166" s="19">
        <f>+'CCs # Master'!AC122</f>
        <v>2</v>
      </c>
      <c r="AF166" s="19">
        <f>+'CCs # Master'!AD122</f>
        <v>33</v>
      </c>
      <c r="AG166" s="19">
        <f>+'CCs # Master'!AE122</f>
        <v>27</v>
      </c>
      <c r="AH166" s="19">
        <f>+'CCs # Master'!AF122</f>
        <v>0</v>
      </c>
      <c r="AI166" s="19">
        <f>+'CCs # Master'!AG122</f>
        <v>0</v>
      </c>
      <c r="AJ166" s="19">
        <f>+'CCs # Master'!AH122</f>
        <v>2</v>
      </c>
      <c r="AK166" s="19">
        <f>+'CCs # Master'!AI122</f>
        <v>2</v>
      </c>
      <c r="AL166" s="19">
        <f>+'CCs # Master'!AJ122</f>
        <v>1</v>
      </c>
      <c r="AM166" s="19">
        <f>+'CCs # Master'!AK122</f>
        <v>2</v>
      </c>
      <c r="AN166" s="19">
        <f>+'CCs # Master'!AL122</f>
        <v>1</v>
      </c>
      <c r="AO166" s="19">
        <f>+'CCs # Master'!AM122</f>
        <v>17</v>
      </c>
      <c r="AP166" s="19">
        <f>+'CCs # Master'!AN122</f>
        <v>0</v>
      </c>
      <c r="AQ166" s="19">
        <f>+'CCs # Master'!AO122</f>
        <v>10</v>
      </c>
      <c r="AR166" s="19">
        <f>+'CCs # Master'!AP122</f>
        <v>3</v>
      </c>
      <c r="AS166" s="19">
        <f>+'CCs # Master'!AQ122</f>
        <v>0</v>
      </c>
      <c r="AT166" s="19">
        <f>+'CCs # Master'!AR122</f>
        <v>0</v>
      </c>
      <c r="AU166" s="19">
        <f>+'CCs # Master'!AS122</f>
        <v>0</v>
      </c>
      <c r="AV166" s="19">
        <f>+'CCs # Master'!AT122</f>
        <v>0</v>
      </c>
      <c r="AW166" s="265"/>
      <c r="AX166" s="21">
        <f t="shared" si="73"/>
        <v>231</v>
      </c>
      <c r="AY166" s="21">
        <f t="shared" si="74"/>
        <v>0</v>
      </c>
      <c r="BA166" s="19">
        <f t="shared" si="75"/>
        <v>50</v>
      </c>
      <c r="BB166" s="19">
        <f t="shared" si="76"/>
        <v>23</v>
      </c>
      <c r="BC166" s="19">
        <f t="shared" si="77"/>
        <v>208</v>
      </c>
      <c r="BE166" s="19">
        <f t="shared" si="78"/>
        <v>231</v>
      </c>
      <c r="BG166" s="234">
        <f t="shared" si="79"/>
        <v>231</v>
      </c>
      <c r="BH166" s="19">
        <f t="shared" si="91"/>
        <v>0</v>
      </c>
    </row>
    <row r="167" spans="1:60" s="19" customFormat="1" ht="12.95" customHeight="1" x14ac:dyDescent="0.2">
      <c r="A167" s="85">
        <f>+'CCs # Master'!A143</f>
        <v>1</v>
      </c>
      <c r="B167" s="226" t="str">
        <f>+'CCs # Master'!B143</f>
        <v>Corp-HR Benefits</v>
      </c>
      <c r="C167" s="226" t="str">
        <f>+'CCs # Master'!C143</f>
        <v>Barrow, Cynthia</v>
      </c>
      <c r="D167" s="85">
        <f>+'CCs # Master'!D143</f>
        <v>100879</v>
      </c>
      <c r="E167" s="19">
        <f>+'CCs # Master'!E143</f>
        <v>1004</v>
      </c>
      <c r="F167" s="19">
        <f>+'CCs # Master'!F143</f>
        <v>-198</v>
      </c>
      <c r="G167" s="19">
        <f>+'CCs # Master'!G143</f>
        <v>32</v>
      </c>
      <c r="H167" s="19">
        <f>+'CCs # Master'!H143</f>
        <v>481</v>
      </c>
      <c r="I167" s="19">
        <f>+'CCs # Master'!I143</f>
        <v>230</v>
      </c>
      <c r="J167" s="19">
        <f>+'CCs # Master'!J143</f>
        <v>-50</v>
      </c>
      <c r="K167" s="19">
        <f>SUM(E167:J167)</f>
        <v>1499</v>
      </c>
      <c r="M167" s="19" t="str">
        <f>+'CCs # Master'!M143</f>
        <v>% of Domestic Headcount</v>
      </c>
      <c r="N167" s="19">
        <f>+'CCs # Master'!AW143</f>
        <v>152</v>
      </c>
      <c r="O167" s="19">
        <v>0</v>
      </c>
      <c r="P167" s="19">
        <f>+'CCs # Master'!N143</f>
        <v>24</v>
      </c>
      <c r="Q167" s="19">
        <f>+'CCs # Master'!O143</f>
        <v>45</v>
      </c>
      <c r="R167" s="19">
        <f>+'CCs # Master'!P143</f>
        <v>48</v>
      </c>
      <c r="S167" s="19">
        <f>+'CCs # Master'!Q143</f>
        <v>51</v>
      </c>
      <c r="T167" s="19">
        <f>+'CCs # Master'!R143</f>
        <v>5</v>
      </c>
      <c r="U167" s="19">
        <f>+'CCs # Master'!S143</f>
        <v>0</v>
      </c>
      <c r="V167" s="19">
        <f>+'CCs # Master'!T143</f>
        <v>27</v>
      </c>
      <c r="W167" s="19">
        <f>+'CCs # Master'!U143</f>
        <v>175</v>
      </c>
      <c r="X167" s="19">
        <f>+'CCs # Master'!V143</f>
        <v>33</v>
      </c>
      <c r="Y167" s="19">
        <f>+'CCs # Master'!W143</f>
        <v>13</v>
      </c>
      <c r="Z167" s="19">
        <f>+'CCs # Master'!X143</f>
        <v>244</v>
      </c>
      <c r="AA167" s="19">
        <f>+'CCs # Master'!Y143</f>
        <v>2</v>
      </c>
      <c r="AB167" s="19">
        <f>+'CCs # Master'!Z143</f>
        <v>27</v>
      </c>
      <c r="AC167" s="19">
        <f>+'CCs # Master'!AA143</f>
        <v>5</v>
      </c>
      <c r="AD167" s="19">
        <f>+'CCs # Master'!AB143</f>
        <v>1</v>
      </c>
      <c r="AE167" s="19">
        <f>+'CCs # Master'!AC143</f>
        <v>11</v>
      </c>
      <c r="AF167" s="19">
        <f>+'CCs # Master'!AD143</f>
        <v>216</v>
      </c>
      <c r="AG167" s="19">
        <f>+'CCs # Master'!AE143</f>
        <v>174</v>
      </c>
      <c r="AH167" s="19">
        <f>+'CCs # Master'!AF143</f>
        <v>2</v>
      </c>
      <c r="AI167" s="19">
        <f>+'CCs # Master'!AG143</f>
        <v>0</v>
      </c>
      <c r="AJ167" s="19">
        <f>+'CCs # Master'!AH143</f>
        <v>12</v>
      </c>
      <c r="AK167" s="19">
        <f>+'CCs # Master'!AI143</f>
        <v>12</v>
      </c>
      <c r="AL167" s="19">
        <f>+'CCs # Master'!AJ143</f>
        <v>6</v>
      </c>
      <c r="AM167" s="19">
        <f>+'CCs # Master'!AK143</f>
        <v>14</v>
      </c>
      <c r="AN167" s="19">
        <f>+'CCs # Master'!AL143</f>
        <v>5</v>
      </c>
      <c r="AO167" s="19">
        <f>+'CCs # Master'!AM143</f>
        <v>112</v>
      </c>
      <c r="AP167" s="19">
        <f>+'CCs # Master'!AN143</f>
        <v>0</v>
      </c>
      <c r="AQ167" s="19">
        <f>+'CCs # Master'!AO143</f>
        <v>65</v>
      </c>
      <c r="AR167" s="19">
        <f>+'CCs # Master'!AP143</f>
        <v>18</v>
      </c>
      <c r="AS167" s="19">
        <f>+'CCs # Master'!AQ143</f>
        <v>0</v>
      </c>
      <c r="AT167" s="19">
        <f>+'CCs # Master'!AR143</f>
        <v>0</v>
      </c>
      <c r="AU167" s="19">
        <f>+'CCs # Master'!AS143</f>
        <v>0</v>
      </c>
      <c r="AV167" s="19">
        <f>+'CCs # Master'!AT143</f>
        <v>0</v>
      </c>
      <c r="AW167" s="265"/>
      <c r="AX167" s="21">
        <f>SUM(N167:AW167)</f>
        <v>1499</v>
      </c>
      <c r="AY167" s="21">
        <f>+K167-AX167</f>
        <v>0</v>
      </c>
      <c r="BA167" s="19">
        <f t="shared" si="75"/>
        <v>322</v>
      </c>
      <c r="BB167" s="19">
        <f>N167</f>
        <v>152</v>
      </c>
      <c r="BC167" s="19">
        <f>SUM(P167:AW167)</f>
        <v>1347</v>
      </c>
      <c r="BE167" s="19">
        <f>SUM(BB167:BC167)</f>
        <v>1499</v>
      </c>
      <c r="BG167" s="234">
        <f>SUM(N167:AW167)</f>
        <v>1499</v>
      </c>
      <c r="BH167" s="19">
        <f t="shared" si="91"/>
        <v>0</v>
      </c>
    </row>
    <row r="168" spans="1:60" s="19" customFormat="1" ht="12.95" customHeight="1" x14ac:dyDescent="0.2">
      <c r="A168" s="85">
        <f>+'CCs # Master'!A149</f>
        <v>11</v>
      </c>
      <c r="B168" s="226" t="str">
        <f>+'CCs # Master'!B149</f>
        <v>HR Process Improvement</v>
      </c>
      <c r="C168" s="226" t="str">
        <f>+'CCs # Master'!C149</f>
        <v>Sparger, Bob, Coleman, Brad</v>
      </c>
      <c r="D168" s="85">
        <f>+'CCs # Master'!D149</f>
        <v>102723</v>
      </c>
      <c r="E168" s="19">
        <f>+'CCs # Master'!E149</f>
        <v>0</v>
      </c>
      <c r="F168" s="19">
        <f>+'CCs # Master'!F149</f>
        <v>0</v>
      </c>
      <c r="G168" s="19">
        <f>+'CCs # Master'!G149</f>
        <v>300</v>
      </c>
      <c r="H168" s="19">
        <f>+'CCs # Master'!H149</f>
        <v>300</v>
      </c>
      <c r="I168" s="19">
        <f>+'CCs # Master'!I149</f>
        <v>0</v>
      </c>
      <c r="J168" s="19">
        <f>+'CCs # Master'!J149</f>
        <v>-300</v>
      </c>
      <c r="K168" s="21">
        <f t="shared" si="72"/>
        <v>300</v>
      </c>
      <c r="M168" s="19" t="str">
        <f>+'CCs # Master'!M149</f>
        <v>% of Domestic Headcount</v>
      </c>
      <c r="N168" s="19">
        <f>+'CCs # Master'!AW149</f>
        <v>30</v>
      </c>
      <c r="O168" s="19">
        <v>0</v>
      </c>
      <c r="P168" s="19">
        <f>+'CCs # Master'!N149</f>
        <v>5</v>
      </c>
      <c r="Q168" s="19">
        <f>+'CCs # Master'!O149</f>
        <v>9</v>
      </c>
      <c r="R168" s="19">
        <f>+'CCs # Master'!P149</f>
        <v>10</v>
      </c>
      <c r="S168" s="19">
        <f>+'CCs # Master'!Q149</f>
        <v>10</v>
      </c>
      <c r="T168" s="19">
        <f>+'CCs # Master'!R149</f>
        <v>1</v>
      </c>
      <c r="U168" s="19">
        <f>+'CCs # Master'!S149</f>
        <v>0</v>
      </c>
      <c r="V168" s="19">
        <f>+'CCs # Master'!T149</f>
        <v>5</v>
      </c>
      <c r="W168" s="19">
        <f>+'CCs # Master'!U149</f>
        <v>35</v>
      </c>
      <c r="X168" s="19">
        <f>+'CCs # Master'!V149</f>
        <v>7</v>
      </c>
      <c r="Y168" s="19">
        <f>+'CCs # Master'!W149</f>
        <v>3</v>
      </c>
      <c r="Z168" s="19">
        <f>+'CCs # Master'!X149</f>
        <v>49</v>
      </c>
      <c r="AA168" s="19">
        <f>+'CCs # Master'!Y149</f>
        <v>0</v>
      </c>
      <c r="AB168" s="19">
        <f>+'CCs # Master'!Z149</f>
        <v>5</v>
      </c>
      <c r="AC168" s="19">
        <f>+'CCs # Master'!AA149</f>
        <v>1</v>
      </c>
      <c r="AD168" s="19">
        <f>+'CCs # Master'!AB149</f>
        <v>0</v>
      </c>
      <c r="AE168" s="19">
        <f>+'CCs # Master'!AC149</f>
        <v>2</v>
      </c>
      <c r="AF168" s="19">
        <f>+'CCs # Master'!AD149</f>
        <v>44</v>
      </c>
      <c r="AG168" s="19">
        <f>+'CCs # Master'!AE149</f>
        <v>36</v>
      </c>
      <c r="AH168" s="19">
        <f>+'CCs # Master'!AF149</f>
        <v>0</v>
      </c>
      <c r="AI168" s="19">
        <f>+'CCs # Master'!AG149</f>
        <v>0</v>
      </c>
      <c r="AJ168" s="19">
        <f>+'CCs # Master'!AH149</f>
        <v>2</v>
      </c>
      <c r="AK168" s="19">
        <f>+'CCs # Master'!AI149</f>
        <v>2</v>
      </c>
      <c r="AL168" s="19">
        <f>+'CCs # Master'!AJ149</f>
        <v>1</v>
      </c>
      <c r="AM168" s="19">
        <f>+'CCs # Master'!AK149</f>
        <v>3</v>
      </c>
      <c r="AN168" s="19">
        <f>+'CCs # Master'!AL149</f>
        <v>1</v>
      </c>
      <c r="AO168" s="19">
        <f>+'CCs # Master'!AM149</f>
        <v>22</v>
      </c>
      <c r="AP168" s="19">
        <f>+'CCs # Master'!AN149</f>
        <v>0</v>
      </c>
      <c r="AQ168" s="19">
        <f>+'CCs # Master'!AO149</f>
        <v>13</v>
      </c>
      <c r="AR168" s="19">
        <f>+'CCs # Master'!AP149</f>
        <v>4</v>
      </c>
      <c r="AS168" s="19">
        <f>+'CCs # Master'!AQ149</f>
        <v>0</v>
      </c>
      <c r="AT168" s="19">
        <f>+'CCs # Master'!AR149</f>
        <v>0</v>
      </c>
      <c r="AU168" s="19">
        <f>+'CCs # Master'!AS149</f>
        <v>0</v>
      </c>
      <c r="AV168" s="19">
        <f>+'CCs # Master'!AT149</f>
        <v>0</v>
      </c>
      <c r="AW168" s="265"/>
      <c r="AX168" s="21">
        <f>SUM(N168:AW168)</f>
        <v>300</v>
      </c>
      <c r="AY168" s="21">
        <f t="shared" si="74"/>
        <v>0</v>
      </c>
      <c r="BA168" s="19">
        <f t="shared" si="75"/>
        <v>65</v>
      </c>
      <c r="BB168" s="19">
        <f>N168</f>
        <v>30</v>
      </c>
      <c r="BC168" s="19">
        <f t="shared" ref="BC168:BC181" si="92">SUM(P168:AW168)</f>
        <v>270</v>
      </c>
      <c r="BE168" s="19">
        <f t="shared" ref="BE168:BE181" si="93">SUM(BB168:BC168)</f>
        <v>300</v>
      </c>
      <c r="BG168" s="234">
        <f t="shared" si="79"/>
        <v>300</v>
      </c>
      <c r="BH168" s="19">
        <f t="shared" si="91"/>
        <v>0</v>
      </c>
    </row>
    <row r="169" spans="1:60" s="19" customFormat="1" ht="12.95" customHeight="1" x14ac:dyDescent="0.2">
      <c r="A169" s="85">
        <f>+'CCs # Master'!A151</f>
        <v>11</v>
      </c>
      <c r="B169" s="226" t="str">
        <f>+'CCs # Master'!B151</f>
        <v>Human Resources Support Services</v>
      </c>
      <c r="C169" s="226" t="str">
        <f>+'CCs # Master'!C151</f>
        <v>Rizzi, K</v>
      </c>
      <c r="D169" s="85">
        <f>+'CCs # Master'!D151</f>
        <v>102742</v>
      </c>
      <c r="E169" s="19">
        <f>+'CCs # Master'!E151</f>
        <v>627</v>
      </c>
      <c r="F169" s="19">
        <f>+'CCs # Master'!F151</f>
        <v>18</v>
      </c>
      <c r="G169" s="19">
        <f>+'CCs # Master'!G151</f>
        <v>4</v>
      </c>
      <c r="H169" s="19">
        <f>+'CCs # Master'!H151</f>
        <v>25</v>
      </c>
      <c r="I169" s="19">
        <f>+'CCs # Master'!I151</f>
        <v>120</v>
      </c>
      <c r="J169" s="19">
        <f>+'CCs # Master'!J151</f>
        <v>-94</v>
      </c>
      <c r="K169" s="21">
        <f t="shared" si="72"/>
        <v>700</v>
      </c>
      <c r="M169" s="19" t="str">
        <f>+'CCs # Master'!M151</f>
        <v>MMF</v>
      </c>
      <c r="N169" s="19">
        <f>+'CCs # Master'!AW151</f>
        <v>700</v>
      </c>
      <c r="O169" s="19">
        <v>0</v>
      </c>
      <c r="P169" s="19">
        <f>+'CCs # Master'!N151</f>
        <v>0</v>
      </c>
      <c r="Q169" s="19">
        <f>+'CCs # Master'!O151</f>
        <v>0</v>
      </c>
      <c r="R169" s="19">
        <f>+'CCs # Master'!P151</f>
        <v>0</v>
      </c>
      <c r="S169" s="19">
        <f>+'CCs # Master'!Q151</f>
        <v>0</v>
      </c>
      <c r="T169" s="19">
        <f>+'CCs # Master'!R151</f>
        <v>0</v>
      </c>
      <c r="U169" s="19">
        <f>+'CCs # Master'!S151</f>
        <v>0</v>
      </c>
      <c r="V169" s="19">
        <f>+'CCs # Master'!T151</f>
        <v>0</v>
      </c>
      <c r="W169" s="19">
        <f>+'CCs # Master'!U151</f>
        <v>0</v>
      </c>
      <c r="X169" s="19">
        <f>+'CCs # Master'!V151</f>
        <v>0</v>
      </c>
      <c r="Y169" s="19">
        <f>+'CCs # Master'!W151</f>
        <v>0</v>
      </c>
      <c r="Z169" s="19">
        <f>+'CCs # Master'!X151</f>
        <v>0</v>
      </c>
      <c r="AA169" s="19">
        <f>+'CCs # Master'!Y151</f>
        <v>0</v>
      </c>
      <c r="AB169" s="19">
        <f>+'CCs # Master'!Z151</f>
        <v>0</v>
      </c>
      <c r="AC169" s="19">
        <f>+'CCs # Master'!AA151</f>
        <v>0</v>
      </c>
      <c r="AD169" s="19">
        <f>+'CCs # Master'!AB151</f>
        <v>0</v>
      </c>
      <c r="AE169" s="19">
        <f>+'CCs # Master'!AC151</f>
        <v>0</v>
      </c>
      <c r="AF169" s="19">
        <f>+'CCs # Master'!AD151</f>
        <v>0</v>
      </c>
      <c r="AG169" s="19">
        <f>+'CCs # Master'!AE151</f>
        <v>0</v>
      </c>
      <c r="AH169" s="19">
        <f>+'CCs # Master'!AF151</f>
        <v>0</v>
      </c>
      <c r="AI169" s="19">
        <f>+'CCs # Master'!AG151</f>
        <v>0</v>
      </c>
      <c r="AJ169" s="19">
        <f>+'CCs # Master'!AH151</f>
        <v>0</v>
      </c>
      <c r="AK169" s="19">
        <f>+'CCs # Master'!AI151</f>
        <v>0</v>
      </c>
      <c r="AL169" s="19">
        <f>+'CCs # Master'!AJ151</f>
        <v>0</v>
      </c>
      <c r="AM169" s="19">
        <f>+'CCs # Master'!AK151</f>
        <v>0</v>
      </c>
      <c r="AN169" s="19">
        <f>+'CCs # Master'!AL151</f>
        <v>0</v>
      </c>
      <c r="AO169" s="19">
        <f>+'CCs # Master'!AM151</f>
        <v>0</v>
      </c>
      <c r="AP169" s="19">
        <f>+'CCs # Master'!AN151</f>
        <v>0</v>
      </c>
      <c r="AQ169" s="19">
        <f>+'CCs # Master'!AO151</f>
        <v>0</v>
      </c>
      <c r="AR169" s="19">
        <f>+'CCs # Master'!AP151</f>
        <v>0</v>
      </c>
      <c r="AS169" s="19">
        <f>+'CCs # Master'!AQ151</f>
        <v>0</v>
      </c>
      <c r="AT169" s="19">
        <f>+'CCs # Master'!AR151</f>
        <v>0</v>
      </c>
      <c r="AU169" s="19">
        <f>+'CCs # Master'!AS151</f>
        <v>0</v>
      </c>
      <c r="AV169" s="19">
        <f>+'CCs # Master'!AT151</f>
        <v>0</v>
      </c>
      <c r="AW169" s="265"/>
      <c r="AX169" s="21">
        <f t="shared" ref="AX169:AX181" si="94">SUM(N169:AW169)</f>
        <v>700</v>
      </c>
      <c r="AY169" s="21">
        <f t="shared" si="74"/>
        <v>0</v>
      </c>
      <c r="BA169" s="19">
        <f t="shared" si="75"/>
        <v>0</v>
      </c>
      <c r="BB169" s="19">
        <f t="shared" ref="BB169:BB181" si="95">N169</f>
        <v>700</v>
      </c>
      <c r="BC169" s="19">
        <f t="shared" si="92"/>
        <v>0</v>
      </c>
      <c r="BE169" s="19">
        <f t="shared" si="93"/>
        <v>700</v>
      </c>
      <c r="BG169" s="234">
        <f t="shared" si="79"/>
        <v>700</v>
      </c>
      <c r="BH169" s="19">
        <f t="shared" ref="BH169:BH181" si="96">BE169-BG169</f>
        <v>0</v>
      </c>
    </row>
    <row r="170" spans="1:60" s="19" customFormat="1" ht="12.95" customHeight="1" x14ac:dyDescent="0.2">
      <c r="A170" s="85">
        <f>+'CCs # Master'!A153</f>
        <v>11</v>
      </c>
      <c r="B170" s="226" t="str">
        <f>+'CCs # Master'!B153</f>
        <v>Global Compensation</v>
      </c>
      <c r="C170" s="226" t="str">
        <f>+'CCs # Master'!C153</f>
        <v>Knudsen, S</v>
      </c>
      <c r="D170" s="85">
        <f>+'CCs # Master'!D153</f>
        <v>102777</v>
      </c>
      <c r="E170" s="19">
        <f>+'CCs # Master'!E153</f>
        <v>17</v>
      </c>
      <c r="F170" s="19">
        <f>+'CCs # Master'!F153</f>
        <v>0</v>
      </c>
      <c r="G170" s="19">
        <f>+'CCs # Master'!G153</f>
        <v>6</v>
      </c>
      <c r="H170" s="19">
        <f>+'CCs # Master'!H153</f>
        <v>0</v>
      </c>
      <c r="I170" s="19">
        <f>+'CCs # Master'!I153</f>
        <v>2</v>
      </c>
      <c r="J170" s="19">
        <f>+'CCs # Master'!J153</f>
        <v>1</v>
      </c>
      <c r="K170" s="21">
        <f t="shared" si="72"/>
        <v>26</v>
      </c>
      <c r="M170" s="19" t="str">
        <f>+'CCs # Master'!M153</f>
        <v>% of Global Headcount</v>
      </c>
      <c r="N170" s="19">
        <f>+'CCs # Master'!AW153</f>
        <v>2</v>
      </c>
      <c r="O170" s="19">
        <v>0</v>
      </c>
      <c r="P170" s="19">
        <f>+'CCs # Master'!N153</f>
        <v>0</v>
      </c>
      <c r="Q170" s="19">
        <f>+'CCs # Master'!O153</f>
        <v>0</v>
      </c>
      <c r="R170" s="19">
        <f>+'CCs # Master'!P153</f>
        <v>1</v>
      </c>
      <c r="S170" s="19">
        <f>+'CCs # Master'!Q153</f>
        <v>1</v>
      </c>
      <c r="T170" s="19">
        <f>+'CCs # Master'!R153</f>
        <v>0</v>
      </c>
      <c r="U170" s="19">
        <f>+'CCs # Master'!S153</f>
        <v>0</v>
      </c>
      <c r="V170" s="19">
        <f>+'CCs # Master'!T153</f>
        <v>0</v>
      </c>
      <c r="W170" s="19">
        <f>+'CCs # Master'!U153</f>
        <v>2</v>
      </c>
      <c r="X170" s="19">
        <f>+'CCs # Master'!V153</f>
        <v>1</v>
      </c>
      <c r="Y170" s="19">
        <f>+'CCs # Master'!W153</f>
        <v>0</v>
      </c>
      <c r="Z170" s="19">
        <f>+'CCs # Master'!X153</f>
        <v>4</v>
      </c>
      <c r="AA170" s="19">
        <f>+'CCs # Master'!Y153</f>
        <v>0</v>
      </c>
      <c r="AB170" s="19">
        <f>+'CCs # Master'!Z153</f>
        <v>0</v>
      </c>
      <c r="AC170" s="19">
        <f>+'CCs # Master'!AA153</f>
        <v>0</v>
      </c>
      <c r="AD170" s="19">
        <f>+'CCs # Master'!AB153</f>
        <v>3</v>
      </c>
      <c r="AE170" s="19">
        <f>+'CCs # Master'!AC153</f>
        <v>0</v>
      </c>
      <c r="AF170" s="19">
        <f>+'CCs # Master'!AD153</f>
        <v>4</v>
      </c>
      <c r="AG170" s="19">
        <f>+'CCs # Master'!AE153</f>
        <v>3</v>
      </c>
      <c r="AH170" s="19">
        <f>+'CCs # Master'!AF153</f>
        <v>2</v>
      </c>
      <c r="AI170" s="19">
        <f>+'CCs # Master'!AG153</f>
        <v>0</v>
      </c>
      <c r="AJ170" s="19">
        <f>+'CCs # Master'!AH153</f>
        <v>0</v>
      </c>
      <c r="AK170" s="19">
        <f>+'CCs # Master'!AI153</f>
        <v>0</v>
      </c>
      <c r="AL170" s="19">
        <f>+'CCs # Master'!AJ153</f>
        <v>1</v>
      </c>
      <c r="AM170" s="19">
        <f>+'CCs # Master'!AK153</f>
        <v>0</v>
      </c>
      <c r="AN170" s="19">
        <f>+'CCs # Master'!AL153</f>
        <v>0</v>
      </c>
      <c r="AO170" s="19">
        <f>+'CCs # Master'!AM153</f>
        <v>1</v>
      </c>
      <c r="AP170" s="19">
        <f>+'CCs # Master'!AN153</f>
        <v>0</v>
      </c>
      <c r="AQ170" s="19">
        <f>+'CCs # Master'!AO153</f>
        <v>1</v>
      </c>
      <c r="AR170" s="19">
        <f>+'CCs # Master'!AP153</f>
        <v>0</v>
      </c>
      <c r="AS170" s="19">
        <f>+'CCs # Master'!AQ153</f>
        <v>0</v>
      </c>
      <c r="AT170" s="19">
        <f>+'CCs # Master'!AR153</f>
        <v>0</v>
      </c>
      <c r="AU170" s="19">
        <f>+'CCs # Master'!AS153</f>
        <v>0</v>
      </c>
      <c r="AV170" s="19">
        <f>+'CCs # Master'!AT153</f>
        <v>0</v>
      </c>
      <c r="AW170" s="265"/>
      <c r="AX170" s="21">
        <f t="shared" si="94"/>
        <v>26</v>
      </c>
      <c r="AY170" s="21">
        <f t="shared" si="74"/>
        <v>0</v>
      </c>
      <c r="BA170" s="19">
        <f t="shared" si="75"/>
        <v>3</v>
      </c>
      <c r="BB170" s="19">
        <f t="shared" si="95"/>
        <v>2</v>
      </c>
      <c r="BC170" s="19">
        <f t="shared" si="92"/>
        <v>24</v>
      </c>
      <c r="BE170" s="19">
        <f t="shared" si="93"/>
        <v>26</v>
      </c>
      <c r="BG170" s="234">
        <f t="shared" si="79"/>
        <v>26</v>
      </c>
      <c r="BH170" s="19">
        <f t="shared" si="96"/>
        <v>0</v>
      </c>
    </row>
    <row r="171" spans="1:60" s="19" customFormat="1" ht="12.95" customHeight="1" x14ac:dyDescent="0.2">
      <c r="A171" s="85">
        <f>+'CCs # Master'!A154</f>
        <v>11</v>
      </c>
      <c r="B171" s="226" t="str">
        <f>+'CCs # Master'!B154</f>
        <v>Government Programs</v>
      </c>
      <c r="C171" s="226" t="str">
        <f>+'CCs # Master'!C154</f>
        <v>Schaffer, B</v>
      </c>
      <c r="D171" s="85">
        <f>+'CCs # Master'!D154</f>
        <v>102780</v>
      </c>
      <c r="E171" s="19">
        <f>+'CCs # Master'!E154</f>
        <v>289</v>
      </c>
      <c r="F171" s="19">
        <f>+'CCs # Master'!F154</f>
        <v>56</v>
      </c>
      <c r="G171" s="19">
        <f>+'CCs # Master'!G154</f>
        <v>1</v>
      </c>
      <c r="H171" s="19">
        <f>+'CCs # Master'!H154</f>
        <v>25</v>
      </c>
      <c r="I171" s="19">
        <f>+'CCs # Master'!I154</f>
        <v>63</v>
      </c>
      <c r="J171" s="19">
        <f>+'CCs # Master'!J154</f>
        <v>7</v>
      </c>
      <c r="K171" s="21">
        <f t="shared" si="72"/>
        <v>441</v>
      </c>
      <c r="M171" s="19" t="str">
        <f>+'CCs # Master'!M154</f>
        <v>% of Domestic Headcount</v>
      </c>
      <c r="N171" s="19">
        <f>+'CCs # Master'!AW154</f>
        <v>45</v>
      </c>
      <c r="O171" s="19">
        <v>0</v>
      </c>
      <c r="P171" s="19">
        <f>+'CCs # Master'!N154</f>
        <v>7</v>
      </c>
      <c r="Q171" s="19">
        <f>+'CCs # Master'!O154</f>
        <v>13</v>
      </c>
      <c r="R171" s="19">
        <f>+'CCs # Master'!P154</f>
        <v>14</v>
      </c>
      <c r="S171" s="19">
        <f>+'CCs # Master'!Q154</f>
        <v>15</v>
      </c>
      <c r="T171" s="19">
        <f>+'CCs # Master'!R154</f>
        <v>1</v>
      </c>
      <c r="U171" s="19">
        <f>+'CCs # Master'!S154</f>
        <v>0</v>
      </c>
      <c r="V171" s="19">
        <f>+'CCs # Master'!T154</f>
        <v>8</v>
      </c>
      <c r="W171" s="19">
        <f>+'CCs # Master'!U154</f>
        <v>51</v>
      </c>
      <c r="X171" s="19">
        <f>+'CCs # Master'!V154</f>
        <v>12</v>
      </c>
      <c r="Y171" s="19">
        <f>+'CCs # Master'!W154</f>
        <v>0</v>
      </c>
      <c r="Z171" s="19">
        <f>+'CCs # Master'!X154</f>
        <v>73</v>
      </c>
      <c r="AA171" s="19">
        <f>+'CCs # Master'!Y154</f>
        <v>1</v>
      </c>
      <c r="AB171" s="19">
        <f>+'CCs # Master'!Z154</f>
        <v>8</v>
      </c>
      <c r="AC171" s="19">
        <f>+'CCs # Master'!AA154</f>
        <v>2</v>
      </c>
      <c r="AD171" s="19">
        <f>+'CCs # Master'!AB154</f>
        <v>0</v>
      </c>
      <c r="AE171" s="19">
        <f>+'CCs # Master'!AC154</f>
        <v>3</v>
      </c>
      <c r="AF171" s="19">
        <f>+'CCs # Master'!AD154</f>
        <v>64</v>
      </c>
      <c r="AG171" s="19">
        <f>+'CCs # Master'!AE154</f>
        <v>51</v>
      </c>
      <c r="AH171" s="19">
        <f>+'CCs # Master'!AF154</f>
        <v>1</v>
      </c>
      <c r="AI171" s="19">
        <f>+'CCs # Master'!AG154</f>
        <v>0</v>
      </c>
      <c r="AJ171" s="19">
        <f>+'CCs # Master'!AH154</f>
        <v>4</v>
      </c>
      <c r="AK171" s="19">
        <f>+'CCs # Master'!AI154</f>
        <v>3</v>
      </c>
      <c r="AL171" s="19">
        <f>+'CCs # Master'!AJ154</f>
        <v>2</v>
      </c>
      <c r="AM171" s="19">
        <f>+'CCs # Master'!AK154</f>
        <v>4</v>
      </c>
      <c r="AN171" s="19">
        <f>+'CCs # Master'!AL154</f>
        <v>2</v>
      </c>
      <c r="AO171" s="19">
        <f>+'CCs # Master'!AM154</f>
        <v>33</v>
      </c>
      <c r="AP171" s="19">
        <f>+'CCs # Master'!AN154</f>
        <v>0</v>
      </c>
      <c r="AQ171" s="19">
        <f>+'CCs # Master'!AO154</f>
        <v>19</v>
      </c>
      <c r="AR171" s="19">
        <f>+'CCs # Master'!AP154</f>
        <v>5</v>
      </c>
      <c r="AS171" s="19">
        <f>+'CCs # Master'!AQ154</f>
        <v>0</v>
      </c>
      <c r="AT171" s="19">
        <f>+'CCs # Master'!AR154</f>
        <v>0</v>
      </c>
      <c r="AU171" s="19">
        <f>+'CCs # Master'!AS154</f>
        <v>0</v>
      </c>
      <c r="AV171" s="19">
        <f>+'CCs # Master'!AT154</f>
        <v>0</v>
      </c>
      <c r="AW171" s="265"/>
      <c r="AX171" s="21">
        <f t="shared" si="94"/>
        <v>441</v>
      </c>
      <c r="AY171" s="21">
        <f t="shared" si="74"/>
        <v>0</v>
      </c>
      <c r="BA171" s="19">
        <f t="shared" si="75"/>
        <v>92</v>
      </c>
      <c r="BB171" s="19">
        <f t="shared" si="95"/>
        <v>45</v>
      </c>
      <c r="BC171" s="19">
        <f t="shared" si="92"/>
        <v>396</v>
      </c>
      <c r="BE171" s="19">
        <f t="shared" si="93"/>
        <v>441</v>
      </c>
      <c r="BG171" s="234">
        <f t="shared" si="79"/>
        <v>441</v>
      </c>
      <c r="BH171" s="19">
        <f t="shared" si="96"/>
        <v>0</v>
      </c>
    </row>
    <row r="172" spans="1:60" s="19" customFormat="1" ht="12.95" customHeight="1" x14ac:dyDescent="0.2">
      <c r="A172" s="85">
        <f>+'CCs # Master'!A155</f>
        <v>11</v>
      </c>
      <c r="B172" s="226" t="str">
        <f>+'CCs # Master'!B155</f>
        <v>Employee Relations</v>
      </c>
      <c r="C172" s="226" t="str">
        <f>+'CCs # Master'!C155</f>
        <v>Schaffer, B</v>
      </c>
      <c r="D172" s="85">
        <f>+'CCs # Master'!D155</f>
        <v>102781</v>
      </c>
      <c r="E172" s="19">
        <f>+'CCs # Master'!E155</f>
        <v>218</v>
      </c>
      <c r="F172" s="19">
        <f>+'CCs # Master'!F155</f>
        <v>29</v>
      </c>
      <c r="G172" s="19">
        <f>+'CCs # Master'!G155</f>
        <v>1</v>
      </c>
      <c r="H172" s="19">
        <f>+'CCs # Master'!H155</f>
        <v>5</v>
      </c>
      <c r="I172" s="19">
        <f>+'CCs # Master'!I155</f>
        <v>42</v>
      </c>
      <c r="J172" s="19">
        <f>+'CCs # Master'!J155</f>
        <v>4</v>
      </c>
      <c r="K172" s="21">
        <f t="shared" si="72"/>
        <v>299</v>
      </c>
      <c r="M172" s="19" t="str">
        <f>+'CCs # Master'!M155</f>
        <v>% of Domestic Headcount</v>
      </c>
      <c r="N172" s="19">
        <f>+'CCs # Master'!AW155</f>
        <v>31</v>
      </c>
      <c r="O172" s="19">
        <v>0</v>
      </c>
      <c r="P172" s="19">
        <f>+'CCs # Master'!N155</f>
        <v>5</v>
      </c>
      <c r="Q172" s="19">
        <f>+'CCs # Master'!O155</f>
        <v>9</v>
      </c>
      <c r="R172" s="19">
        <f>+'CCs # Master'!P155</f>
        <v>10</v>
      </c>
      <c r="S172" s="19">
        <f>+'CCs # Master'!Q155</f>
        <v>10</v>
      </c>
      <c r="T172" s="19">
        <f>+'CCs # Master'!R155</f>
        <v>1</v>
      </c>
      <c r="U172" s="19">
        <f>+'CCs # Master'!S155</f>
        <v>0</v>
      </c>
      <c r="V172" s="19">
        <f>+'CCs # Master'!T155</f>
        <v>5</v>
      </c>
      <c r="W172" s="19">
        <f>+'CCs # Master'!U155</f>
        <v>35</v>
      </c>
      <c r="X172" s="19">
        <f>+'CCs # Master'!V155</f>
        <v>8</v>
      </c>
      <c r="Y172" s="19">
        <f>+'CCs # Master'!W155</f>
        <v>0</v>
      </c>
      <c r="Z172" s="19">
        <f>+'CCs # Master'!X155</f>
        <v>51</v>
      </c>
      <c r="AA172" s="19">
        <f>+'CCs # Master'!Y155</f>
        <v>0</v>
      </c>
      <c r="AB172" s="19">
        <f>+'CCs # Master'!Z155</f>
        <v>5</v>
      </c>
      <c r="AC172" s="19">
        <f>+'CCs # Master'!AA155</f>
        <v>1</v>
      </c>
      <c r="AD172" s="19">
        <f>+'CCs # Master'!AB155</f>
        <v>0</v>
      </c>
      <c r="AE172" s="19">
        <f>+'CCs # Master'!AC155</f>
        <v>2</v>
      </c>
      <c r="AF172" s="19">
        <f>+'CCs # Master'!AD155</f>
        <v>44</v>
      </c>
      <c r="AG172" s="19">
        <f>+'CCs # Master'!AE155</f>
        <v>35</v>
      </c>
      <c r="AH172" s="19">
        <f>+'CCs # Master'!AF155</f>
        <v>0</v>
      </c>
      <c r="AI172" s="19">
        <f>+'CCs # Master'!AG155</f>
        <v>0</v>
      </c>
      <c r="AJ172" s="19">
        <f>+'CCs # Master'!AH155</f>
        <v>2</v>
      </c>
      <c r="AK172" s="19">
        <f>+'CCs # Master'!AI155</f>
        <v>2</v>
      </c>
      <c r="AL172" s="19">
        <f>+'CCs # Master'!AJ155</f>
        <v>1</v>
      </c>
      <c r="AM172" s="19">
        <f>+'CCs # Master'!AK155</f>
        <v>3</v>
      </c>
      <c r="AN172" s="19">
        <f>+'CCs # Master'!AL155</f>
        <v>1</v>
      </c>
      <c r="AO172" s="19">
        <f>+'CCs # Master'!AM155</f>
        <v>22</v>
      </c>
      <c r="AP172" s="19">
        <f>+'CCs # Master'!AN155</f>
        <v>0</v>
      </c>
      <c r="AQ172" s="19">
        <f>+'CCs # Master'!AO155</f>
        <v>13</v>
      </c>
      <c r="AR172" s="19">
        <f>+'CCs # Master'!AP155</f>
        <v>3</v>
      </c>
      <c r="AS172" s="19">
        <f>+'CCs # Master'!AQ155</f>
        <v>0</v>
      </c>
      <c r="AT172" s="19">
        <f>+'CCs # Master'!AR155</f>
        <v>0</v>
      </c>
      <c r="AU172" s="19">
        <f>+'CCs # Master'!AS155</f>
        <v>0</v>
      </c>
      <c r="AV172" s="19">
        <f>+'CCs # Master'!AT155</f>
        <v>0</v>
      </c>
      <c r="AW172" s="265"/>
      <c r="AX172" s="21">
        <f t="shared" si="94"/>
        <v>299</v>
      </c>
      <c r="AY172" s="21">
        <f t="shared" si="74"/>
        <v>0</v>
      </c>
      <c r="BA172" s="19">
        <f t="shared" si="75"/>
        <v>63</v>
      </c>
      <c r="BB172" s="19">
        <f t="shared" si="95"/>
        <v>31</v>
      </c>
      <c r="BC172" s="19">
        <f t="shared" si="92"/>
        <v>268</v>
      </c>
      <c r="BE172" s="19">
        <f t="shared" si="93"/>
        <v>299</v>
      </c>
      <c r="BG172" s="234">
        <f t="shared" si="79"/>
        <v>299</v>
      </c>
      <c r="BH172" s="19">
        <f t="shared" si="96"/>
        <v>0</v>
      </c>
    </row>
    <row r="173" spans="1:60" s="19" customFormat="1" ht="12.95" customHeight="1" x14ac:dyDescent="0.2">
      <c r="A173" s="85">
        <f>+'CCs # Master'!A156</f>
        <v>11</v>
      </c>
      <c r="B173" s="226" t="str">
        <f>+'CCs # Master'!B156</f>
        <v>Employment Law Training</v>
      </c>
      <c r="C173" s="226" t="str">
        <f>+'CCs # Master'!C156</f>
        <v>Schaffer, B</v>
      </c>
      <c r="D173" s="85">
        <f>+'CCs # Master'!D156</f>
        <v>102782</v>
      </c>
      <c r="E173" s="19">
        <f>+'CCs # Master'!E156</f>
        <v>105</v>
      </c>
      <c r="F173" s="19">
        <f>+'CCs # Master'!F156</f>
        <v>33</v>
      </c>
      <c r="G173" s="19">
        <f>+'CCs # Master'!G156</f>
        <v>5</v>
      </c>
      <c r="H173" s="19">
        <f>+'CCs # Master'!H156</f>
        <v>10</v>
      </c>
      <c r="I173" s="19">
        <f>+'CCs # Master'!I156</f>
        <v>21</v>
      </c>
      <c r="J173" s="19">
        <f>+'CCs # Master'!J156</f>
        <v>9</v>
      </c>
      <c r="K173" s="21">
        <f t="shared" si="72"/>
        <v>183</v>
      </c>
      <c r="M173" s="19" t="str">
        <f>+'CCs # Master'!M156</f>
        <v>% of Domestic Headcount</v>
      </c>
      <c r="N173" s="19">
        <f>+'CCs # Master'!AW156</f>
        <v>19</v>
      </c>
      <c r="O173" s="19">
        <v>0</v>
      </c>
      <c r="P173" s="19">
        <f>+'CCs # Master'!N156</f>
        <v>3</v>
      </c>
      <c r="Q173" s="19">
        <f>+'CCs # Master'!O156</f>
        <v>6</v>
      </c>
      <c r="R173" s="19">
        <f>+'CCs # Master'!P156</f>
        <v>6</v>
      </c>
      <c r="S173" s="19">
        <f>+'CCs # Master'!Q156</f>
        <v>6</v>
      </c>
      <c r="T173" s="19">
        <f>+'CCs # Master'!R156</f>
        <v>1</v>
      </c>
      <c r="U173" s="19">
        <f>+'CCs # Master'!S156</f>
        <v>0</v>
      </c>
      <c r="V173" s="19">
        <f>+'CCs # Master'!T156</f>
        <v>3</v>
      </c>
      <c r="W173" s="19">
        <f>+'CCs # Master'!U156</f>
        <v>21</v>
      </c>
      <c r="X173" s="19">
        <f>+'CCs # Master'!V156</f>
        <v>5</v>
      </c>
      <c r="Y173" s="19">
        <f>+'CCs # Master'!W156</f>
        <v>0</v>
      </c>
      <c r="Z173" s="19">
        <f>+'CCs # Master'!X156</f>
        <v>31</v>
      </c>
      <c r="AA173" s="19">
        <f>+'CCs # Master'!Y156</f>
        <v>0</v>
      </c>
      <c r="AB173" s="19">
        <f>+'CCs # Master'!Z156</f>
        <v>3</v>
      </c>
      <c r="AC173" s="19">
        <f>+'CCs # Master'!AA156</f>
        <v>1</v>
      </c>
      <c r="AD173" s="19">
        <f>+'CCs # Master'!AB156</f>
        <v>0</v>
      </c>
      <c r="AE173" s="19">
        <f>+'CCs # Master'!AC156</f>
        <v>1</v>
      </c>
      <c r="AF173" s="19">
        <f>+'CCs # Master'!AD156</f>
        <v>26</v>
      </c>
      <c r="AG173" s="19">
        <f>+'CCs # Master'!AE156</f>
        <v>21</v>
      </c>
      <c r="AH173" s="19">
        <f>+'CCs # Master'!AF156</f>
        <v>0</v>
      </c>
      <c r="AI173" s="19">
        <f>+'CCs # Master'!AG156</f>
        <v>0</v>
      </c>
      <c r="AJ173" s="19">
        <f>+'CCs # Master'!AH156</f>
        <v>1</v>
      </c>
      <c r="AK173" s="19">
        <f>+'CCs # Master'!AI156</f>
        <v>1</v>
      </c>
      <c r="AL173" s="19">
        <f>+'CCs # Master'!AJ156</f>
        <v>1</v>
      </c>
      <c r="AM173" s="19">
        <f>+'CCs # Master'!AK156</f>
        <v>2</v>
      </c>
      <c r="AN173" s="19">
        <f>+'CCs # Master'!AL156</f>
        <v>1</v>
      </c>
      <c r="AO173" s="19">
        <f>+'CCs # Master'!AM156</f>
        <v>14</v>
      </c>
      <c r="AP173" s="19">
        <f>+'CCs # Master'!AN156</f>
        <v>0</v>
      </c>
      <c r="AQ173" s="19">
        <f>+'CCs # Master'!AO156</f>
        <v>8</v>
      </c>
      <c r="AR173" s="19">
        <f>+'CCs # Master'!AP156</f>
        <v>2</v>
      </c>
      <c r="AS173" s="19">
        <f>+'CCs # Master'!AQ156</f>
        <v>0</v>
      </c>
      <c r="AT173" s="19">
        <f>+'CCs # Master'!AR156</f>
        <v>0</v>
      </c>
      <c r="AU173" s="19">
        <f>+'CCs # Master'!AS156</f>
        <v>0</v>
      </c>
      <c r="AV173" s="19">
        <f>+'CCs # Master'!AT156</f>
        <v>0</v>
      </c>
      <c r="AW173" s="265"/>
      <c r="AX173" s="21">
        <f t="shared" si="94"/>
        <v>183</v>
      </c>
      <c r="AY173" s="21">
        <f t="shared" si="74"/>
        <v>0</v>
      </c>
      <c r="BA173" s="19">
        <f t="shared" si="75"/>
        <v>39</v>
      </c>
      <c r="BB173" s="19">
        <f t="shared" si="95"/>
        <v>19</v>
      </c>
      <c r="BC173" s="19">
        <f t="shared" si="92"/>
        <v>164</v>
      </c>
      <c r="BE173" s="19">
        <f t="shared" si="93"/>
        <v>183</v>
      </c>
      <c r="BG173" s="234">
        <f t="shared" si="79"/>
        <v>183</v>
      </c>
      <c r="BH173" s="19">
        <f t="shared" si="96"/>
        <v>0</v>
      </c>
    </row>
    <row r="174" spans="1:60" s="19" customFormat="1" ht="12.95" customHeight="1" x14ac:dyDescent="0.2">
      <c r="A174" s="85">
        <f>+'CCs # Master'!A157</f>
        <v>11</v>
      </c>
      <c r="B174" s="226" t="str">
        <f>+'CCs # Master'!B157</f>
        <v>Workforce Diversity</v>
      </c>
      <c r="C174" s="226" t="str">
        <f>+'CCs # Master'!C157</f>
        <v>Reeves, K</v>
      </c>
      <c r="D174" s="85">
        <f>+'CCs # Master'!D157</f>
        <v>102795</v>
      </c>
      <c r="E174" s="19">
        <f>+'CCs # Master'!E157</f>
        <v>117</v>
      </c>
      <c r="F174" s="19">
        <f>+'CCs # Master'!F157</f>
        <v>28</v>
      </c>
      <c r="G174" s="19">
        <f>+'CCs # Master'!G157</f>
        <v>5</v>
      </c>
      <c r="H174" s="19">
        <f>+'CCs # Master'!H157</f>
        <v>13</v>
      </c>
      <c r="I174" s="19">
        <f>+'CCs # Master'!I157</f>
        <v>21</v>
      </c>
      <c r="J174" s="19">
        <f>+'CCs # Master'!J157</f>
        <v>-94</v>
      </c>
      <c r="K174" s="21">
        <f t="shared" si="72"/>
        <v>90</v>
      </c>
      <c r="M174" s="19" t="str">
        <f>+'CCs # Master'!M157</f>
        <v>% of Domestic Headcount</v>
      </c>
      <c r="N174" s="19">
        <f>+'CCs # Master'!AW157</f>
        <v>9</v>
      </c>
      <c r="O174" s="19">
        <v>0</v>
      </c>
      <c r="P174" s="19">
        <f>+'CCs # Master'!N157</f>
        <v>1</v>
      </c>
      <c r="Q174" s="19">
        <f>+'CCs # Master'!O157</f>
        <v>3</v>
      </c>
      <c r="R174" s="19">
        <f>+'CCs # Master'!P157</f>
        <v>3</v>
      </c>
      <c r="S174" s="19">
        <f>+'CCs # Master'!Q157</f>
        <v>3</v>
      </c>
      <c r="T174" s="19">
        <f>+'CCs # Master'!R157</f>
        <v>0</v>
      </c>
      <c r="U174" s="19">
        <f>+'CCs # Master'!S157</f>
        <v>0</v>
      </c>
      <c r="V174" s="19">
        <f>+'CCs # Master'!T157</f>
        <v>2</v>
      </c>
      <c r="W174" s="19">
        <f>+'CCs # Master'!U157</f>
        <v>10</v>
      </c>
      <c r="X174" s="19">
        <f>+'CCs # Master'!V157</f>
        <v>3</v>
      </c>
      <c r="Y174" s="19">
        <f>+'CCs # Master'!W157</f>
        <v>1</v>
      </c>
      <c r="Z174" s="19">
        <f>+'CCs # Master'!X157</f>
        <v>14</v>
      </c>
      <c r="AA174" s="19">
        <f>+'CCs # Master'!Y157</f>
        <v>0</v>
      </c>
      <c r="AB174" s="19">
        <f>+'CCs # Master'!Z157</f>
        <v>2</v>
      </c>
      <c r="AC174" s="19">
        <f>+'CCs # Master'!AA157</f>
        <v>0</v>
      </c>
      <c r="AD174" s="19">
        <f>+'CCs # Master'!AB157</f>
        <v>0</v>
      </c>
      <c r="AE174" s="19">
        <f>+'CCs # Master'!AC157</f>
        <v>1</v>
      </c>
      <c r="AF174" s="19">
        <f>+'CCs # Master'!AD157</f>
        <v>13</v>
      </c>
      <c r="AG174" s="19">
        <f>+'CCs # Master'!AE157</f>
        <v>10</v>
      </c>
      <c r="AH174" s="19">
        <f>+'CCs # Master'!AF157</f>
        <v>0</v>
      </c>
      <c r="AI174" s="19">
        <f>+'CCs # Master'!AG157</f>
        <v>0</v>
      </c>
      <c r="AJ174" s="19">
        <f>+'CCs # Master'!AH157</f>
        <v>1</v>
      </c>
      <c r="AK174" s="19">
        <f>+'CCs # Master'!AI157</f>
        <v>1</v>
      </c>
      <c r="AL174" s="19">
        <f>+'CCs # Master'!AJ157</f>
        <v>0</v>
      </c>
      <c r="AM174" s="19">
        <f>+'CCs # Master'!AK157</f>
        <v>1</v>
      </c>
      <c r="AN174" s="19">
        <f>+'CCs # Master'!AL157</f>
        <v>0</v>
      </c>
      <c r="AO174" s="19">
        <f>+'CCs # Master'!AM157</f>
        <v>7</v>
      </c>
      <c r="AP174" s="19">
        <f>+'CCs # Master'!AN157</f>
        <v>0</v>
      </c>
      <c r="AQ174" s="19">
        <f>+'CCs # Master'!AO157</f>
        <v>4</v>
      </c>
      <c r="AR174" s="19">
        <f>+'CCs # Master'!AP157</f>
        <v>1</v>
      </c>
      <c r="AS174" s="19">
        <f>+'CCs # Master'!AQ157</f>
        <v>0</v>
      </c>
      <c r="AT174" s="19">
        <f>+'CCs # Master'!AR157</f>
        <v>0</v>
      </c>
      <c r="AU174" s="19">
        <f>+'CCs # Master'!AS157</f>
        <v>0</v>
      </c>
      <c r="AV174" s="19">
        <f>+'CCs # Master'!AT157</f>
        <v>0</v>
      </c>
      <c r="AW174" s="265"/>
      <c r="AX174" s="21">
        <f t="shared" si="94"/>
        <v>90</v>
      </c>
      <c r="AY174" s="21">
        <f t="shared" si="74"/>
        <v>0</v>
      </c>
      <c r="BA174" s="19">
        <f t="shared" si="75"/>
        <v>20</v>
      </c>
      <c r="BB174" s="19">
        <f t="shared" si="95"/>
        <v>9</v>
      </c>
      <c r="BC174" s="19">
        <f t="shared" si="92"/>
        <v>81</v>
      </c>
      <c r="BE174" s="19">
        <f t="shared" si="93"/>
        <v>90</v>
      </c>
      <c r="BG174" s="234">
        <f t="shared" si="79"/>
        <v>90</v>
      </c>
      <c r="BH174" s="19">
        <f t="shared" si="96"/>
        <v>0</v>
      </c>
    </row>
    <row r="175" spans="1:60" s="19" customFormat="1" ht="12.95" customHeight="1" x14ac:dyDescent="0.2">
      <c r="A175" s="85">
        <f>+'CCs # Master'!A161</f>
        <v>11</v>
      </c>
      <c r="B175" s="226" t="str">
        <f>+'CCs # Master'!B161</f>
        <v>HR Projects</v>
      </c>
      <c r="C175" s="226" t="str">
        <f>+'CCs # Master'!C161</f>
        <v>Yowman, A</v>
      </c>
      <c r="D175" s="85">
        <f>+'CCs # Master'!D161</f>
        <v>103064</v>
      </c>
      <c r="E175" s="19">
        <f>+'CCs # Master'!E161</f>
        <v>53</v>
      </c>
      <c r="F175" s="19">
        <f>+'CCs # Master'!F161</f>
        <v>16</v>
      </c>
      <c r="G175" s="19">
        <f>+'CCs # Master'!G161</f>
        <v>1</v>
      </c>
      <c r="H175" s="19">
        <f>+'CCs # Master'!H161</f>
        <v>0</v>
      </c>
      <c r="I175" s="19">
        <f>+'CCs # Master'!I161</f>
        <v>7</v>
      </c>
      <c r="J175" s="19">
        <f>+'CCs # Master'!J161</f>
        <v>2</v>
      </c>
      <c r="K175" s="21">
        <f t="shared" si="72"/>
        <v>79</v>
      </c>
      <c r="M175" s="19" t="str">
        <f>+'CCs # Master'!M161</f>
        <v>% of Domestic Headcount</v>
      </c>
      <c r="N175" s="19">
        <f>+'CCs # Master'!AW161</f>
        <v>8</v>
      </c>
      <c r="O175" s="19">
        <v>0</v>
      </c>
      <c r="P175" s="19">
        <f>+'CCs # Master'!N161</f>
        <v>1</v>
      </c>
      <c r="Q175" s="19">
        <f>+'CCs # Master'!O161</f>
        <v>2</v>
      </c>
      <c r="R175" s="19">
        <f>+'CCs # Master'!P161</f>
        <v>3</v>
      </c>
      <c r="S175" s="19">
        <f>+'CCs # Master'!Q161</f>
        <v>3</v>
      </c>
      <c r="T175" s="19">
        <f>+'CCs # Master'!R161</f>
        <v>0</v>
      </c>
      <c r="U175" s="19">
        <f>+'CCs # Master'!S161</f>
        <v>0</v>
      </c>
      <c r="V175" s="19">
        <f>+'CCs # Master'!T161</f>
        <v>1</v>
      </c>
      <c r="W175" s="19">
        <f>+'CCs # Master'!U161</f>
        <v>9</v>
      </c>
      <c r="X175" s="19">
        <f>+'CCs # Master'!V161</f>
        <v>2</v>
      </c>
      <c r="Y175" s="19">
        <f>+'CCs # Master'!W161</f>
        <v>0</v>
      </c>
      <c r="Z175" s="19">
        <f>+'CCs # Master'!X161</f>
        <v>13</v>
      </c>
      <c r="AA175" s="19">
        <f>+'CCs # Master'!Y161</f>
        <v>0</v>
      </c>
      <c r="AB175" s="19">
        <f>+'CCs # Master'!Z161</f>
        <v>1</v>
      </c>
      <c r="AC175" s="19">
        <f>+'CCs # Master'!AA161</f>
        <v>0</v>
      </c>
      <c r="AD175" s="19">
        <f>+'CCs # Master'!AB161</f>
        <v>0</v>
      </c>
      <c r="AE175" s="19">
        <f>+'CCs # Master'!AC161</f>
        <v>1</v>
      </c>
      <c r="AF175" s="19">
        <f>+'CCs # Master'!AD161</f>
        <v>12</v>
      </c>
      <c r="AG175" s="19">
        <f>+'CCs # Master'!AE161</f>
        <v>10</v>
      </c>
      <c r="AH175" s="19">
        <f>+'CCs # Master'!AF161</f>
        <v>0</v>
      </c>
      <c r="AI175" s="19">
        <f>+'CCs # Master'!AG161</f>
        <v>0</v>
      </c>
      <c r="AJ175" s="19">
        <f>+'CCs # Master'!AH161</f>
        <v>1</v>
      </c>
      <c r="AK175" s="19">
        <f>+'CCs # Master'!AI161</f>
        <v>1</v>
      </c>
      <c r="AL175" s="19">
        <f>+'CCs # Master'!AJ161</f>
        <v>0</v>
      </c>
      <c r="AM175" s="19">
        <f>+'CCs # Master'!AK161</f>
        <v>1</v>
      </c>
      <c r="AN175" s="19">
        <f>+'CCs # Master'!AL161</f>
        <v>0</v>
      </c>
      <c r="AO175" s="19">
        <f>+'CCs # Master'!AM161</f>
        <v>6</v>
      </c>
      <c r="AP175" s="19">
        <f>+'CCs # Master'!AN161</f>
        <v>0</v>
      </c>
      <c r="AQ175" s="19">
        <f>+'CCs # Master'!AO161</f>
        <v>3</v>
      </c>
      <c r="AR175" s="19">
        <f>+'CCs # Master'!AP161</f>
        <v>1</v>
      </c>
      <c r="AS175" s="19">
        <f>+'CCs # Master'!AQ161</f>
        <v>0</v>
      </c>
      <c r="AT175" s="19">
        <f>+'CCs # Master'!AR161</f>
        <v>0</v>
      </c>
      <c r="AU175" s="19">
        <f>+'CCs # Master'!AS161</f>
        <v>0</v>
      </c>
      <c r="AV175" s="19">
        <f>+'CCs # Master'!AT161</f>
        <v>0</v>
      </c>
      <c r="AW175" s="265"/>
      <c r="AX175" s="21">
        <f t="shared" si="94"/>
        <v>79</v>
      </c>
      <c r="AY175" s="21">
        <f t="shared" si="74"/>
        <v>0</v>
      </c>
      <c r="BA175" s="19">
        <f t="shared" si="75"/>
        <v>15</v>
      </c>
      <c r="BB175" s="19">
        <f t="shared" si="95"/>
        <v>8</v>
      </c>
      <c r="BC175" s="19">
        <f t="shared" si="92"/>
        <v>71</v>
      </c>
      <c r="BE175" s="19">
        <f t="shared" si="93"/>
        <v>79</v>
      </c>
      <c r="BG175" s="234">
        <f t="shared" si="79"/>
        <v>79</v>
      </c>
      <c r="BH175" s="19">
        <f t="shared" si="96"/>
        <v>0</v>
      </c>
    </row>
    <row r="176" spans="1:60" s="19" customFormat="1" ht="12.95" customHeight="1" x14ac:dyDescent="0.2">
      <c r="A176" s="85">
        <f>+'CCs # Master'!A162</f>
        <v>11</v>
      </c>
      <c r="B176" s="226" t="str">
        <f>+'CCs # Master'!B162</f>
        <v>HR-PRC</v>
      </c>
      <c r="C176" s="226" t="str">
        <f>+'CCs # Master'!C162</f>
        <v>Cortiselli, G</v>
      </c>
      <c r="D176" s="85">
        <f>+'CCs # Master'!D162</f>
        <v>103080</v>
      </c>
      <c r="E176" s="19">
        <f>+'CCs # Master'!E162</f>
        <v>193</v>
      </c>
      <c r="F176" s="19">
        <f>+'CCs # Master'!F162</f>
        <v>12</v>
      </c>
      <c r="G176" s="19">
        <f>+'CCs # Master'!G162</f>
        <v>2</v>
      </c>
      <c r="H176" s="19">
        <f>+'CCs # Master'!H162</f>
        <v>1</v>
      </c>
      <c r="I176" s="19">
        <f>+'CCs # Master'!I162</f>
        <v>32</v>
      </c>
      <c r="J176" s="19">
        <f>+'CCs # Master'!J162</f>
        <v>292</v>
      </c>
      <c r="K176" s="21">
        <f t="shared" si="72"/>
        <v>532</v>
      </c>
      <c r="M176" s="19" t="str">
        <f>+'CCs # Master'!M162</f>
        <v>% of Global Headcount</v>
      </c>
      <c r="N176" s="19">
        <f>+'CCs # Master'!AW162</f>
        <v>42</v>
      </c>
      <c r="O176" s="19">
        <v>0</v>
      </c>
      <c r="P176" s="19">
        <f>+'CCs # Master'!N162</f>
        <v>6</v>
      </c>
      <c r="Q176" s="19">
        <f>+'CCs # Master'!O162</f>
        <v>12</v>
      </c>
      <c r="R176" s="19">
        <f>+'CCs # Master'!P162</f>
        <v>18</v>
      </c>
      <c r="S176" s="19">
        <f>+'CCs # Master'!Q162</f>
        <v>14</v>
      </c>
      <c r="T176" s="19">
        <f>+'CCs # Master'!R162</f>
        <v>1</v>
      </c>
      <c r="U176" s="19">
        <f>+'CCs # Master'!S162</f>
        <v>0</v>
      </c>
      <c r="V176" s="19">
        <f>+'CCs # Master'!T162</f>
        <v>7</v>
      </c>
      <c r="W176" s="19">
        <f>+'CCs # Master'!U162</f>
        <v>47</v>
      </c>
      <c r="X176" s="19">
        <f>+'CCs # Master'!V162</f>
        <v>9</v>
      </c>
      <c r="Y176" s="19">
        <f>+'CCs # Master'!W162</f>
        <v>4</v>
      </c>
      <c r="Z176" s="19">
        <f>+'CCs # Master'!X162</f>
        <v>67</v>
      </c>
      <c r="AA176" s="19">
        <f>+'CCs # Master'!Y162</f>
        <v>1</v>
      </c>
      <c r="AB176" s="19">
        <f>+'CCs # Master'!Z162</f>
        <v>7</v>
      </c>
      <c r="AC176" s="19">
        <f>+'CCs # Master'!AA162</f>
        <v>1</v>
      </c>
      <c r="AD176" s="19">
        <f>+'CCs # Master'!AB162</f>
        <v>68</v>
      </c>
      <c r="AE176" s="19">
        <f>+'CCs # Master'!AC162</f>
        <v>3</v>
      </c>
      <c r="AF176" s="19">
        <f>+'CCs # Master'!AD162</f>
        <v>61</v>
      </c>
      <c r="AG176" s="19">
        <f>+'CCs # Master'!AE162</f>
        <v>47</v>
      </c>
      <c r="AH176" s="19">
        <f>+'CCs # Master'!AF162</f>
        <v>32</v>
      </c>
      <c r="AI176" s="19">
        <f>+'CCs # Master'!AG162</f>
        <v>0</v>
      </c>
      <c r="AJ176" s="19">
        <f>+'CCs # Master'!AH162</f>
        <v>3</v>
      </c>
      <c r="AK176" s="19">
        <f>+'CCs # Master'!AI162</f>
        <v>9</v>
      </c>
      <c r="AL176" s="19">
        <f>+'CCs # Master'!AJ162</f>
        <v>14</v>
      </c>
      <c r="AM176" s="19">
        <f>+'CCs # Master'!AK162</f>
        <v>5</v>
      </c>
      <c r="AN176" s="19">
        <f>+'CCs # Master'!AL162</f>
        <v>1</v>
      </c>
      <c r="AO176" s="19">
        <f>+'CCs # Master'!AM162</f>
        <v>30</v>
      </c>
      <c r="AP176" s="19">
        <f>+'CCs # Master'!AN162</f>
        <v>0</v>
      </c>
      <c r="AQ176" s="19">
        <f>+'CCs # Master'!AO162</f>
        <v>18</v>
      </c>
      <c r="AR176" s="19">
        <f>+'CCs # Master'!AP162</f>
        <v>5</v>
      </c>
      <c r="AS176" s="19">
        <f>+'CCs # Master'!AQ162</f>
        <v>0</v>
      </c>
      <c r="AT176" s="19">
        <f>+'CCs # Master'!AR162</f>
        <v>0</v>
      </c>
      <c r="AU176" s="19">
        <f>+'CCs # Master'!AS162</f>
        <v>0</v>
      </c>
      <c r="AV176" s="19">
        <f>+'CCs # Master'!AT162</f>
        <v>0</v>
      </c>
      <c r="AW176" s="265"/>
      <c r="AX176" s="21">
        <f t="shared" si="94"/>
        <v>532</v>
      </c>
      <c r="AY176" s="21">
        <f t="shared" si="74"/>
        <v>0</v>
      </c>
      <c r="BA176" s="19">
        <f t="shared" si="75"/>
        <v>86</v>
      </c>
      <c r="BB176" s="19">
        <f t="shared" si="95"/>
        <v>42</v>
      </c>
      <c r="BC176" s="19">
        <f t="shared" si="92"/>
        <v>490</v>
      </c>
      <c r="BE176" s="19">
        <f t="shared" si="93"/>
        <v>532</v>
      </c>
      <c r="BG176" s="234">
        <f t="shared" si="79"/>
        <v>532</v>
      </c>
      <c r="BH176" s="19">
        <f t="shared" si="96"/>
        <v>0</v>
      </c>
    </row>
    <row r="177" spans="1:60" s="19" customFormat="1" ht="12.95" customHeight="1" x14ac:dyDescent="0.2">
      <c r="A177" s="85">
        <f>+'CCs # Master'!A163</f>
        <v>11</v>
      </c>
      <c r="B177" s="226" t="str">
        <f>+'CCs # Master'!B163</f>
        <v>HR Data Mart</v>
      </c>
      <c r="C177" s="226" t="str">
        <f>+'CCs # Master'!C163</f>
        <v>Yowman, A</v>
      </c>
      <c r="D177" s="85">
        <f>+'CCs # Master'!D163</f>
        <v>103082</v>
      </c>
      <c r="E177" s="19">
        <f>+'CCs # Master'!E163</f>
        <v>64</v>
      </c>
      <c r="F177" s="19">
        <f>+'CCs # Master'!F163</f>
        <v>7</v>
      </c>
      <c r="G177" s="19">
        <f>+'CCs # Master'!G163</f>
        <v>2</v>
      </c>
      <c r="H177" s="19">
        <f>+'CCs # Master'!H163</f>
        <v>97</v>
      </c>
      <c r="I177" s="19">
        <f>+'CCs # Master'!I163</f>
        <v>13</v>
      </c>
      <c r="J177" s="19">
        <f>+'CCs # Master'!J163</f>
        <v>18</v>
      </c>
      <c r="K177" s="21">
        <f t="shared" si="72"/>
        <v>201</v>
      </c>
      <c r="M177" s="19" t="str">
        <f>+'CCs # Master'!M163</f>
        <v>% of Global Headcount</v>
      </c>
      <c r="N177" s="19">
        <f>+'CCs # Master'!AW163</f>
        <v>16</v>
      </c>
      <c r="O177" s="19">
        <v>0</v>
      </c>
      <c r="P177" s="19">
        <f>+'CCs # Master'!N163</f>
        <v>2</v>
      </c>
      <c r="Q177" s="19">
        <f>+'CCs # Master'!O163</f>
        <v>5</v>
      </c>
      <c r="R177" s="19">
        <f>+'CCs # Master'!P163</f>
        <v>7</v>
      </c>
      <c r="S177" s="19">
        <f>+'CCs # Master'!Q163</f>
        <v>5</v>
      </c>
      <c r="T177" s="19">
        <f>+'CCs # Master'!R163</f>
        <v>0</v>
      </c>
      <c r="U177" s="19">
        <f>+'CCs # Master'!S163</f>
        <v>0</v>
      </c>
      <c r="V177" s="19">
        <f>+'CCs # Master'!T163</f>
        <v>3</v>
      </c>
      <c r="W177" s="19">
        <f>+'CCs # Master'!U163</f>
        <v>18</v>
      </c>
      <c r="X177" s="19">
        <f>+'CCs # Master'!V163</f>
        <v>4</v>
      </c>
      <c r="Y177" s="19">
        <f>+'CCs # Master'!W163</f>
        <v>0</v>
      </c>
      <c r="Z177" s="19">
        <f>+'CCs # Master'!X163</f>
        <v>25</v>
      </c>
      <c r="AA177" s="19">
        <f>+'CCs # Master'!Y163</f>
        <v>0</v>
      </c>
      <c r="AB177" s="19">
        <f>+'CCs # Master'!Z163</f>
        <v>3</v>
      </c>
      <c r="AC177" s="19">
        <f>+'CCs # Master'!AA163</f>
        <v>1</v>
      </c>
      <c r="AD177" s="19">
        <f>+'CCs # Master'!AB163</f>
        <v>26</v>
      </c>
      <c r="AE177" s="19">
        <f>+'CCs # Master'!AC163</f>
        <v>1</v>
      </c>
      <c r="AF177" s="19">
        <f>+'CCs # Master'!AD163</f>
        <v>23</v>
      </c>
      <c r="AG177" s="19">
        <f>+'CCs # Master'!AE163</f>
        <v>18</v>
      </c>
      <c r="AH177" s="19">
        <f>+'CCs # Master'!AF163</f>
        <v>12</v>
      </c>
      <c r="AI177" s="19">
        <f>+'CCs # Master'!AG163</f>
        <v>0</v>
      </c>
      <c r="AJ177" s="19">
        <f>+'CCs # Master'!AH163</f>
        <v>1</v>
      </c>
      <c r="AK177" s="19">
        <f>+'CCs # Master'!AI163</f>
        <v>3</v>
      </c>
      <c r="AL177" s="19">
        <f>+'CCs # Master'!AJ163</f>
        <v>5</v>
      </c>
      <c r="AM177" s="19">
        <f>+'CCs # Master'!AK163</f>
        <v>2</v>
      </c>
      <c r="AN177" s="19">
        <f>+'CCs # Master'!AL163</f>
        <v>1</v>
      </c>
      <c r="AO177" s="19">
        <f>+'CCs # Master'!AM163</f>
        <v>11</v>
      </c>
      <c r="AP177" s="19">
        <f>+'CCs # Master'!AN163</f>
        <v>0</v>
      </c>
      <c r="AQ177" s="19">
        <f>+'CCs # Master'!AO163</f>
        <v>7</v>
      </c>
      <c r="AR177" s="19">
        <f>+'CCs # Master'!AP163</f>
        <v>2</v>
      </c>
      <c r="AS177" s="19">
        <f>+'CCs # Master'!AQ163</f>
        <v>0</v>
      </c>
      <c r="AT177" s="19">
        <f>+'CCs # Master'!AR163</f>
        <v>0</v>
      </c>
      <c r="AU177" s="19">
        <f>+'CCs # Master'!AS163</f>
        <v>0</v>
      </c>
      <c r="AV177" s="19">
        <f>+'CCs # Master'!AT163</f>
        <v>0</v>
      </c>
      <c r="AW177" s="265"/>
      <c r="AX177" s="21">
        <f t="shared" si="94"/>
        <v>201</v>
      </c>
      <c r="AY177" s="21">
        <f t="shared" si="74"/>
        <v>0</v>
      </c>
      <c r="BA177" s="19">
        <f t="shared" si="75"/>
        <v>32</v>
      </c>
      <c r="BB177" s="19">
        <f t="shared" si="95"/>
        <v>16</v>
      </c>
      <c r="BC177" s="19">
        <f t="shared" si="92"/>
        <v>185</v>
      </c>
      <c r="BE177" s="19">
        <f t="shared" si="93"/>
        <v>201</v>
      </c>
      <c r="BG177" s="234">
        <f t="shared" si="79"/>
        <v>201</v>
      </c>
      <c r="BH177" s="19">
        <f t="shared" si="96"/>
        <v>0</v>
      </c>
    </row>
    <row r="178" spans="1:60" s="19" customFormat="1" ht="12.75" customHeight="1" x14ac:dyDescent="0.2">
      <c r="A178" s="85">
        <f>+'CCs # Master'!A164</f>
        <v>11</v>
      </c>
      <c r="B178" s="226" t="str">
        <f>+'CCs # Master'!B164</f>
        <v>ClickAtHome Program</v>
      </c>
      <c r="C178" s="226" t="str">
        <f>+'CCs # Master'!C164</f>
        <v>Brown, S</v>
      </c>
      <c r="D178" s="85">
        <f>+'CCs # Master'!D164</f>
        <v>103083</v>
      </c>
      <c r="E178" s="19">
        <f>+'CCs # Master'!E164</f>
        <v>0</v>
      </c>
      <c r="F178" s="19">
        <f>+'CCs # Master'!F164</f>
        <v>0</v>
      </c>
      <c r="G178" s="19">
        <f>+'CCs # Master'!G164</f>
        <v>0</v>
      </c>
      <c r="H178" s="19">
        <f>+'CCs # Master'!H164</f>
        <v>11031</v>
      </c>
      <c r="I178" s="19">
        <f>+'CCs # Master'!I164</f>
        <v>0</v>
      </c>
      <c r="J178" s="19">
        <f>+'CCs # Master'!J164</f>
        <v>-8</v>
      </c>
      <c r="K178" s="21">
        <f t="shared" si="72"/>
        <v>11023</v>
      </c>
      <c r="M178" s="19" t="str">
        <f>+'CCs # Master'!M164</f>
        <v>% of Global Headcount</v>
      </c>
      <c r="N178" s="19">
        <f>+'CCs # Master'!AW164</f>
        <v>933</v>
      </c>
      <c r="O178" s="19">
        <v>0</v>
      </c>
      <c r="P178" s="19">
        <f>+'CCs # Master'!N164</f>
        <v>142</v>
      </c>
      <c r="Q178" s="19">
        <f>+'CCs # Master'!O164</f>
        <v>270</v>
      </c>
      <c r="R178" s="19">
        <f>+'CCs # Master'!P164</f>
        <v>407</v>
      </c>
      <c r="S178" s="19">
        <f>+'CCs # Master'!Q164</f>
        <v>305</v>
      </c>
      <c r="T178" s="19">
        <f>+'CCs # Master'!R164</f>
        <v>28</v>
      </c>
      <c r="U178" s="19">
        <f>+'CCs # Master'!S164</f>
        <v>0</v>
      </c>
      <c r="V178" s="19">
        <f>+'CCs # Master'!T164</f>
        <v>162</v>
      </c>
      <c r="W178" s="19">
        <f>+'CCs # Master'!U164</f>
        <v>1047</v>
      </c>
      <c r="X178" s="19">
        <f>+'CCs # Master'!V164</f>
        <v>201</v>
      </c>
      <c r="Y178" s="19">
        <f>+'CCs # Master'!W164</f>
        <v>80</v>
      </c>
      <c r="Z178" s="19">
        <f>+'CCs # Master'!X164</f>
        <v>1483</v>
      </c>
      <c r="AA178" s="19">
        <f>+'CCs # Master'!Y164</f>
        <v>13</v>
      </c>
      <c r="AB178" s="19">
        <f>+'CCs # Master'!Z164</f>
        <v>163</v>
      </c>
      <c r="AC178" s="19">
        <f>+'CCs # Master'!AA164</f>
        <v>33</v>
      </c>
      <c r="AD178" s="19">
        <f>+'CCs # Master'!AB164</f>
        <v>1512</v>
      </c>
      <c r="AE178" s="19">
        <f>+'CCs # Master'!AC164</f>
        <v>66</v>
      </c>
      <c r="AF178" s="19">
        <f>+'CCs # Master'!AD164</f>
        <v>1358</v>
      </c>
      <c r="AG178" s="19">
        <f>+'CCs # Master'!AE164</f>
        <v>1038</v>
      </c>
      <c r="AH178" s="19">
        <f>+'CCs # Master'!AF164</f>
        <v>0</v>
      </c>
      <c r="AI178" s="19">
        <f>+'CCs # Master'!AG164</f>
        <v>0</v>
      </c>
      <c r="AJ178" s="19">
        <f>+'CCs # Master'!AH164</f>
        <v>72</v>
      </c>
      <c r="AK178" s="19">
        <f>+'CCs # Master'!AI164</f>
        <v>207</v>
      </c>
      <c r="AL178" s="19">
        <f>+'CCs # Master'!AJ164</f>
        <v>311</v>
      </c>
      <c r="AM178" s="19">
        <f>+'CCs # Master'!AK164</f>
        <v>0</v>
      </c>
      <c r="AN178" s="19">
        <f>+'CCs # Master'!AL164</f>
        <v>31</v>
      </c>
      <c r="AO178" s="19">
        <f>+'CCs # Master'!AM164</f>
        <v>667</v>
      </c>
      <c r="AP178" s="19">
        <f>+'CCs # Master'!AN164</f>
        <v>0</v>
      </c>
      <c r="AQ178" s="19">
        <f>+'CCs # Master'!AO164</f>
        <v>389</v>
      </c>
      <c r="AR178" s="19">
        <f>+'CCs # Master'!AP164</f>
        <v>105</v>
      </c>
      <c r="AS178" s="19">
        <f>+'CCs # Master'!AQ164</f>
        <v>0</v>
      </c>
      <c r="AT178" s="19">
        <f>+'CCs # Master'!AR164</f>
        <v>0</v>
      </c>
      <c r="AU178" s="19">
        <f>+'CCs # Master'!AS164</f>
        <v>0</v>
      </c>
      <c r="AV178" s="19">
        <f>+'CCs # Master'!AT164</f>
        <v>0</v>
      </c>
      <c r="AW178" s="265"/>
      <c r="AX178" s="21">
        <f t="shared" si="94"/>
        <v>11023</v>
      </c>
      <c r="AY178" s="21">
        <f t="shared" si="74"/>
        <v>0</v>
      </c>
      <c r="BA178" s="19">
        <f t="shared" si="75"/>
        <v>1930</v>
      </c>
      <c r="BB178" s="19">
        <f t="shared" si="95"/>
        <v>933</v>
      </c>
      <c r="BC178" s="19">
        <f t="shared" si="92"/>
        <v>10090</v>
      </c>
      <c r="BE178" s="19">
        <f t="shared" si="93"/>
        <v>11023</v>
      </c>
      <c r="BG178" s="234">
        <f t="shared" si="79"/>
        <v>11023</v>
      </c>
      <c r="BH178" s="19">
        <f t="shared" si="96"/>
        <v>0</v>
      </c>
    </row>
    <row r="179" spans="1:60" s="19" customFormat="1" ht="12.95" customHeight="1" x14ac:dyDescent="0.2">
      <c r="A179" s="85">
        <f>+'CCs # Master'!A181</f>
        <v>11</v>
      </c>
      <c r="B179" s="226" t="str">
        <f>+'CCs # Master'!B181</f>
        <v>Personic Operations</v>
      </c>
      <c r="C179" s="226" t="str">
        <f>+'CCs # Master'!C181</f>
        <v>O'Dell, David</v>
      </c>
      <c r="D179" s="85">
        <f>+'CCs # Master'!D181</f>
        <v>103218</v>
      </c>
      <c r="E179" s="19">
        <f>+'CCs # Master'!E181</f>
        <v>289</v>
      </c>
      <c r="F179" s="19">
        <f>+'CCs # Master'!F181</f>
        <v>5</v>
      </c>
      <c r="G179" s="19">
        <f>+'CCs # Master'!G181</f>
        <v>6</v>
      </c>
      <c r="H179" s="19">
        <f>+'CCs # Master'!H181</f>
        <v>6</v>
      </c>
      <c r="I179" s="19">
        <f>+'CCs # Master'!I181</f>
        <v>162</v>
      </c>
      <c r="J179" s="19">
        <f>+'CCs # Master'!J181</f>
        <v>-300</v>
      </c>
      <c r="K179" s="21">
        <f t="shared" si="72"/>
        <v>168</v>
      </c>
      <c r="M179" s="19" t="str">
        <f>+'CCs # Master'!M181</f>
        <v>% of Domestic Headcount</v>
      </c>
      <c r="N179" s="19">
        <f>+'CCs # Master'!AW181</f>
        <v>17</v>
      </c>
      <c r="O179" s="19">
        <v>0</v>
      </c>
      <c r="P179" s="19">
        <f>+'CCs # Master'!N181</f>
        <v>3</v>
      </c>
      <c r="Q179" s="19">
        <f>+'CCs # Master'!O181</f>
        <v>5</v>
      </c>
      <c r="R179" s="19">
        <f>+'CCs # Master'!P181</f>
        <v>5</v>
      </c>
      <c r="S179" s="19">
        <f>+'CCs # Master'!Q181</f>
        <v>6</v>
      </c>
      <c r="T179" s="19">
        <f>+'CCs # Master'!R181</f>
        <v>1</v>
      </c>
      <c r="U179" s="19">
        <f>+'CCs # Master'!S181</f>
        <v>0</v>
      </c>
      <c r="V179" s="19">
        <f>+'CCs # Master'!T181</f>
        <v>3</v>
      </c>
      <c r="W179" s="19">
        <f>+'CCs # Master'!U181</f>
        <v>20</v>
      </c>
      <c r="X179" s="19">
        <f>+'CCs # Master'!V181</f>
        <v>4</v>
      </c>
      <c r="Y179" s="19">
        <f>+'CCs # Master'!W181</f>
        <v>2</v>
      </c>
      <c r="Z179" s="19">
        <f>+'CCs # Master'!X181</f>
        <v>27</v>
      </c>
      <c r="AA179" s="19">
        <f>+'CCs # Master'!Y181</f>
        <v>0</v>
      </c>
      <c r="AB179" s="19">
        <f>+'CCs # Master'!Z181</f>
        <v>3</v>
      </c>
      <c r="AC179" s="19">
        <f>+'CCs # Master'!AA181</f>
        <v>1</v>
      </c>
      <c r="AD179" s="19">
        <f>+'CCs # Master'!AB181</f>
        <v>0</v>
      </c>
      <c r="AE179" s="19">
        <f>+'CCs # Master'!AC181</f>
        <v>1</v>
      </c>
      <c r="AF179" s="19">
        <f>+'CCs # Master'!AD181</f>
        <v>24</v>
      </c>
      <c r="AG179" s="19">
        <f>+'CCs # Master'!AE181</f>
        <v>19</v>
      </c>
      <c r="AH179" s="19">
        <f>+'CCs # Master'!AF181</f>
        <v>0</v>
      </c>
      <c r="AI179" s="19">
        <f>+'CCs # Master'!AG181</f>
        <v>0</v>
      </c>
      <c r="AJ179" s="19">
        <f>+'CCs # Master'!AH181</f>
        <v>1</v>
      </c>
      <c r="AK179" s="19">
        <f>+'CCs # Master'!AI181</f>
        <v>1</v>
      </c>
      <c r="AL179" s="19">
        <f>+'CCs # Master'!AJ181</f>
        <v>1</v>
      </c>
      <c r="AM179" s="19">
        <f>+'CCs # Master'!AK181</f>
        <v>2</v>
      </c>
      <c r="AN179" s="19">
        <f>+'CCs # Master'!AL181</f>
        <v>1</v>
      </c>
      <c r="AO179" s="19">
        <f>+'CCs # Master'!AM181</f>
        <v>12</v>
      </c>
      <c r="AP179" s="19">
        <f>+'CCs # Master'!AN181</f>
        <v>0</v>
      </c>
      <c r="AQ179" s="19">
        <f>+'CCs # Master'!AO181</f>
        <v>7</v>
      </c>
      <c r="AR179" s="19">
        <f>+'CCs # Master'!AP181</f>
        <v>2</v>
      </c>
      <c r="AS179" s="19">
        <f>+'CCs # Master'!AQ181</f>
        <v>0</v>
      </c>
      <c r="AT179" s="19">
        <f>+'CCs # Master'!AR181</f>
        <v>0</v>
      </c>
      <c r="AU179" s="19">
        <f>+'CCs # Master'!AS181</f>
        <v>0</v>
      </c>
      <c r="AV179" s="19">
        <f>+'CCs # Master'!AT181</f>
        <v>0</v>
      </c>
      <c r="AW179" s="265"/>
      <c r="AX179" s="21">
        <f t="shared" si="94"/>
        <v>168</v>
      </c>
      <c r="AY179" s="21">
        <f t="shared" si="74"/>
        <v>0</v>
      </c>
      <c r="BA179" s="19">
        <f t="shared" si="75"/>
        <v>38</v>
      </c>
      <c r="BB179" s="19">
        <f t="shared" si="95"/>
        <v>17</v>
      </c>
      <c r="BC179" s="19">
        <f t="shared" si="92"/>
        <v>151</v>
      </c>
      <c r="BE179" s="19">
        <f t="shared" si="93"/>
        <v>168</v>
      </c>
      <c r="BG179" s="234">
        <f t="shared" si="79"/>
        <v>168</v>
      </c>
      <c r="BH179" s="19">
        <f t="shared" si="96"/>
        <v>0</v>
      </c>
    </row>
    <row r="180" spans="1:60" s="19" customFormat="1" ht="12.95" customHeight="1" x14ac:dyDescent="0.2">
      <c r="A180" s="85">
        <f>+'CCs # Master'!A189</f>
        <v>11</v>
      </c>
      <c r="B180" s="226" t="str">
        <f>+'CCs # Master'!B189</f>
        <v>HR Communications</v>
      </c>
      <c r="C180" s="226" t="str">
        <f>+'CCs # Master'!C189</f>
        <v>Olson, Cindy</v>
      </c>
      <c r="D180" s="85">
        <f>+'CCs # Master'!D189</f>
        <v>103384</v>
      </c>
      <c r="E180" s="19">
        <f>+'CCs # Master'!E189</f>
        <v>278</v>
      </c>
      <c r="F180" s="19">
        <f>+'CCs # Master'!F189</f>
        <v>5</v>
      </c>
      <c r="G180" s="19">
        <f>+'CCs # Master'!G189</f>
        <v>5</v>
      </c>
      <c r="H180" s="19">
        <f>+'CCs # Master'!H189</f>
        <v>43</v>
      </c>
      <c r="I180" s="19">
        <f>+'CCs # Master'!I189</f>
        <v>68</v>
      </c>
      <c r="J180" s="19">
        <f>+'CCs # Master'!J189</f>
        <v>-99</v>
      </c>
      <c r="K180" s="21">
        <f t="shared" si="72"/>
        <v>300</v>
      </c>
      <c r="M180" s="19" t="str">
        <f>+'CCs # Master'!M189</f>
        <v>% Domestic Headcount</v>
      </c>
      <c r="N180" s="19">
        <f>+'CCs # Master'!AW189</f>
        <v>30</v>
      </c>
      <c r="O180" s="19">
        <v>0</v>
      </c>
      <c r="P180" s="19">
        <f>+'CCs # Master'!N189</f>
        <v>5</v>
      </c>
      <c r="Q180" s="19">
        <f>+'CCs # Master'!O189</f>
        <v>9</v>
      </c>
      <c r="R180" s="19">
        <f>+'CCs # Master'!P189</f>
        <v>10</v>
      </c>
      <c r="S180" s="19">
        <f>+'CCs # Master'!Q189</f>
        <v>10</v>
      </c>
      <c r="T180" s="19">
        <f>+'CCs # Master'!R189</f>
        <v>1</v>
      </c>
      <c r="U180" s="19">
        <f>+'CCs # Master'!S189</f>
        <v>0</v>
      </c>
      <c r="V180" s="19">
        <f>+'CCs # Master'!T189</f>
        <v>5</v>
      </c>
      <c r="W180" s="19">
        <f>+'CCs # Master'!U189</f>
        <v>35</v>
      </c>
      <c r="X180" s="19">
        <f>+'CCs # Master'!V189</f>
        <v>7</v>
      </c>
      <c r="Y180" s="19">
        <f>+'CCs # Master'!W189</f>
        <v>3</v>
      </c>
      <c r="Z180" s="19">
        <f>+'CCs # Master'!X189</f>
        <v>49</v>
      </c>
      <c r="AA180" s="19">
        <f>+'CCs # Master'!Y189</f>
        <v>0</v>
      </c>
      <c r="AB180" s="19">
        <f>+'CCs # Master'!Z189</f>
        <v>5</v>
      </c>
      <c r="AC180" s="19">
        <f>+'CCs # Master'!AA189</f>
        <v>1</v>
      </c>
      <c r="AD180" s="19">
        <f>+'CCs # Master'!AB189</f>
        <v>0</v>
      </c>
      <c r="AE180" s="19">
        <f>+'CCs # Master'!AC189</f>
        <v>2</v>
      </c>
      <c r="AF180" s="19">
        <f>+'CCs # Master'!AD189</f>
        <v>44</v>
      </c>
      <c r="AG180" s="19">
        <f>+'CCs # Master'!AE189</f>
        <v>36</v>
      </c>
      <c r="AH180" s="19">
        <f>+'CCs # Master'!AF189</f>
        <v>0</v>
      </c>
      <c r="AI180" s="19">
        <f>+'CCs # Master'!AG189</f>
        <v>0</v>
      </c>
      <c r="AJ180" s="19">
        <f>+'CCs # Master'!AH189</f>
        <v>2</v>
      </c>
      <c r="AK180" s="19">
        <f>+'CCs # Master'!AI189</f>
        <v>2</v>
      </c>
      <c r="AL180" s="19">
        <f>+'CCs # Master'!AJ189</f>
        <v>1</v>
      </c>
      <c r="AM180" s="19">
        <f>+'CCs # Master'!AK189</f>
        <v>3</v>
      </c>
      <c r="AN180" s="19">
        <f>+'CCs # Master'!AL189</f>
        <v>1</v>
      </c>
      <c r="AO180" s="19">
        <f>+'CCs # Master'!AM189</f>
        <v>22</v>
      </c>
      <c r="AP180" s="19">
        <f>+'CCs # Master'!AN189</f>
        <v>0</v>
      </c>
      <c r="AQ180" s="19">
        <f>+'CCs # Master'!AO189</f>
        <v>13</v>
      </c>
      <c r="AR180" s="19">
        <f>+'CCs # Master'!AP189</f>
        <v>4</v>
      </c>
      <c r="AS180" s="19">
        <f>+'CCs # Master'!AQ189</f>
        <v>0</v>
      </c>
      <c r="AT180" s="19">
        <f>+'CCs # Master'!AR189</f>
        <v>0</v>
      </c>
      <c r="AU180" s="19">
        <f>+'CCs # Master'!AS189</f>
        <v>0</v>
      </c>
      <c r="AV180" s="19">
        <f>+'CCs # Master'!AT189</f>
        <v>0</v>
      </c>
      <c r="AW180" s="265"/>
      <c r="AX180" s="21">
        <f>SUM(N180:AW180)</f>
        <v>300</v>
      </c>
      <c r="AY180" s="21">
        <f>+K180-AX180</f>
        <v>0</v>
      </c>
      <c r="BA180" s="19">
        <f t="shared" si="75"/>
        <v>65</v>
      </c>
      <c r="BB180" s="19">
        <f>N180</f>
        <v>30</v>
      </c>
      <c r="BC180" s="19">
        <f>SUM(P180:AW180)</f>
        <v>270</v>
      </c>
      <c r="BE180" s="19">
        <f t="shared" si="93"/>
        <v>300</v>
      </c>
      <c r="BG180" s="234"/>
    </row>
    <row r="181" spans="1:60" s="19" customFormat="1" ht="12.95" customHeight="1" x14ac:dyDescent="0.2">
      <c r="A181" s="85">
        <f>+'CCs # Master'!A183</f>
        <v>11</v>
      </c>
      <c r="B181" s="226" t="str">
        <f>+'CCs # Master'!B183</f>
        <v>WorkLife Programs</v>
      </c>
      <c r="C181" s="226" t="str">
        <f>+'CCs # Master'!C183</f>
        <v>Roman deMeza, MaryAnn</v>
      </c>
      <c r="D181" s="85">
        <f>+'CCs # Master'!D183</f>
        <v>103230</v>
      </c>
      <c r="E181" s="19">
        <f>+'CCs # Master'!E183</f>
        <v>0</v>
      </c>
      <c r="F181" s="19">
        <f>+'CCs # Master'!F183</f>
        <v>0</v>
      </c>
      <c r="G181" s="19">
        <f>+'CCs # Master'!G183</f>
        <v>3</v>
      </c>
      <c r="H181" s="19">
        <f>+'CCs # Master'!H183</f>
        <v>4</v>
      </c>
      <c r="I181" s="19">
        <f>+'CCs # Master'!I183</f>
        <v>135</v>
      </c>
      <c r="J181" s="19">
        <f>+'CCs # Master'!J183</f>
        <v>108</v>
      </c>
      <c r="K181" s="21">
        <f t="shared" si="72"/>
        <v>250</v>
      </c>
      <c r="M181" s="19" t="str">
        <f>+'CCs # Master'!M183</f>
        <v>% of Downtown Headcount</v>
      </c>
      <c r="N181" s="19">
        <f>+'CCs # Master'!AW183</f>
        <v>28</v>
      </c>
      <c r="O181" s="19">
        <v>0</v>
      </c>
      <c r="P181" s="19">
        <f>+'CCs # Master'!N183</f>
        <v>4</v>
      </c>
      <c r="Q181" s="19">
        <f>+'CCs # Master'!O183</f>
        <v>8</v>
      </c>
      <c r="R181" s="19">
        <f>+'CCs # Master'!P183</f>
        <v>18</v>
      </c>
      <c r="S181" s="19">
        <f>+'CCs # Master'!Q183</f>
        <v>0</v>
      </c>
      <c r="T181" s="19">
        <f>+'CCs # Master'!R183</f>
        <v>1</v>
      </c>
      <c r="U181" s="19">
        <f>+'CCs # Master'!S183</f>
        <v>0</v>
      </c>
      <c r="V181" s="19">
        <f>+'CCs # Master'!T183</f>
        <v>5</v>
      </c>
      <c r="W181" s="19">
        <f>+'CCs # Master'!U183</f>
        <v>24</v>
      </c>
      <c r="X181" s="19">
        <f>+'CCs # Master'!V183</f>
        <v>9</v>
      </c>
      <c r="Y181" s="19">
        <f>+'CCs # Master'!W183</f>
        <v>0</v>
      </c>
      <c r="Z181" s="19">
        <f>+'CCs # Master'!X183</f>
        <v>39</v>
      </c>
      <c r="AA181" s="19">
        <f>+'CCs # Master'!Y183</f>
        <v>0</v>
      </c>
      <c r="AB181" s="19">
        <f>+'CCs # Master'!Z183</f>
        <v>5</v>
      </c>
      <c r="AC181" s="19">
        <f>+'CCs # Master'!AA183</f>
        <v>1</v>
      </c>
      <c r="AD181" s="19">
        <f>+'CCs # Master'!AB183</f>
        <v>1</v>
      </c>
      <c r="AE181" s="19">
        <f>+'CCs # Master'!AC183</f>
        <v>2</v>
      </c>
      <c r="AF181" s="19">
        <f>+'CCs # Master'!AD183</f>
        <v>25</v>
      </c>
      <c r="AG181" s="19">
        <f>+'CCs # Master'!AE183</f>
        <v>33</v>
      </c>
      <c r="AH181" s="19">
        <f>+'CCs # Master'!AF183</f>
        <v>11</v>
      </c>
      <c r="AI181" s="19">
        <f>+'CCs # Master'!AG183</f>
        <v>2</v>
      </c>
      <c r="AJ181" s="19">
        <f>+'CCs # Master'!AH183</f>
        <v>2</v>
      </c>
      <c r="AK181" s="19">
        <f>+'CCs # Master'!AI183</f>
        <v>2</v>
      </c>
      <c r="AL181" s="19">
        <f>+'CCs # Master'!AJ183</f>
        <v>1</v>
      </c>
      <c r="AM181" s="19">
        <f>+'CCs # Master'!AK183</f>
        <v>3</v>
      </c>
      <c r="AN181" s="19">
        <f>+'CCs # Master'!AL183</f>
        <v>5</v>
      </c>
      <c r="AO181" s="19">
        <f>+'CCs # Master'!AM183</f>
        <v>21</v>
      </c>
      <c r="AP181" s="19">
        <f>+'CCs # Master'!AN183</f>
        <v>0</v>
      </c>
      <c r="AQ181" s="19">
        <f>+'CCs # Master'!AO183</f>
        <v>0</v>
      </c>
      <c r="AR181" s="19">
        <f>+'CCs # Master'!AP183</f>
        <v>0</v>
      </c>
      <c r="AS181" s="19">
        <f>+'CCs # Master'!AQ183</f>
        <v>0</v>
      </c>
      <c r="AT181" s="19">
        <f>+'CCs # Master'!AR183</f>
        <v>0</v>
      </c>
      <c r="AU181" s="19">
        <f>+'CCs # Master'!AS183</f>
        <v>0</v>
      </c>
      <c r="AV181" s="19">
        <f>+'CCs # Master'!AT183</f>
        <v>0</v>
      </c>
      <c r="AW181"/>
      <c r="AX181" s="21">
        <f t="shared" si="94"/>
        <v>250</v>
      </c>
      <c r="AY181" s="21">
        <f t="shared" si="74"/>
        <v>0</v>
      </c>
      <c r="BA181" s="19">
        <f t="shared" si="75"/>
        <v>51</v>
      </c>
      <c r="BB181" s="19">
        <f t="shared" si="95"/>
        <v>28</v>
      </c>
      <c r="BC181" s="227">
        <f t="shared" si="92"/>
        <v>222</v>
      </c>
      <c r="BE181" s="227">
        <f t="shared" si="93"/>
        <v>250</v>
      </c>
      <c r="BG181" s="249">
        <f t="shared" si="79"/>
        <v>250</v>
      </c>
      <c r="BH181" s="19">
        <f t="shared" si="96"/>
        <v>0</v>
      </c>
    </row>
    <row r="182" spans="1:60" s="19" customFormat="1" ht="8.1" customHeight="1" x14ac:dyDescent="0.2">
      <c r="A182" s="85"/>
      <c r="D182" s="205"/>
      <c r="E182" s="191"/>
      <c r="F182" s="191"/>
      <c r="G182" s="191"/>
      <c r="H182" s="191"/>
      <c r="I182" s="191"/>
      <c r="J182" s="191"/>
      <c r="K182" s="191"/>
      <c r="N182" s="191"/>
      <c r="O182" s="191"/>
      <c r="P182" s="191"/>
      <c r="Q182" s="191"/>
      <c r="R182" s="191"/>
      <c r="S182" s="191"/>
      <c r="T182" s="191"/>
      <c r="U182" s="191"/>
      <c r="V182" s="191"/>
      <c r="W182" s="191"/>
      <c r="X182" s="191"/>
      <c r="Y182" s="191"/>
      <c r="Z182" s="191"/>
      <c r="AA182" s="191"/>
      <c r="AB182" s="191"/>
      <c r="AC182" s="191"/>
      <c r="AD182" s="191"/>
      <c r="AE182" s="191"/>
      <c r="AF182" s="191"/>
      <c r="AG182" s="191"/>
      <c r="AH182" s="191"/>
      <c r="AI182" s="191"/>
      <c r="AJ182" s="191"/>
      <c r="AK182" s="191"/>
      <c r="AL182" s="191"/>
      <c r="AM182" s="191"/>
      <c r="AN182" s="191"/>
      <c r="AO182" s="191"/>
      <c r="AP182" s="191"/>
      <c r="AQ182" s="191"/>
      <c r="AR182" s="191"/>
      <c r="AS182" s="191"/>
      <c r="AT182" s="191"/>
      <c r="AU182" s="191"/>
      <c r="AV182" s="191"/>
      <c r="AW182"/>
      <c r="AX182" s="191"/>
      <c r="AY182" s="191"/>
      <c r="BA182" s="191"/>
      <c r="BB182" s="191"/>
      <c r="BG182" s="234"/>
    </row>
    <row r="183" spans="1:60" s="19" customFormat="1" ht="12.95" customHeight="1" x14ac:dyDescent="0.2">
      <c r="A183" s="85"/>
      <c r="D183" s="205"/>
      <c r="E183" s="227">
        <f t="shared" ref="E183:K183" si="97">SUM(E149:E181)</f>
        <v>8341</v>
      </c>
      <c r="F183" s="227">
        <f t="shared" si="97"/>
        <v>1268</v>
      </c>
      <c r="G183" s="227">
        <f t="shared" si="97"/>
        <v>689</v>
      </c>
      <c r="H183" s="227">
        <f t="shared" si="97"/>
        <v>14658</v>
      </c>
      <c r="I183" s="227">
        <f t="shared" si="97"/>
        <v>2783</v>
      </c>
      <c r="J183" s="227">
        <f t="shared" si="97"/>
        <v>-2734</v>
      </c>
      <c r="K183" s="227">
        <f t="shared" si="97"/>
        <v>25005</v>
      </c>
      <c r="N183" s="227">
        <f t="shared" ref="N183:BE183" si="98">SUM(N149:N181)</f>
        <v>3461</v>
      </c>
      <c r="O183" s="227">
        <f t="shared" si="98"/>
        <v>0</v>
      </c>
      <c r="P183" s="227">
        <f t="shared" si="98"/>
        <v>338</v>
      </c>
      <c r="Q183" s="227">
        <f t="shared" si="98"/>
        <v>617</v>
      </c>
      <c r="R183" s="227">
        <f t="shared" si="98"/>
        <v>868</v>
      </c>
      <c r="S183" s="227">
        <f t="shared" si="98"/>
        <v>642</v>
      </c>
      <c r="T183" s="227">
        <f t="shared" si="98"/>
        <v>91</v>
      </c>
      <c r="U183" s="227">
        <f t="shared" si="98"/>
        <v>0</v>
      </c>
      <c r="V183" s="227">
        <f t="shared" si="98"/>
        <v>365</v>
      </c>
      <c r="W183" s="227">
        <f t="shared" si="98"/>
        <v>2293</v>
      </c>
      <c r="X183" s="227">
        <f t="shared" si="98"/>
        <v>536</v>
      </c>
      <c r="Y183" s="227">
        <f t="shared" si="98"/>
        <v>151</v>
      </c>
      <c r="Z183" s="227">
        <f t="shared" si="98"/>
        <v>3671</v>
      </c>
      <c r="AA183" s="227">
        <f t="shared" si="98"/>
        <v>28</v>
      </c>
      <c r="AB183" s="227">
        <f t="shared" si="98"/>
        <v>354</v>
      </c>
      <c r="AC183" s="227">
        <f t="shared" si="98"/>
        <v>88</v>
      </c>
      <c r="AD183" s="227">
        <f t="shared" si="98"/>
        <v>1674</v>
      </c>
      <c r="AE183" s="227">
        <f t="shared" si="98"/>
        <v>166</v>
      </c>
      <c r="AF183" s="227">
        <f t="shared" si="98"/>
        <v>3075</v>
      </c>
      <c r="AG183" s="227">
        <f t="shared" si="98"/>
        <v>2466</v>
      </c>
      <c r="AH183" s="227">
        <f t="shared" si="98"/>
        <v>92</v>
      </c>
      <c r="AI183" s="227">
        <f t="shared" si="98"/>
        <v>46</v>
      </c>
      <c r="AJ183" s="227">
        <f t="shared" si="98"/>
        <v>188</v>
      </c>
      <c r="AK183" s="227">
        <f t="shared" si="98"/>
        <v>333</v>
      </c>
      <c r="AL183" s="227">
        <f t="shared" si="98"/>
        <v>388</v>
      </c>
      <c r="AM183" s="227">
        <f t="shared" si="98"/>
        <v>136</v>
      </c>
      <c r="AN183" s="227">
        <f t="shared" si="98"/>
        <v>139</v>
      </c>
      <c r="AO183" s="227">
        <f t="shared" si="98"/>
        <v>1753</v>
      </c>
      <c r="AP183" s="227">
        <f t="shared" si="98"/>
        <v>0</v>
      </c>
      <c r="AQ183" s="227">
        <f t="shared" si="98"/>
        <v>822</v>
      </c>
      <c r="AR183" s="227">
        <f t="shared" si="98"/>
        <v>224</v>
      </c>
      <c r="AS183" s="227">
        <f t="shared" si="98"/>
        <v>0</v>
      </c>
      <c r="AT183" s="227">
        <f t="shared" si="98"/>
        <v>0</v>
      </c>
      <c r="AU183" s="227">
        <f t="shared" si="98"/>
        <v>0</v>
      </c>
      <c r="AV183" s="227">
        <f t="shared" si="98"/>
        <v>0</v>
      </c>
      <c r="AX183" s="227">
        <f t="shared" si="98"/>
        <v>25005</v>
      </c>
      <c r="AY183" s="227">
        <f t="shared" si="98"/>
        <v>0</v>
      </c>
      <c r="BA183" s="227">
        <f t="shared" si="98"/>
        <v>4391</v>
      </c>
      <c r="BB183" s="227">
        <f t="shared" si="98"/>
        <v>3461</v>
      </c>
      <c r="BC183" s="227">
        <f t="shared" si="98"/>
        <v>21544</v>
      </c>
      <c r="BE183" s="227">
        <f t="shared" si="98"/>
        <v>25005</v>
      </c>
      <c r="BG183" s="249">
        <f>SUM(BG138:BG182)</f>
        <v>38683</v>
      </c>
      <c r="BH183" s="19">
        <f>SUM(BH138:BH182)</f>
        <v>0</v>
      </c>
    </row>
    <row r="184" spans="1:60" s="19" customFormat="1" ht="8.1" customHeight="1" x14ac:dyDescent="0.2">
      <c r="A184" s="85"/>
      <c r="D184" s="205"/>
      <c r="AW184"/>
      <c r="AX184" s="21"/>
      <c r="AY184" s="21"/>
      <c r="BG184" s="234"/>
    </row>
    <row r="185" spans="1:60" s="19" customFormat="1" ht="12.75" customHeight="1" x14ac:dyDescent="0.2">
      <c r="A185" s="207" t="s">
        <v>539</v>
      </c>
      <c r="D185" s="205"/>
      <c r="AW185"/>
      <c r="AX185" s="21"/>
      <c r="AY185" s="21"/>
      <c r="BG185" s="234"/>
    </row>
    <row r="186" spans="1:60" s="19" customFormat="1" ht="12.95" customHeight="1" x14ac:dyDescent="0.2">
      <c r="A186" s="85">
        <f>+'CCs # Master'!A120</f>
        <v>11</v>
      </c>
      <c r="B186" s="19" t="str">
        <f>+'CCs # Master'!B120</f>
        <v>A&amp;A Recruits Expenses</v>
      </c>
      <c r="C186" s="19" t="str">
        <f>+'CCs # Master'!C120</f>
        <v>Roberts, Celeste</v>
      </c>
      <c r="D186" s="205">
        <f>+'CCs # Master'!D120</f>
        <v>100806</v>
      </c>
      <c r="E186" s="19">
        <f>+'CCs # Master'!E120</f>
        <v>50428</v>
      </c>
      <c r="F186" s="19">
        <f>+'CCs # Master'!F120</f>
        <v>1103</v>
      </c>
      <c r="G186" s="19">
        <f>+'CCs # Master'!G120</f>
        <v>0</v>
      </c>
      <c r="H186" s="19">
        <f>+'CCs # Master'!H120</f>
        <v>0</v>
      </c>
      <c r="I186" s="19">
        <f>+'CCs # Master'!I120</f>
        <v>0</v>
      </c>
      <c r="J186" s="19">
        <f>+'CCs # Master'!J120</f>
        <v>0</v>
      </c>
      <c r="K186" s="21">
        <f t="shared" ref="K186:K191" si="99">SUM(E186:J186)</f>
        <v>51531</v>
      </c>
      <c r="M186" s="19" t="str">
        <f>+'CCs # Master'!M120</f>
        <v>Allocated based on Analyst &amp; Assoc used</v>
      </c>
      <c r="N186" s="19">
        <f>+'CCs # Master'!AW120</f>
        <v>0</v>
      </c>
      <c r="O186" s="19">
        <f>'CCs # Master'!AX120</f>
        <v>51531</v>
      </c>
      <c r="P186" s="19">
        <f>+'CCs # Master'!N120</f>
        <v>0</v>
      </c>
      <c r="Q186" s="19">
        <f>+'CCs # Master'!O120</f>
        <v>0</v>
      </c>
      <c r="R186" s="19">
        <f>+'CCs # Master'!P120</f>
        <v>0</v>
      </c>
      <c r="S186" s="19">
        <f>+'CCs # Master'!Q120</f>
        <v>0</v>
      </c>
      <c r="T186" s="19">
        <f>+'CCs # Master'!R120</f>
        <v>0</v>
      </c>
      <c r="U186" s="19">
        <f>+'CCs # Master'!S120</f>
        <v>0</v>
      </c>
      <c r="V186" s="19">
        <f>+'CCs # Master'!T120</f>
        <v>0</v>
      </c>
      <c r="W186" s="19">
        <f>+'CCs # Master'!U120</f>
        <v>0</v>
      </c>
      <c r="X186" s="19">
        <f>+'CCs # Master'!V120</f>
        <v>0</v>
      </c>
      <c r="Y186" s="19">
        <f>+'CCs # Master'!W120</f>
        <v>0</v>
      </c>
      <c r="Z186" s="19">
        <f>+'CCs # Master'!X120</f>
        <v>0</v>
      </c>
      <c r="AA186" s="19">
        <f>+'CCs # Master'!Y120</f>
        <v>0</v>
      </c>
      <c r="AB186" s="19">
        <f>+'CCs # Master'!Z120</f>
        <v>0</v>
      </c>
      <c r="AC186" s="19">
        <f>+'CCs # Master'!AA120</f>
        <v>0</v>
      </c>
      <c r="AD186" s="19">
        <f>+'CCs # Master'!AB120</f>
        <v>0</v>
      </c>
      <c r="AE186" s="19">
        <f>+'CCs # Master'!AC120</f>
        <v>0</v>
      </c>
      <c r="AF186" s="19">
        <f>+'CCs # Master'!AD120</f>
        <v>0</v>
      </c>
      <c r="AG186" s="19">
        <f>+'CCs # Master'!AE120</f>
        <v>0</v>
      </c>
      <c r="AH186" s="19">
        <f>+'CCs # Master'!AF120</f>
        <v>0</v>
      </c>
      <c r="AI186" s="19">
        <f>+'CCs # Master'!AG120</f>
        <v>0</v>
      </c>
      <c r="AJ186" s="19">
        <f>+'CCs # Master'!AH120</f>
        <v>0</v>
      </c>
      <c r="AK186" s="19">
        <f>+'CCs # Master'!AI120</f>
        <v>0</v>
      </c>
      <c r="AL186" s="19">
        <f>+'CCs # Master'!AJ120</f>
        <v>0</v>
      </c>
      <c r="AM186" s="19">
        <f>+'CCs # Master'!AK120</f>
        <v>0</v>
      </c>
      <c r="AN186" s="19">
        <f>+'CCs # Master'!AL120</f>
        <v>0</v>
      </c>
      <c r="AO186" s="19">
        <f>+'CCs # Master'!AM120</f>
        <v>0</v>
      </c>
      <c r="AP186" s="19">
        <f>+'CCs # Master'!AN120</f>
        <v>0</v>
      </c>
      <c r="AQ186" s="19">
        <f>+'CCs # Master'!AO120</f>
        <v>0</v>
      </c>
      <c r="AR186" s="19">
        <f>+'CCs # Master'!AP120</f>
        <v>0</v>
      </c>
      <c r="AS186" s="19">
        <f>+'CCs # Master'!AQ120</f>
        <v>0</v>
      </c>
      <c r="AT186" s="19">
        <f>+'CCs # Master'!AR120</f>
        <v>0</v>
      </c>
      <c r="AU186" s="19">
        <f>+'CCs # Master'!AS120</f>
        <v>0</v>
      </c>
      <c r="AV186" s="19">
        <f>+'CCs # Master'!AT120</f>
        <v>0</v>
      </c>
      <c r="AW186" s="265"/>
      <c r="AX186" s="21">
        <f t="shared" ref="AX186:AX191" si="100">SUM(N186:AW186)</f>
        <v>51531</v>
      </c>
      <c r="AY186" s="21">
        <f t="shared" ref="AY186:AY191" si="101">+K186-AX186</f>
        <v>0</v>
      </c>
      <c r="BA186" s="19">
        <f t="shared" ref="BA186:BA191" si="102">+P186+Q186+T186+U186+V186+W186+X186+Y186</f>
        <v>0</v>
      </c>
      <c r="BB186" s="19">
        <f t="shared" ref="BB186:BB191" si="103">N186+O186</f>
        <v>51531</v>
      </c>
      <c r="BC186" s="19">
        <f t="shared" ref="BC186:BC191" si="104">SUM(P186:AW186)</f>
        <v>0</v>
      </c>
      <c r="BE186" s="19">
        <f t="shared" ref="BE186:BE191" si="105">SUM(BB186:BC186)</f>
        <v>51531</v>
      </c>
      <c r="BG186" s="234">
        <f t="shared" ref="BG186:BG191" si="106">SUM(N186:AW186)</f>
        <v>51531</v>
      </c>
      <c r="BH186" s="19">
        <f t="shared" ref="BH186:BH191" si="107">BE186-BG186</f>
        <v>0</v>
      </c>
    </row>
    <row r="187" spans="1:60" s="19" customFormat="1" ht="12.95" customHeight="1" x14ac:dyDescent="0.2">
      <c r="A187" s="85">
        <f>+'CCs # Master'!A121</f>
        <v>11</v>
      </c>
      <c r="B187" s="19" t="str">
        <f>+'CCs # Master'!B121</f>
        <v>A&amp;A Recruiting</v>
      </c>
      <c r="C187" s="19" t="str">
        <f>+'CCs # Master'!C121</f>
        <v>Roberts, Celeste</v>
      </c>
      <c r="D187" s="205">
        <f>+'CCs # Master'!D121</f>
        <v>100807</v>
      </c>
      <c r="E187" s="19">
        <f>+'CCs # Master'!E121</f>
        <v>1184</v>
      </c>
      <c r="F187" s="19">
        <f>+'CCs # Master'!F121</f>
        <v>6871</v>
      </c>
      <c r="G187" s="19">
        <f>+'CCs # Master'!G121</f>
        <v>4</v>
      </c>
      <c r="H187" s="19">
        <f>+'CCs # Master'!H121</f>
        <v>288</v>
      </c>
      <c r="I187" s="19">
        <f>+'CCs # Master'!I121</f>
        <v>410</v>
      </c>
      <c r="J187" s="19">
        <f>+'CCs # Master'!J121</f>
        <v>301</v>
      </c>
      <c r="K187" s="21">
        <f t="shared" si="99"/>
        <v>9058</v>
      </c>
      <c r="M187" s="19" t="str">
        <f>+'CCs # Master'!M121</f>
        <v>Allocated based on Analyst &amp; Assoc used</v>
      </c>
      <c r="N187" s="19">
        <f>+'CCs # Master'!AW121</f>
        <v>0</v>
      </c>
      <c r="O187" s="19">
        <f>'CCs # Master'!AX121</f>
        <v>9058</v>
      </c>
      <c r="P187" s="19">
        <f>+'CCs # Master'!N121</f>
        <v>0</v>
      </c>
      <c r="Q187" s="19">
        <f>+'CCs # Master'!O121</f>
        <v>0</v>
      </c>
      <c r="R187" s="19">
        <f>+'CCs # Master'!P121</f>
        <v>0</v>
      </c>
      <c r="S187" s="19">
        <f>+'CCs # Master'!Q121</f>
        <v>0</v>
      </c>
      <c r="T187" s="19">
        <f>+'CCs # Master'!R121</f>
        <v>0</v>
      </c>
      <c r="U187" s="19">
        <f>+'CCs # Master'!S121</f>
        <v>0</v>
      </c>
      <c r="V187" s="19">
        <f>+'CCs # Master'!T121</f>
        <v>0</v>
      </c>
      <c r="W187" s="19">
        <f>+'CCs # Master'!U121</f>
        <v>0</v>
      </c>
      <c r="X187" s="19">
        <f>+'CCs # Master'!V121</f>
        <v>0</v>
      </c>
      <c r="Y187" s="19">
        <f>+'CCs # Master'!W121</f>
        <v>0</v>
      </c>
      <c r="Z187" s="19">
        <f>+'CCs # Master'!X121</f>
        <v>0</v>
      </c>
      <c r="AA187" s="19">
        <f>+'CCs # Master'!Y121</f>
        <v>0</v>
      </c>
      <c r="AB187" s="19">
        <f>+'CCs # Master'!Z121</f>
        <v>0</v>
      </c>
      <c r="AC187" s="19">
        <f>+'CCs # Master'!AA121</f>
        <v>0</v>
      </c>
      <c r="AD187" s="19">
        <f>+'CCs # Master'!AB121</f>
        <v>0</v>
      </c>
      <c r="AE187" s="19">
        <f>+'CCs # Master'!AC121</f>
        <v>0</v>
      </c>
      <c r="AF187" s="19">
        <f>+'CCs # Master'!AD121</f>
        <v>0</v>
      </c>
      <c r="AG187" s="19">
        <f>+'CCs # Master'!AE121</f>
        <v>0</v>
      </c>
      <c r="AH187" s="19">
        <f>+'CCs # Master'!AF121</f>
        <v>0</v>
      </c>
      <c r="AI187" s="19">
        <f>+'CCs # Master'!AG121</f>
        <v>0</v>
      </c>
      <c r="AJ187" s="19">
        <f>+'CCs # Master'!AH121</f>
        <v>0</v>
      </c>
      <c r="AK187" s="19">
        <f>+'CCs # Master'!AI121</f>
        <v>0</v>
      </c>
      <c r="AL187" s="19">
        <f>+'CCs # Master'!AJ121</f>
        <v>0</v>
      </c>
      <c r="AM187" s="19">
        <f>+'CCs # Master'!AK121</f>
        <v>0</v>
      </c>
      <c r="AN187" s="19">
        <f>+'CCs # Master'!AL121</f>
        <v>0</v>
      </c>
      <c r="AO187" s="19">
        <f>+'CCs # Master'!AM121</f>
        <v>0</v>
      </c>
      <c r="AP187" s="19">
        <f>+'CCs # Master'!AN121</f>
        <v>0</v>
      </c>
      <c r="AQ187" s="19">
        <f>+'CCs # Master'!AO121</f>
        <v>0</v>
      </c>
      <c r="AR187" s="19">
        <f>+'CCs # Master'!AP121</f>
        <v>0</v>
      </c>
      <c r="AS187" s="19">
        <f>+'CCs # Master'!AQ121</f>
        <v>0</v>
      </c>
      <c r="AT187" s="19">
        <f>+'CCs # Master'!AR121</f>
        <v>0</v>
      </c>
      <c r="AU187" s="19">
        <f>+'CCs # Master'!AS121</f>
        <v>0</v>
      </c>
      <c r="AV187" s="19">
        <f>+'CCs # Master'!AT121</f>
        <v>0</v>
      </c>
      <c r="AW187" s="265"/>
      <c r="AX187" s="21">
        <f t="shared" si="100"/>
        <v>9058</v>
      </c>
      <c r="AY187" s="21">
        <f t="shared" si="101"/>
        <v>0</v>
      </c>
      <c r="BA187" s="19">
        <f t="shared" si="102"/>
        <v>0</v>
      </c>
      <c r="BB187" s="19">
        <f t="shared" si="103"/>
        <v>9058</v>
      </c>
      <c r="BC187" s="19">
        <f t="shared" si="104"/>
        <v>0</v>
      </c>
      <c r="BE187" s="19">
        <f t="shared" si="105"/>
        <v>9058</v>
      </c>
      <c r="BG187" s="234">
        <f t="shared" si="106"/>
        <v>9058</v>
      </c>
      <c r="BH187" s="19">
        <f t="shared" si="107"/>
        <v>0</v>
      </c>
    </row>
    <row r="188" spans="1:60" s="19" customFormat="1" ht="12.95" customHeight="1" x14ac:dyDescent="0.2">
      <c r="A188" s="85">
        <f>+'CCs # Master'!A123</f>
        <v>11</v>
      </c>
      <c r="B188" s="19" t="str">
        <f>+'CCs # Master'!B123</f>
        <v>A&amp;A Operations</v>
      </c>
      <c r="C188" s="19" t="str">
        <f>+'CCs # Master'!C123</f>
        <v>Roberts, Celeste</v>
      </c>
      <c r="D188" s="205">
        <f>+'CCs # Master'!D123</f>
        <v>100809</v>
      </c>
      <c r="E188" s="19">
        <f>+'CCs # Master'!E123</f>
        <v>347</v>
      </c>
      <c r="F188" s="19">
        <f>+'CCs # Master'!F123</f>
        <v>234</v>
      </c>
      <c r="G188" s="19">
        <f>+'CCs # Master'!G123</f>
        <v>4</v>
      </c>
      <c r="H188" s="19">
        <f>+'CCs # Master'!H123</f>
        <v>526</v>
      </c>
      <c r="I188" s="19">
        <f>+'CCs # Master'!I123</f>
        <v>130</v>
      </c>
      <c r="J188" s="19">
        <f>+'CCs # Master'!J123</f>
        <v>5</v>
      </c>
      <c r="K188" s="21">
        <f t="shared" si="99"/>
        <v>1246</v>
      </c>
      <c r="M188" s="19" t="str">
        <f>+'CCs # Master'!M123</f>
        <v>Allocated based on Analyst &amp; Assoc used</v>
      </c>
      <c r="N188" s="19">
        <f>+'CCs # Master'!AW123</f>
        <v>0</v>
      </c>
      <c r="O188" s="19">
        <f>'CCs # Master'!AX123</f>
        <v>1246</v>
      </c>
      <c r="P188" s="19">
        <f>+'CCs # Master'!N123</f>
        <v>0</v>
      </c>
      <c r="Q188" s="19">
        <f>+'CCs # Master'!O123</f>
        <v>0</v>
      </c>
      <c r="R188" s="19">
        <f>+'CCs # Master'!P123</f>
        <v>0</v>
      </c>
      <c r="S188" s="19">
        <f>+'CCs # Master'!Q123</f>
        <v>0</v>
      </c>
      <c r="T188" s="19">
        <f>+'CCs # Master'!R123</f>
        <v>0</v>
      </c>
      <c r="U188" s="19">
        <f>+'CCs # Master'!S123</f>
        <v>0</v>
      </c>
      <c r="V188" s="19">
        <f>+'CCs # Master'!T123</f>
        <v>0</v>
      </c>
      <c r="W188" s="19">
        <f>+'CCs # Master'!U123</f>
        <v>0</v>
      </c>
      <c r="X188" s="19">
        <f>+'CCs # Master'!V123</f>
        <v>0</v>
      </c>
      <c r="Y188" s="19">
        <f>+'CCs # Master'!W123</f>
        <v>0</v>
      </c>
      <c r="Z188" s="19">
        <f>+'CCs # Master'!X123</f>
        <v>0</v>
      </c>
      <c r="AA188" s="19">
        <f>+'CCs # Master'!Y123</f>
        <v>0</v>
      </c>
      <c r="AB188" s="19">
        <f>+'CCs # Master'!Z123</f>
        <v>0</v>
      </c>
      <c r="AC188" s="19">
        <f>+'CCs # Master'!AA123</f>
        <v>0</v>
      </c>
      <c r="AD188" s="19">
        <f>+'CCs # Master'!AB123</f>
        <v>0</v>
      </c>
      <c r="AE188" s="19">
        <f>+'CCs # Master'!AC123</f>
        <v>0</v>
      </c>
      <c r="AF188" s="19">
        <f>+'CCs # Master'!AD123</f>
        <v>0</v>
      </c>
      <c r="AG188" s="19">
        <f>+'CCs # Master'!AE123</f>
        <v>0</v>
      </c>
      <c r="AH188" s="19">
        <f>+'CCs # Master'!AF123</f>
        <v>0</v>
      </c>
      <c r="AI188" s="19">
        <f>+'CCs # Master'!AG123</f>
        <v>0</v>
      </c>
      <c r="AJ188" s="19">
        <f>+'CCs # Master'!AH123</f>
        <v>0</v>
      </c>
      <c r="AK188" s="19">
        <f>+'CCs # Master'!AI123</f>
        <v>0</v>
      </c>
      <c r="AL188" s="19">
        <f>+'CCs # Master'!AJ123</f>
        <v>0</v>
      </c>
      <c r="AM188" s="19">
        <f>+'CCs # Master'!AK123</f>
        <v>0</v>
      </c>
      <c r="AN188" s="19">
        <f>+'CCs # Master'!AL123</f>
        <v>0</v>
      </c>
      <c r="AO188" s="19">
        <f>+'CCs # Master'!AM123</f>
        <v>0</v>
      </c>
      <c r="AP188" s="19">
        <f>+'CCs # Master'!AN123</f>
        <v>0</v>
      </c>
      <c r="AQ188" s="19">
        <f>+'CCs # Master'!AO123</f>
        <v>0</v>
      </c>
      <c r="AR188" s="19">
        <f>+'CCs # Master'!AP123</f>
        <v>0</v>
      </c>
      <c r="AS188" s="19">
        <f>+'CCs # Master'!AQ123</f>
        <v>0</v>
      </c>
      <c r="AT188" s="19">
        <f>+'CCs # Master'!AR123</f>
        <v>0</v>
      </c>
      <c r="AU188" s="19">
        <f>+'CCs # Master'!AS123</f>
        <v>0</v>
      </c>
      <c r="AV188" s="19">
        <f>+'CCs # Master'!AT123</f>
        <v>0</v>
      </c>
      <c r="AW188" s="265"/>
      <c r="AX188" s="21">
        <f t="shared" si="100"/>
        <v>1246</v>
      </c>
      <c r="AY188" s="21">
        <f t="shared" si="101"/>
        <v>0</v>
      </c>
      <c r="BA188" s="19">
        <f t="shared" si="102"/>
        <v>0</v>
      </c>
      <c r="BB188" s="19">
        <f t="shared" si="103"/>
        <v>1246</v>
      </c>
      <c r="BC188" s="19">
        <f t="shared" si="104"/>
        <v>0</v>
      </c>
      <c r="BE188" s="19">
        <f t="shared" si="105"/>
        <v>1246</v>
      </c>
      <c r="BG188" s="234">
        <f t="shared" si="106"/>
        <v>1246</v>
      </c>
      <c r="BH188" s="19">
        <f t="shared" si="107"/>
        <v>0</v>
      </c>
    </row>
    <row r="189" spans="1:60" s="19" customFormat="1" ht="12.75" customHeight="1" x14ac:dyDescent="0.2">
      <c r="A189" s="85">
        <f>+'CCs # Master'!A179</f>
        <v>11</v>
      </c>
      <c r="B189" s="226" t="str">
        <f>+'CCs # Master'!B179</f>
        <v>Generalist</v>
      </c>
      <c r="C189" s="226" t="str">
        <f>+'CCs # Master'!C179</f>
        <v>Bosien, Terry</v>
      </c>
      <c r="D189" s="85">
        <f>+'CCs # Master'!D179</f>
        <v>103185</v>
      </c>
      <c r="E189" s="19">
        <f>+'CCs # Master'!E179</f>
        <v>335</v>
      </c>
      <c r="F189" s="19">
        <f>+'CCs # Master'!F179</f>
        <v>23</v>
      </c>
      <c r="G189" s="19">
        <f>+'CCs # Master'!G179</f>
        <v>7</v>
      </c>
      <c r="H189" s="19">
        <f>+'CCs # Master'!H179</f>
        <v>2</v>
      </c>
      <c r="I189" s="19">
        <f>+'CCs # Master'!I179</f>
        <v>108</v>
      </c>
      <c r="J189" s="19">
        <f>+'CCs # Master'!J179</f>
        <v>11</v>
      </c>
      <c r="K189" s="21">
        <f t="shared" si="99"/>
        <v>486</v>
      </c>
      <c r="M189" s="19" t="str">
        <f>+'CCs # Master'!M179</f>
        <v>Retained at Corp</v>
      </c>
      <c r="N189" s="19">
        <f>+'CCs # Master'!AW179</f>
        <v>0</v>
      </c>
      <c r="O189" s="19">
        <f>'CCs # Master'!AX179</f>
        <v>486</v>
      </c>
      <c r="P189" s="19">
        <f>+'CCs # Master'!N179</f>
        <v>0</v>
      </c>
      <c r="Q189" s="19">
        <f>+'CCs # Master'!O179</f>
        <v>0</v>
      </c>
      <c r="R189" s="19">
        <f>+'CCs # Master'!P179</f>
        <v>0</v>
      </c>
      <c r="S189" s="19">
        <f>+'CCs # Master'!Q179</f>
        <v>0</v>
      </c>
      <c r="T189" s="19">
        <f>+'CCs # Master'!R179</f>
        <v>0</v>
      </c>
      <c r="U189" s="19">
        <f>+'CCs # Master'!S179</f>
        <v>0</v>
      </c>
      <c r="V189" s="19">
        <f>+'CCs # Master'!T179</f>
        <v>0</v>
      </c>
      <c r="W189" s="19">
        <f>+'CCs # Master'!U179</f>
        <v>0</v>
      </c>
      <c r="X189" s="19">
        <f>+'CCs # Master'!V179</f>
        <v>0</v>
      </c>
      <c r="Y189" s="19">
        <f>+'CCs # Master'!W179</f>
        <v>0</v>
      </c>
      <c r="Z189" s="19">
        <f>+'CCs # Master'!X179</f>
        <v>0</v>
      </c>
      <c r="AA189" s="19">
        <f>+'CCs # Master'!Y179</f>
        <v>0</v>
      </c>
      <c r="AB189" s="19">
        <f>+'CCs # Master'!Z179</f>
        <v>0</v>
      </c>
      <c r="AC189" s="19">
        <f>+'CCs # Master'!AA179</f>
        <v>0</v>
      </c>
      <c r="AD189" s="19">
        <f>+'CCs # Master'!AB179</f>
        <v>0</v>
      </c>
      <c r="AE189" s="19">
        <f>+'CCs # Master'!AC179</f>
        <v>0</v>
      </c>
      <c r="AF189" s="19">
        <f>+'CCs # Master'!AD179</f>
        <v>0</v>
      </c>
      <c r="AG189" s="19">
        <f>+'CCs # Master'!AE179</f>
        <v>0</v>
      </c>
      <c r="AH189" s="19">
        <f>+'CCs # Master'!AF179</f>
        <v>0</v>
      </c>
      <c r="AI189" s="19">
        <f>+'CCs # Master'!AG179</f>
        <v>0</v>
      </c>
      <c r="AJ189" s="19">
        <f>+'CCs # Master'!AH179</f>
        <v>0</v>
      </c>
      <c r="AK189" s="19">
        <f>+'CCs # Master'!AI179</f>
        <v>0</v>
      </c>
      <c r="AL189" s="19">
        <f>+'CCs # Master'!AJ179</f>
        <v>0</v>
      </c>
      <c r="AM189" s="19">
        <f>+'CCs # Master'!AK179</f>
        <v>0</v>
      </c>
      <c r="AN189" s="19">
        <f>+'CCs # Master'!AL179</f>
        <v>0</v>
      </c>
      <c r="AO189" s="19">
        <f>+'CCs # Master'!AM179</f>
        <v>0</v>
      </c>
      <c r="AP189" s="19">
        <f>+'CCs # Master'!AN179</f>
        <v>0</v>
      </c>
      <c r="AQ189" s="19">
        <f>+'CCs # Master'!AO179</f>
        <v>0</v>
      </c>
      <c r="AR189" s="19">
        <f>+'CCs # Master'!AP179</f>
        <v>0</v>
      </c>
      <c r="AS189" s="19">
        <f>+'CCs # Master'!AQ179</f>
        <v>0</v>
      </c>
      <c r="AT189" s="19">
        <f>+'CCs # Master'!AR179</f>
        <v>0</v>
      </c>
      <c r="AU189" s="19">
        <f>+'CCs # Master'!AS179</f>
        <v>0</v>
      </c>
      <c r="AV189" s="19">
        <f>+'CCs # Master'!AT179</f>
        <v>0</v>
      </c>
      <c r="AW189" s="265"/>
      <c r="AX189" s="21">
        <f t="shared" si="100"/>
        <v>486</v>
      </c>
      <c r="AY189" s="21">
        <f t="shared" si="101"/>
        <v>0</v>
      </c>
      <c r="BA189" s="19">
        <f t="shared" si="102"/>
        <v>0</v>
      </c>
      <c r="BB189" s="19">
        <f t="shared" si="103"/>
        <v>486</v>
      </c>
      <c r="BC189" s="19">
        <f t="shared" si="104"/>
        <v>0</v>
      </c>
      <c r="BE189" s="19">
        <f t="shared" si="105"/>
        <v>486</v>
      </c>
      <c r="BG189" s="234">
        <f t="shared" si="106"/>
        <v>486</v>
      </c>
      <c r="BH189" s="19">
        <f t="shared" si="107"/>
        <v>0</v>
      </c>
    </row>
    <row r="190" spans="1:60" s="19" customFormat="1" ht="12.75" customHeight="1" x14ac:dyDescent="0.2">
      <c r="A190" s="85">
        <f>+'CCs # Master'!A180</f>
        <v>11</v>
      </c>
      <c r="B190" s="226" t="str">
        <f>+'CCs # Master'!B180</f>
        <v>Staffing</v>
      </c>
      <c r="C190" s="226" t="str">
        <f>+'CCs # Master'!C180</f>
        <v>Petteway, Gwen</v>
      </c>
      <c r="D190" s="85">
        <f>+'CCs # Master'!D180</f>
        <v>103186</v>
      </c>
      <c r="E190" s="19">
        <f>+'CCs # Master'!E180</f>
        <v>648</v>
      </c>
      <c r="F190" s="19">
        <f>+'CCs # Master'!F180</f>
        <v>72</v>
      </c>
      <c r="G190" s="19">
        <f>+'CCs # Master'!G180</f>
        <v>4</v>
      </c>
      <c r="H190" s="19">
        <f>+'CCs # Master'!H180</f>
        <v>0</v>
      </c>
      <c r="I190" s="19">
        <f>+'CCs # Master'!I180</f>
        <v>173</v>
      </c>
      <c r="J190" s="19">
        <f>+'CCs # Master'!J180</f>
        <v>7</v>
      </c>
      <c r="K190" s="21">
        <f t="shared" si="99"/>
        <v>904</v>
      </c>
      <c r="M190" s="19" t="str">
        <f>+'CCs # Master'!M180</f>
        <v>Retained at Corp</v>
      </c>
      <c r="N190" s="19">
        <f>+'CCs # Master'!AW180</f>
        <v>0</v>
      </c>
      <c r="O190" s="19">
        <f>'CCs # Master'!AX180</f>
        <v>904</v>
      </c>
      <c r="P190" s="19">
        <f>+'CCs # Master'!N180</f>
        <v>0</v>
      </c>
      <c r="Q190" s="19">
        <f>+'CCs # Master'!O180</f>
        <v>0</v>
      </c>
      <c r="R190" s="19">
        <f>+'CCs # Master'!P180</f>
        <v>0</v>
      </c>
      <c r="S190" s="19">
        <f>+'CCs # Master'!Q180</f>
        <v>0</v>
      </c>
      <c r="T190" s="19">
        <f>+'CCs # Master'!R180</f>
        <v>0</v>
      </c>
      <c r="U190" s="19">
        <f>+'CCs # Master'!S180</f>
        <v>0</v>
      </c>
      <c r="V190" s="19">
        <f>+'CCs # Master'!T180</f>
        <v>0</v>
      </c>
      <c r="W190" s="19">
        <f>+'CCs # Master'!U180</f>
        <v>0</v>
      </c>
      <c r="X190" s="19">
        <f>+'CCs # Master'!V180</f>
        <v>0</v>
      </c>
      <c r="Y190" s="19">
        <f>+'CCs # Master'!W180</f>
        <v>0</v>
      </c>
      <c r="Z190" s="19">
        <f>+'CCs # Master'!X180</f>
        <v>0</v>
      </c>
      <c r="AA190" s="19">
        <f>+'CCs # Master'!Y180</f>
        <v>0</v>
      </c>
      <c r="AB190" s="19">
        <f>+'CCs # Master'!Z180</f>
        <v>0</v>
      </c>
      <c r="AC190" s="19">
        <f>+'CCs # Master'!AA180</f>
        <v>0</v>
      </c>
      <c r="AD190" s="19">
        <f>+'CCs # Master'!AB180</f>
        <v>0</v>
      </c>
      <c r="AE190" s="19">
        <f>+'CCs # Master'!AC180</f>
        <v>0</v>
      </c>
      <c r="AF190" s="19">
        <f>+'CCs # Master'!AD180</f>
        <v>0</v>
      </c>
      <c r="AG190" s="19">
        <f>+'CCs # Master'!AE180</f>
        <v>0</v>
      </c>
      <c r="AH190" s="19">
        <f>+'CCs # Master'!AF180</f>
        <v>0</v>
      </c>
      <c r="AI190" s="19">
        <f>+'CCs # Master'!AG180</f>
        <v>0</v>
      </c>
      <c r="AJ190" s="19">
        <f>+'CCs # Master'!AH180</f>
        <v>0</v>
      </c>
      <c r="AK190" s="19">
        <f>+'CCs # Master'!AI180</f>
        <v>0</v>
      </c>
      <c r="AL190" s="19">
        <f>+'CCs # Master'!AJ180</f>
        <v>0</v>
      </c>
      <c r="AM190" s="19">
        <f>+'CCs # Master'!AK180</f>
        <v>0</v>
      </c>
      <c r="AN190" s="19">
        <f>+'CCs # Master'!AL180</f>
        <v>0</v>
      </c>
      <c r="AO190" s="19">
        <f>+'CCs # Master'!AM180</f>
        <v>0</v>
      </c>
      <c r="AP190" s="19">
        <f>+'CCs # Master'!AN180</f>
        <v>0</v>
      </c>
      <c r="AQ190" s="19">
        <f>+'CCs # Master'!AO180</f>
        <v>0</v>
      </c>
      <c r="AR190" s="19">
        <f>+'CCs # Master'!AP180</f>
        <v>0</v>
      </c>
      <c r="AS190" s="19">
        <f>+'CCs # Master'!AQ180</f>
        <v>0</v>
      </c>
      <c r="AT190" s="19">
        <f>+'CCs # Master'!AR180</f>
        <v>0</v>
      </c>
      <c r="AU190" s="19">
        <f>+'CCs # Master'!AS180</f>
        <v>0</v>
      </c>
      <c r="AV190" s="19">
        <f>+'CCs # Master'!AT180</f>
        <v>0</v>
      </c>
      <c r="AW190" s="265"/>
      <c r="AX190" s="21">
        <f t="shared" si="100"/>
        <v>904</v>
      </c>
      <c r="AY190" s="21">
        <f t="shared" si="101"/>
        <v>0</v>
      </c>
      <c r="BA190" s="19">
        <f t="shared" si="102"/>
        <v>0</v>
      </c>
      <c r="BB190" s="19">
        <f t="shared" si="103"/>
        <v>904</v>
      </c>
      <c r="BC190" s="19">
        <f t="shared" si="104"/>
        <v>0</v>
      </c>
      <c r="BE190" s="19">
        <f t="shared" si="105"/>
        <v>904</v>
      </c>
      <c r="BG190" s="234">
        <f t="shared" si="106"/>
        <v>904</v>
      </c>
      <c r="BH190" s="19">
        <f t="shared" si="107"/>
        <v>0</v>
      </c>
    </row>
    <row r="191" spans="1:60" s="19" customFormat="1" ht="12.95" customHeight="1" x14ac:dyDescent="0.2">
      <c r="A191" s="85">
        <f>+'CCs # Master'!A114</f>
        <v>11</v>
      </c>
      <c r="B191" s="19" t="str">
        <f>+'CCs # Master'!B114</f>
        <v>MD Recruiting &amp; Resource Mgmt</v>
      </c>
      <c r="C191" s="19" t="str">
        <f>+'CCs # Master'!C114</f>
        <v>Jackson, Charlene</v>
      </c>
      <c r="D191" s="205">
        <f>+'CCs # Master'!D114</f>
        <v>100246</v>
      </c>
      <c r="E191" s="227">
        <f>+'CCs # Master'!E114</f>
        <v>382</v>
      </c>
      <c r="F191" s="227">
        <f>+'CCs # Master'!F114</f>
        <v>105</v>
      </c>
      <c r="G191" s="227">
        <f>+'CCs # Master'!G114</f>
        <v>4</v>
      </c>
      <c r="H191" s="227">
        <f>+'CCs # Master'!H114</f>
        <v>96</v>
      </c>
      <c r="I191" s="227">
        <f>+'CCs # Master'!I114</f>
        <v>43</v>
      </c>
      <c r="J191" s="227">
        <f>+'CCs # Master'!J114</f>
        <v>4</v>
      </c>
      <c r="K191" s="266">
        <f t="shared" si="99"/>
        <v>634</v>
      </c>
      <c r="M191" s="19" t="str">
        <f>+'CCs # Master'!M114</f>
        <v>Retained At Corp</v>
      </c>
      <c r="N191" s="227">
        <f>+'CCs # Master'!AW114</f>
        <v>0</v>
      </c>
      <c r="O191" s="227">
        <f>'CCs # Master'!AX114</f>
        <v>634</v>
      </c>
      <c r="P191" s="227">
        <f>+'CCs # Master'!N114</f>
        <v>0</v>
      </c>
      <c r="Q191" s="227">
        <f>+'CCs # Master'!O114</f>
        <v>0</v>
      </c>
      <c r="R191" s="227">
        <f>+'CCs # Master'!P114</f>
        <v>0</v>
      </c>
      <c r="S191" s="227">
        <f>+'CCs # Master'!Q114</f>
        <v>0</v>
      </c>
      <c r="T191" s="227">
        <f>+'CCs # Master'!R114</f>
        <v>0</v>
      </c>
      <c r="U191" s="227">
        <f>+'CCs # Master'!S114</f>
        <v>0</v>
      </c>
      <c r="V191" s="227">
        <f>+'CCs # Master'!T114</f>
        <v>0</v>
      </c>
      <c r="W191" s="227">
        <f>+'CCs # Master'!U114</f>
        <v>0</v>
      </c>
      <c r="X191" s="227">
        <f>+'CCs # Master'!V114</f>
        <v>0</v>
      </c>
      <c r="Y191" s="227">
        <f>+'CCs # Master'!W114</f>
        <v>0</v>
      </c>
      <c r="Z191" s="227">
        <f>+'CCs # Master'!X114</f>
        <v>0</v>
      </c>
      <c r="AA191" s="227">
        <f>+'CCs # Master'!Y114</f>
        <v>0</v>
      </c>
      <c r="AB191" s="227">
        <f>+'CCs # Master'!Z114</f>
        <v>0</v>
      </c>
      <c r="AC191" s="227">
        <f>+'CCs # Master'!AA114</f>
        <v>0</v>
      </c>
      <c r="AD191" s="227">
        <f>+'CCs # Master'!AB114</f>
        <v>0</v>
      </c>
      <c r="AE191" s="227">
        <f>+'CCs # Master'!AC114</f>
        <v>0</v>
      </c>
      <c r="AF191" s="227">
        <f>+'CCs # Master'!AD114</f>
        <v>0</v>
      </c>
      <c r="AG191" s="227">
        <f>+'CCs # Master'!AE114</f>
        <v>0</v>
      </c>
      <c r="AH191" s="227">
        <f>+'CCs # Master'!AF114</f>
        <v>0</v>
      </c>
      <c r="AI191" s="227">
        <f>+'CCs # Master'!AG114</f>
        <v>0</v>
      </c>
      <c r="AJ191" s="227">
        <f>+'CCs # Master'!AH114</f>
        <v>0</v>
      </c>
      <c r="AK191" s="227">
        <f>+'CCs # Master'!AI114</f>
        <v>0</v>
      </c>
      <c r="AL191" s="227">
        <f>+'CCs # Master'!AJ114</f>
        <v>0</v>
      </c>
      <c r="AM191" s="227">
        <f>+'CCs # Master'!AK114</f>
        <v>0</v>
      </c>
      <c r="AN191" s="227">
        <f>+'CCs # Master'!AL114</f>
        <v>0</v>
      </c>
      <c r="AO191" s="227">
        <f>+'CCs # Master'!AM114</f>
        <v>0</v>
      </c>
      <c r="AP191" s="227">
        <f>+'CCs # Master'!AN114</f>
        <v>0</v>
      </c>
      <c r="AQ191" s="227">
        <f>+'CCs # Master'!AO114</f>
        <v>0</v>
      </c>
      <c r="AR191" s="227">
        <f>+'CCs # Master'!AP114</f>
        <v>0</v>
      </c>
      <c r="AS191" s="227">
        <f>+'CCs # Master'!AQ114</f>
        <v>0</v>
      </c>
      <c r="AT191" s="227">
        <f>+'CCs # Master'!AR114</f>
        <v>0</v>
      </c>
      <c r="AU191" s="227">
        <f>+'CCs # Master'!AS114</f>
        <v>0</v>
      </c>
      <c r="AV191" s="227">
        <f>+'CCs # Master'!AT114</f>
        <v>0</v>
      </c>
      <c r="AW191" s="265"/>
      <c r="AX191" s="266">
        <f t="shared" si="100"/>
        <v>634</v>
      </c>
      <c r="AY191" s="266">
        <f t="shared" si="101"/>
        <v>0</v>
      </c>
      <c r="BA191" s="19">
        <f t="shared" si="102"/>
        <v>0</v>
      </c>
      <c r="BB191" s="227">
        <f t="shared" si="103"/>
        <v>634</v>
      </c>
      <c r="BC191" s="227">
        <f t="shared" si="104"/>
        <v>0</v>
      </c>
      <c r="BD191" s="227"/>
      <c r="BE191" s="227">
        <f t="shared" si="105"/>
        <v>634</v>
      </c>
      <c r="BG191" s="234">
        <f t="shared" si="106"/>
        <v>634</v>
      </c>
      <c r="BH191" s="19">
        <f t="shared" si="107"/>
        <v>0</v>
      </c>
    </row>
    <row r="192" spans="1:60" s="19" customFormat="1" ht="6.75" customHeight="1" x14ac:dyDescent="0.2">
      <c r="A192" s="85"/>
      <c r="D192" s="205"/>
      <c r="AW192"/>
      <c r="AX192" s="21"/>
      <c r="AY192" s="21"/>
      <c r="BG192" s="234"/>
    </row>
    <row r="193" spans="1:60" s="19" customFormat="1" ht="12.75" customHeight="1" x14ac:dyDescent="0.2">
      <c r="A193" s="85"/>
      <c r="D193" s="205"/>
      <c r="E193" s="227">
        <f>SUM(E186:E192)</f>
        <v>53324</v>
      </c>
      <c r="F193" s="227">
        <f t="shared" ref="F193:K193" si="108">SUM(F186:F192)</f>
        <v>8408</v>
      </c>
      <c r="G193" s="227">
        <f t="shared" si="108"/>
        <v>23</v>
      </c>
      <c r="H193" s="227">
        <f t="shared" si="108"/>
        <v>912</v>
      </c>
      <c r="I193" s="227">
        <f t="shared" si="108"/>
        <v>864</v>
      </c>
      <c r="J193" s="227">
        <f t="shared" si="108"/>
        <v>328</v>
      </c>
      <c r="K193" s="227">
        <f t="shared" si="108"/>
        <v>63859</v>
      </c>
      <c r="N193" s="227">
        <f>SUM(N186:N192)</f>
        <v>0</v>
      </c>
      <c r="O193" s="227">
        <f t="shared" ref="O193:AV193" si="109">SUM(O186:O192)</f>
        <v>63859</v>
      </c>
      <c r="P193" s="227">
        <f t="shared" si="109"/>
        <v>0</v>
      </c>
      <c r="Q193" s="227">
        <f t="shared" si="109"/>
        <v>0</v>
      </c>
      <c r="R193" s="227">
        <f t="shared" si="109"/>
        <v>0</v>
      </c>
      <c r="S193" s="227">
        <f t="shared" si="109"/>
        <v>0</v>
      </c>
      <c r="T193" s="227">
        <f t="shared" si="109"/>
        <v>0</v>
      </c>
      <c r="U193" s="227">
        <f t="shared" si="109"/>
        <v>0</v>
      </c>
      <c r="V193" s="227">
        <f t="shared" si="109"/>
        <v>0</v>
      </c>
      <c r="W193" s="227">
        <f t="shared" si="109"/>
        <v>0</v>
      </c>
      <c r="X193" s="227">
        <f t="shared" si="109"/>
        <v>0</v>
      </c>
      <c r="Y193" s="227">
        <f t="shared" si="109"/>
        <v>0</v>
      </c>
      <c r="Z193" s="227">
        <f t="shared" si="109"/>
        <v>0</v>
      </c>
      <c r="AA193" s="227">
        <f t="shared" si="109"/>
        <v>0</v>
      </c>
      <c r="AB193" s="227">
        <f t="shared" si="109"/>
        <v>0</v>
      </c>
      <c r="AC193" s="227">
        <f t="shared" si="109"/>
        <v>0</v>
      </c>
      <c r="AD193" s="227">
        <f t="shared" si="109"/>
        <v>0</v>
      </c>
      <c r="AE193" s="227">
        <f t="shared" si="109"/>
        <v>0</v>
      </c>
      <c r="AF193" s="227">
        <f t="shared" si="109"/>
        <v>0</v>
      </c>
      <c r="AG193" s="227">
        <f t="shared" si="109"/>
        <v>0</v>
      </c>
      <c r="AH193" s="227">
        <f t="shared" si="109"/>
        <v>0</v>
      </c>
      <c r="AI193" s="227">
        <f t="shared" si="109"/>
        <v>0</v>
      </c>
      <c r="AJ193" s="227">
        <f t="shared" si="109"/>
        <v>0</v>
      </c>
      <c r="AK193" s="227">
        <f t="shared" si="109"/>
        <v>0</v>
      </c>
      <c r="AL193" s="227">
        <f t="shared" si="109"/>
        <v>0</v>
      </c>
      <c r="AM193" s="227">
        <f t="shared" si="109"/>
        <v>0</v>
      </c>
      <c r="AN193" s="227">
        <f t="shared" si="109"/>
        <v>0</v>
      </c>
      <c r="AO193" s="227">
        <f t="shared" si="109"/>
        <v>0</v>
      </c>
      <c r="AP193" s="227">
        <f t="shared" si="109"/>
        <v>0</v>
      </c>
      <c r="AQ193" s="227">
        <f t="shared" si="109"/>
        <v>0</v>
      </c>
      <c r="AR193" s="227">
        <f t="shared" si="109"/>
        <v>0</v>
      </c>
      <c r="AS193" s="227">
        <f t="shared" si="109"/>
        <v>0</v>
      </c>
      <c r="AT193" s="227">
        <f t="shared" si="109"/>
        <v>0</v>
      </c>
      <c r="AU193" s="227">
        <f t="shared" si="109"/>
        <v>0</v>
      </c>
      <c r="AV193" s="227">
        <f t="shared" si="109"/>
        <v>0</v>
      </c>
      <c r="AW193"/>
      <c r="AX193" s="227">
        <f>SUM(AX186:AX192)</f>
        <v>63859</v>
      </c>
      <c r="AY193" s="227">
        <f>SUM(AY186:AY192)</f>
        <v>0</v>
      </c>
      <c r="BA193" s="227">
        <f>SUM(BA186:BA192)</f>
        <v>0</v>
      </c>
      <c r="BB193" s="227">
        <f>SUM(BB186:BB192)</f>
        <v>63859</v>
      </c>
      <c r="BC193" s="227">
        <f>SUM(BC186:BC192)</f>
        <v>0</v>
      </c>
      <c r="BD193" s="227"/>
      <c r="BE193" s="227">
        <f>SUM(BE186:BE192)</f>
        <v>63859</v>
      </c>
      <c r="BG193" s="234"/>
    </row>
    <row r="194" spans="1:60" s="19" customFormat="1" ht="8.1" customHeight="1" x14ac:dyDescent="0.2">
      <c r="A194" s="85"/>
      <c r="D194" s="205"/>
      <c r="AW194"/>
      <c r="AX194" s="21"/>
      <c r="AY194" s="21"/>
      <c r="BG194" s="234"/>
    </row>
    <row r="195" spans="1:60" s="19" customFormat="1" ht="12.95" customHeight="1" x14ac:dyDescent="0.2">
      <c r="A195" s="207" t="s">
        <v>349</v>
      </c>
      <c r="D195" s="205"/>
      <c r="AW195"/>
      <c r="AX195" s="21"/>
      <c r="AY195" s="21"/>
      <c r="BG195" s="234"/>
    </row>
    <row r="196" spans="1:60" s="19" customFormat="1" ht="12.95" customHeight="1" x14ac:dyDescent="0.2">
      <c r="A196" s="85">
        <f>+'CCs # Master'!A12</f>
        <v>1</v>
      </c>
      <c r="B196" s="19" t="str">
        <f>+'CCs # Master'!B12</f>
        <v>Deferral Plans</v>
      </c>
      <c r="C196" s="19" t="str">
        <f>+'CCs # Master'!C12</f>
        <v>Jones, Robert</v>
      </c>
      <c r="D196" s="205">
        <f>+'CCs # Master'!D12</f>
        <v>100005</v>
      </c>
      <c r="E196" s="19">
        <f>+'CCs # Master'!E12</f>
        <v>0</v>
      </c>
      <c r="F196" s="19">
        <f>+'CCs # Master'!F12</f>
        <v>0</v>
      </c>
      <c r="G196" s="19">
        <f>+'CCs # Master'!G12</f>
        <v>0</v>
      </c>
      <c r="H196" s="19">
        <f>+'CCs # Master'!H12</f>
        <v>0</v>
      </c>
      <c r="I196" s="19">
        <f>+'CCs # Master'!I12</f>
        <v>0</v>
      </c>
      <c r="J196" s="19">
        <f>+'CCs # Master'!J12</f>
        <v>9091</v>
      </c>
      <c r="K196" s="21">
        <f t="shared" ref="K196:K207" si="110">SUM(E196:J196)</f>
        <v>9091</v>
      </c>
      <c r="M196" s="19" t="str">
        <f>+'CCs # Master'!M12</f>
        <v>Retained At Corp</v>
      </c>
      <c r="N196" s="19">
        <f>+'CCs # Master'!AW12</f>
        <v>9091</v>
      </c>
      <c r="O196" s="19">
        <v>0</v>
      </c>
      <c r="P196" s="19">
        <f>+'CCs # Master'!N12</f>
        <v>0</v>
      </c>
      <c r="Q196" s="19">
        <f>+'CCs # Master'!O12</f>
        <v>0</v>
      </c>
      <c r="R196" s="19">
        <f>+'CCs # Master'!P12</f>
        <v>0</v>
      </c>
      <c r="S196" s="19">
        <f>+'CCs # Master'!Q12</f>
        <v>0</v>
      </c>
      <c r="T196" s="19">
        <f>+'CCs # Master'!R12</f>
        <v>0</v>
      </c>
      <c r="U196" s="19">
        <f>+'CCs # Master'!S12</f>
        <v>0</v>
      </c>
      <c r="V196" s="19">
        <f>+'CCs # Master'!T12</f>
        <v>0</v>
      </c>
      <c r="W196" s="19">
        <f>+'CCs # Master'!U12</f>
        <v>0</v>
      </c>
      <c r="X196" s="19">
        <f>+'CCs # Master'!V12</f>
        <v>0</v>
      </c>
      <c r="Y196" s="19">
        <f>+'CCs # Master'!W12</f>
        <v>0</v>
      </c>
      <c r="Z196" s="19">
        <f>+'CCs # Master'!X12</f>
        <v>0</v>
      </c>
      <c r="AA196" s="19">
        <f>+'CCs # Master'!Y12</f>
        <v>0</v>
      </c>
      <c r="AB196" s="19">
        <f>+'CCs # Master'!Z12</f>
        <v>0</v>
      </c>
      <c r="AC196" s="19">
        <f>+'CCs # Master'!AA12</f>
        <v>0</v>
      </c>
      <c r="AD196" s="19">
        <f>+'CCs # Master'!AB12</f>
        <v>0</v>
      </c>
      <c r="AE196" s="19">
        <f>+'CCs # Master'!AC12</f>
        <v>0</v>
      </c>
      <c r="AF196" s="19">
        <f>+'CCs # Master'!AD12</f>
        <v>0</v>
      </c>
      <c r="AG196" s="19">
        <f>+'CCs # Master'!AE12</f>
        <v>0</v>
      </c>
      <c r="AH196" s="19">
        <f>+'CCs # Master'!AF12</f>
        <v>0</v>
      </c>
      <c r="AI196" s="19">
        <f>+'CCs # Master'!AG12</f>
        <v>0</v>
      </c>
      <c r="AJ196" s="19">
        <f>+'CCs # Master'!AH12</f>
        <v>0</v>
      </c>
      <c r="AK196" s="19">
        <f>+'CCs # Master'!AI12</f>
        <v>0</v>
      </c>
      <c r="AL196" s="19">
        <f>+'CCs # Master'!AJ12</f>
        <v>0</v>
      </c>
      <c r="AM196" s="19">
        <f>+'CCs # Master'!AK12</f>
        <v>0</v>
      </c>
      <c r="AN196" s="19">
        <f>+'CCs # Master'!AL12</f>
        <v>0</v>
      </c>
      <c r="AO196" s="19">
        <f>+'CCs # Master'!AM12</f>
        <v>0</v>
      </c>
      <c r="AP196" s="19">
        <f>+'CCs # Master'!AN12</f>
        <v>0</v>
      </c>
      <c r="AQ196" s="19">
        <f>+'CCs # Master'!AO12</f>
        <v>0</v>
      </c>
      <c r="AR196" s="19">
        <f>+'CCs # Master'!AP12</f>
        <v>0</v>
      </c>
      <c r="AS196" s="19">
        <f>+'CCs # Master'!AQ12</f>
        <v>0</v>
      </c>
      <c r="AT196" s="19">
        <f>+'CCs # Master'!AR12</f>
        <v>0</v>
      </c>
      <c r="AU196" s="19">
        <f>+'CCs # Master'!AS12</f>
        <v>0</v>
      </c>
      <c r="AV196" s="19">
        <f>+'CCs # Master'!AT12</f>
        <v>0</v>
      </c>
      <c r="AW196"/>
      <c r="AX196" s="21">
        <f t="shared" ref="AX196:AX207" si="111">SUM(N196:AW196)</f>
        <v>9091</v>
      </c>
      <c r="AY196" s="21">
        <f t="shared" ref="AY196:AY207" si="112">+K196-AX196</f>
        <v>0</v>
      </c>
      <c r="BA196" s="19">
        <f t="shared" ref="BA196:BA207" si="113">+P196+Q196+T196+U196+V196+W196+X196+Y196</f>
        <v>0</v>
      </c>
      <c r="BB196" s="19">
        <f t="shared" ref="BB196:BB207" si="114">N196</f>
        <v>9091</v>
      </c>
      <c r="BC196" s="19">
        <f t="shared" ref="BC196:BC207" si="115">SUM(P196:AW196)</f>
        <v>0</v>
      </c>
      <c r="BE196" s="19">
        <f t="shared" ref="BE196:BE207" si="116">SUM(BB196:BC196)</f>
        <v>9091</v>
      </c>
      <c r="BG196" s="234">
        <f>SUM(N196:AW196)</f>
        <v>9091</v>
      </c>
      <c r="BH196" s="19">
        <f t="shared" ref="BH196:BH207" si="117">BE196-BG196</f>
        <v>0</v>
      </c>
    </row>
    <row r="197" spans="1:60" s="19" customFormat="1" ht="12.95" customHeight="1" x14ac:dyDescent="0.2">
      <c r="A197" s="85" t="str">
        <f>+'CCs # Master'!A13</f>
        <v>0011</v>
      </c>
      <c r="B197" s="19" t="str">
        <f>+'CCs # Master'!B13</f>
        <v>Long Term Incentive</v>
      </c>
      <c r="C197" s="19" t="str">
        <f>+'CCs # Master'!C13</f>
        <v>Joyce, Mary</v>
      </c>
      <c r="D197" s="205">
        <f>+'CCs # Master'!D13</f>
        <v>100007</v>
      </c>
      <c r="E197" s="19">
        <f>+'CCs # Master'!E13</f>
        <v>0</v>
      </c>
      <c r="F197" s="19">
        <f>+'CCs # Master'!F13</f>
        <v>0</v>
      </c>
      <c r="G197" s="19">
        <f>+'CCs # Master'!G13</f>
        <v>0</v>
      </c>
      <c r="H197" s="19">
        <f>+'CCs # Master'!H13</f>
        <v>0</v>
      </c>
      <c r="I197" s="19">
        <f>+'CCs # Master'!I13</f>
        <v>0</v>
      </c>
      <c r="J197" s="19">
        <f>+'CCs # Master'!J13</f>
        <v>14738</v>
      </c>
      <c r="K197" s="21">
        <f t="shared" si="110"/>
        <v>14738</v>
      </c>
      <c r="M197" s="19" t="str">
        <f>+'CCs # Master'!M13</f>
        <v>Grant Elections</v>
      </c>
      <c r="N197" s="19">
        <f>+'CCs # Master'!AW13</f>
        <v>10413</v>
      </c>
      <c r="O197" s="19">
        <v>0</v>
      </c>
      <c r="P197" s="19">
        <f>+'CCs # Master'!N13</f>
        <v>0</v>
      </c>
      <c r="Q197" s="19">
        <f>+'CCs # Master'!O13</f>
        <v>200</v>
      </c>
      <c r="R197" s="19">
        <f>+'CCs # Master'!P13</f>
        <v>300</v>
      </c>
      <c r="S197" s="19">
        <f>+'CCs # Master'!Q13</f>
        <v>0</v>
      </c>
      <c r="T197" s="19">
        <f>+'CCs # Master'!R13</f>
        <v>0</v>
      </c>
      <c r="U197" s="19">
        <f>+'CCs # Master'!S13</f>
        <v>0</v>
      </c>
      <c r="V197" s="19">
        <f>+'CCs # Master'!T13</f>
        <v>75</v>
      </c>
      <c r="W197" s="19">
        <f>+'CCs # Master'!U13</f>
        <v>450</v>
      </c>
      <c r="X197" s="19">
        <f>+'CCs # Master'!V13</f>
        <v>1125</v>
      </c>
      <c r="Y197" s="19">
        <f>+'CCs # Master'!W13</f>
        <v>0</v>
      </c>
      <c r="Z197" s="19">
        <f>+'CCs # Master'!X13</f>
        <v>159</v>
      </c>
      <c r="AA197" s="19">
        <f>+'CCs # Master'!Y13</f>
        <v>0</v>
      </c>
      <c r="AB197" s="19">
        <f>+'CCs # Master'!Z13</f>
        <v>200</v>
      </c>
      <c r="AC197" s="19">
        <f>+'CCs # Master'!AA13</f>
        <v>0</v>
      </c>
      <c r="AD197" s="19">
        <f>+'CCs # Master'!AB13</f>
        <v>0</v>
      </c>
      <c r="AE197" s="19">
        <f>+'CCs # Master'!AC13</f>
        <v>0</v>
      </c>
      <c r="AF197" s="19">
        <f>+'CCs # Master'!AD13</f>
        <v>725</v>
      </c>
      <c r="AG197" s="19">
        <f>+'CCs # Master'!AE13</f>
        <v>500</v>
      </c>
      <c r="AH197" s="19">
        <f>+'CCs # Master'!AF13</f>
        <v>0</v>
      </c>
      <c r="AI197" s="19">
        <f>+'CCs # Master'!AG13</f>
        <v>350</v>
      </c>
      <c r="AJ197" s="19">
        <f>+'CCs # Master'!AH13</f>
        <v>125</v>
      </c>
      <c r="AK197" s="19">
        <f>+'CCs # Master'!AI13</f>
        <v>0</v>
      </c>
      <c r="AL197" s="19">
        <f>+'CCs # Master'!AJ13</f>
        <v>0</v>
      </c>
      <c r="AM197" s="19">
        <f>+'CCs # Master'!AK13</f>
        <v>0</v>
      </c>
      <c r="AN197" s="19">
        <f>+'CCs # Master'!AL13</f>
        <v>34</v>
      </c>
      <c r="AO197" s="19">
        <f>+'CCs # Master'!AM13</f>
        <v>0</v>
      </c>
      <c r="AP197" s="19">
        <f>+'CCs # Master'!AN13</f>
        <v>0</v>
      </c>
      <c r="AQ197" s="19">
        <f>+'CCs # Master'!AO13</f>
        <v>65</v>
      </c>
      <c r="AR197" s="19">
        <f>+'CCs # Master'!AP13</f>
        <v>17</v>
      </c>
      <c r="AS197" s="19">
        <f>+'CCs # Master'!AQ13</f>
        <v>0</v>
      </c>
      <c r="AT197" s="19">
        <f>+'CCs # Master'!AR13</f>
        <v>0</v>
      </c>
      <c r="AU197" s="19">
        <f>+'CCs # Master'!AS13</f>
        <v>0</v>
      </c>
      <c r="AV197" s="19">
        <f>+'CCs # Master'!AT13</f>
        <v>0</v>
      </c>
      <c r="AW197"/>
      <c r="AX197" s="21">
        <f t="shared" si="111"/>
        <v>14738</v>
      </c>
      <c r="AY197" s="21">
        <f t="shared" si="112"/>
        <v>0</v>
      </c>
      <c r="BA197" s="19">
        <f t="shared" si="113"/>
        <v>1850</v>
      </c>
      <c r="BB197" s="19">
        <f t="shared" si="114"/>
        <v>10413</v>
      </c>
      <c r="BC197" s="19">
        <f t="shared" si="115"/>
        <v>4325</v>
      </c>
      <c r="BE197" s="19">
        <f t="shared" si="116"/>
        <v>14738</v>
      </c>
      <c r="BG197" s="234">
        <f t="shared" ref="BG197:BG207" si="118">SUM(N197:AW197)</f>
        <v>14738</v>
      </c>
      <c r="BH197" s="19">
        <f t="shared" si="117"/>
        <v>0</v>
      </c>
    </row>
    <row r="198" spans="1:60" s="19" customFormat="1" ht="12.95" customHeight="1" x14ac:dyDescent="0.2">
      <c r="A198" s="85" t="str">
        <f>+'CCs # Master'!A60</f>
        <v>0011</v>
      </c>
      <c r="B198" s="19" t="str">
        <f>+'CCs # Master'!B60</f>
        <v>International Benefits</v>
      </c>
      <c r="C198" s="19" t="str">
        <f>+'CCs # Master'!C60</f>
        <v>Joyce, Mary</v>
      </c>
      <c r="D198" s="205">
        <f>+'CCs # Master'!D60</f>
        <v>100075</v>
      </c>
      <c r="E198" s="19">
        <f>+'CCs # Master'!E60</f>
        <v>0</v>
      </c>
      <c r="F198" s="19">
        <f>+'CCs # Master'!F60</f>
        <v>0</v>
      </c>
      <c r="G198" s="19">
        <f>+'CCs # Master'!G60</f>
        <v>0</v>
      </c>
      <c r="H198" s="19">
        <f>+'CCs # Master'!H60</f>
        <v>0</v>
      </c>
      <c r="I198" s="19">
        <f>+'CCs # Master'!I60</f>
        <v>0</v>
      </c>
      <c r="J198" s="19">
        <f>+'CCs # Master'!J60</f>
        <v>0</v>
      </c>
      <c r="K198" s="21">
        <f t="shared" si="110"/>
        <v>0</v>
      </c>
      <c r="M198" s="19" t="str">
        <f>+'CCs # Master'!M60</f>
        <v>% of International Headcount</v>
      </c>
      <c r="N198" s="19">
        <f>+'CCs # Master'!AW60</f>
        <v>0</v>
      </c>
      <c r="O198" s="19">
        <v>0</v>
      </c>
      <c r="P198" s="19">
        <f>+'CCs # Master'!N60</f>
        <v>0</v>
      </c>
      <c r="Q198" s="19">
        <f>+'CCs # Master'!O60</f>
        <v>0</v>
      </c>
      <c r="R198" s="19">
        <f>+'CCs # Master'!P60</f>
        <v>0</v>
      </c>
      <c r="S198" s="19">
        <f>+'CCs # Master'!Q60</f>
        <v>0</v>
      </c>
      <c r="T198" s="19">
        <f>+'CCs # Master'!R60</f>
        <v>0</v>
      </c>
      <c r="U198" s="19">
        <f>+'CCs # Master'!S60</f>
        <v>0</v>
      </c>
      <c r="V198" s="19">
        <f>+'CCs # Master'!T60</f>
        <v>0</v>
      </c>
      <c r="W198" s="19">
        <f>+'CCs # Master'!U60</f>
        <v>0</v>
      </c>
      <c r="X198" s="19">
        <f>+'CCs # Master'!V60</f>
        <v>0</v>
      </c>
      <c r="Y198" s="19">
        <f>+'CCs # Master'!W60</f>
        <v>0</v>
      </c>
      <c r="Z198" s="19">
        <f>+'CCs # Master'!X60</f>
        <v>0</v>
      </c>
      <c r="AA198" s="19">
        <f>+'CCs # Master'!Y60</f>
        <v>0</v>
      </c>
      <c r="AB198" s="19">
        <f>+'CCs # Master'!Z60</f>
        <v>0</v>
      </c>
      <c r="AC198" s="19">
        <f>+'CCs # Master'!AA60</f>
        <v>0</v>
      </c>
      <c r="AD198" s="19">
        <f>+'CCs # Master'!AB60</f>
        <v>0</v>
      </c>
      <c r="AE198" s="19">
        <f>+'CCs # Master'!AC60</f>
        <v>0</v>
      </c>
      <c r="AF198" s="19">
        <f>+'CCs # Master'!AD60</f>
        <v>0</v>
      </c>
      <c r="AG198" s="19">
        <f>+'CCs # Master'!AE60</f>
        <v>0</v>
      </c>
      <c r="AH198" s="19">
        <f>+'CCs # Master'!AF60</f>
        <v>0</v>
      </c>
      <c r="AI198" s="19">
        <f>+'CCs # Master'!AG60</f>
        <v>0</v>
      </c>
      <c r="AJ198" s="19">
        <f>+'CCs # Master'!AH60</f>
        <v>0</v>
      </c>
      <c r="AK198" s="19">
        <f>+'CCs # Master'!AI60</f>
        <v>0</v>
      </c>
      <c r="AL198" s="19">
        <f>+'CCs # Master'!AJ60</f>
        <v>0</v>
      </c>
      <c r="AM198" s="19">
        <f>+'CCs # Master'!AK60</f>
        <v>0</v>
      </c>
      <c r="AN198" s="19">
        <f>+'CCs # Master'!AL60</f>
        <v>0</v>
      </c>
      <c r="AO198" s="19">
        <f>+'CCs # Master'!AM60</f>
        <v>0</v>
      </c>
      <c r="AP198" s="19">
        <f>+'CCs # Master'!AN60</f>
        <v>0</v>
      </c>
      <c r="AQ198" s="19">
        <f>+'CCs # Master'!AO60</f>
        <v>0</v>
      </c>
      <c r="AR198" s="19">
        <f>+'CCs # Master'!AP60</f>
        <v>0</v>
      </c>
      <c r="AS198" s="19">
        <f>+'CCs # Master'!AQ60</f>
        <v>0</v>
      </c>
      <c r="AT198" s="19">
        <f>+'CCs # Master'!AR60</f>
        <v>0</v>
      </c>
      <c r="AU198" s="19">
        <f>+'CCs # Master'!AS60</f>
        <v>0</v>
      </c>
      <c r="AV198" s="19">
        <f>+'CCs # Master'!AT60</f>
        <v>0</v>
      </c>
      <c r="AW198"/>
      <c r="AX198" s="21">
        <f t="shared" si="111"/>
        <v>0</v>
      </c>
      <c r="AY198" s="21">
        <f t="shared" si="112"/>
        <v>0</v>
      </c>
      <c r="BA198" s="19">
        <f t="shared" si="113"/>
        <v>0</v>
      </c>
      <c r="BB198" s="19">
        <f t="shared" si="114"/>
        <v>0</v>
      </c>
      <c r="BC198" s="19">
        <f t="shared" si="115"/>
        <v>0</v>
      </c>
      <c r="BE198" s="19">
        <f t="shared" si="116"/>
        <v>0</v>
      </c>
      <c r="BG198" s="234">
        <f t="shared" si="118"/>
        <v>0</v>
      </c>
      <c r="BH198" s="19">
        <f t="shared" si="117"/>
        <v>0</v>
      </c>
    </row>
    <row r="199" spans="1:60" s="19" customFormat="1" ht="12.95" customHeight="1" x14ac:dyDescent="0.2">
      <c r="A199" s="85">
        <f>+'CCs # Master'!A74</f>
        <v>11</v>
      </c>
      <c r="B199" s="19" t="str">
        <f>+'CCs # Master'!B74</f>
        <v>1992 Deferral Plan</v>
      </c>
      <c r="C199" s="19" t="str">
        <f>+'CCs # Master'!C74</f>
        <v>Jones, Robert</v>
      </c>
      <c r="D199" s="205">
        <f>+'CCs # Master'!D74</f>
        <v>100111</v>
      </c>
      <c r="E199" s="19">
        <f>+'CCs # Master'!E74</f>
        <v>0</v>
      </c>
      <c r="F199" s="19">
        <f>+'CCs # Master'!F74</f>
        <v>0</v>
      </c>
      <c r="G199" s="19">
        <f>+'CCs # Master'!G74</f>
        <v>0</v>
      </c>
      <c r="H199" s="19">
        <f>+'CCs # Master'!H74</f>
        <v>0</v>
      </c>
      <c r="I199" s="19">
        <f>+'CCs # Master'!I74</f>
        <v>0</v>
      </c>
      <c r="J199" s="19">
        <f>+'CCs # Master'!J74</f>
        <v>110</v>
      </c>
      <c r="K199" s="21">
        <f t="shared" si="110"/>
        <v>110</v>
      </c>
      <c r="M199" s="19" t="str">
        <f>+'CCs # Master'!M74</f>
        <v>Retained At Corp</v>
      </c>
      <c r="N199" s="19">
        <f>+'CCs # Master'!AW74</f>
        <v>110</v>
      </c>
      <c r="O199" s="19">
        <v>0</v>
      </c>
      <c r="P199" s="19">
        <f>+'CCs # Master'!N74</f>
        <v>0</v>
      </c>
      <c r="Q199" s="19">
        <f>+'CCs # Master'!O74</f>
        <v>0</v>
      </c>
      <c r="R199" s="19">
        <f>+'CCs # Master'!P74</f>
        <v>0</v>
      </c>
      <c r="S199" s="19">
        <f>+'CCs # Master'!Q74</f>
        <v>0</v>
      </c>
      <c r="T199" s="19">
        <f>+'CCs # Master'!R74</f>
        <v>0</v>
      </c>
      <c r="U199" s="19">
        <f>+'CCs # Master'!S74</f>
        <v>0</v>
      </c>
      <c r="V199" s="19">
        <f>+'CCs # Master'!T74</f>
        <v>0</v>
      </c>
      <c r="W199" s="19">
        <f>+'CCs # Master'!U74</f>
        <v>0</v>
      </c>
      <c r="X199" s="19">
        <f>+'CCs # Master'!V74</f>
        <v>0</v>
      </c>
      <c r="Y199" s="19">
        <f>+'CCs # Master'!W74</f>
        <v>0</v>
      </c>
      <c r="Z199" s="19">
        <f>+'CCs # Master'!X74</f>
        <v>0</v>
      </c>
      <c r="AA199" s="19">
        <f>+'CCs # Master'!Y74</f>
        <v>0</v>
      </c>
      <c r="AB199" s="19">
        <f>+'CCs # Master'!Z74</f>
        <v>0</v>
      </c>
      <c r="AC199" s="19">
        <f>+'CCs # Master'!AA74</f>
        <v>0</v>
      </c>
      <c r="AD199" s="19">
        <f>+'CCs # Master'!AB74</f>
        <v>0</v>
      </c>
      <c r="AE199" s="19">
        <f>+'CCs # Master'!AC74</f>
        <v>0</v>
      </c>
      <c r="AF199" s="19">
        <f>+'CCs # Master'!AD74</f>
        <v>0</v>
      </c>
      <c r="AG199" s="19">
        <f>+'CCs # Master'!AE74</f>
        <v>0</v>
      </c>
      <c r="AH199" s="19">
        <f>+'CCs # Master'!AF74</f>
        <v>0</v>
      </c>
      <c r="AI199" s="19">
        <f>+'CCs # Master'!AG74</f>
        <v>0</v>
      </c>
      <c r="AJ199" s="19">
        <f>+'CCs # Master'!AH74</f>
        <v>0</v>
      </c>
      <c r="AK199" s="19">
        <f>+'CCs # Master'!AI74</f>
        <v>0</v>
      </c>
      <c r="AL199" s="19">
        <f>+'CCs # Master'!AJ74</f>
        <v>0</v>
      </c>
      <c r="AM199" s="19">
        <f>+'CCs # Master'!AK74</f>
        <v>0</v>
      </c>
      <c r="AN199" s="19">
        <f>+'CCs # Master'!AL74</f>
        <v>0</v>
      </c>
      <c r="AO199" s="19">
        <f>+'CCs # Master'!AM74</f>
        <v>0</v>
      </c>
      <c r="AP199" s="19">
        <f>+'CCs # Master'!AN74</f>
        <v>0</v>
      </c>
      <c r="AQ199" s="19">
        <f>+'CCs # Master'!AO74</f>
        <v>0</v>
      </c>
      <c r="AR199" s="19">
        <f>+'CCs # Master'!AP74</f>
        <v>0</v>
      </c>
      <c r="AS199" s="19">
        <f>+'CCs # Master'!AQ74</f>
        <v>0</v>
      </c>
      <c r="AT199" s="19">
        <f>+'CCs # Master'!AR74</f>
        <v>0</v>
      </c>
      <c r="AU199" s="19">
        <f>+'CCs # Master'!AS74</f>
        <v>0</v>
      </c>
      <c r="AV199" s="19">
        <f>+'CCs # Master'!AT74</f>
        <v>0</v>
      </c>
      <c r="AW199"/>
      <c r="AX199" s="21">
        <f t="shared" si="111"/>
        <v>110</v>
      </c>
      <c r="AY199" s="21">
        <f t="shared" si="112"/>
        <v>0</v>
      </c>
      <c r="BA199" s="19">
        <f t="shared" si="113"/>
        <v>0</v>
      </c>
      <c r="BB199" s="19">
        <f t="shared" si="114"/>
        <v>110</v>
      </c>
      <c r="BC199" s="19">
        <f t="shared" si="115"/>
        <v>0</v>
      </c>
      <c r="BE199" s="19">
        <f t="shared" si="116"/>
        <v>110</v>
      </c>
      <c r="BG199" s="234">
        <f t="shared" si="118"/>
        <v>110</v>
      </c>
      <c r="BH199" s="19">
        <f t="shared" si="117"/>
        <v>0</v>
      </c>
    </row>
    <row r="200" spans="1:60" s="19" customFormat="1" ht="12.95" customHeight="1" x14ac:dyDescent="0.2">
      <c r="A200" s="85" t="str">
        <f>+'CCs # Master'!A75</f>
        <v>0011</v>
      </c>
      <c r="B200" s="19" t="str">
        <f>+'CCs # Master'!B75</f>
        <v>Restricted Stock</v>
      </c>
      <c r="C200" s="19" t="str">
        <f>+'CCs # Master'!C75</f>
        <v>Joyce, Mary</v>
      </c>
      <c r="D200" s="205">
        <f>+'CCs # Master'!D75</f>
        <v>100112</v>
      </c>
      <c r="E200" s="19">
        <f>+'CCs # Master'!E75</f>
        <v>0</v>
      </c>
      <c r="F200" s="19">
        <f>+'CCs # Master'!F75</f>
        <v>0</v>
      </c>
      <c r="G200" s="19">
        <f>+'CCs # Master'!G75</f>
        <v>0</v>
      </c>
      <c r="H200" s="19">
        <f>+'CCs # Master'!H75</f>
        <v>0</v>
      </c>
      <c r="I200" s="19">
        <f>+'CCs # Master'!I75</f>
        <v>0</v>
      </c>
      <c r="J200" s="19">
        <f>+'CCs # Master'!J75</f>
        <v>78748</v>
      </c>
      <c r="K200" s="21">
        <f t="shared" si="110"/>
        <v>78748</v>
      </c>
      <c r="M200" s="19" t="str">
        <f>+'CCs # Master'!M75</f>
        <v>Grant Elections</v>
      </c>
      <c r="N200" s="19">
        <f>+'CCs # Master'!AW75</f>
        <v>17851</v>
      </c>
      <c r="O200" s="19">
        <v>0</v>
      </c>
      <c r="P200" s="19">
        <f>+'CCs # Master'!N75</f>
        <v>65</v>
      </c>
      <c r="Q200" s="19">
        <f>+'CCs # Master'!O75</f>
        <v>168</v>
      </c>
      <c r="R200" s="19">
        <f>+'CCs # Master'!P75</f>
        <v>955</v>
      </c>
      <c r="S200" s="19">
        <f>+'CCs # Master'!Q75</f>
        <v>0</v>
      </c>
      <c r="T200" s="19">
        <f>+'CCs # Master'!R75</f>
        <v>110</v>
      </c>
      <c r="U200" s="19">
        <f>+'CCs # Master'!S75</f>
        <v>0</v>
      </c>
      <c r="V200" s="19">
        <f>+'CCs # Master'!T75</f>
        <v>367</v>
      </c>
      <c r="W200" s="19">
        <f>+'CCs # Master'!U75</f>
        <v>472</v>
      </c>
      <c r="X200" s="19">
        <f>+'CCs # Master'!V75</f>
        <v>1388</v>
      </c>
      <c r="Y200" s="19">
        <f>+'CCs # Master'!W75</f>
        <v>4</v>
      </c>
      <c r="Z200" s="19">
        <f>+'CCs # Master'!X75</f>
        <v>10259</v>
      </c>
      <c r="AA200" s="19">
        <f>+'CCs # Master'!Y75</f>
        <v>0</v>
      </c>
      <c r="AB200" s="19">
        <f>+'CCs # Master'!Z75</f>
        <v>85</v>
      </c>
      <c r="AC200" s="19">
        <f>+'CCs # Master'!AA75</f>
        <v>0</v>
      </c>
      <c r="AD200" s="19">
        <f>+'CCs # Master'!AB75</f>
        <v>8564</v>
      </c>
      <c r="AE200" s="19">
        <f>+'CCs # Master'!AC75</f>
        <v>985</v>
      </c>
      <c r="AF200" s="19">
        <f>+'CCs # Master'!AD75</f>
        <v>10441</v>
      </c>
      <c r="AG200" s="19">
        <f>+'CCs # Master'!AE75</f>
        <v>16751</v>
      </c>
      <c r="AH200" s="19">
        <f>+'CCs # Master'!AF75</f>
        <v>134</v>
      </c>
      <c r="AI200" s="19">
        <f>+'CCs # Master'!AG75</f>
        <v>296</v>
      </c>
      <c r="AJ200" s="19">
        <f>+'CCs # Master'!AH75</f>
        <v>1111</v>
      </c>
      <c r="AK200" s="19">
        <f>+'CCs # Master'!AI75</f>
        <v>2097</v>
      </c>
      <c r="AL200" s="19">
        <f>+'CCs # Master'!AJ75</f>
        <v>825</v>
      </c>
      <c r="AM200" s="19">
        <f>+'CCs # Master'!AK75</f>
        <v>375</v>
      </c>
      <c r="AN200" s="19">
        <f>+'CCs # Master'!AL75</f>
        <v>544</v>
      </c>
      <c r="AO200" s="19">
        <f>+'CCs # Master'!AM75</f>
        <v>1573</v>
      </c>
      <c r="AP200" s="19">
        <f>+'CCs # Master'!AN75</f>
        <v>0</v>
      </c>
      <c r="AQ200" s="19">
        <f>+'CCs # Master'!AO75</f>
        <v>2261</v>
      </c>
      <c r="AR200" s="19">
        <f>+'CCs # Master'!AP75</f>
        <v>1067</v>
      </c>
      <c r="AS200" s="19">
        <f>+'CCs # Master'!AQ75</f>
        <v>0</v>
      </c>
      <c r="AT200" s="19">
        <f>+'CCs # Master'!AR75</f>
        <v>0</v>
      </c>
      <c r="AU200" s="19">
        <f>+'CCs # Master'!AS75</f>
        <v>0</v>
      </c>
      <c r="AV200" s="19">
        <f>+'CCs # Master'!AT75</f>
        <v>0</v>
      </c>
      <c r="AW200"/>
      <c r="AX200" s="21">
        <f t="shared" si="111"/>
        <v>78748</v>
      </c>
      <c r="AY200" s="21">
        <f t="shared" si="112"/>
        <v>0</v>
      </c>
      <c r="BA200" s="19">
        <f t="shared" si="113"/>
        <v>2574</v>
      </c>
      <c r="BB200" s="19">
        <f t="shared" si="114"/>
        <v>17851</v>
      </c>
      <c r="BC200" s="19">
        <f t="shared" si="115"/>
        <v>60897</v>
      </c>
      <c r="BE200" s="19">
        <f t="shared" si="116"/>
        <v>78748</v>
      </c>
      <c r="BG200" s="234">
        <f t="shared" si="118"/>
        <v>78748</v>
      </c>
      <c r="BH200" s="19">
        <f t="shared" si="117"/>
        <v>0</v>
      </c>
    </row>
    <row r="201" spans="1:60" s="19" customFormat="1" ht="12.95" customHeight="1" x14ac:dyDescent="0.2">
      <c r="A201" s="85">
        <f>+'CCs # Master'!A76</f>
        <v>11</v>
      </c>
      <c r="B201" s="19" t="str">
        <f>+'CCs # Master'!B76</f>
        <v>NQ Stock Plan</v>
      </c>
      <c r="C201" s="19" t="str">
        <f>+'CCs # Master'!C76</f>
        <v>Joyce, Mary</v>
      </c>
      <c r="D201" s="205">
        <f>+'CCs # Master'!D76</f>
        <v>100113</v>
      </c>
      <c r="E201" s="19">
        <f>+'CCs # Master'!E76</f>
        <v>0</v>
      </c>
      <c r="F201" s="19">
        <f>+'CCs # Master'!F76</f>
        <v>0</v>
      </c>
      <c r="G201" s="19">
        <f>+'CCs # Master'!G76</f>
        <v>0</v>
      </c>
      <c r="H201" s="19">
        <f>+'CCs # Master'!H76</f>
        <v>0</v>
      </c>
      <c r="I201" s="19">
        <f>+'CCs # Master'!I76</f>
        <v>0</v>
      </c>
      <c r="J201" s="19">
        <f>+'CCs # Master'!J76</f>
        <v>106857</v>
      </c>
      <c r="K201" s="21">
        <f t="shared" si="110"/>
        <v>106857</v>
      </c>
      <c r="M201" s="19" t="str">
        <f>+'CCs # Master'!M76</f>
        <v>Awards grants</v>
      </c>
      <c r="N201" s="19">
        <f>+'CCs # Master'!AW76</f>
        <v>31179</v>
      </c>
      <c r="O201" s="19">
        <v>0</v>
      </c>
      <c r="P201" s="19">
        <f>+'CCs # Master'!N76</f>
        <v>165</v>
      </c>
      <c r="Q201" s="19">
        <f>+'CCs # Master'!O76</f>
        <v>427</v>
      </c>
      <c r="R201" s="19">
        <f>+'CCs # Master'!P76</f>
        <v>2069</v>
      </c>
      <c r="S201" s="19">
        <f>+'CCs # Master'!Q76</f>
        <v>0</v>
      </c>
      <c r="T201" s="19">
        <f>+'CCs # Master'!R76</f>
        <v>165</v>
      </c>
      <c r="U201" s="19">
        <f>+'CCs # Master'!S76</f>
        <v>99</v>
      </c>
      <c r="V201" s="19">
        <f>+'CCs # Master'!T76</f>
        <v>471</v>
      </c>
      <c r="W201" s="19">
        <f>+'CCs # Master'!U76</f>
        <v>778</v>
      </c>
      <c r="X201" s="19">
        <f>+'CCs # Master'!V76</f>
        <v>1661</v>
      </c>
      <c r="Y201" s="19">
        <f>+'CCs # Master'!W76</f>
        <v>78</v>
      </c>
      <c r="Z201" s="19">
        <f>+'CCs # Master'!X76</f>
        <v>14586</v>
      </c>
      <c r="AA201" s="19">
        <f>+'CCs # Master'!Y76</f>
        <v>0</v>
      </c>
      <c r="AB201" s="19">
        <f>+'CCs # Master'!Z76</f>
        <v>136</v>
      </c>
      <c r="AC201" s="19">
        <f>+'CCs # Master'!AA76</f>
        <v>0</v>
      </c>
      <c r="AD201" s="19">
        <f>+'CCs # Master'!AB76</f>
        <v>6622</v>
      </c>
      <c r="AE201" s="19">
        <f>+'CCs # Master'!AC76</f>
        <v>1706</v>
      </c>
      <c r="AF201" s="19">
        <f>+'CCs # Master'!AD76</f>
        <v>11615</v>
      </c>
      <c r="AG201" s="19">
        <f>+'CCs # Master'!AE76</f>
        <v>17944</v>
      </c>
      <c r="AH201" s="19">
        <f>+'CCs # Master'!AF76</f>
        <v>937</v>
      </c>
      <c r="AI201" s="19">
        <f>+'CCs # Master'!AG76</f>
        <v>145</v>
      </c>
      <c r="AJ201" s="19">
        <f>+'CCs # Master'!AH76</f>
        <v>1634</v>
      </c>
      <c r="AK201" s="19">
        <f>+'CCs # Master'!AI76</f>
        <v>4992</v>
      </c>
      <c r="AL201" s="19">
        <f>+'CCs # Master'!AJ76</f>
        <v>2280</v>
      </c>
      <c r="AM201" s="19">
        <f>+'CCs # Master'!AK76</f>
        <v>1183</v>
      </c>
      <c r="AN201" s="19">
        <f>+'CCs # Master'!AL76</f>
        <v>783</v>
      </c>
      <c r="AO201" s="19">
        <f>+'CCs # Master'!AM76</f>
        <v>0</v>
      </c>
      <c r="AP201" s="19">
        <f>+'CCs # Master'!AN76</f>
        <v>0</v>
      </c>
      <c r="AQ201" s="19">
        <f>+'CCs # Master'!AO76</f>
        <v>3685</v>
      </c>
      <c r="AR201" s="19">
        <f>+'CCs # Master'!AP76</f>
        <v>1517</v>
      </c>
      <c r="AS201" s="19">
        <f>+'CCs # Master'!AQ76</f>
        <v>0</v>
      </c>
      <c r="AT201" s="19">
        <f>+'CCs # Master'!AR76</f>
        <v>0</v>
      </c>
      <c r="AU201" s="19">
        <f>+'CCs # Master'!AS76</f>
        <v>0</v>
      </c>
      <c r="AV201" s="19">
        <f>+'CCs # Master'!AT76</f>
        <v>0</v>
      </c>
      <c r="AW201"/>
      <c r="AX201" s="21">
        <f t="shared" si="111"/>
        <v>106857</v>
      </c>
      <c r="AY201" s="21">
        <f t="shared" si="112"/>
        <v>0</v>
      </c>
      <c r="BA201" s="19">
        <f t="shared" si="113"/>
        <v>3844</v>
      </c>
      <c r="BB201" s="19">
        <f t="shared" si="114"/>
        <v>31179</v>
      </c>
      <c r="BC201" s="19">
        <f t="shared" si="115"/>
        <v>75678</v>
      </c>
      <c r="BE201" s="19">
        <f t="shared" si="116"/>
        <v>106857</v>
      </c>
      <c r="BG201" s="234">
        <f t="shared" si="118"/>
        <v>106857</v>
      </c>
      <c r="BH201" s="19">
        <f t="shared" si="117"/>
        <v>0</v>
      </c>
    </row>
    <row r="202" spans="1:60" s="19" customFormat="1" ht="12.95" customHeight="1" x14ac:dyDescent="0.2">
      <c r="A202" s="85" t="str">
        <f>+'CCs # Master'!A129</f>
        <v>0011</v>
      </c>
      <c r="B202" s="19" t="str">
        <f>+'CCs # Master'!B129</f>
        <v>Annual Incentive</v>
      </c>
      <c r="C202" s="19" t="str">
        <f>+'CCs # Master'!C129</f>
        <v>Joyce, Mary</v>
      </c>
      <c r="D202" s="205">
        <f>+'CCs # Master'!D129</f>
        <v>100114</v>
      </c>
      <c r="E202" s="19">
        <f>+'CCs # Master'!E129</f>
        <v>0</v>
      </c>
      <c r="F202" s="19">
        <f>+'CCs # Master'!F129</f>
        <v>0</v>
      </c>
      <c r="G202" s="19">
        <f>+'CCs # Master'!G129</f>
        <v>0</v>
      </c>
      <c r="H202" s="19">
        <f>+'CCs # Master'!H129</f>
        <v>0</v>
      </c>
      <c r="I202" s="19">
        <f>+'CCs # Master'!I129</f>
        <v>0</v>
      </c>
      <c r="J202" s="19">
        <f>+'CCs # Master'!J129</f>
        <v>48198</v>
      </c>
      <c r="K202" s="21">
        <f t="shared" si="110"/>
        <v>48198</v>
      </c>
      <c r="M202" s="19" t="str">
        <f>+'CCs # Master'!M129</f>
        <v>Estimated Payments/MMF (Corp Only)</v>
      </c>
      <c r="N202" s="19">
        <f>+'CCs # Master'!AW129</f>
        <v>48198</v>
      </c>
      <c r="O202" s="19">
        <v>0</v>
      </c>
      <c r="P202" s="19">
        <f>+'CCs # Master'!N129</f>
        <v>0</v>
      </c>
      <c r="Q202" s="19">
        <f>+'CCs # Master'!O129</f>
        <v>0</v>
      </c>
      <c r="R202" s="19">
        <f>+'CCs # Master'!P129</f>
        <v>0</v>
      </c>
      <c r="S202" s="19">
        <f>+'CCs # Master'!Q129</f>
        <v>0</v>
      </c>
      <c r="T202" s="19">
        <f>+'CCs # Master'!R129</f>
        <v>0</v>
      </c>
      <c r="U202" s="19">
        <f>+'CCs # Master'!S129</f>
        <v>0</v>
      </c>
      <c r="V202" s="19">
        <f>+'CCs # Master'!T129</f>
        <v>0</v>
      </c>
      <c r="W202" s="19">
        <f>+'CCs # Master'!U129</f>
        <v>0</v>
      </c>
      <c r="X202" s="19">
        <f>+'CCs # Master'!V129</f>
        <v>0</v>
      </c>
      <c r="Y202" s="19">
        <f>+'CCs # Master'!W129</f>
        <v>0</v>
      </c>
      <c r="Z202" s="19">
        <f>+'CCs # Master'!X129</f>
        <v>0</v>
      </c>
      <c r="AA202" s="19">
        <f>+'CCs # Master'!Y129</f>
        <v>0</v>
      </c>
      <c r="AB202" s="19">
        <f>+'CCs # Master'!Z129</f>
        <v>0</v>
      </c>
      <c r="AC202" s="19">
        <f>+'CCs # Master'!AA129</f>
        <v>0</v>
      </c>
      <c r="AD202" s="19">
        <f>+'CCs # Master'!AB129</f>
        <v>0</v>
      </c>
      <c r="AE202" s="19">
        <f>+'CCs # Master'!AC129</f>
        <v>0</v>
      </c>
      <c r="AF202" s="19">
        <f>+'CCs # Master'!AD129</f>
        <v>0</v>
      </c>
      <c r="AG202" s="19">
        <f>+'CCs # Master'!AE129</f>
        <v>0</v>
      </c>
      <c r="AH202" s="19">
        <f>+'CCs # Master'!AF129</f>
        <v>0</v>
      </c>
      <c r="AI202" s="19">
        <f>+'CCs # Master'!AG129</f>
        <v>0</v>
      </c>
      <c r="AJ202" s="19">
        <f>+'CCs # Master'!AH129</f>
        <v>0</v>
      </c>
      <c r="AK202" s="19">
        <f>+'CCs # Master'!AI129</f>
        <v>0</v>
      </c>
      <c r="AL202" s="19">
        <f>+'CCs # Master'!AJ129</f>
        <v>0</v>
      </c>
      <c r="AM202" s="19">
        <f>+'CCs # Master'!AK129</f>
        <v>0</v>
      </c>
      <c r="AN202" s="19">
        <f>+'CCs # Master'!AL129</f>
        <v>0</v>
      </c>
      <c r="AO202" s="19">
        <f>+'CCs # Master'!AM129</f>
        <v>0</v>
      </c>
      <c r="AP202" s="19">
        <f>+'CCs # Master'!AN129</f>
        <v>0</v>
      </c>
      <c r="AQ202" s="19">
        <f>+'CCs # Master'!AO129</f>
        <v>0</v>
      </c>
      <c r="AR202" s="19">
        <f>+'CCs # Master'!AP129</f>
        <v>0</v>
      </c>
      <c r="AS202" s="19">
        <f>+'CCs # Master'!AQ129</f>
        <v>0</v>
      </c>
      <c r="AT202" s="19">
        <f>+'CCs # Master'!AR129</f>
        <v>0</v>
      </c>
      <c r="AU202" s="19">
        <f>+'CCs # Master'!AS129</f>
        <v>0</v>
      </c>
      <c r="AV202" s="19">
        <f>+'CCs # Master'!AT129</f>
        <v>0</v>
      </c>
      <c r="AW202"/>
      <c r="AX202" s="21">
        <f>SUM(N202:AW202)</f>
        <v>48198</v>
      </c>
      <c r="AY202" s="21">
        <f>+K202-AX202</f>
        <v>0</v>
      </c>
      <c r="BA202" s="19">
        <f t="shared" si="113"/>
        <v>0</v>
      </c>
      <c r="BB202" s="19">
        <f>N202</f>
        <v>48198</v>
      </c>
      <c r="BC202" s="19">
        <f>SUM(P202:AW202)</f>
        <v>0</v>
      </c>
      <c r="BE202" s="19">
        <f>SUM(BB202:BC202)</f>
        <v>48198</v>
      </c>
      <c r="BG202" s="234">
        <f>SUM(N202:AW202)</f>
        <v>48198</v>
      </c>
      <c r="BH202" s="19">
        <f>BE202-BG202</f>
        <v>0</v>
      </c>
    </row>
    <row r="203" spans="1:60" s="19" customFormat="1" ht="12.95" customHeight="1" x14ac:dyDescent="0.2">
      <c r="A203" s="85">
        <f>+'CCs # Master'!A77</f>
        <v>11</v>
      </c>
      <c r="B203" s="19" t="str">
        <f>+'CCs # Master'!B77</f>
        <v>Executive Perqs</v>
      </c>
      <c r="C203" s="19" t="str">
        <f>+'CCs # Master'!C77</f>
        <v>Joyce, Mary</v>
      </c>
      <c r="D203" s="205">
        <f>+'CCs # Master'!D77</f>
        <v>100115</v>
      </c>
      <c r="E203" s="19">
        <f>+'CCs # Master'!E77</f>
        <v>0</v>
      </c>
      <c r="F203" s="19">
        <f>+'CCs # Master'!F77</f>
        <v>0</v>
      </c>
      <c r="G203" s="19">
        <f>+'CCs # Master'!G77</f>
        <v>0</v>
      </c>
      <c r="H203" s="19">
        <f>+'CCs # Master'!H77</f>
        <v>0</v>
      </c>
      <c r="I203" s="19">
        <f>+'CCs # Master'!I77</f>
        <v>0</v>
      </c>
      <c r="J203" s="19">
        <f>+'CCs # Master'!J77</f>
        <v>210</v>
      </c>
      <c r="K203" s="21">
        <f t="shared" si="110"/>
        <v>210</v>
      </c>
      <c r="M203" s="19" t="str">
        <f>+'CCs # Master'!M77</f>
        <v>MMF</v>
      </c>
      <c r="N203" s="19">
        <f>+'CCs # Master'!AW77</f>
        <v>210</v>
      </c>
      <c r="O203" s="19">
        <v>0</v>
      </c>
      <c r="P203" s="19">
        <f>+'CCs # Master'!N77</f>
        <v>0</v>
      </c>
      <c r="Q203" s="19">
        <f>+'CCs # Master'!O77</f>
        <v>0</v>
      </c>
      <c r="R203" s="19">
        <f>+'CCs # Master'!P77</f>
        <v>0</v>
      </c>
      <c r="S203" s="19">
        <f>+'CCs # Master'!Q77</f>
        <v>0</v>
      </c>
      <c r="T203" s="19">
        <f>+'CCs # Master'!R77</f>
        <v>0</v>
      </c>
      <c r="U203" s="19">
        <f>+'CCs # Master'!S77</f>
        <v>0</v>
      </c>
      <c r="V203" s="19">
        <f>+'CCs # Master'!T77</f>
        <v>0</v>
      </c>
      <c r="W203" s="19">
        <f>+'CCs # Master'!U77</f>
        <v>0</v>
      </c>
      <c r="X203" s="19">
        <f>+'CCs # Master'!V77</f>
        <v>0</v>
      </c>
      <c r="Y203" s="19">
        <f>+'CCs # Master'!W77</f>
        <v>0</v>
      </c>
      <c r="Z203" s="19">
        <f>+'CCs # Master'!X77</f>
        <v>0</v>
      </c>
      <c r="AA203" s="19">
        <f>+'CCs # Master'!Y77</f>
        <v>0</v>
      </c>
      <c r="AB203" s="19">
        <f>+'CCs # Master'!Z77</f>
        <v>0</v>
      </c>
      <c r="AC203" s="19">
        <f>+'CCs # Master'!AA77</f>
        <v>0</v>
      </c>
      <c r="AD203" s="19">
        <f>+'CCs # Master'!AB77</f>
        <v>0</v>
      </c>
      <c r="AE203" s="19">
        <f>+'CCs # Master'!AC77</f>
        <v>0</v>
      </c>
      <c r="AF203" s="19">
        <f>+'CCs # Master'!AD77</f>
        <v>0</v>
      </c>
      <c r="AG203" s="19">
        <f>+'CCs # Master'!AE77</f>
        <v>0</v>
      </c>
      <c r="AH203" s="19">
        <f>+'CCs # Master'!AF77</f>
        <v>0</v>
      </c>
      <c r="AI203" s="19">
        <f>+'CCs # Master'!AG77</f>
        <v>0</v>
      </c>
      <c r="AJ203" s="19">
        <f>+'CCs # Master'!AH77</f>
        <v>0</v>
      </c>
      <c r="AK203" s="19">
        <f>+'CCs # Master'!AI77</f>
        <v>0</v>
      </c>
      <c r="AL203" s="19">
        <f>+'CCs # Master'!AJ77</f>
        <v>0</v>
      </c>
      <c r="AM203" s="19">
        <f>+'CCs # Master'!AK77</f>
        <v>0</v>
      </c>
      <c r="AN203" s="19">
        <f>+'CCs # Master'!AL77</f>
        <v>0</v>
      </c>
      <c r="AO203" s="19">
        <f>+'CCs # Master'!AM77</f>
        <v>0</v>
      </c>
      <c r="AP203" s="19">
        <f>+'CCs # Master'!AN77</f>
        <v>0</v>
      </c>
      <c r="AQ203" s="19">
        <f>+'CCs # Master'!AO77</f>
        <v>0</v>
      </c>
      <c r="AR203" s="19">
        <f>+'CCs # Master'!AP77</f>
        <v>0</v>
      </c>
      <c r="AS203" s="19">
        <f>+'CCs # Master'!AQ77</f>
        <v>0</v>
      </c>
      <c r="AT203" s="19">
        <f>+'CCs # Master'!AR77</f>
        <v>0</v>
      </c>
      <c r="AU203" s="19">
        <f>+'CCs # Master'!AS77</f>
        <v>0</v>
      </c>
      <c r="AV203" s="19">
        <f>+'CCs # Master'!AT77</f>
        <v>0</v>
      </c>
      <c r="AW203"/>
      <c r="AX203" s="21">
        <f t="shared" si="111"/>
        <v>210</v>
      </c>
      <c r="AY203" s="21">
        <f t="shared" si="112"/>
        <v>0</v>
      </c>
      <c r="BA203" s="19">
        <f t="shared" si="113"/>
        <v>0</v>
      </c>
      <c r="BB203" s="19">
        <f t="shared" si="114"/>
        <v>210</v>
      </c>
      <c r="BC203" s="19">
        <f t="shared" si="115"/>
        <v>0</v>
      </c>
      <c r="BE203" s="19">
        <f t="shared" si="116"/>
        <v>210</v>
      </c>
      <c r="BG203" s="234">
        <f t="shared" si="118"/>
        <v>210</v>
      </c>
      <c r="BH203" s="19">
        <f t="shared" si="117"/>
        <v>0</v>
      </c>
    </row>
    <row r="204" spans="1:60" s="19" customFormat="1" ht="12.95" customHeight="1" x14ac:dyDescent="0.2">
      <c r="A204" s="85">
        <f>+'CCs # Master'!A78</f>
        <v>11</v>
      </c>
      <c r="B204" s="19" t="str">
        <f>+'CCs # Master'!B78</f>
        <v>Employee Performance Award</v>
      </c>
      <c r="C204" s="19" t="str">
        <f>+'CCs # Master'!C78</f>
        <v>Joyce, Mary</v>
      </c>
      <c r="D204" s="205">
        <f>+'CCs # Master'!D78</f>
        <v>100116</v>
      </c>
      <c r="E204" s="19">
        <f>+'CCs # Master'!E78</f>
        <v>0</v>
      </c>
      <c r="F204" s="19">
        <f>+'CCs # Master'!F78</f>
        <v>0</v>
      </c>
      <c r="G204" s="19">
        <f>+'CCs # Master'!G78</f>
        <v>0</v>
      </c>
      <c r="H204" s="19">
        <f>+'CCs # Master'!H78</f>
        <v>0</v>
      </c>
      <c r="I204" s="19">
        <f>+'CCs # Master'!I78</f>
        <v>0</v>
      </c>
      <c r="J204" s="19">
        <f>+'CCs # Master'!J78</f>
        <v>215</v>
      </c>
      <c r="K204" s="21">
        <f t="shared" si="110"/>
        <v>215</v>
      </c>
      <c r="M204" s="19" t="str">
        <f>+'CCs # Master'!M78</f>
        <v>MMF</v>
      </c>
      <c r="N204" s="19">
        <f>+'CCs # Master'!AW78</f>
        <v>215</v>
      </c>
      <c r="O204" s="19">
        <v>0</v>
      </c>
      <c r="P204" s="19">
        <f>+'CCs # Master'!N78</f>
        <v>0</v>
      </c>
      <c r="Q204" s="19">
        <f>+'CCs # Master'!O78</f>
        <v>0</v>
      </c>
      <c r="R204" s="19">
        <f>+'CCs # Master'!P78</f>
        <v>0</v>
      </c>
      <c r="S204" s="19">
        <f>+'CCs # Master'!Q78</f>
        <v>0</v>
      </c>
      <c r="T204" s="19">
        <f>+'CCs # Master'!R78</f>
        <v>0</v>
      </c>
      <c r="U204" s="19">
        <f>+'CCs # Master'!S78</f>
        <v>0</v>
      </c>
      <c r="V204" s="19">
        <f>+'CCs # Master'!T78</f>
        <v>0</v>
      </c>
      <c r="W204" s="19">
        <f>+'CCs # Master'!U78</f>
        <v>0</v>
      </c>
      <c r="X204" s="19">
        <f>+'CCs # Master'!V78</f>
        <v>0</v>
      </c>
      <c r="Y204" s="19">
        <f>+'CCs # Master'!W78</f>
        <v>0</v>
      </c>
      <c r="Z204" s="19">
        <f>+'CCs # Master'!X78</f>
        <v>0</v>
      </c>
      <c r="AA204" s="19">
        <f>+'CCs # Master'!Y78</f>
        <v>0</v>
      </c>
      <c r="AB204" s="19">
        <f>+'CCs # Master'!Z78</f>
        <v>0</v>
      </c>
      <c r="AC204" s="19">
        <f>+'CCs # Master'!AA78</f>
        <v>0</v>
      </c>
      <c r="AD204" s="19">
        <f>+'CCs # Master'!AB78</f>
        <v>0</v>
      </c>
      <c r="AE204" s="19">
        <f>+'CCs # Master'!AC78</f>
        <v>0</v>
      </c>
      <c r="AF204" s="19">
        <f>+'CCs # Master'!AD78</f>
        <v>0</v>
      </c>
      <c r="AG204" s="19">
        <f>+'CCs # Master'!AE78</f>
        <v>0</v>
      </c>
      <c r="AH204" s="19">
        <f>+'CCs # Master'!AF78</f>
        <v>0</v>
      </c>
      <c r="AI204" s="19">
        <f>+'CCs # Master'!AG78</f>
        <v>0</v>
      </c>
      <c r="AJ204" s="19">
        <f>+'CCs # Master'!AH78</f>
        <v>0</v>
      </c>
      <c r="AK204" s="19">
        <f>+'CCs # Master'!AI78</f>
        <v>0</v>
      </c>
      <c r="AL204" s="19">
        <f>+'CCs # Master'!AJ78</f>
        <v>0</v>
      </c>
      <c r="AM204" s="19">
        <f>+'CCs # Master'!AK78</f>
        <v>0</v>
      </c>
      <c r="AN204" s="19">
        <f>+'CCs # Master'!AL78</f>
        <v>0</v>
      </c>
      <c r="AO204" s="19">
        <f>+'CCs # Master'!AM78</f>
        <v>0</v>
      </c>
      <c r="AP204" s="19">
        <f>+'CCs # Master'!AN78</f>
        <v>0</v>
      </c>
      <c r="AQ204" s="19">
        <f>+'CCs # Master'!AO78</f>
        <v>0</v>
      </c>
      <c r="AR204" s="19">
        <f>+'CCs # Master'!AP78</f>
        <v>0</v>
      </c>
      <c r="AS204" s="19">
        <f>+'CCs # Master'!AQ78</f>
        <v>0</v>
      </c>
      <c r="AT204" s="19">
        <f>+'CCs # Master'!AR78</f>
        <v>0</v>
      </c>
      <c r="AU204" s="19">
        <f>+'CCs # Master'!AS78</f>
        <v>0</v>
      </c>
      <c r="AV204" s="19">
        <f>+'CCs # Master'!AT78</f>
        <v>0</v>
      </c>
      <c r="AW204"/>
      <c r="AX204" s="21">
        <f t="shared" si="111"/>
        <v>215</v>
      </c>
      <c r="AY204" s="21">
        <f t="shared" si="112"/>
        <v>0</v>
      </c>
      <c r="BA204" s="19">
        <f t="shared" si="113"/>
        <v>0</v>
      </c>
      <c r="BB204" s="19">
        <f t="shared" si="114"/>
        <v>215</v>
      </c>
      <c r="BC204" s="19">
        <f t="shared" si="115"/>
        <v>0</v>
      </c>
      <c r="BE204" s="19">
        <f t="shared" si="116"/>
        <v>215</v>
      </c>
      <c r="BG204" s="234">
        <f t="shared" si="118"/>
        <v>215</v>
      </c>
      <c r="BH204" s="19">
        <f t="shared" si="117"/>
        <v>0</v>
      </c>
    </row>
    <row r="205" spans="1:60" s="19" customFormat="1" ht="12.95" customHeight="1" x14ac:dyDescent="0.2">
      <c r="A205" s="85">
        <f>+'CCs # Master'!A79</f>
        <v>11</v>
      </c>
      <c r="B205" s="19" t="str">
        <f>+'CCs # Master'!B79</f>
        <v>1994 Deferral Plan</v>
      </c>
      <c r="C205" s="19" t="str">
        <f>+'CCs # Master'!C79</f>
        <v>Joyce, Mary</v>
      </c>
      <c r="D205" s="205">
        <f>+'CCs # Master'!D79</f>
        <v>100117</v>
      </c>
      <c r="E205" s="19">
        <f>+'CCs # Master'!E79</f>
        <v>0</v>
      </c>
      <c r="F205" s="19">
        <f>+'CCs # Master'!F79</f>
        <v>0</v>
      </c>
      <c r="G205" s="19">
        <f>+'CCs # Master'!G79</f>
        <v>0</v>
      </c>
      <c r="H205" s="19">
        <f>+'CCs # Master'!H79</f>
        <v>0</v>
      </c>
      <c r="I205" s="19">
        <f>+'CCs # Master'!I79</f>
        <v>0</v>
      </c>
      <c r="J205" s="19">
        <f>+'CCs # Master'!J79</f>
        <v>5000</v>
      </c>
      <c r="K205" s="21">
        <f t="shared" si="110"/>
        <v>5000</v>
      </c>
      <c r="M205" s="19" t="str">
        <f>+'CCs # Master'!M79</f>
        <v>Retained At Corp</v>
      </c>
      <c r="N205" s="19">
        <f>+'CCs # Master'!AW79</f>
        <v>5000</v>
      </c>
      <c r="O205" s="19">
        <v>0</v>
      </c>
      <c r="P205" s="19">
        <f>+'CCs # Master'!N79</f>
        <v>0</v>
      </c>
      <c r="Q205" s="19">
        <f>+'CCs # Master'!O79</f>
        <v>0</v>
      </c>
      <c r="R205" s="19">
        <f>+'CCs # Master'!P79</f>
        <v>0</v>
      </c>
      <c r="S205" s="19">
        <f>+'CCs # Master'!Q79</f>
        <v>0</v>
      </c>
      <c r="T205" s="19">
        <f>+'CCs # Master'!R79</f>
        <v>0</v>
      </c>
      <c r="U205" s="19">
        <f>+'CCs # Master'!S79</f>
        <v>0</v>
      </c>
      <c r="V205" s="19">
        <f>+'CCs # Master'!T79</f>
        <v>0</v>
      </c>
      <c r="W205" s="19">
        <f>+'CCs # Master'!U79</f>
        <v>0</v>
      </c>
      <c r="X205" s="19">
        <f>+'CCs # Master'!V79</f>
        <v>0</v>
      </c>
      <c r="Y205" s="19">
        <f>+'CCs # Master'!W79</f>
        <v>0</v>
      </c>
      <c r="Z205" s="19">
        <f>+'CCs # Master'!X79</f>
        <v>0</v>
      </c>
      <c r="AA205" s="19">
        <f>+'CCs # Master'!Y79</f>
        <v>0</v>
      </c>
      <c r="AB205" s="19">
        <f>+'CCs # Master'!Z79</f>
        <v>0</v>
      </c>
      <c r="AC205" s="19">
        <f>+'CCs # Master'!AA79</f>
        <v>0</v>
      </c>
      <c r="AD205" s="19">
        <f>+'CCs # Master'!AB79</f>
        <v>0</v>
      </c>
      <c r="AE205" s="19">
        <f>+'CCs # Master'!AC79</f>
        <v>0</v>
      </c>
      <c r="AF205" s="19">
        <f>+'CCs # Master'!AD79</f>
        <v>0</v>
      </c>
      <c r="AG205" s="19">
        <f>+'CCs # Master'!AE79</f>
        <v>0</v>
      </c>
      <c r="AH205" s="19">
        <f>+'CCs # Master'!AF79</f>
        <v>0</v>
      </c>
      <c r="AI205" s="19">
        <f>+'CCs # Master'!AG79</f>
        <v>0</v>
      </c>
      <c r="AJ205" s="19">
        <f>+'CCs # Master'!AH79</f>
        <v>0</v>
      </c>
      <c r="AK205" s="19">
        <f>+'CCs # Master'!AI79</f>
        <v>0</v>
      </c>
      <c r="AL205" s="19">
        <f>+'CCs # Master'!AJ79</f>
        <v>0</v>
      </c>
      <c r="AM205" s="19">
        <f>+'CCs # Master'!AK79</f>
        <v>0</v>
      </c>
      <c r="AN205" s="19">
        <f>+'CCs # Master'!AL79</f>
        <v>0</v>
      </c>
      <c r="AO205" s="19">
        <f>+'CCs # Master'!AM79</f>
        <v>0</v>
      </c>
      <c r="AP205" s="19">
        <f>+'CCs # Master'!AN79</f>
        <v>0</v>
      </c>
      <c r="AQ205" s="19">
        <f>+'CCs # Master'!AO79</f>
        <v>0</v>
      </c>
      <c r="AR205" s="19">
        <f>+'CCs # Master'!AP79</f>
        <v>0</v>
      </c>
      <c r="AS205" s="19">
        <f>+'CCs # Master'!AQ79</f>
        <v>0</v>
      </c>
      <c r="AT205" s="19">
        <f>+'CCs # Master'!AR79</f>
        <v>0</v>
      </c>
      <c r="AU205" s="19">
        <f>+'CCs # Master'!AS79</f>
        <v>0</v>
      </c>
      <c r="AV205" s="19">
        <f>+'CCs # Master'!AT79</f>
        <v>0</v>
      </c>
      <c r="AW205"/>
      <c r="AX205" s="21">
        <f t="shared" si="111"/>
        <v>5000</v>
      </c>
      <c r="AY205" s="21">
        <f t="shared" si="112"/>
        <v>0</v>
      </c>
      <c r="BA205" s="19">
        <f t="shared" si="113"/>
        <v>0</v>
      </c>
      <c r="BB205" s="19">
        <f t="shared" si="114"/>
        <v>5000</v>
      </c>
      <c r="BC205" s="19">
        <f t="shared" si="115"/>
        <v>0</v>
      </c>
      <c r="BE205" s="19">
        <f t="shared" si="116"/>
        <v>5000</v>
      </c>
      <c r="BG205" s="234">
        <f t="shared" si="118"/>
        <v>5000</v>
      </c>
      <c r="BH205" s="19">
        <f t="shared" si="117"/>
        <v>0</v>
      </c>
    </row>
    <row r="206" spans="1:60" s="19" customFormat="1" ht="12.95" customHeight="1" x14ac:dyDescent="0.2">
      <c r="A206" s="85" t="str">
        <f>+'CCs # Master'!A80</f>
        <v>0011</v>
      </c>
      <c r="B206" s="19" t="str">
        <f>+'CCs # Master'!B80</f>
        <v>All Employee Stock Option Plan</v>
      </c>
      <c r="C206" s="19" t="str">
        <f>+'CCs # Master'!C80</f>
        <v>Joyce, Mary</v>
      </c>
      <c r="D206" s="205">
        <f>+'CCs # Master'!D80</f>
        <v>100118</v>
      </c>
      <c r="E206" s="19">
        <f>+'CCs # Master'!E80</f>
        <v>36258</v>
      </c>
      <c r="F206" s="19">
        <f>+'CCs # Master'!F80</f>
        <v>0</v>
      </c>
      <c r="G206" s="19">
        <f>+'CCs # Master'!G80</f>
        <v>0</v>
      </c>
      <c r="H206" s="19">
        <f>+'CCs # Master'!H80</f>
        <v>0</v>
      </c>
      <c r="I206" s="19">
        <f>+'CCs # Master'!I80</f>
        <v>0</v>
      </c>
      <c r="J206" s="19">
        <f>+'CCs # Master'!J80</f>
        <v>0</v>
      </c>
      <c r="K206" s="21">
        <f t="shared" si="110"/>
        <v>36258</v>
      </c>
      <c r="M206" s="19" t="str">
        <f>+'CCs # Master'!M80</f>
        <v>5% of est. payroll</v>
      </c>
      <c r="N206" s="19">
        <f>+'CCs # Master'!AW80</f>
        <v>3106</v>
      </c>
      <c r="O206" s="19">
        <v>0</v>
      </c>
      <c r="P206" s="19">
        <f>+'CCs # Master'!N80</f>
        <v>583</v>
      </c>
      <c r="Q206" s="19">
        <f>+'CCs # Master'!O80</f>
        <v>992</v>
      </c>
      <c r="R206" s="19">
        <f>+'CCs # Master'!P80</f>
        <v>2714</v>
      </c>
      <c r="S206" s="19">
        <f>+'CCs # Master'!Q80</f>
        <v>0</v>
      </c>
      <c r="T206" s="19">
        <f>+'CCs # Master'!R80</f>
        <v>133</v>
      </c>
      <c r="U206" s="19">
        <f>+'CCs # Master'!S80</f>
        <v>0</v>
      </c>
      <c r="V206" s="19">
        <f>+'CCs # Master'!T80</f>
        <v>668</v>
      </c>
      <c r="W206" s="19">
        <f>+'CCs # Master'!U80</f>
        <v>2744</v>
      </c>
      <c r="X206" s="19">
        <f>+'CCs # Master'!V80</f>
        <v>760</v>
      </c>
      <c r="Y206" s="19">
        <f>+'CCs # Master'!W80</f>
        <v>485</v>
      </c>
      <c r="Z206" s="19">
        <f>+'CCs # Master'!X80</f>
        <v>5747</v>
      </c>
      <c r="AA206" s="19">
        <f>+'CCs # Master'!Y80</f>
        <v>85</v>
      </c>
      <c r="AB206" s="19">
        <f>+'CCs # Master'!Z80</f>
        <v>596</v>
      </c>
      <c r="AC206" s="19">
        <f>+'CCs # Master'!AA80</f>
        <v>156</v>
      </c>
      <c r="AD206" s="19">
        <f>+'CCs # Master'!AB80</f>
        <v>1094</v>
      </c>
      <c r="AE206" s="19">
        <f>+'CCs # Master'!AC80</f>
        <v>229</v>
      </c>
      <c r="AF206" s="19">
        <f>+'CCs # Master'!AD80</f>
        <v>4089</v>
      </c>
      <c r="AG206" s="19">
        <f>+'CCs # Master'!AE80</f>
        <v>5186</v>
      </c>
      <c r="AH206" s="19">
        <f>+'CCs # Master'!AF80</f>
        <v>0</v>
      </c>
      <c r="AI206" s="19">
        <f>+'CCs # Master'!AG80</f>
        <v>0</v>
      </c>
      <c r="AJ206" s="19">
        <f>+'CCs # Master'!AH80</f>
        <v>524</v>
      </c>
      <c r="AK206" s="19">
        <f>+'CCs # Master'!AI80</f>
        <v>374</v>
      </c>
      <c r="AL206" s="19">
        <f>+'CCs # Master'!AJ80</f>
        <v>298</v>
      </c>
      <c r="AM206" s="19">
        <f>+'CCs # Master'!AK80</f>
        <v>502</v>
      </c>
      <c r="AN206" s="19">
        <f>+'CCs # Master'!AL80</f>
        <v>969</v>
      </c>
      <c r="AO206" s="19">
        <f>+'CCs # Master'!AM80</f>
        <v>3177</v>
      </c>
      <c r="AP206" s="19">
        <f>+'CCs # Master'!AN80</f>
        <v>0</v>
      </c>
      <c r="AQ206" s="19">
        <f>+'CCs # Master'!AO80</f>
        <v>680</v>
      </c>
      <c r="AR206" s="19">
        <f>+'CCs # Master'!AP80</f>
        <v>367</v>
      </c>
      <c r="AS206" s="19">
        <f>+'CCs # Master'!AQ80</f>
        <v>0</v>
      </c>
      <c r="AT206" s="19">
        <f>+'CCs # Master'!AR80</f>
        <v>0</v>
      </c>
      <c r="AU206" s="19">
        <f>+'CCs # Master'!AS80</f>
        <v>0</v>
      </c>
      <c r="AV206" s="19">
        <f>+'CCs # Master'!AT80</f>
        <v>0</v>
      </c>
      <c r="AW206"/>
      <c r="AX206" s="21">
        <f t="shared" si="111"/>
        <v>36258</v>
      </c>
      <c r="AY206" s="21">
        <f t="shared" si="112"/>
        <v>0</v>
      </c>
      <c r="BA206" s="19">
        <f t="shared" si="113"/>
        <v>6365</v>
      </c>
      <c r="BB206" s="19">
        <f t="shared" si="114"/>
        <v>3106</v>
      </c>
      <c r="BC206" s="19">
        <f t="shared" si="115"/>
        <v>33152</v>
      </c>
      <c r="BE206" s="19">
        <f t="shared" si="116"/>
        <v>36258</v>
      </c>
      <c r="BG206" s="234">
        <f t="shared" si="118"/>
        <v>36258</v>
      </c>
      <c r="BH206" s="19">
        <f t="shared" si="117"/>
        <v>0</v>
      </c>
    </row>
    <row r="207" spans="1:60" s="19" customFormat="1" ht="12.95" customHeight="1" x14ac:dyDescent="0.2">
      <c r="A207" s="85">
        <f>+'CCs # Master'!A88</f>
        <v>11</v>
      </c>
      <c r="B207" s="19" t="str">
        <f>+'CCs # Master'!B88</f>
        <v>Executive Supplemental/COLI</v>
      </c>
      <c r="C207" s="19" t="str">
        <f>+'CCs # Master'!C88</f>
        <v>Joyce, Mary</v>
      </c>
      <c r="D207" s="205">
        <f>+'CCs # Master'!D88</f>
        <v>100126</v>
      </c>
      <c r="E207" s="19">
        <f>+'CCs # Master'!E88</f>
        <v>0</v>
      </c>
      <c r="F207" s="19">
        <f>+'CCs # Master'!F88</f>
        <v>0</v>
      </c>
      <c r="G207" s="19">
        <f>+'CCs # Master'!G88</f>
        <v>0</v>
      </c>
      <c r="H207" s="19">
        <f>+'CCs # Master'!H88</f>
        <v>0</v>
      </c>
      <c r="I207" s="19">
        <f>+'CCs # Master'!I88</f>
        <v>0</v>
      </c>
      <c r="J207" s="19">
        <f>+'CCs # Master'!J88</f>
        <v>0</v>
      </c>
      <c r="K207" s="21">
        <f t="shared" si="110"/>
        <v>0</v>
      </c>
      <c r="M207" s="19" t="str">
        <f>+'CCs # Master'!M88</f>
        <v>Retained At Corp</v>
      </c>
      <c r="N207" s="19">
        <f>+'CCs # Master'!AW88</f>
        <v>0</v>
      </c>
      <c r="O207" s="19">
        <v>0</v>
      </c>
      <c r="P207" s="19">
        <f>+'CCs # Master'!N88</f>
        <v>0</v>
      </c>
      <c r="Q207" s="19">
        <f>+'CCs # Master'!O88</f>
        <v>0</v>
      </c>
      <c r="R207" s="19">
        <f>+'CCs # Master'!P88</f>
        <v>0</v>
      </c>
      <c r="S207" s="19">
        <f>+'CCs # Master'!Q88</f>
        <v>0</v>
      </c>
      <c r="T207" s="19">
        <f>+'CCs # Master'!R88</f>
        <v>0</v>
      </c>
      <c r="U207" s="19">
        <f>+'CCs # Master'!S88</f>
        <v>0</v>
      </c>
      <c r="V207" s="19">
        <f>+'CCs # Master'!T88</f>
        <v>0</v>
      </c>
      <c r="W207" s="19">
        <f>+'CCs # Master'!U88</f>
        <v>0</v>
      </c>
      <c r="X207" s="19">
        <f>+'CCs # Master'!V88</f>
        <v>0</v>
      </c>
      <c r="Y207" s="19">
        <f>+'CCs # Master'!W88</f>
        <v>0</v>
      </c>
      <c r="Z207" s="19">
        <f>+'CCs # Master'!X88</f>
        <v>0</v>
      </c>
      <c r="AA207" s="19">
        <f>+'CCs # Master'!Y88</f>
        <v>0</v>
      </c>
      <c r="AB207" s="19">
        <f>+'CCs # Master'!Z88</f>
        <v>0</v>
      </c>
      <c r="AC207" s="19">
        <f>+'CCs # Master'!AA88</f>
        <v>0</v>
      </c>
      <c r="AD207" s="19">
        <f>+'CCs # Master'!AB88</f>
        <v>0</v>
      </c>
      <c r="AE207" s="19">
        <f>+'CCs # Master'!AC88</f>
        <v>0</v>
      </c>
      <c r="AF207" s="19">
        <f>+'CCs # Master'!AD88</f>
        <v>0</v>
      </c>
      <c r="AG207" s="19">
        <f>+'CCs # Master'!AE88</f>
        <v>0</v>
      </c>
      <c r="AH207" s="19">
        <f>+'CCs # Master'!AF88</f>
        <v>0</v>
      </c>
      <c r="AI207" s="19">
        <f>+'CCs # Master'!AG88</f>
        <v>0</v>
      </c>
      <c r="AJ207" s="19">
        <f>+'CCs # Master'!AH88</f>
        <v>0</v>
      </c>
      <c r="AK207" s="19">
        <f>+'CCs # Master'!AI88</f>
        <v>0</v>
      </c>
      <c r="AL207" s="19">
        <f>+'CCs # Master'!AJ88</f>
        <v>0</v>
      </c>
      <c r="AM207" s="19">
        <f>+'CCs # Master'!AK88</f>
        <v>0</v>
      </c>
      <c r="AN207" s="19">
        <f>+'CCs # Master'!AL88</f>
        <v>0</v>
      </c>
      <c r="AO207" s="19">
        <f>+'CCs # Master'!AM88</f>
        <v>0</v>
      </c>
      <c r="AP207" s="19">
        <f>+'CCs # Master'!AN88</f>
        <v>0</v>
      </c>
      <c r="AQ207" s="19">
        <f>+'CCs # Master'!AO88</f>
        <v>0</v>
      </c>
      <c r="AR207" s="19">
        <f>+'CCs # Master'!AP88</f>
        <v>0</v>
      </c>
      <c r="AS207" s="19">
        <f>+'CCs # Master'!AQ88</f>
        <v>0</v>
      </c>
      <c r="AT207" s="19">
        <f>+'CCs # Master'!AR88</f>
        <v>0</v>
      </c>
      <c r="AU207" s="19">
        <f>+'CCs # Master'!AS88</f>
        <v>0</v>
      </c>
      <c r="AV207" s="19">
        <f>+'CCs # Master'!AT88</f>
        <v>0</v>
      </c>
      <c r="AW207"/>
      <c r="AX207" s="21">
        <f t="shared" si="111"/>
        <v>0</v>
      </c>
      <c r="AY207" s="21">
        <f t="shared" si="112"/>
        <v>0</v>
      </c>
      <c r="BA207" s="19">
        <f t="shared" si="113"/>
        <v>0</v>
      </c>
      <c r="BB207" s="19">
        <f t="shared" si="114"/>
        <v>0</v>
      </c>
      <c r="BC207" s="227">
        <f t="shared" si="115"/>
        <v>0</v>
      </c>
      <c r="BE207" s="227">
        <f t="shared" si="116"/>
        <v>0</v>
      </c>
      <c r="BG207" s="249">
        <f t="shared" si="118"/>
        <v>0</v>
      </c>
      <c r="BH207" s="19">
        <f t="shared" si="117"/>
        <v>0</v>
      </c>
    </row>
    <row r="208" spans="1:60" s="19" customFormat="1" ht="8.1" customHeight="1" x14ac:dyDescent="0.2">
      <c r="A208" s="85"/>
      <c r="D208" s="205"/>
      <c r="E208" s="191"/>
      <c r="F208" s="191"/>
      <c r="G208" s="191"/>
      <c r="H208" s="191"/>
      <c r="I208" s="191"/>
      <c r="J208" s="191"/>
      <c r="K208" s="191"/>
      <c r="N208" s="191"/>
      <c r="O208" s="191"/>
      <c r="P208" s="191"/>
      <c r="Q208" s="191"/>
      <c r="R208" s="191"/>
      <c r="S208" s="191"/>
      <c r="T208" s="191"/>
      <c r="U208" s="191"/>
      <c r="V208" s="191"/>
      <c r="W208" s="191"/>
      <c r="X208" s="191"/>
      <c r="Y208" s="191"/>
      <c r="Z208" s="191"/>
      <c r="AA208" s="191"/>
      <c r="AB208" s="191"/>
      <c r="AC208" s="191"/>
      <c r="AD208" s="191"/>
      <c r="AE208" s="191"/>
      <c r="AF208" s="191"/>
      <c r="AG208" s="191"/>
      <c r="AH208" s="191"/>
      <c r="AI208" s="191"/>
      <c r="AJ208" s="191"/>
      <c r="AK208" s="191"/>
      <c r="AL208" s="191"/>
      <c r="AM208" s="191"/>
      <c r="AN208" s="191"/>
      <c r="AO208" s="191"/>
      <c r="AP208" s="191"/>
      <c r="AQ208" s="191"/>
      <c r="AR208" s="191"/>
      <c r="AS208" s="191"/>
      <c r="AT208" s="191"/>
      <c r="AU208" s="191"/>
      <c r="AV208" s="191"/>
      <c r="AW208"/>
      <c r="AX208" s="191"/>
      <c r="AY208" s="191"/>
      <c r="BA208" s="191"/>
      <c r="BB208" s="191"/>
      <c r="BG208" s="234"/>
    </row>
    <row r="209" spans="1:60" s="19" customFormat="1" ht="12.95" customHeight="1" x14ac:dyDescent="0.2">
      <c r="A209" s="85"/>
      <c r="D209" s="229"/>
      <c r="E209" s="227">
        <f>SUM(E196:E208)</f>
        <v>36258</v>
      </c>
      <c r="F209" s="227">
        <f t="shared" ref="F209:K209" si="119">SUM(F196:F208)</f>
        <v>0</v>
      </c>
      <c r="G209" s="227">
        <f t="shared" si="119"/>
        <v>0</v>
      </c>
      <c r="H209" s="227">
        <f t="shared" si="119"/>
        <v>0</v>
      </c>
      <c r="I209" s="227">
        <f t="shared" si="119"/>
        <v>0</v>
      </c>
      <c r="J209" s="227">
        <f t="shared" si="119"/>
        <v>263167</v>
      </c>
      <c r="K209" s="227">
        <f t="shared" si="119"/>
        <v>299425</v>
      </c>
      <c r="N209" s="227">
        <f>SUM(N196:N208)</f>
        <v>125373</v>
      </c>
      <c r="O209" s="227">
        <f t="shared" ref="O209:AY209" si="120">SUM(O196:O208)</f>
        <v>0</v>
      </c>
      <c r="P209" s="227">
        <f t="shared" si="120"/>
        <v>813</v>
      </c>
      <c r="Q209" s="227">
        <f t="shared" si="120"/>
        <v>1787</v>
      </c>
      <c r="R209" s="227">
        <f t="shared" si="120"/>
        <v>6038</v>
      </c>
      <c r="S209" s="227">
        <f t="shared" si="120"/>
        <v>0</v>
      </c>
      <c r="T209" s="227">
        <f t="shared" si="120"/>
        <v>408</v>
      </c>
      <c r="U209" s="227">
        <f t="shared" si="120"/>
        <v>99</v>
      </c>
      <c r="V209" s="227">
        <f t="shared" si="120"/>
        <v>1581</v>
      </c>
      <c r="W209" s="227">
        <f t="shared" si="120"/>
        <v>4444</v>
      </c>
      <c r="X209" s="227">
        <f t="shared" si="120"/>
        <v>4934</v>
      </c>
      <c r="Y209" s="227">
        <f t="shared" si="120"/>
        <v>567</v>
      </c>
      <c r="Z209" s="227">
        <f t="shared" si="120"/>
        <v>30751</v>
      </c>
      <c r="AA209" s="227">
        <f t="shared" si="120"/>
        <v>85</v>
      </c>
      <c r="AB209" s="227">
        <f t="shared" si="120"/>
        <v>1017</v>
      </c>
      <c r="AC209" s="227">
        <f t="shared" si="120"/>
        <v>156</v>
      </c>
      <c r="AD209" s="227">
        <f t="shared" si="120"/>
        <v>16280</v>
      </c>
      <c r="AE209" s="227">
        <f t="shared" si="120"/>
        <v>2920</v>
      </c>
      <c r="AF209" s="227">
        <f t="shared" si="120"/>
        <v>26870</v>
      </c>
      <c r="AG209" s="227">
        <f t="shared" si="120"/>
        <v>40381</v>
      </c>
      <c r="AH209" s="227">
        <f t="shared" si="120"/>
        <v>1071</v>
      </c>
      <c r="AI209" s="227">
        <f t="shared" si="120"/>
        <v>791</v>
      </c>
      <c r="AJ209" s="227">
        <f t="shared" si="120"/>
        <v>3394</v>
      </c>
      <c r="AK209" s="227">
        <f t="shared" si="120"/>
        <v>7463</v>
      </c>
      <c r="AL209" s="227">
        <f t="shared" si="120"/>
        <v>3403</v>
      </c>
      <c r="AM209" s="227">
        <f t="shared" si="120"/>
        <v>2060</v>
      </c>
      <c r="AN209" s="227">
        <f t="shared" si="120"/>
        <v>2330</v>
      </c>
      <c r="AO209" s="227">
        <f t="shared" si="120"/>
        <v>4750</v>
      </c>
      <c r="AP209" s="227">
        <f t="shared" si="120"/>
        <v>0</v>
      </c>
      <c r="AQ209" s="227">
        <f t="shared" si="120"/>
        <v>6691</v>
      </c>
      <c r="AR209" s="227">
        <f t="shared" si="120"/>
        <v>2968</v>
      </c>
      <c r="AS209" s="227">
        <f t="shared" si="120"/>
        <v>0</v>
      </c>
      <c r="AT209" s="227">
        <f t="shared" si="120"/>
        <v>0</v>
      </c>
      <c r="AU209" s="227">
        <f t="shared" si="120"/>
        <v>0</v>
      </c>
      <c r="AV209" s="227">
        <f t="shared" si="120"/>
        <v>0</v>
      </c>
      <c r="AX209" s="227">
        <f t="shared" si="120"/>
        <v>299425</v>
      </c>
      <c r="AY209" s="227">
        <f t="shared" si="120"/>
        <v>0</v>
      </c>
      <c r="BA209" s="227">
        <f>SUM(BA196:BA208)</f>
        <v>14633</v>
      </c>
      <c r="BB209" s="227">
        <f>SUM(BB196:BB208)</f>
        <v>125373</v>
      </c>
      <c r="BC209" s="227">
        <f>SUM(BC196:BC208)</f>
        <v>174052</v>
      </c>
      <c r="BE209" s="227">
        <f>SUM(BE196:BE208)</f>
        <v>299425</v>
      </c>
      <c r="BG209" s="227">
        <f>SUM(BG151:BG208)</f>
        <v>424939</v>
      </c>
      <c r="BH209" s="19">
        <f>SUM(BH196:BH208)</f>
        <v>0</v>
      </c>
    </row>
    <row r="210" spans="1:60" s="19" customFormat="1" ht="8.1" customHeight="1" x14ac:dyDescent="0.2">
      <c r="A210" s="85"/>
      <c r="D210" s="205"/>
      <c r="AW210"/>
      <c r="AX210" s="21"/>
      <c r="AY210" s="21"/>
    </row>
    <row r="211" spans="1:60" s="19" customFormat="1" ht="12.95" customHeight="1" x14ac:dyDescent="0.2">
      <c r="A211" s="207" t="s">
        <v>351</v>
      </c>
      <c r="D211" s="205"/>
      <c r="AW211"/>
      <c r="AX211" s="21"/>
      <c r="AY211" s="21"/>
      <c r="BG211" s="234"/>
    </row>
    <row r="212" spans="1:60" s="19" customFormat="1" ht="12.95" customHeight="1" x14ac:dyDescent="0.2">
      <c r="A212" s="85" t="str">
        <f>+'CCs # Master'!A62</f>
        <v>0011</v>
      </c>
      <c r="B212" s="19" t="str">
        <f>+'CCs # Master'!B62</f>
        <v>Savings Plan</v>
      </c>
      <c r="C212" s="19" t="str">
        <f>+'CCs # Master'!C62</f>
        <v>Jones, Robert</v>
      </c>
      <c r="D212" s="205">
        <f>+'CCs # Master'!D62</f>
        <v>100083</v>
      </c>
      <c r="E212" s="19">
        <f>+'CCs # Master'!E62</f>
        <v>18052</v>
      </c>
      <c r="F212" s="19">
        <f>+'CCs # Master'!F62</f>
        <v>0</v>
      </c>
      <c r="G212" s="19">
        <f>+'CCs # Master'!G62</f>
        <v>0</v>
      </c>
      <c r="H212" s="19">
        <f>+'CCs # Master'!H62</f>
        <v>0</v>
      </c>
      <c r="I212" s="19">
        <f>+'CCs # Master'!I62</f>
        <v>0</v>
      </c>
      <c r="J212" s="19">
        <f>+'CCs # Master'!J62</f>
        <v>0</v>
      </c>
      <c r="K212" s="21">
        <f>SUM(E212:J212)</f>
        <v>18052</v>
      </c>
      <c r="M212" s="19" t="str">
        <f>+'CCs # Master'!M62</f>
        <v>Included in benefits rate</v>
      </c>
      <c r="N212" s="19">
        <f>+'CCs # Master'!AW62</f>
        <v>1491</v>
      </c>
      <c r="O212" s="19">
        <v>0</v>
      </c>
      <c r="P212" s="19">
        <f>+'CCs # Master'!N62</f>
        <v>280</v>
      </c>
      <c r="Q212" s="19">
        <f>+'CCs # Master'!O62</f>
        <v>476</v>
      </c>
      <c r="R212" s="19">
        <f>+'CCs # Master'!P62</f>
        <v>1302</v>
      </c>
      <c r="S212" s="19">
        <f>+'CCs # Master'!Q62</f>
        <v>0</v>
      </c>
      <c r="T212" s="19">
        <f>+'CCs # Master'!R62</f>
        <v>64</v>
      </c>
      <c r="U212" s="19">
        <f>+'CCs # Master'!S62</f>
        <v>909</v>
      </c>
      <c r="V212" s="19">
        <f>+'CCs # Master'!T62</f>
        <v>320</v>
      </c>
      <c r="W212" s="19">
        <f>+'CCs # Master'!U62</f>
        <v>1317</v>
      </c>
      <c r="X212" s="19">
        <f>+'CCs # Master'!V62</f>
        <v>598</v>
      </c>
      <c r="Y212" s="19">
        <f>+'CCs # Master'!W62</f>
        <v>0</v>
      </c>
      <c r="Z212" s="19">
        <f>+'CCs # Master'!X62</f>
        <v>3261</v>
      </c>
      <c r="AA212" s="19">
        <f>+'CCs # Master'!Y62</f>
        <v>41</v>
      </c>
      <c r="AB212" s="19">
        <f>+'CCs # Master'!Z62</f>
        <v>286</v>
      </c>
      <c r="AC212" s="19">
        <f>+'CCs # Master'!AA62</f>
        <v>75</v>
      </c>
      <c r="AD212" s="19">
        <f>+'CCs # Master'!AB62</f>
        <v>73</v>
      </c>
      <c r="AE212" s="19">
        <f>+'CCs # Master'!AC62</f>
        <v>110</v>
      </c>
      <c r="AF212" s="19">
        <f>+'CCs # Master'!AD62</f>
        <v>1963</v>
      </c>
      <c r="AG212" s="19">
        <f>+'CCs # Master'!AE62</f>
        <v>2489</v>
      </c>
      <c r="AH212" s="19">
        <f>+'CCs # Master'!AF62</f>
        <v>0</v>
      </c>
      <c r="AI212" s="19">
        <f>+'CCs # Master'!AG62</f>
        <v>192</v>
      </c>
      <c r="AJ212" s="19">
        <f>+'CCs # Master'!AH62</f>
        <v>252</v>
      </c>
      <c r="AK212" s="19">
        <f>+'CCs # Master'!AI62</f>
        <v>179</v>
      </c>
      <c r="AL212" s="19">
        <f>+'CCs # Master'!AJ62</f>
        <v>143</v>
      </c>
      <c r="AM212" s="19">
        <f>+'CCs # Master'!AK62</f>
        <v>241</v>
      </c>
      <c r="AN212" s="19">
        <f>+'CCs # Master'!AL62</f>
        <v>465</v>
      </c>
      <c r="AO212" s="19">
        <f>+'CCs # Master'!AM62</f>
        <v>1525</v>
      </c>
      <c r="AP212" s="19">
        <f>+'CCs # Master'!AN62</f>
        <v>0</v>
      </c>
      <c r="AQ212" s="19">
        <f>+'CCs # Master'!AO62</f>
        <v>0</v>
      </c>
      <c r="AR212" s="19">
        <f>+'CCs # Master'!AP62</f>
        <v>0</v>
      </c>
      <c r="AS212" s="19">
        <f>+'CCs # Master'!AQ62</f>
        <v>0</v>
      </c>
      <c r="AT212" s="19">
        <f>+'CCs # Master'!AR62</f>
        <v>0</v>
      </c>
      <c r="AU212" s="19">
        <f>+'CCs # Master'!AS62</f>
        <v>0</v>
      </c>
      <c r="AV212" s="19">
        <f>+'CCs # Master'!AT62</f>
        <v>0</v>
      </c>
      <c r="AW212"/>
      <c r="AX212" s="21">
        <f t="shared" ref="AX212:AX220" si="121">SUM(N212:AW212)</f>
        <v>18052</v>
      </c>
      <c r="AY212" s="21">
        <f t="shared" ref="AY212:AY220" si="122">+K212-AX212</f>
        <v>0</v>
      </c>
      <c r="BA212" s="19">
        <f t="shared" ref="BA212:BA220" si="123">+P212+Q212+T212+U212+V212+W212+X212+Y212</f>
        <v>3964</v>
      </c>
      <c r="BB212" s="19">
        <f t="shared" ref="BB212:BB220" si="124">N212</f>
        <v>1491</v>
      </c>
      <c r="BC212" s="19">
        <f t="shared" ref="BC212:BC220" si="125">SUM(P212:AW212)</f>
        <v>16561</v>
      </c>
      <c r="BE212" s="19">
        <f t="shared" ref="BE212:BE220" si="126">SUM(BB212:BC212)</f>
        <v>18052</v>
      </c>
      <c r="BG212" s="234">
        <f t="shared" ref="BG212:BG220" si="127">SUM(N212:AW212)</f>
        <v>18052</v>
      </c>
      <c r="BH212" s="19">
        <f t="shared" ref="BH212:BH220" si="128">BE212-BG212</f>
        <v>0</v>
      </c>
    </row>
    <row r="213" spans="1:60" s="19" customFormat="1" ht="12.95" customHeight="1" x14ac:dyDescent="0.2">
      <c r="A213" s="85" t="str">
        <f>+'CCs # Master'!A81</f>
        <v>0011</v>
      </c>
      <c r="B213" s="19" t="str">
        <f>+'CCs # Master'!B81</f>
        <v>Cash Balance/SERP</v>
      </c>
      <c r="C213" s="19" t="str">
        <f>+'CCs # Master'!C81</f>
        <v>Joyce, Mary</v>
      </c>
      <c r="D213" s="205">
        <f>+'CCs # Master'!D81</f>
        <v>100119</v>
      </c>
      <c r="E213" s="19">
        <f>+'CCs # Master'!E81</f>
        <v>22850</v>
      </c>
      <c r="F213" s="19">
        <f>+'CCs # Master'!F81</f>
        <v>0</v>
      </c>
      <c r="G213" s="19">
        <f>+'CCs # Master'!G81</f>
        <v>0</v>
      </c>
      <c r="H213" s="19">
        <f>+'CCs # Master'!H81</f>
        <v>0</v>
      </c>
      <c r="I213" s="19">
        <f>+'CCs # Master'!I81</f>
        <v>0</v>
      </c>
      <c r="J213" s="19">
        <f>+'CCs # Master'!J81</f>
        <v>0</v>
      </c>
      <c r="K213" s="21">
        <f t="shared" ref="K213:K220" si="129">SUM(E213:J213)</f>
        <v>22850</v>
      </c>
      <c r="M213" s="19" t="str">
        <f>+'CCs # Master'!M81</f>
        <v>Included in benefits rate</v>
      </c>
      <c r="N213" s="19">
        <f>+'CCs # Master'!AW81</f>
        <v>0</v>
      </c>
      <c r="O213" s="19">
        <v>0</v>
      </c>
      <c r="P213" s="19">
        <f>+'CCs # Master'!N81</f>
        <v>-117</v>
      </c>
      <c r="Q213" s="19">
        <f>+'CCs # Master'!O81</f>
        <v>615</v>
      </c>
      <c r="R213" s="19">
        <f>+'CCs # Master'!P81</f>
        <v>1764</v>
      </c>
      <c r="S213" s="19">
        <f>+'CCs # Master'!Q81</f>
        <v>0</v>
      </c>
      <c r="T213" s="19">
        <f>+'CCs # Master'!R81</f>
        <v>79</v>
      </c>
      <c r="U213" s="19">
        <f>+'CCs # Master'!S81</f>
        <v>1326</v>
      </c>
      <c r="V213" s="19">
        <f>+'CCs # Master'!T81</f>
        <v>374</v>
      </c>
      <c r="W213" s="19">
        <f>+'CCs # Master'!U81</f>
        <v>4007</v>
      </c>
      <c r="X213" s="19">
        <f>+'CCs # Master'!V81</f>
        <v>-245</v>
      </c>
      <c r="Y213" s="19">
        <f>+'CCs # Master'!W81</f>
        <v>0</v>
      </c>
      <c r="Z213" s="19">
        <f>+'CCs # Master'!X81</f>
        <v>4428</v>
      </c>
      <c r="AA213" s="19">
        <f>+'CCs # Master'!Y81</f>
        <v>56</v>
      </c>
      <c r="AB213" s="19">
        <f>+'CCs # Master'!Z81</f>
        <v>388</v>
      </c>
      <c r="AC213" s="19">
        <f>+'CCs # Master'!AA81</f>
        <v>101</v>
      </c>
      <c r="AD213" s="19">
        <f>+'CCs # Master'!AB81</f>
        <v>99</v>
      </c>
      <c r="AE213" s="19">
        <f>+'CCs # Master'!AC81</f>
        <v>149</v>
      </c>
      <c r="AF213" s="19">
        <f>+'CCs # Master'!AD81</f>
        <v>2657</v>
      </c>
      <c r="AG213" s="19">
        <f>+'CCs # Master'!AE81</f>
        <v>3370</v>
      </c>
      <c r="AH213" s="19">
        <f>+'CCs # Master'!AF81</f>
        <v>0</v>
      </c>
      <c r="AI213" s="19">
        <f>+'CCs # Master'!AG81</f>
        <v>0</v>
      </c>
      <c r="AJ213" s="19">
        <f>+'CCs # Master'!AH81</f>
        <v>341</v>
      </c>
      <c r="AK213" s="19">
        <f>+'CCs # Master'!AI81</f>
        <v>243</v>
      </c>
      <c r="AL213" s="19">
        <f>+'CCs # Master'!AJ81</f>
        <v>194</v>
      </c>
      <c r="AM213" s="19">
        <f>+'CCs # Master'!AK81</f>
        <v>326</v>
      </c>
      <c r="AN213" s="19">
        <f>+'CCs # Master'!AL81</f>
        <v>630</v>
      </c>
      <c r="AO213" s="19">
        <f>+'CCs # Master'!AM81</f>
        <v>2065</v>
      </c>
      <c r="AP213" s="19">
        <f>+'CCs # Master'!AN81</f>
        <v>0</v>
      </c>
      <c r="AQ213" s="19">
        <f>+'CCs # Master'!AO81</f>
        <v>0</v>
      </c>
      <c r="AR213" s="19">
        <f>+'CCs # Master'!AP81</f>
        <v>0</v>
      </c>
      <c r="AS213" s="19">
        <f>+'CCs # Master'!AQ81</f>
        <v>0</v>
      </c>
      <c r="AT213" s="19">
        <f>+'CCs # Master'!AR81</f>
        <v>0</v>
      </c>
      <c r="AU213" s="19">
        <f>+'CCs # Master'!AS81</f>
        <v>0</v>
      </c>
      <c r="AV213" s="19">
        <f>+'CCs # Master'!AT81</f>
        <v>0</v>
      </c>
      <c r="AW213"/>
      <c r="AX213" s="21">
        <f t="shared" si="121"/>
        <v>22850</v>
      </c>
      <c r="AY213" s="21">
        <f t="shared" si="122"/>
        <v>0</v>
      </c>
      <c r="BA213" s="19">
        <f t="shared" si="123"/>
        <v>6039</v>
      </c>
      <c r="BB213" s="19">
        <f t="shared" si="124"/>
        <v>0</v>
      </c>
      <c r="BC213" s="19">
        <f t="shared" si="125"/>
        <v>22850</v>
      </c>
      <c r="BE213" s="19">
        <f t="shared" si="126"/>
        <v>22850</v>
      </c>
      <c r="BG213" s="234">
        <f>SUM(N213:AW213)</f>
        <v>22850</v>
      </c>
      <c r="BH213" s="19">
        <f t="shared" si="128"/>
        <v>0</v>
      </c>
    </row>
    <row r="214" spans="1:60" s="19" customFormat="1" ht="12.95" customHeight="1" x14ac:dyDescent="0.2">
      <c r="A214" s="85" t="str">
        <f>+'CCs # Master'!A82</f>
        <v>0011</v>
      </c>
      <c r="B214" s="19" t="str">
        <f>+'CCs # Master'!B82</f>
        <v xml:space="preserve">EE Life, AD&amp;D </v>
      </c>
      <c r="C214" s="19" t="str">
        <f>+'CCs # Master'!C82</f>
        <v>Joyce, Mary</v>
      </c>
      <c r="D214" s="205">
        <f>+'CCs # Master'!D82</f>
        <v>100120</v>
      </c>
      <c r="E214" s="19">
        <f>+'CCs # Master'!E82</f>
        <v>3839</v>
      </c>
      <c r="F214" s="19">
        <f>+'CCs # Master'!F82</f>
        <v>0</v>
      </c>
      <c r="G214" s="19">
        <f>+'CCs # Master'!G82</f>
        <v>0</v>
      </c>
      <c r="H214" s="19">
        <f>+'CCs # Master'!H82</f>
        <v>0</v>
      </c>
      <c r="I214" s="19">
        <f>+'CCs # Master'!I82</f>
        <v>0</v>
      </c>
      <c r="J214" s="19">
        <f>+'CCs # Master'!J82</f>
        <v>0</v>
      </c>
      <c r="K214" s="21">
        <f t="shared" si="129"/>
        <v>3839</v>
      </c>
      <c r="M214" s="19" t="str">
        <f>+'CCs # Master'!M82</f>
        <v>Included in benefits rate</v>
      </c>
      <c r="N214" s="19">
        <f>+'CCs # Master'!AW82</f>
        <v>454</v>
      </c>
      <c r="O214" s="19">
        <v>0</v>
      </c>
      <c r="P214" s="19">
        <f>+'CCs # Master'!N82</f>
        <v>71</v>
      </c>
      <c r="Q214" s="19">
        <f>+'CCs # Master'!O82</f>
        <v>136</v>
      </c>
      <c r="R214" s="19">
        <f>+'CCs # Master'!P82</f>
        <v>297</v>
      </c>
      <c r="S214" s="19">
        <f>+'CCs # Master'!Q82</f>
        <v>0</v>
      </c>
      <c r="T214" s="19">
        <f>+'CCs # Master'!R82</f>
        <v>14</v>
      </c>
      <c r="U214" s="19">
        <f>+'CCs # Master'!S82</f>
        <v>0</v>
      </c>
      <c r="V214" s="19">
        <f>+'CCs # Master'!T82</f>
        <v>81</v>
      </c>
      <c r="W214" s="19">
        <f>+'CCs # Master'!U82</f>
        <v>382</v>
      </c>
      <c r="X214" s="19">
        <f>+'CCs # Master'!V82</f>
        <v>142</v>
      </c>
      <c r="Y214" s="19">
        <f>+'CCs # Master'!W82</f>
        <v>0</v>
      </c>
      <c r="Z214" s="19">
        <f>+'CCs # Master'!X82</f>
        <v>620</v>
      </c>
      <c r="AA214" s="19">
        <f>+'CCs # Master'!Y82</f>
        <v>7</v>
      </c>
      <c r="AB214" s="19">
        <f>+'CCs # Master'!Z82</f>
        <v>82</v>
      </c>
      <c r="AC214" s="19">
        <f>+'CCs # Master'!AA82</f>
        <v>17</v>
      </c>
      <c r="AD214" s="19">
        <f>+'CCs # Master'!AB82</f>
        <v>16</v>
      </c>
      <c r="AE214" s="19">
        <f>+'CCs # Master'!AC82</f>
        <v>33</v>
      </c>
      <c r="AF214" s="19">
        <f>+'CCs # Master'!AD82</f>
        <v>401</v>
      </c>
      <c r="AG214" s="19">
        <f>+'CCs # Master'!AE82</f>
        <v>518</v>
      </c>
      <c r="AH214" s="19">
        <f>+'CCs # Master'!AF82</f>
        <v>0</v>
      </c>
      <c r="AI214" s="19">
        <f>+'CCs # Master'!AG82</f>
        <v>27</v>
      </c>
      <c r="AJ214" s="19">
        <f>+'CCs # Master'!AH82</f>
        <v>36</v>
      </c>
      <c r="AK214" s="19">
        <f>+'CCs # Master'!AI82</f>
        <v>25</v>
      </c>
      <c r="AL214" s="19">
        <f>+'CCs # Master'!AJ82</f>
        <v>21</v>
      </c>
      <c r="AM214" s="19">
        <f>+'CCs # Master'!AK82</f>
        <v>43</v>
      </c>
      <c r="AN214" s="19">
        <f>+'CCs # Master'!AL82</f>
        <v>81</v>
      </c>
      <c r="AO214" s="19">
        <f>+'CCs # Master'!AM82</f>
        <v>335</v>
      </c>
      <c r="AP214" s="19">
        <f>+'CCs # Master'!AN82</f>
        <v>0</v>
      </c>
      <c r="AQ214" s="19">
        <f>+'CCs # Master'!AO82</f>
        <v>0</v>
      </c>
      <c r="AR214" s="19">
        <f>+'CCs # Master'!AP82</f>
        <v>0</v>
      </c>
      <c r="AS214" s="19">
        <f>+'CCs # Master'!AQ82</f>
        <v>0</v>
      </c>
      <c r="AT214" s="19">
        <f>+'CCs # Master'!AR82</f>
        <v>0</v>
      </c>
      <c r="AU214" s="19">
        <f>+'CCs # Master'!AS82</f>
        <v>0</v>
      </c>
      <c r="AV214" s="19">
        <f>+'CCs # Master'!AT82</f>
        <v>0</v>
      </c>
      <c r="AW214"/>
      <c r="AX214" s="21">
        <f t="shared" si="121"/>
        <v>3839</v>
      </c>
      <c r="AY214" s="21">
        <f t="shared" si="122"/>
        <v>0</v>
      </c>
      <c r="BA214" s="19">
        <f t="shared" si="123"/>
        <v>826</v>
      </c>
      <c r="BB214" s="19">
        <f t="shared" si="124"/>
        <v>454</v>
      </c>
      <c r="BC214" s="19">
        <f t="shared" si="125"/>
        <v>3385</v>
      </c>
      <c r="BE214" s="19">
        <f t="shared" si="126"/>
        <v>3839</v>
      </c>
      <c r="BG214" s="234">
        <f t="shared" si="127"/>
        <v>3839</v>
      </c>
      <c r="BH214" s="19">
        <f t="shared" si="128"/>
        <v>0</v>
      </c>
    </row>
    <row r="215" spans="1:60" s="19" customFormat="1" ht="12.95" customHeight="1" x14ac:dyDescent="0.2">
      <c r="A215" s="85" t="str">
        <f>+'CCs # Master'!A83</f>
        <v>0011</v>
      </c>
      <c r="B215" s="19" t="str">
        <f>+'CCs # Master'!B83</f>
        <v>Long Term Disability</v>
      </c>
      <c r="C215" s="19" t="str">
        <f>+'CCs # Master'!C83</f>
        <v>Joyce, Mary</v>
      </c>
      <c r="D215" s="205">
        <f>+'CCs # Master'!D83</f>
        <v>100121</v>
      </c>
      <c r="E215" s="19">
        <f>+'CCs # Master'!E83</f>
        <v>2400</v>
      </c>
      <c r="F215" s="19">
        <f>+'CCs # Master'!F83</f>
        <v>0</v>
      </c>
      <c r="G215" s="19">
        <f>+'CCs # Master'!G83</f>
        <v>0</v>
      </c>
      <c r="H215" s="19">
        <f>+'CCs # Master'!H83</f>
        <v>0</v>
      </c>
      <c r="I215" s="19">
        <f>+'CCs # Master'!I83</f>
        <v>0</v>
      </c>
      <c r="J215" s="19">
        <f>+'CCs # Master'!J83</f>
        <v>0</v>
      </c>
      <c r="K215" s="21">
        <f t="shared" si="129"/>
        <v>2400</v>
      </c>
      <c r="M215" s="19" t="str">
        <f>+'CCs # Master'!M83</f>
        <v>Included in benefits rate</v>
      </c>
      <c r="N215" s="19">
        <f>+'CCs # Master'!AW83</f>
        <v>284</v>
      </c>
      <c r="O215" s="19">
        <v>0</v>
      </c>
      <c r="P215" s="19">
        <f>+'CCs # Master'!N83</f>
        <v>45</v>
      </c>
      <c r="Q215" s="19">
        <f>+'CCs # Master'!O83</f>
        <v>85</v>
      </c>
      <c r="R215" s="19">
        <f>+'CCs # Master'!P83</f>
        <v>186</v>
      </c>
      <c r="S215" s="19">
        <f>+'CCs # Master'!Q83</f>
        <v>0</v>
      </c>
      <c r="T215" s="19">
        <f>+'CCs # Master'!R83</f>
        <v>9</v>
      </c>
      <c r="U215" s="19">
        <f>+'CCs # Master'!S83</f>
        <v>0</v>
      </c>
      <c r="V215" s="19">
        <f>+'CCs # Master'!T83</f>
        <v>51</v>
      </c>
      <c r="W215" s="19">
        <f>+'CCs # Master'!U83</f>
        <v>239</v>
      </c>
      <c r="X215" s="19">
        <f>+'CCs # Master'!V83</f>
        <v>89</v>
      </c>
      <c r="Y215" s="19">
        <f>+'CCs # Master'!W83</f>
        <v>0</v>
      </c>
      <c r="Z215" s="19">
        <f>+'CCs # Master'!X83</f>
        <v>387</v>
      </c>
      <c r="AA215" s="19">
        <f>+'CCs # Master'!Y83</f>
        <v>4</v>
      </c>
      <c r="AB215" s="19">
        <f>+'CCs # Master'!Z83</f>
        <v>51</v>
      </c>
      <c r="AC215" s="19">
        <f>+'CCs # Master'!AA83</f>
        <v>10</v>
      </c>
      <c r="AD215" s="19">
        <f>+'CCs # Master'!AB83</f>
        <v>10</v>
      </c>
      <c r="AE215" s="19">
        <f>+'CCs # Master'!AC83</f>
        <v>21</v>
      </c>
      <c r="AF215" s="19">
        <f>+'CCs # Master'!AD83</f>
        <v>249</v>
      </c>
      <c r="AG215" s="19">
        <f>+'CCs # Master'!AE83</f>
        <v>323</v>
      </c>
      <c r="AH215" s="19">
        <f>+'CCs # Master'!AF83</f>
        <v>0</v>
      </c>
      <c r="AI215" s="19">
        <f>+'CCs # Master'!AG83</f>
        <v>17</v>
      </c>
      <c r="AJ215" s="19">
        <f>+'CCs # Master'!AH83</f>
        <v>23</v>
      </c>
      <c r="AK215" s="19">
        <f>+'CCs # Master'!AI83</f>
        <v>16</v>
      </c>
      <c r="AL215" s="19">
        <f>+'CCs # Master'!AJ83</f>
        <v>13</v>
      </c>
      <c r="AM215" s="19">
        <f>+'CCs # Master'!AK83</f>
        <v>27</v>
      </c>
      <c r="AN215" s="19">
        <f>+'CCs # Master'!AL83</f>
        <v>51</v>
      </c>
      <c r="AO215" s="19">
        <f>+'CCs # Master'!AM83</f>
        <v>210</v>
      </c>
      <c r="AP215" s="19">
        <f>+'CCs # Master'!AN83</f>
        <v>0</v>
      </c>
      <c r="AQ215" s="19">
        <f>+'CCs # Master'!AO83</f>
        <v>0</v>
      </c>
      <c r="AR215" s="19">
        <f>+'CCs # Master'!AP83</f>
        <v>0</v>
      </c>
      <c r="AS215" s="19">
        <f>+'CCs # Master'!AQ83</f>
        <v>0</v>
      </c>
      <c r="AT215" s="19">
        <f>+'CCs # Master'!AR83</f>
        <v>0</v>
      </c>
      <c r="AU215" s="19">
        <f>+'CCs # Master'!AS83</f>
        <v>0</v>
      </c>
      <c r="AV215" s="19">
        <f>+'CCs # Master'!AT83</f>
        <v>0</v>
      </c>
      <c r="AW215"/>
      <c r="AX215" s="21">
        <f t="shared" si="121"/>
        <v>2400</v>
      </c>
      <c r="AY215" s="21">
        <f t="shared" si="122"/>
        <v>0</v>
      </c>
      <c r="BA215" s="19">
        <f t="shared" si="123"/>
        <v>518</v>
      </c>
      <c r="BB215" s="19">
        <f t="shared" si="124"/>
        <v>284</v>
      </c>
      <c r="BC215" s="19">
        <f t="shared" si="125"/>
        <v>2116</v>
      </c>
      <c r="BE215" s="19">
        <f t="shared" si="126"/>
        <v>2400</v>
      </c>
      <c r="BG215" s="234">
        <f t="shared" si="127"/>
        <v>2400</v>
      </c>
      <c r="BH215" s="19">
        <f t="shared" si="128"/>
        <v>0</v>
      </c>
    </row>
    <row r="216" spans="1:60" s="19" customFormat="1" ht="12.95" customHeight="1" x14ac:dyDescent="0.2">
      <c r="A216" s="85" t="str">
        <f>+'CCs # Master'!A84</f>
        <v>0011</v>
      </c>
      <c r="B216" s="19" t="str">
        <f>+'CCs # Master'!B84</f>
        <v>ESOP/Savings Plan Admin Fees</v>
      </c>
      <c r="C216" s="19" t="str">
        <f>+'CCs # Master'!C84</f>
        <v>Joyce, Mary</v>
      </c>
      <c r="D216" s="205">
        <f>+'CCs # Master'!D84</f>
        <v>100122</v>
      </c>
      <c r="E216" s="19">
        <f>+'CCs # Master'!E84</f>
        <v>235</v>
      </c>
      <c r="F216" s="19">
        <f>+'CCs # Master'!F84</f>
        <v>0</v>
      </c>
      <c r="G216" s="19">
        <f>+'CCs # Master'!G84</f>
        <v>0</v>
      </c>
      <c r="H216" s="19">
        <f>+'CCs # Master'!H84</f>
        <v>0</v>
      </c>
      <c r="I216" s="19">
        <f>+'CCs # Master'!I84</f>
        <v>0</v>
      </c>
      <c r="J216" s="19">
        <f>+'CCs # Master'!J84</f>
        <v>0</v>
      </c>
      <c r="K216" s="21">
        <f t="shared" si="129"/>
        <v>235</v>
      </c>
      <c r="M216" s="19" t="str">
        <f>+'CCs # Master'!M84</f>
        <v>Included in benefits rate</v>
      </c>
      <c r="N216" s="19">
        <f>+'CCs # Master'!AW84</f>
        <v>24</v>
      </c>
      <c r="O216" s="19">
        <v>0</v>
      </c>
      <c r="P216" s="19">
        <f>+'CCs # Master'!N84</f>
        <v>4</v>
      </c>
      <c r="Q216" s="19">
        <f>+'CCs # Master'!O84</f>
        <v>7</v>
      </c>
      <c r="R216" s="19">
        <f>+'CCs # Master'!P84</f>
        <v>16</v>
      </c>
      <c r="S216" s="19">
        <f>+'CCs # Master'!Q84</f>
        <v>0</v>
      </c>
      <c r="T216" s="19">
        <f>+'CCs # Master'!R84</f>
        <v>1</v>
      </c>
      <c r="U216" s="19">
        <f>+'CCs # Master'!S84</f>
        <v>25</v>
      </c>
      <c r="V216" s="19">
        <f>+'CCs # Master'!T84</f>
        <v>4</v>
      </c>
      <c r="W216" s="19">
        <f>+'CCs # Master'!U84</f>
        <v>20</v>
      </c>
      <c r="X216" s="19">
        <f>+'CCs # Master'!V84</f>
        <v>8</v>
      </c>
      <c r="Y216" s="19">
        <f>+'CCs # Master'!W84</f>
        <v>0</v>
      </c>
      <c r="Z216" s="19">
        <f>+'CCs # Master'!X84</f>
        <v>38</v>
      </c>
      <c r="AA216" s="19">
        <f>+'CCs # Master'!Y84</f>
        <v>0</v>
      </c>
      <c r="AB216" s="19">
        <f>+'CCs # Master'!Z84</f>
        <v>4</v>
      </c>
      <c r="AC216" s="19">
        <f>+'CCs # Master'!AA84</f>
        <v>1</v>
      </c>
      <c r="AD216" s="19">
        <f>+'CCs # Master'!AB84</f>
        <v>1</v>
      </c>
      <c r="AE216" s="19">
        <f>+'CCs # Master'!AC84</f>
        <v>2</v>
      </c>
      <c r="AF216" s="19">
        <f>+'CCs # Master'!AD84</f>
        <v>22</v>
      </c>
      <c r="AG216" s="19">
        <f>+'CCs # Master'!AE84</f>
        <v>29</v>
      </c>
      <c r="AH216" s="19">
        <f>+'CCs # Master'!AF84</f>
        <v>0</v>
      </c>
      <c r="AI216" s="19">
        <f>+'CCs # Master'!AG84</f>
        <v>1</v>
      </c>
      <c r="AJ216" s="19">
        <f>+'CCs # Master'!AH84</f>
        <v>2</v>
      </c>
      <c r="AK216" s="19">
        <f>+'CCs # Master'!AI84</f>
        <v>1</v>
      </c>
      <c r="AL216" s="19">
        <f>+'CCs # Master'!AJ84</f>
        <v>1</v>
      </c>
      <c r="AM216" s="19">
        <f>+'CCs # Master'!AK84</f>
        <v>2</v>
      </c>
      <c r="AN216" s="19">
        <f>+'CCs # Master'!AL84</f>
        <v>4</v>
      </c>
      <c r="AO216" s="19">
        <f>+'CCs # Master'!AM84</f>
        <v>18</v>
      </c>
      <c r="AP216" s="19">
        <f>+'CCs # Master'!AN84</f>
        <v>0</v>
      </c>
      <c r="AQ216" s="19">
        <f>+'CCs # Master'!AO84</f>
        <v>0</v>
      </c>
      <c r="AR216" s="19">
        <f>+'CCs # Master'!AP84</f>
        <v>0</v>
      </c>
      <c r="AS216" s="19">
        <f>+'CCs # Master'!AQ84</f>
        <v>0</v>
      </c>
      <c r="AT216" s="19">
        <f>+'CCs # Master'!AR84</f>
        <v>0</v>
      </c>
      <c r="AU216" s="19">
        <f>+'CCs # Master'!AS84</f>
        <v>0</v>
      </c>
      <c r="AV216" s="19">
        <f>+'CCs # Master'!AT84</f>
        <v>0</v>
      </c>
      <c r="AW216"/>
      <c r="AX216" s="21">
        <f t="shared" si="121"/>
        <v>235</v>
      </c>
      <c r="AY216" s="21">
        <f t="shared" si="122"/>
        <v>0</v>
      </c>
      <c r="BA216" s="19">
        <f t="shared" si="123"/>
        <v>69</v>
      </c>
      <c r="BB216" s="19">
        <f t="shared" si="124"/>
        <v>24</v>
      </c>
      <c r="BC216" s="19">
        <f t="shared" si="125"/>
        <v>211</v>
      </c>
      <c r="BE216" s="19">
        <f t="shared" si="126"/>
        <v>235</v>
      </c>
      <c r="BG216" s="234">
        <f t="shared" si="127"/>
        <v>235</v>
      </c>
      <c r="BH216" s="19">
        <f t="shared" si="128"/>
        <v>0</v>
      </c>
    </row>
    <row r="217" spans="1:60" s="19" customFormat="1" ht="12.95" customHeight="1" x14ac:dyDescent="0.2">
      <c r="A217" s="85" t="str">
        <f>+'CCs # Master'!A85</f>
        <v>0011</v>
      </c>
      <c r="B217" s="19" t="str">
        <f>+'CCs # Master'!B85</f>
        <v>Inactive Medical FAS 106</v>
      </c>
      <c r="C217" s="19" t="str">
        <f>+'CCs # Master'!C85</f>
        <v>Joyce, Mary</v>
      </c>
      <c r="D217" s="205">
        <f>+'CCs # Master'!D85</f>
        <v>100123</v>
      </c>
      <c r="E217" s="19">
        <f>+'CCs # Master'!E85</f>
        <v>14086</v>
      </c>
      <c r="F217" s="19">
        <f>+'CCs # Master'!F85</f>
        <v>0</v>
      </c>
      <c r="G217" s="19">
        <f>+'CCs # Master'!G85</f>
        <v>0</v>
      </c>
      <c r="H217" s="19">
        <f>+'CCs # Master'!H85</f>
        <v>0</v>
      </c>
      <c r="I217" s="19">
        <f>+'CCs # Master'!I85</f>
        <v>0</v>
      </c>
      <c r="J217" s="19">
        <f>+'CCs # Master'!J85</f>
        <v>0</v>
      </c>
      <c r="K217" s="21">
        <f t="shared" si="129"/>
        <v>14086</v>
      </c>
      <c r="M217" s="19" t="str">
        <f>+'CCs # Master'!M85</f>
        <v>Included in benefits rate</v>
      </c>
      <c r="N217" s="19">
        <f>+'CCs # Master'!AW85</f>
        <v>781</v>
      </c>
      <c r="O217" s="19">
        <v>0</v>
      </c>
      <c r="P217" s="19">
        <f>+'CCs # Master'!N85</f>
        <v>525</v>
      </c>
      <c r="Q217" s="19">
        <f>+'CCs # Master'!O85</f>
        <v>1191</v>
      </c>
      <c r="R217" s="19">
        <f>+'CCs # Master'!P85</f>
        <v>678</v>
      </c>
      <c r="S217" s="19">
        <f>+'CCs # Master'!Q85</f>
        <v>0</v>
      </c>
      <c r="T217" s="19">
        <f>+'CCs # Master'!R85</f>
        <v>26</v>
      </c>
      <c r="U217" s="19">
        <f>+'CCs # Master'!S85</f>
        <v>0</v>
      </c>
      <c r="V217" s="19">
        <f>+'CCs # Master'!T85</f>
        <v>267</v>
      </c>
      <c r="W217" s="19">
        <f>+'CCs # Master'!U85</f>
        <v>4391</v>
      </c>
      <c r="X217" s="19">
        <f>+'CCs # Master'!V85</f>
        <v>344</v>
      </c>
      <c r="Y217" s="19">
        <f>+'CCs # Master'!W85</f>
        <v>0</v>
      </c>
      <c r="Z217" s="19">
        <f>+'CCs # Master'!X85</f>
        <v>1699</v>
      </c>
      <c r="AA217" s="19">
        <f>+'CCs # Master'!Y85</f>
        <v>21</v>
      </c>
      <c r="AB217" s="19">
        <f>+'CCs # Master'!Z85</f>
        <v>149</v>
      </c>
      <c r="AC217" s="19">
        <f>+'CCs # Master'!AA85</f>
        <v>39</v>
      </c>
      <c r="AD217" s="19">
        <f>+'CCs # Master'!AB85</f>
        <v>38</v>
      </c>
      <c r="AE217" s="19">
        <f>+'CCs # Master'!AC85</f>
        <v>57</v>
      </c>
      <c r="AF217" s="19">
        <f>+'CCs # Master'!AD85</f>
        <v>1023</v>
      </c>
      <c r="AG217" s="19">
        <f>+'CCs # Master'!AE85</f>
        <v>1298</v>
      </c>
      <c r="AH217" s="19">
        <f>+'CCs # Master'!AF85</f>
        <v>0</v>
      </c>
      <c r="AI217" s="19">
        <f>+'CCs # Master'!AG85</f>
        <v>100</v>
      </c>
      <c r="AJ217" s="19">
        <f>+'CCs # Master'!AH85</f>
        <v>131</v>
      </c>
      <c r="AK217" s="19">
        <f>+'CCs # Master'!AI85</f>
        <v>93</v>
      </c>
      <c r="AL217" s="19">
        <f>+'CCs # Master'!AJ85</f>
        <v>74</v>
      </c>
      <c r="AM217" s="19">
        <f>+'CCs # Master'!AK85</f>
        <v>125</v>
      </c>
      <c r="AN217" s="19">
        <f>+'CCs # Master'!AL85</f>
        <v>242</v>
      </c>
      <c r="AO217" s="19">
        <f>+'CCs # Master'!AM85</f>
        <v>794</v>
      </c>
      <c r="AP217" s="19">
        <f>+'CCs # Master'!AN85</f>
        <v>0</v>
      </c>
      <c r="AQ217" s="19">
        <f>+'CCs # Master'!AO85</f>
        <v>0</v>
      </c>
      <c r="AR217" s="19">
        <f>+'CCs # Master'!AP85</f>
        <v>0</v>
      </c>
      <c r="AS217" s="19">
        <f>+'CCs # Master'!AQ85</f>
        <v>0</v>
      </c>
      <c r="AT217" s="19">
        <f>+'CCs # Master'!AR85</f>
        <v>0</v>
      </c>
      <c r="AU217" s="19">
        <f>+'CCs # Master'!AS85</f>
        <v>0</v>
      </c>
      <c r="AV217" s="19">
        <f>+'CCs # Master'!AT85</f>
        <v>0</v>
      </c>
      <c r="AW217"/>
      <c r="AX217" s="21">
        <f t="shared" si="121"/>
        <v>14086</v>
      </c>
      <c r="AY217" s="21">
        <f t="shared" si="122"/>
        <v>0</v>
      </c>
      <c r="BA217" s="19">
        <f t="shared" si="123"/>
        <v>6744</v>
      </c>
      <c r="BB217" s="19">
        <f t="shared" si="124"/>
        <v>781</v>
      </c>
      <c r="BC217" s="19">
        <f t="shared" si="125"/>
        <v>13305</v>
      </c>
      <c r="BE217" s="19">
        <f t="shared" si="126"/>
        <v>14086</v>
      </c>
      <c r="BG217" s="234">
        <f t="shared" si="127"/>
        <v>14086</v>
      </c>
      <c r="BH217" s="19">
        <f t="shared" si="128"/>
        <v>0</v>
      </c>
    </row>
    <row r="218" spans="1:60" s="19" customFormat="1" ht="12.95" customHeight="1" x14ac:dyDescent="0.2">
      <c r="A218" s="85" t="str">
        <f>+'CCs # Master'!A86</f>
        <v>0011</v>
      </c>
      <c r="B218" s="19" t="str">
        <f>+'CCs # Master'!B86</f>
        <v>Active Medical/Dental</v>
      </c>
      <c r="C218" s="19" t="str">
        <f>+'CCs # Master'!C86</f>
        <v>Joyce, Mary</v>
      </c>
      <c r="D218" s="205">
        <f>+'CCs # Master'!D86</f>
        <v>100124</v>
      </c>
      <c r="E218" s="19">
        <f>+'CCs # Master'!E86</f>
        <v>41752</v>
      </c>
      <c r="F218" s="19">
        <f>+'CCs # Master'!F86</f>
        <v>0</v>
      </c>
      <c r="G218" s="19">
        <f>+'CCs # Master'!G86</f>
        <v>0</v>
      </c>
      <c r="H218" s="19">
        <f>+'CCs # Master'!H86</f>
        <v>0</v>
      </c>
      <c r="I218" s="19">
        <f>+'CCs # Master'!I86</f>
        <v>0</v>
      </c>
      <c r="J218" s="19">
        <f>+'CCs # Master'!J86</f>
        <v>0</v>
      </c>
      <c r="K218" s="21">
        <f t="shared" si="129"/>
        <v>41752</v>
      </c>
      <c r="M218" s="19" t="str">
        <f>+'CCs # Master'!M86</f>
        <v>Included in benefits rate</v>
      </c>
      <c r="N218" s="19">
        <f>+'CCs # Master'!AW86</f>
        <v>4940</v>
      </c>
      <c r="O218" s="19">
        <v>0</v>
      </c>
      <c r="P218" s="19">
        <f>+'CCs # Master'!N86</f>
        <v>777</v>
      </c>
      <c r="Q218" s="19">
        <f>+'CCs # Master'!O86</f>
        <v>1474</v>
      </c>
      <c r="R218" s="19">
        <f>+'CCs # Master'!P86</f>
        <v>3232</v>
      </c>
      <c r="S218" s="19">
        <f>+'CCs # Master'!Q86</f>
        <v>0</v>
      </c>
      <c r="T218" s="19">
        <f>+'CCs # Master'!R86</f>
        <v>150</v>
      </c>
      <c r="U218" s="19">
        <f>+'CCs # Master'!S86</f>
        <v>0</v>
      </c>
      <c r="V218" s="19">
        <f>+'CCs # Master'!T86</f>
        <v>885</v>
      </c>
      <c r="W218" s="19">
        <f>+'CCs # Master'!U86</f>
        <v>4151</v>
      </c>
      <c r="X218" s="19">
        <f>+'CCs # Master'!V86</f>
        <v>1545</v>
      </c>
      <c r="Y218" s="19">
        <f>+'CCs # Master'!W86</f>
        <v>0</v>
      </c>
      <c r="Z218" s="19">
        <f>+'CCs # Master'!X86</f>
        <v>6745</v>
      </c>
      <c r="AA218" s="19">
        <f>+'CCs # Master'!Y86</f>
        <v>71</v>
      </c>
      <c r="AB218" s="19">
        <f>+'CCs # Master'!Z86</f>
        <v>889</v>
      </c>
      <c r="AC218" s="19">
        <f>+'CCs # Master'!AA86</f>
        <v>180</v>
      </c>
      <c r="AD218" s="19">
        <f>+'CCs # Master'!AB86</f>
        <v>175</v>
      </c>
      <c r="AE218" s="19">
        <f>+'CCs # Master'!AC86</f>
        <v>359</v>
      </c>
      <c r="AF218" s="19">
        <f>+'CCs # Master'!AD86</f>
        <v>4356</v>
      </c>
      <c r="AG218" s="19">
        <f>+'CCs # Master'!AE86</f>
        <v>5638</v>
      </c>
      <c r="AH218" s="19">
        <f>+'CCs # Master'!AF86</f>
        <v>0</v>
      </c>
      <c r="AI218" s="19">
        <f>+'CCs # Master'!AG86</f>
        <v>292</v>
      </c>
      <c r="AJ218" s="19">
        <f>+'CCs # Master'!AH86</f>
        <v>393</v>
      </c>
      <c r="AK218" s="19">
        <f>+'CCs # Master'!AI86</f>
        <v>271</v>
      </c>
      <c r="AL218" s="19">
        <f>+'CCs # Master'!AJ86</f>
        <v>230</v>
      </c>
      <c r="AM218" s="19">
        <f>+'CCs # Master'!AK86</f>
        <v>472</v>
      </c>
      <c r="AN218" s="19">
        <f>+'CCs # Master'!AL86</f>
        <v>881</v>
      </c>
      <c r="AO218" s="19">
        <f>+'CCs # Master'!AM86</f>
        <v>3646</v>
      </c>
      <c r="AP218" s="19">
        <f>+'CCs # Master'!AN86</f>
        <v>0</v>
      </c>
      <c r="AQ218" s="19">
        <f>+'CCs # Master'!AO86</f>
        <v>0</v>
      </c>
      <c r="AR218" s="19">
        <f>+'CCs # Master'!AP86</f>
        <v>0</v>
      </c>
      <c r="AS218" s="19">
        <f>+'CCs # Master'!AQ86</f>
        <v>0</v>
      </c>
      <c r="AT218" s="19">
        <f>+'CCs # Master'!AR86</f>
        <v>0</v>
      </c>
      <c r="AU218" s="19">
        <f>+'CCs # Master'!AS86</f>
        <v>0</v>
      </c>
      <c r="AV218" s="19">
        <f>+'CCs # Master'!AT86</f>
        <v>0</v>
      </c>
      <c r="AW218"/>
      <c r="AX218" s="21">
        <f t="shared" si="121"/>
        <v>41752</v>
      </c>
      <c r="AY218" s="21">
        <f t="shared" si="122"/>
        <v>0</v>
      </c>
      <c r="BA218" s="19">
        <f t="shared" si="123"/>
        <v>8982</v>
      </c>
      <c r="BB218" s="19">
        <f t="shared" si="124"/>
        <v>4940</v>
      </c>
      <c r="BC218" s="19">
        <f t="shared" si="125"/>
        <v>36812</v>
      </c>
      <c r="BE218" s="19">
        <f t="shared" si="126"/>
        <v>41752</v>
      </c>
      <c r="BG218" s="234">
        <f t="shared" si="127"/>
        <v>41752</v>
      </c>
      <c r="BH218" s="19">
        <f t="shared" si="128"/>
        <v>0</v>
      </c>
    </row>
    <row r="219" spans="1:60" s="19" customFormat="1" ht="12.95" customHeight="1" x14ac:dyDescent="0.2">
      <c r="A219" s="85" t="str">
        <f>+'CCs # Master'!A87</f>
        <v>0011</v>
      </c>
      <c r="B219" s="19" t="str">
        <f>+'CCs # Master'!B87</f>
        <v>Flex Admin/BTA</v>
      </c>
      <c r="C219" s="19" t="str">
        <f>+'CCs # Master'!C87</f>
        <v>Joyce, Mary</v>
      </c>
      <c r="D219" s="205">
        <f>+'CCs # Master'!D87</f>
        <v>100125</v>
      </c>
      <c r="E219" s="19">
        <f>+'CCs # Master'!E87</f>
        <v>4107</v>
      </c>
      <c r="F219" s="19">
        <f>+'CCs # Master'!F87</f>
        <v>0</v>
      </c>
      <c r="G219" s="19">
        <f>+'CCs # Master'!G87</f>
        <v>0</v>
      </c>
      <c r="H219" s="19">
        <f>+'CCs # Master'!H87</f>
        <v>0</v>
      </c>
      <c r="I219" s="19">
        <f>+'CCs # Master'!I87</f>
        <v>0</v>
      </c>
      <c r="J219" s="19">
        <f>+'CCs # Master'!J87</f>
        <v>0</v>
      </c>
      <c r="K219" s="21">
        <f t="shared" si="129"/>
        <v>4107</v>
      </c>
      <c r="M219" s="19" t="str">
        <f>+'CCs # Master'!M87</f>
        <v>Included in benefits rate</v>
      </c>
      <c r="N219" s="19">
        <f>+'CCs # Master'!AW87</f>
        <v>490</v>
      </c>
      <c r="O219" s="19">
        <v>0</v>
      </c>
      <c r="P219" s="19">
        <f>+'CCs # Master'!N87</f>
        <v>75</v>
      </c>
      <c r="Q219" s="19">
        <f>+'CCs # Master'!O87</f>
        <v>142</v>
      </c>
      <c r="R219" s="19">
        <f>+'CCs # Master'!P87</f>
        <v>311</v>
      </c>
      <c r="S219" s="19">
        <f>+'CCs # Master'!Q87</f>
        <v>0</v>
      </c>
      <c r="T219" s="19">
        <f>+'CCs # Master'!R87</f>
        <v>14</v>
      </c>
      <c r="U219" s="19">
        <f>+'CCs # Master'!S87</f>
        <v>0</v>
      </c>
      <c r="V219" s="19">
        <f>+'CCs # Master'!T87</f>
        <v>85</v>
      </c>
      <c r="W219" s="19">
        <f>+'CCs # Master'!U87</f>
        <v>400</v>
      </c>
      <c r="X219" s="19">
        <f>+'CCs # Master'!V87</f>
        <v>149</v>
      </c>
      <c r="Y219" s="19">
        <f>+'CCs # Master'!W87</f>
        <v>0</v>
      </c>
      <c r="Z219" s="19">
        <f>+'CCs # Master'!X87</f>
        <v>736</v>
      </c>
      <c r="AA219" s="19">
        <f>+'CCs # Master'!Y87</f>
        <v>7</v>
      </c>
      <c r="AB219" s="19">
        <f>+'CCs # Master'!Z87</f>
        <v>86</v>
      </c>
      <c r="AC219" s="19">
        <f>+'CCs # Master'!AA87</f>
        <v>17</v>
      </c>
      <c r="AD219" s="19">
        <f>+'CCs # Master'!AB87</f>
        <v>17</v>
      </c>
      <c r="AE219" s="19">
        <f>+'CCs # Master'!AC87</f>
        <v>35</v>
      </c>
      <c r="AF219" s="19">
        <f>+'CCs # Master'!AD87</f>
        <v>419</v>
      </c>
      <c r="AG219" s="19">
        <f>+'CCs # Master'!AE87</f>
        <v>543</v>
      </c>
      <c r="AH219" s="19">
        <f>+'CCs # Master'!AF87</f>
        <v>0</v>
      </c>
      <c r="AI219" s="19">
        <f>+'CCs # Master'!AG87</f>
        <v>14</v>
      </c>
      <c r="AJ219" s="19">
        <f>+'CCs # Master'!AH87</f>
        <v>38</v>
      </c>
      <c r="AK219" s="19">
        <f>+'CCs # Master'!AI87</f>
        <v>26</v>
      </c>
      <c r="AL219" s="19">
        <f>+'CCs # Master'!AJ87</f>
        <v>22</v>
      </c>
      <c r="AM219" s="19">
        <f>+'CCs # Master'!AK87</f>
        <v>45</v>
      </c>
      <c r="AN219" s="19">
        <f>+'CCs # Master'!AL87</f>
        <v>85</v>
      </c>
      <c r="AO219" s="19">
        <f>+'CCs # Master'!AM87</f>
        <v>351</v>
      </c>
      <c r="AP219" s="19">
        <f>+'CCs # Master'!AN87</f>
        <v>0</v>
      </c>
      <c r="AQ219" s="19">
        <f>+'CCs # Master'!AO87</f>
        <v>0</v>
      </c>
      <c r="AR219" s="19">
        <f>+'CCs # Master'!AP87</f>
        <v>0</v>
      </c>
      <c r="AS219" s="19">
        <f>+'CCs # Master'!AQ87</f>
        <v>0</v>
      </c>
      <c r="AT219" s="19">
        <f>+'CCs # Master'!AR87</f>
        <v>0</v>
      </c>
      <c r="AU219" s="19">
        <f>+'CCs # Master'!AS87</f>
        <v>0</v>
      </c>
      <c r="AV219" s="19">
        <f>+'CCs # Master'!AT87</f>
        <v>0</v>
      </c>
      <c r="AW219"/>
      <c r="AX219" s="21">
        <f t="shared" si="121"/>
        <v>4107</v>
      </c>
      <c r="AY219" s="21">
        <f t="shared" si="122"/>
        <v>0</v>
      </c>
      <c r="BA219" s="19">
        <f t="shared" si="123"/>
        <v>865</v>
      </c>
      <c r="BB219" s="19">
        <f t="shared" si="124"/>
        <v>490</v>
      </c>
      <c r="BC219" s="19">
        <f t="shared" si="125"/>
        <v>3617</v>
      </c>
      <c r="BE219" s="19">
        <f t="shared" si="126"/>
        <v>4107</v>
      </c>
      <c r="BG219" s="234">
        <f t="shared" si="127"/>
        <v>4107</v>
      </c>
      <c r="BH219" s="19">
        <f t="shared" si="128"/>
        <v>0</v>
      </c>
    </row>
    <row r="220" spans="1:60" s="19" customFormat="1" ht="12.95" customHeight="1" x14ac:dyDescent="0.2">
      <c r="A220" s="85" t="str">
        <f>+'CCs # Master'!A90</f>
        <v>0011</v>
      </c>
      <c r="B220" s="19" t="str">
        <f>+'CCs # Master'!B90</f>
        <v>ASO Charges</v>
      </c>
      <c r="C220" s="19" t="str">
        <f>+'CCs # Master'!C90</f>
        <v>Jones, Robert</v>
      </c>
      <c r="D220" s="205">
        <f>+'CCs # Master'!D90</f>
        <v>100128</v>
      </c>
      <c r="E220" s="19">
        <f>+'CCs # Master'!E90</f>
        <v>4715</v>
      </c>
      <c r="F220" s="19">
        <f>+'CCs # Master'!F90</f>
        <v>0</v>
      </c>
      <c r="G220" s="19">
        <f>+'CCs # Master'!G90</f>
        <v>0</v>
      </c>
      <c r="H220" s="19">
        <f>+'CCs # Master'!H90</f>
        <v>0</v>
      </c>
      <c r="I220" s="19">
        <f>+'CCs # Master'!I90</f>
        <v>0</v>
      </c>
      <c r="J220" s="19">
        <f>+'CCs # Master'!J90</f>
        <v>0</v>
      </c>
      <c r="K220" s="21">
        <f t="shared" si="129"/>
        <v>4715</v>
      </c>
      <c r="M220" s="19" t="str">
        <f>+'CCs # Master'!M90</f>
        <v>Included in benefits rate</v>
      </c>
      <c r="N220" s="19">
        <f>+'CCs # Master'!AW90</f>
        <v>546</v>
      </c>
      <c r="O220" s="19">
        <v>0</v>
      </c>
      <c r="P220" s="19">
        <f>+'CCs # Master'!N90</f>
        <v>86</v>
      </c>
      <c r="Q220" s="19">
        <f>+'CCs # Master'!O90</f>
        <v>163</v>
      </c>
      <c r="R220" s="19">
        <f>+'CCs # Master'!P90</f>
        <v>357</v>
      </c>
      <c r="S220" s="19">
        <f>+'CCs # Master'!Q90</f>
        <v>0</v>
      </c>
      <c r="T220" s="19">
        <f>+'CCs # Master'!R90</f>
        <v>17</v>
      </c>
      <c r="U220" s="19">
        <f>+'CCs # Master'!S90</f>
        <v>0</v>
      </c>
      <c r="V220" s="19">
        <f>+'CCs # Master'!T90</f>
        <v>98</v>
      </c>
      <c r="W220" s="19">
        <f>+'CCs # Master'!U90</f>
        <v>459</v>
      </c>
      <c r="X220" s="19">
        <f>+'CCs # Master'!V90</f>
        <v>171</v>
      </c>
      <c r="Y220" s="19">
        <f>+'CCs # Master'!W90</f>
        <v>0</v>
      </c>
      <c r="Z220" s="19">
        <f>+'CCs # Master'!X90</f>
        <v>847</v>
      </c>
      <c r="AA220" s="19">
        <f>+'CCs # Master'!Y90</f>
        <v>8</v>
      </c>
      <c r="AB220" s="19">
        <f>+'CCs # Master'!Z90</f>
        <v>98</v>
      </c>
      <c r="AC220" s="19">
        <f>+'CCs # Master'!AA90</f>
        <v>20</v>
      </c>
      <c r="AD220" s="19">
        <f>+'CCs # Master'!AB90</f>
        <v>19</v>
      </c>
      <c r="AE220" s="19">
        <f>+'CCs # Master'!AC90</f>
        <v>40</v>
      </c>
      <c r="AF220" s="19">
        <f>+'CCs # Master'!AD90</f>
        <v>481</v>
      </c>
      <c r="AG220" s="19">
        <f>+'CCs # Master'!AE90</f>
        <v>623</v>
      </c>
      <c r="AH220" s="19">
        <f>+'CCs # Master'!AF90</f>
        <v>0</v>
      </c>
      <c r="AI220" s="19">
        <f>+'CCs # Master'!AG90</f>
        <v>32</v>
      </c>
      <c r="AJ220" s="19">
        <f>+'CCs # Master'!AH90</f>
        <v>43</v>
      </c>
      <c r="AK220" s="19">
        <f>+'CCs # Master'!AI90</f>
        <v>30</v>
      </c>
      <c r="AL220" s="19">
        <f>+'CCs # Master'!AJ90</f>
        <v>25</v>
      </c>
      <c r="AM220" s="19">
        <f>+'CCs # Master'!AK90</f>
        <v>52</v>
      </c>
      <c r="AN220" s="19">
        <f>+'CCs # Master'!AL90</f>
        <v>97</v>
      </c>
      <c r="AO220" s="19">
        <f>+'CCs # Master'!AM90</f>
        <v>403</v>
      </c>
      <c r="AP220" s="19">
        <f>+'CCs # Master'!AN90</f>
        <v>0</v>
      </c>
      <c r="AQ220" s="19">
        <f>+'CCs # Master'!AO90</f>
        <v>0</v>
      </c>
      <c r="AR220" s="19">
        <f>+'CCs # Master'!AP90</f>
        <v>0</v>
      </c>
      <c r="AS220" s="19">
        <f>+'CCs # Master'!AQ90</f>
        <v>0</v>
      </c>
      <c r="AT220" s="19">
        <f>+'CCs # Master'!AR90</f>
        <v>0</v>
      </c>
      <c r="AU220" s="19">
        <f>+'CCs # Master'!AS90</f>
        <v>0</v>
      </c>
      <c r="AV220" s="19">
        <f>+'CCs # Master'!AT90</f>
        <v>0</v>
      </c>
      <c r="AW220" s="173"/>
      <c r="AX220" s="21">
        <f t="shared" si="121"/>
        <v>4715</v>
      </c>
      <c r="AY220" s="21">
        <f t="shared" si="122"/>
        <v>0</v>
      </c>
      <c r="BA220" s="19">
        <f t="shared" si="123"/>
        <v>994</v>
      </c>
      <c r="BB220" s="19">
        <f t="shared" si="124"/>
        <v>546</v>
      </c>
      <c r="BC220" s="227">
        <f t="shared" si="125"/>
        <v>4169</v>
      </c>
      <c r="BE220" s="227">
        <f t="shared" si="126"/>
        <v>4715</v>
      </c>
      <c r="BG220" s="249">
        <f t="shared" si="127"/>
        <v>4715</v>
      </c>
      <c r="BH220" s="19">
        <f t="shared" si="128"/>
        <v>0</v>
      </c>
    </row>
    <row r="221" spans="1:60" s="19" customFormat="1" ht="8.1" customHeight="1" x14ac:dyDescent="0.2">
      <c r="A221" s="85"/>
      <c r="D221" s="205"/>
      <c r="E221" s="191"/>
      <c r="F221" s="191"/>
      <c r="G221" s="191"/>
      <c r="H221" s="191"/>
      <c r="I221" s="191"/>
      <c r="J221" s="191"/>
      <c r="K221" s="191"/>
      <c r="N221" s="191"/>
      <c r="O221" s="191"/>
      <c r="P221" s="191"/>
      <c r="Q221" s="191"/>
      <c r="R221" s="191"/>
      <c r="S221" s="191"/>
      <c r="T221" s="191"/>
      <c r="U221" s="191"/>
      <c r="V221" s="191"/>
      <c r="W221" s="191"/>
      <c r="X221" s="191"/>
      <c r="Y221" s="191"/>
      <c r="Z221" s="191"/>
      <c r="AA221" s="191"/>
      <c r="AB221" s="191"/>
      <c r="AC221" s="191"/>
      <c r="AD221" s="191"/>
      <c r="AE221" s="191"/>
      <c r="AF221" s="191"/>
      <c r="AG221" s="191"/>
      <c r="AH221" s="191"/>
      <c r="AI221" s="191"/>
      <c r="AJ221" s="191"/>
      <c r="AK221" s="191"/>
      <c r="AL221" s="191"/>
      <c r="AM221" s="191"/>
      <c r="AN221" s="191"/>
      <c r="AO221" s="191"/>
      <c r="AP221" s="191"/>
      <c r="AQ221" s="191"/>
      <c r="AR221" s="191"/>
      <c r="AS221" s="191"/>
      <c r="AT221" s="191"/>
      <c r="AU221" s="191"/>
      <c r="AV221" s="191"/>
      <c r="AW221" s="173"/>
      <c r="AX221" s="191"/>
      <c r="AY221" s="191"/>
      <c r="BA221" s="191"/>
      <c r="BB221" s="191"/>
      <c r="BG221" s="234"/>
    </row>
    <row r="222" spans="1:60" s="19" customFormat="1" ht="12.95" customHeight="1" x14ac:dyDescent="0.2">
      <c r="A222" s="85"/>
      <c r="D222" s="205"/>
      <c r="E222" s="227">
        <f>SUM(E212:E221)</f>
        <v>112036</v>
      </c>
      <c r="F222" s="227">
        <f t="shared" ref="F222:K222" si="130">SUM(F212:F221)</f>
        <v>0</v>
      </c>
      <c r="G222" s="227">
        <f t="shared" si="130"/>
        <v>0</v>
      </c>
      <c r="H222" s="227">
        <f t="shared" si="130"/>
        <v>0</v>
      </c>
      <c r="I222" s="227">
        <f t="shared" si="130"/>
        <v>0</v>
      </c>
      <c r="J222" s="227">
        <f t="shared" si="130"/>
        <v>0</v>
      </c>
      <c r="K222" s="227">
        <f t="shared" si="130"/>
        <v>112036</v>
      </c>
      <c r="N222" s="227">
        <f>SUM(N212:N221)</f>
        <v>9010</v>
      </c>
      <c r="O222" s="227">
        <f t="shared" ref="O222:AX222" si="131">SUM(O212:O221)</f>
        <v>0</v>
      </c>
      <c r="P222" s="227">
        <f t="shared" si="131"/>
        <v>1746</v>
      </c>
      <c r="Q222" s="227">
        <f t="shared" si="131"/>
        <v>4289</v>
      </c>
      <c r="R222" s="227">
        <f t="shared" si="131"/>
        <v>8143</v>
      </c>
      <c r="S222" s="227">
        <f t="shared" si="131"/>
        <v>0</v>
      </c>
      <c r="T222" s="227">
        <f t="shared" si="131"/>
        <v>374</v>
      </c>
      <c r="U222" s="227">
        <f t="shared" si="131"/>
        <v>2260</v>
      </c>
      <c r="V222" s="227">
        <f t="shared" si="131"/>
        <v>2165</v>
      </c>
      <c r="W222" s="227">
        <f t="shared" si="131"/>
        <v>15366</v>
      </c>
      <c r="X222" s="227">
        <f t="shared" si="131"/>
        <v>2801</v>
      </c>
      <c r="Y222" s="227">
        <f t="shared" si="131"/>
        <v>0</v>
      </c>
      <c r="Z222" s="227">
        <f t="shared" si="131"/>
        <v>18761</v>
      </c>
      <c r="AA222" s="227">
        <f t="shared" si="131"/>
        <v>215</v>
      </c>
      <c r="AB222" s="227">
        <f t="shared" si="131"/>
        <v>2033</v>
      </c>
      <c r="AC222" s="227">
        <f t="shared" si="131"/>
        <v>460</v>
      </c>
      <c r="AD222" s="227">
        <f t="shared" si="131"/>
        <v>448</v>
      </c>
      <c r="AE222" s="227">
        <f t="shared" si="131"/>
        <v>806</v>
      </c>
      <c r="AF222" s="227">
        <f t="shared" si="131"/>
        <v>11571</v>
      </c>
      <c r="AG222" s="227">
        <f t="shared" si="131"/>
        <v>14831</v>
      </c>
      <c r="AH222" s="227">
        <f t="shared" si="131"/>
        <v>0</v>
      </c>
      <c r="AI222" s="227">
        <f t="shared" si="131"/>
        <v>675</v>
      </c>
      <c r="AJ222" s="227">
        <f t="shared" si="131"/>
        <v>1259</v>
      </c>
      <c r="AK222" s="227">
        <f t="shared" si="131"/>
        <v>884</v>
      </c>
      <c r="AL222" s="227">
        <f t="shared" si="131"/>
        <v>723</v>
      </c>
      <c r="AM222" s="227">
        <f t="shared" si="131"/>
        <v>1333</v>
      </c>
      <c r="AN222" s="227">
        <f t="shared" si="131"/>
        <v>2536</v>
      </c>
      <c r="AO222" s="227">
        <f t="shared" si="131"/>
        <v>9347</v>
      </c>
      <c r="AP222" s="227">
        <f t="shared" si="131"/>
        <v>0</v>
      </c>
      <c r="AQ222" s="227">
        <f t="shared" si="131"/>
        <v>0</v>
      </c>
      <c r="AR222" s="227">
        <f t="shared" si="131"/>
        <v>0</v>
      </c>
      <c r="AS222" s="227">
        <f t="shared" si="131"/>
        <v>0</v>
      </c>
      <c r="AT222" s="227">
        <f t="shared" si="131"/>
        <v>0</v>
      </c>
      <c r="AU222" s="227">
        <f t="shared" si="131"/>
        <v>0</v>
      </c>
      <c r="AV222" s="227">
        <f t="shared" si="131"/>
        <v>0</v>
      </c>
      <c r="AX222" s="227">
        <f t="shared" si="131"/>
        <v>112036</v>
      </c>
      <c r="AY222" s="227">
        <f>SUM(AY212:AY221)</f>
        <v>0</v>
      </c>
      <c r="BA222" s="227">
        <f>SUM(BA212:BA221)</f>
        <v>29001</v>
      </c>
      <c r="BB222" s="227">
        <f>SUM(BB212:BB221)</f>
        <v>9010</v>
      </c>
      <c r="BC222" s="227">
        <f>SUM(BC212:BC221)</f>
        <v>103026</v>
      </c>
      <c r="BE222" s="227">
        <f>SUM(BE212:BE221)</f>
        <v>112036</v>
      </c>
      <c r="BG222" s="249">
        <f>SUM(BG212:BG221)</f>
        <v>112036</v>
      </c>
      <c r="BH222" s="19">
        <f>SUM(BH212:BH221)</f>
        <v>0</v>
      </c>
    </row>
    <row r="223" spans="1:60" s="19" customFormat="1" ht="8.1" customHeight="1" x14ac:dyDescent="0.2">
      <c r="A223" s="85"/>
      <c r="D223" s="205"/>
      <c r="AW223" s="173"/>
      <c r="AX223" s="21"/>
      <c r="AY223" s="21"/>
      <c r="BG223" s="234"/>
    </row>
    <row r="224" spans="1:60" s="19" customFormat="1" ht="12.95" customHeight="1" x14ac:dyDescent="0.2">
      <c r="A224" s="207" t="s">
        <v>345</v>
      </c>
      <c r="D224" s="205"/>
      <c r="K224" s="21"/>
      <c r="AW224" s="173"/>
      <c r="AX224" s="21"/>
      <c r="AY224" s="21"/>
      <c r="BG224" s="234"/>
    </row>
    <row r="225" spans="1:60" s="19" customFormat="1" ht="12.95" customHeight="1" x14ac:dyDescent="0.2">
      <c r="A225" s="85">
        <f>+'CCs # Master'!A11</f>
        <v>1</v>
      </c>
      <c r="B225" s="19" t="str">
        <f>+'CCs # Master'!B11</f>
        <v>EMI Billing R/C  (ECM)</v>
      </c>
      <c r="C225" s="19" t="str">
        <f>+'CCs # Master'!C11</f>
        <v>Lindsey, Mark</v>
      </c>
      <c r="D225" s="205">
        <f>+'CCs # Master'!D11</f>
        <v>100003</v>
      </c>
      <c r="E225" s="19">
        <f>+'CCs # Master'!E11</f>
        <v>0</v>
      </c>
      <c r="F225" s="19">
        <f>+'CCs # Master'!F11</f>
        <v>0</v>
      </c>
      <c r="G225" s="19">
        <f>+'CCs # Master'!G11</f>
        <v>0</v>
      </c>
      <c r="H225" s="19">
        <f>+'CCs # Master'!H11</f>
        <v>0</v>
      </c>
      <c r="I225" s="19">
        <f>+'CCs # Master'!I11</f>
        <v>0</v>
      </c>
      <c r="J225" s="19">
        <f>+'CCs # Master'!J11</f>
        <v>0</v>
      </c>
      <c r="K225" s="21">
        <f t="shared" ref="K225:K230" si="132">SUM(E225:J225)</f>
        <v>0</v>
      </c>
      <c r="M225" s="19" t="str">
        <f>+'CCs # Master'!M11</f>
        <v>Retained At EMI</v>
      </c>
      <c r="N225" s="19">
        <f>+'CCs # Master'!AW11</f>
        <v>0</v>
      </c>
      <c r="O225" s="19">
        <v>0</v>
      </c>
      <c r="P225" s="19">
        <f>+'CCs # Master'!N11</f>
        <v>0</v>
      </c>
      <c r="Q225" s="19">
        <f>+'CCs # Master'!O11</f>
        <v>0</v>
      </c>
      <c r="R225" s="19">
        <f>+'CCs # Master'!P11</f>
        <v>0</v>
      </c>
      <c r="S225" s="19">
        <f>+'CCs # Master'!Q11</f>
        <v>0</v>
      </c>
      <c r="T225" s="19">
        <f>+'CCs # Master'!R11</f>
        <v>0</v>
      </c>
      <c r="U225" s="19">
        <f>+'CCs # Master'!S11</f>
        <v>0</v>
      </c>
      <c r="V225" s="19">
        <f>+'CCs # Master'!T11</f>
        <v>0</v>
      </c>
      <c r="W225" s="19">
        <f>+'CCs # Master'!U11</f>
        <v>0</v>
      </c>
      <c r="X225" s="19">
        <f>+'CCs # Master'!V11</f>
        <v>0</v>
      </c>
      <c r="Y225" s="19">
        <f>+'CCs # Master'!W11</f>
        <v>0</v>
      </c>
      <c r="Z225" s="19">
        <f>+'CCs # Master'!X11</f>
        <v>0</v>
      </c>
      <c r="AA225" s="19">
        <f>+'CCs # Master'!Y11</f>
        <v>0</v>
      </c>
      <c r="AB225" s="19">
        <f>+'CCs # Master'!Z11</f>
        <v>0</v>
      </c>
      <c r="AC225" s="19">
        <f>+'CCs # Master'!AA11</f>
        <v>0</v>
      </c>
      <c r="AD225" s="19">
        <f>+'CCs # Master'!AB11</f>
        <v>0</v>
      </c>
      <c r="AE225" s="19">
        <f>+'CCs # Master'!AC11</f>
        <v>0</v>
      </c>
      <c r="AF225" s="19">
        <f>+'CCs # Master'!AD11</f>
        <v>0</v>
      </c>
      <c r="AG225" s="19">
        <f>+'CCs # Master'!AE11</f>
        <v>0</v>
      </c>
      <c r="AH225" s="19">
        <f>+'CCs # Master'!AF11</f>
        <v>0</v>
      </c>
      <c r="AI225" s="19">
        <f>+'CCs # Master'!AG11</f>
        <v>0</v>
      </c>
      <c r="AJ225" s="19">
        <f>+'CCs # Master'!AH11</f>
        <v>0</v>
      </c>
      <c r="AK225" s="19">
        <f>+'CCs # Master'!AI11</f>
        <v>0</v>
      </c>
      <c r="AL225" s="19">
        <f>+'CCs # Master'!AJ11</f>
        <v>0</v>
      </c>
      <c r="AM225" s="19">
        <f>+'CCs # Master'!AK11</f>
        <v>0</v>
      </c>
      <c r="AN225" s="19">
        <f>+'CCs # Master'!AL11</f>
        <v>0</v>
      </c>
      <c r="AO225" s="19">
        <f>+'CCs # Master'!AM11</f>
        <v>0</v>
      </c>
      <c r="AP225" s="19">
        <f>+'CCs # Master'!AN11</f>
        <v>0</v>
      </c>
      <c r="AQ225" s="19">
        <f>+'CCs # Master'!AO11</f>
        <v>0</v>
      </c>
      <c r="AR225" s="19">
        <f>+'CCs # Master'!AP11</f>
        <v>0</v>
      </c>
      <c r="AS225" s="19">
        <f>+'CCs # Master'!AQ11</f>
        <v>0</v>
      </c>
      <c r="AT225" s="19">
        <f>+'CCs # Master'!AR11</f>
        <v>0</v>
      </c>
      <c r="AU225" s="19">
        <f>+'CCs # Master'!AS11</f>
        <v>0</v>
      </c>
      <c r="AV225" s="19">
        <f>+'CCs # Master'!AT11</f>
        <v>0</v>
      </c>
      <c r="AW225"/>
      <c r="AX225" s="21">
        <f t="shared" ref="AX225:AX230" si="133">SUM(N225:AW225)</f>
        <v>0</v>
      </c>
      <c r="AY225" s="21">
        <f t="shared" ref="AY225:AY230" si="134">+K225-AX225</f>
        <v>0</v>
      </c>
      <c r="BA225" s="19">
        <f t="shared" ref="BA225:BA230" si="135">+P225+Q225+T225+U225+V225+W225+X225+Y225</f>
        <v>0</v>
      </c>
      <c r="BB225" s="19">
        <f t="shared" ref="BB225:BB230" si="136">N225</f>
        <v>0</v>
      </c>
      <c r="BC225" s="19">
        <f t="shared" ref="BC225:BC230" si="137">SUM(P225:AW225)</f>
        <v>0</v>
      </c>
      <c r="BE225" s="19">
        <f t="shared" ref="BE225:BE230" si="138">SUM(BB225:BC225)</f>
        <v>0</v>
      </c>
      <c r="BG225" s="234">
        <f t="shared" ref="BG225:BG230" si="139">SUM(N225:AW225)</f>
        <v>0</v>
      </c>
      <c r="BH225" s="19">
        <f t="shared" ref="BH225:BH230" si="140">BE225-BG225</f>
        <v>0</v>
      </c>
    </row>
    <row r="226" spans="1:60" s="19" customFormat="1" ht="12.95" customHeight="1" x14ac:dyDescent="0.2">
      <c r="A226" s="85">
        <f>+'CCs # Master'!A32</f>
        <v>11</v>
      </c>
      <c r="B226" s="19" t="str">
        <f>+'CCs # Master'!B32</f>
        <v>Credit Union</v>
      </c>
      <c r="C226" s="19" t="str">
        <f>+'CCs # Master'!C32</f>
        <v>Lindsey, Mark</v>
      </c>
      <c r="D226" s="205">
        <f>+'CCs # Master'!D32</f>
        <v>100032</v>
      </c>
      <c r="E226" s="19">
        <f>+'CCs # Master'!E32</f>
        <v>0</v>
      </c>
      <c r="F226" s="19">
        <f>+'CCs # Master'!F32</f>
        <v>0</v>
      </c>
      <c r="G226" s="19">
        <f>+'CCs # Master'!G32</f>
        <v>0</v>
      </c>
      <c r="H226" s="19">
        <f>+'CCs # Master'!H32</f>
        <v>0</v>
      </c>
      <c r="I226" s="19">
        <f>+'CCs # Master'!I32</f>
        <v>0</v>
      </c>
      <c r="J226" s="19">
        <f>+'CCs # Master'!J32</f>
        <v>0</v>
      </c>
      <c r="K226" s="21">
        <f t="shared" si="132"/>
        <v>0</v>
      </c>
      <c r="M226" s="19" t="str">
        <f>+'CCs # Master'!M32</f>
        <v>Retained At Corp</v>
      </c>
      <c r="N226" s="19">
        <f>+'CCs # Master'!AW32</f>
        <v>0</v>
      </c>
      <c r="O226" s="19">
        <v>0</v>
      </c>
      <c r="P226" s="19">
        <f>+'CCs # Master'!N32</f>
        <v>0</v>
      </c>
      <c r="Q226" s="19">
        <f>+'CCs # Master'!O32</f>
        <v>0</v>
      </c>
      <c r="R226" s="19">
        <f>+'CCs # Master'!P32</f>
        <v>0</v>
      </c>
      <c r="S226" s="19">
        <f>+'CCs # Master'!Q32</f>
        <v>0</v>
      </c>
      <c r="T226" s="19">
        <f>+'CCs # Master'!R32</f>
        <v>0</v>
      </c>
      <c r="U226" s="19">
        <f>+'CCs # Master'!S32</f>
        <v>0</v>
      </c>
      <c r="V226" s="19">
        <f>+'CCs # Master'!T32</f>
        <v>0</v>
      </c>
      <c r="W226" s="19">
        <f>+'CCs # Master'!U32</f>
        <v>0</v>
      </c>
      <c r="X226" s="19">
        <f>+'CCs # Master'!V32</f>
        <v>0</v>
      </c>
      <c r="Y226" s="19">
        <f>+'CCs # Master'!W32</f>
        <v>0</v>
      </c>
      <c r="Z226" s="19">
        <f>+'CCs # Master'!X32</f>
        <v>0</v>
      </c>
      <c r="AA226" s="19">
        <f>+'CCs # Master'!Y32</f>
        <v>0</v>
      </c>
      <c r="AB226" s="19">
        <f>+'CCs # Master'!Z32</f>
        <v>0</v>
      </c>
      <c r="AC226" s="19">
        <f>+'CCs # Master'!AA32</f>
        <v>0</v>
      </c>
      <c r="AD226" s="19">
        <f>+'CCs # Master'!AB32</f>
        <v>0</v>
      </c>
      <c r="AE226" s="19">
        <f>+'CCs # Master'!AC32</f>
        <v>0</v>
      </c>
      <c r="AF226" s="19">
        <f>+'CCs # Master'!AD32</f>
        <v>0</v>
      </c>
      <c r="AG226" s="19">
        <f>+'CCs # Master'!AE32</f>
        <v>0</v>
      </c>
      <c r="AH226" s="19">
        <f>+'CCs # Master'!AF32</f>
        <v>0</v>
      </c>
      <c r="AI226" s="19">
        <f>+'CCs # Master'!AG32</f>
        <v>0</v>
      </c>
      <c r="AJ226" s="19">
        <f>+'CCs # Master'!AH32</f>
        <v>0</v>
      </c>
      <c r="AK226" s="19">
        <f>+'CCs # Master'!AI32</f>
        <v>0</v>
      </c>
      <c r="AL226" s="19">
        <f>+'CCs # Master'!AJ32</f>
        <v>0</v>
      </c>
      <c r="AM226" s="19">
        <f>+'CCs # Master'!AK32</f>
        <v>0</v>
      </c>
      <c r="AN226" s="19">
        <f>+'CCs # Master'!AL32</f>
        <v>0</v>
      </c>
      <c r="AO226" s="19">
        <f>+'CCs # Master'!AM32</f>
        <v>0</v>
      </c>
      <c r="AP226" s="19">
        <f>+'CCs # Master'!AN32</f>
        <v>0</v>
      </c>
      <c r="AQ226" s="19">
        <f>+'CCs # Master'!AO32</f>
        <v>0</v>
      </c>
      <c r="AR226" s="19">
        <f>+'CCs # Master'!AP32</f>
        <v>0</v>
      </c>
      <c r="AS226" s="19">
        <f>+'CCs # Master'!AQ32</f>
        <v>0</v>
      </c>
      <c r="AT226" s="19">
        <f>+'CCs # Master'!AR32</f>
        <v>0</v>
      </c>
      <c r="AU226" s="19">
        <f>+'CCs # Master'!AS32</f>
        <v>0</v>
      </c>
      <c r="AV226" s="19">
        <f>+'CCs # Master'!AT32</f>
        <v>0</v>
      </c>
      <c r="AW226"/>
      <c r="AX226" s="21">
        <f t="shared" si="133"/>
        <v>0</v>
      </c>
      <c r="AY226" s="21">
        <f t="shared" si="134"/>
        <v>0</v>
      </c>
      <c r="BA226" s="19">
        <f t="shared" si="135"/>
        <v>0</v>
      </c>
      <c r="BB226" s="19">
        <f t="shared" si="136"/>
        <v>0</v>
      </c>
      <c r="BC226" s="19">
        <f t="shared" si="137"/>
        <v>0</v>
      </c>
      <c r="BE226" s="19">
        <f t="shared" si="138"/>
        <v>0</v>
      </c>
      <c r="BG226" s="234">
        <f t="shared" si="139"/>
        <v>0</v>
      </c>
      <c r="BH226" s="19">
        <f t="shared" si="140"/>
        <v>0</v>
      </c>
    </row>
    <row r="227" spans="1:60" s="19" customFormat="1" ht="12.95" customHeight="1" x14ac:dyDescent="0.2">
      <c r="A227" s="85">
        <f>+'CCs # Master'!A72</f>
        <v>11</v>
      </c>
      <c r="B227" s="19" t="str">
        <f>+'CCs # Master'!B72</f>
        <v xml:space="preserve">Wind Down - Omaha </v>
      </c>
      <c r="C227" s="19" t="str">
        <f>+'CCs # Master'!C72</f>
        <v>Lindsey, Mark</v>
      </c>
      <c r="D227" s="205">
        <f>+'CCs # Master'!D72</f>
        <v>100109</v>
      </c>
      <c r="E227" s="19">
        <f>+'CCs # Master'!E72</f>
        <v>0</v>
      </c>
      <c r="F227" s="19">
        <f>+'CCs # Master'!F72</f>
        <v>0</v>
      </c>
      <c r="G227" s="19">
        <f>+'CCs # Master'!G72</f>
        <v>0</v>
      </c>
      <c r="H227" s="19">
        <f>+'CCs # Master'!H72</f>
        <v>0</v>
      </c>
      <c r="I227" s="19">
        <f>+'CCs # Master'!I72</f>
        <v>0</v>
      </c>
      <c r="J227" s="19">
        <f>+'CCs # Master'!J72</f>
        <v>0</v>
      </c>
      <c r="K227" s="21">
        <f t="shared" si="132"/>
        <v>0</v>
      </c>
      <c r="M227" s="19" t="str">
        <f>+'CCs # Master'!M72</f>
        <v>Retained At Corp</v>
      </c>
      <c r="N227" s="19">
        <f>+'CCs # Master'!AW72</f>
        <v>0</v>
      </c>
      <c r="O227" s="19">
        <v>0</v>
      </c>
      <c r="P227" s="19">
        <f>+'CCs # Master'!N72</f>
        <v>0</v>
      </c>
      <c r="Q227" s="19">
        <f>+'CCs # Master'!O72</f>
        <v>0</v>
      </c>
      <c r="R227" s="19">
        <f>+'CCs # Master'!P72</f>
        <v>0</v>
      </c>
      <c r="S227" s="19">
        <f>+'CCs # Master'!Q72</f>
        <v>0</v>
      </c>
      <c r="T227" s="19">
        <f>+'CCs # Master'!R72</f>
        <v>0</v>
      </c>
      <c r="U227" s="19">
        <f>+'CCs # Master'!S72</f>
        <v>0</v>
      </c>
      <c r="V227" s="19">
        <f>+'CCs # Master'!T72</f>
        <v>0</v>
      </c>
      <c r="W227" s="19">
        <f>+'CCs # Master'!U72</f>
        <v>0</v>
      </c>
      <c r="X227" s="19">
        <f>+'CCs # Master'!V72</f>
        <v>0</v>
      </c>
      <c r="Y227" s="19">
        <f>+'CCs # Master'!W72</f>
        <v>0</v>
      </c>
      <c r="Z227" s="19">
        <f>+'CCs # Master'!X72</f>
        <v>0</v>
      </c>
      <c r="AA227" s="19">
        <f>+'CCs # Master'!Y72</f>
        <v>0</v>
      </c>
      <c r="AB227" s="19">
        <f>+'CCs # Master'!Z72</f>
        <v>0</v>
      </c>
      <c r="AC227" s="19">
        <f>+'CCs # Master'!AA72</f>
        <v>0</v>
      </c>
      <c r="AD227" s="19">
        <f>+'CCs # Master'!AB72</f>
        <v>0</v>
      </c>
      <c r="AE227" s="19">
        <f>+'CCs # Master'!AC72</f>
        <v>0</v>
      </c>
      <c r="AF227" s="19">
        <f>+'CCs # Master'!AD72</f>
        <v>0</v>
      </c>
      <c r="AG227" s="19">
        <f>+'CCs # Master'!AE72</f>
        <v>0</v>
      </c>
      <c r="AH227" s="19">
        <f>+'CCs # Master'!AF72</f>
        <v>0</v>
      </c>
      <c r="AI227" s="19">
        <f>+'CCs # Master'!AG72</f>
        <v>0</v>
      </c>
      <c r="AJ227" s="19">
        <f>+'CCs # Master'!AH72</f>
        <v>0</v>
      </c>
      <c r="AK227" s="19">
        <f>+'CCs # Master'!AI72</f>
        <v>0</v>
      </c>
      <c r="AL227" s="19">
        <f>+'CCs # Master'!AJ72</f>
        <v>0</v>
      </c>
      <c r="AM227" s="19">
        <f>+'CCs # Master'!AK72</f>
        <v>0</v>
      </c>
      <c r="AN227" s="19">
        <f>+'CCs # Master'!AL72</f>
        <v>0</v>
      </c>
      <c r="AO227" s="19">
        <f>+'CCs # Master'!AM72</f>
        <v>0</v>
      </c>
      <c r="AP227" s="19">
        <f>+'CCs # Master'!AN72</f>
        <v>0</v>
      </c>
      <c r="AQ227" s="19">
        <f>+'CCs # Master'!AO72</f>
        <v>0</v>
      </c>
      <c r="AR227" s="19">
        <f>+'CCs # Master'!AP72</f>
        <v>0</v>
      </c>
      <c r="AS227" s="19">
        <f>+'CCs # Master'!AQ72</f>
        <v>0</v>
      </c>
      <c r="AT227" s="19">
        <f>+'CCs # Master'!AR72</f>
        <v>0</v>
      </c>
      <c r="AU227" s="19">
        <f>+'CCs # Master'!AS72</f>
        <v>0</v>
      </c>
      <c r="AV227" s="19">
        <f>+'CCs # Master'!AT72</f>
        <v>0</v>
      </c>
      <c r="AW227"/>
      <c r="AX227" s="21">
        <f t="shared" si="133"/>
        <v>0</v>
      </c>
      <c r="AY227" s="21">
        <f t="shared" si="134"/>
        <v>0</v>
      </c>
      <c r="BA227" s="19">
        <f t="shared" si="135"/>
        <v>0</v>
      </c>
      <c r="BB227" s="19">
        <f t="shared" si="136"/>
        <v>0</v>
      </c>
      <c r="BC227" s="19">
        <f t="shared" si="137"/>
        <v>0</v>
      </c>
      <c r="BE227" s="19">
        <f t="shared" si="138"/>
        <v>0</v>
      </c>
      <c r="BG227" s="234">
        <f t="shared" si="139"/>
        <v>0</v>
      </c>
      <c r="BH227" s="19">
        <f t="shared" si="140"/>
        <v>0</v>
      </c>
    </row>
    <row r="228" spans="1:60" s="19" customFormat="1" ht="12.95" customHeight="1" x14ac:dyDescent="0.2">
      <c r="A228" s="85">
        <f>+'CCs # Master'!A101</f>
        <v>11</v>
      </c>
      <c r="B228" s="19" t="str">
        <f>+'CCs # Master'!B101</f>
        <v>Fuji Lease</v>
      </c>
      <c r="C228" s="19" t="str">
        <f>+'CCs # Master'!C101</f>
        <v>Lindsey, Mark</v>
      </c>
      <c r="D228" s="205">
        <f>+'CCs # Master'!D101</f>
        <v>100143</v>
      </c>
      <c r="E228" s="19">
        <f>+'CCs # Master'!E101</f>
        <v>0</v>
      </c>
      <c r="F228" s="19">
        <f>+'CCs # Master'!F101</f>
        <v>0</v>
      </c>
      <c r="G228" s="19">
        <f>+'CCs # Master'!G101</f>
        <v>0</v>
      </c>
      <c r="H228" s="19">
        <f>+'CCs # Master'!H101</f>
        <v>0</v>
      </c>
      <c r="I228" s="19">
        <f>+'CCs # Master'!I101</f>
        <v>0</v>
      </c>
      <c r="J228" s="19">
        <f>+'CCs # Master'!J101</f>
        <v>7835</v>
      </c>
      <c r="K228" s="21">
        <f t="shared" si="132"/>
        <v>7835</v>
      </c>
      <c r="M228" s="19" t="str">
        <f>+'CCs # Master'!M101</f>
        <v>Based on Sys depreciation before lease - BU</v>
      </c>
      <c r="N228" s="19">
        <f>+'CCs # Master'!AW101</f>
        <v>7835</v>
      </c>
      <c r="O228" s="19">
        <v>0</v>
      </c>
      <c r="P228" s="19">
        <f>+'CCs # Master'!N101</f>
        <v>0</v>
      </c>
      <c r="Q228" s="19">
        <f>+'CCs # Master'!O101</f>
        <v>0</v>
      </c>
      <c r="R228" s="19">
        <f>+'CCs # Master'!P101</f>
        <v>0</v>
      </c>
      <c r="S228" s="19">
        <f>+'CCs # Master'!Q101</f>
        <v>0</v>
      </c>
      <c r="T228" s="19">
        <f>+'CCs # Master'!R101</f>
        <v>0</v>
      </c>
      <c r="U228" s="19">
        <f>+'CCs # Master'!S101</f>
        <v>0</v>
      </c>
      <c r="V228" s="19">
        <f>+'CCs # Master'!T101</f>
        <v>0</v>
      </c>
      <c r="W228" s="19">
        <f>+'CCs # Master'!U101</f>
        <v>0</v>
      </c>
      <c r="X228" s="19">
        <f>+'CCs # Master'!V101</f>
        <v>0</v>
      </c>
      <c r="Y228" s="19">
        <f>+'CCs # Master'!W101</f>
        <v>0</v>
      </c>
      <c r="Z228" s="19">
        <f>+'CCs # Master'!X101</f>
        <v>0</v>
      </c>
      <c r="AA228" s="19">
        <f>+'CCs # Master'!Y101</f>
        <v>0</v>
      </c>
      <c r="AB228" s="19">
        <f>+'CCs # Master'!Z101</f>
        <v>0</v>
      </c>
      <c r="AC228" s="19">
        <f>+'CCs # Master'!AA101</f>
        <v>0</v>
      </c>
      <c r="AD228" s="19">
        <f>+'CCs # Master'!AB101</f>
        <v>0</v>
      </c>
      <c r="AE228" s="19">
        <f>+'CCs # Master'!AC101</f>
        <v>0</v>
      </c>
      <c r="AF228" s="19">
        <f>+'CCs # Master'!AD101</f>
        <v>0</v>
      </c>
      <c r="AG228" s="19">
        <f>+'CCs # Master'!AE101</f>
        <v>0</v>
      </c>
      <c r="AH228" s="19">
        <f>+'CCs # Master'!AF101</f>
        <v>0</v>
      </c>
      <c r="AI228" s="19">
        <f>+'CCs # Master'!AG101</f>
        <v>0</v>
      </c>
      <c r="AJ228" s="19">
        <f>+'CCs # Master'!AH101</f>
        <v>0</v>
      </c>
      <c r="AK228" s="19">
        <f>+'CCs # Master'!AI101</f>
        <v>0</v>
      </c>
      <c r="AL228" s="19">
        <f>+'CCs # Master'!AJ101</f>
        <v>0</v>
      </c>
      <c r="AM228" s="19">
        <f>+'CCs # Master'!AK101</f>
        <v>0</v>
      </c>
      <c r="AN228" s="19">
        <f>+'CCs # Master'!AL101</f>
        <v>0</v>
      </c>
      <c r="AO228" s="19">
        <f>+'CCs # Master'!AM101</f>
        <v>0</v>
      </c>
      <c r="AP228" s="19">
        <f>+'CCs # Master'!AN101</f>
        <v>0</v>
      </c>
      <c r="AQ228" s="19">
        <f>+'CCs # Master'!AO101</f>
        <v>0</v>
      </c>
      <c r="AR228" s="19">
        <f>+'CCs # Master'!AP101</f>
        <v>0</v>
      </c>
      <c r="AS228" s="19">
        <f>+'CCs # Master'!AQ101</f>
        <v>0</v>
      </c>
      <c r="AT228" s="19">
        <f>+'CCs # Master'!AR101</f>
        <v>0</v>
      </c>
      <c r="AU228" s="19">
        <f>+'CCs # Master'!AS101</f>
        <v>0</v>
      </c>
      <c r="AV228" s="19">
        <f>+'CCs # Master'!AT101</f>
        <v>0</v>
      </c>
      <c r="AW228"/>
      <c r="AX228" s="21">
        <f t="shared" si="133"/>
        <v>7835</v>
      </c>
      <c r="AY228" s="21">
        <f t="shared" si="134"/>
        <v>0</v>
      </c>
      <c r="BA228" s="19">
        <f t="shared" si="135"/>
        <v>0</v>
      </c>
      <c r="BB228" s="19">
        <f t="shared" si="136"/>
        <v>7835</v>
      </c>
      <c r="BC228" s="19">
        <f t="shared" si="137"/>
        <v>0</v>
      </c>
      <c r="BE228" s="19">
        <f t="shared" si="138"/>
        <v>7835</v>
      </c>
      <c r="BG228" s="234">
        <f t="shared" si="139"/>
        <v>7835</v>
      </c>
      <c r="BH228" s="19">
        <f t="shared" si="140"/>
        <v>0</v>
      </c>
    </row>
    <row r="229" spans="1:60" s="19" customFormat="1" ht="12.95" customHeight="1" x14ac:dyDescent="0.2">
      <c r="A229" s="85">
        <f>+'CCs # Master'!A159</f>
        <v>11</v>
      </c>
      <c r="B229" s="226" t="str">
        <f>+'CCs # Master'!B159</f>
        <v>Corp Global Finance Charges</v>
      </c>
      <c r="C229" s="226" t="str">
        <f>+'CCs # Master'!C159</f>
        <v>Lindsey, Mark</v>
      </c>
      <c r="D229" s="85">
        <f>+'CCs # Master'!D159</f>
        <v>102918</v>
      </c>
      <c r="E229" s="19">
        <f>+'CCs # Master'!E159</f>
        <v>0</v>
      </c>
      <c r="F229" s="19">
        <f>+'CCs # Master'!F159</f>
        <v>0</v>
      </c>
      <c r="G229" s="19">
        <f>+'CCs # Master'!G159</f>
        <v>0</v>
      </c>
      <c r="H229" s="19">
        <f>+'CCs # Master'!H159</f>
        <v>0</v>
      </c>
      <c r="I229" s="19">
        <f>+'CCs # Master'!I159</f>
        <v>0</v>
      </c>
      <c r="J229" s="19">
        <f>+'CCs # Master'!J159</f>
        <v>2671</v>
      </c>
      <c r="K229" s="21">
        <f t="shared" si="132"/>
        <v>2671</v>
      </c>
      <c r="M229" s="19" t="str">
        <f>+'CCs # Master'!M159</f>
        <v>MMF &amp; Retained at Corp</v>
      </c>
      <c r="N229" s="19">
        <f>+'CCs # Master'!AW159</f>
        <v>2671</v>
      </c>
      <c r="O229" s="19">
        <v>0</v>
      </c>
      <c r="P229" s="19">
        <f>+'CCs # Master'!N159</f>
        <v>0</v>
      </c>
      <c r="Q229" s="19">
        <f>+'CCs # Master'!O159</f>
        <v>0</v>
      </c>
      <c r="R229" s="19">
        <f>+'CCs # Master'!P159</f>
        <v>0</v>
      </c>
      <c r="S229" s="19">
        <f>+'CCs # Master'!Q159</f>
        <v>0</v>
      </c>
      <c r="T229" s="19">
        <f>+'CCs # Master'!R159</f>
        <v>0</v>
      </c>
      <c r="U229" s="19">
        <f>+'CCs # Master'!S159</f>
        <v>0</v>
      </c>
      <c r="V229" s="19">
        <f>+'CCs # Master'!T159</f>
        <v>0</v>
      </c>
      <c r="W229" s="19">
        <f>+'CCs # Master'!U159</f>
        <v>0</v>
      </c>
      <c r="X229" s="19">
        <f>+'CCs # Master'!V159</f>
        <v>0</v>
      </c>
      <c r="Y229" s="19">
        <f>+'CCs # Master'!W159</f>
        <v>0</v>
      </c>
      <c r="Z229" s="19">
        <f>+'CCs # Master'!X159</f>
        <v>0</v>
      </c>
      <c r="AA229" s="19">
        <f>+'CCs # Master'!Y159</f>
        <v>0</v>
      </c>
      <c r="AB229" s="19">
        <f>+'CCs # Master'!Z159</f>
        <v>0</v>
      </c>
      <c r="AC229" s="19">
        <f>+'CCs # Master'!AA159</f>
        <v>0</v>
      </c>
      <c r="AD229" s="19">
        <f>+'CCs # Master'!AB159</f>
        <v>0</v>
      </c>
      <c r="AE229" s="19">
        <f>+'CCs # Master'!AC159</f>
        <v>0</v>
      </c>
      <c r="AF229" s="19">
        <f>+'CCs # Master'!AD159</f>
        <v>0</v>
      </c>
      <c r="AG229" s="19">
        <f>+'CCs # Master'!AE159</f>
        <v>0</v>
      </c>
      <c r="AH229" s="19">
        <f>+'CCs # Master'!AF159</f>
        <v>0</v>
      </c>
      <c r="AI229" s="19">
        <f>+'CCs # Master'!AG159</f>
        <v>0</v>
      </c>
      <c r="AJ229" s="19">
        <f>+'CCs # Master'!AH159</f>
        <v>0</v>
      </c>
      <c r="AK229" s="19">
        <f>+'CCs # Master'!AI159</f>
        <v>0</v>
      </c>
      <c r="AL229" s="19">
        <f>+'CCs # Master'!AJ159</f>
        <v>0</v>
      </c>
      <c r="AM229" s="19">
        <f>+'CCs # Master'!AK159</f>
        <v>0</v>
      </c>
      <c r="AN229" s="19">
        <f>+'CCs # Master'!AL159</f>
        <v>0</v>
      </c>
      <c r="AO229" s="19">
        <f>+'CCs # Master'!AM159</f>
        <v>0</v>
      </c>
      <c r="AP229" s="19">
        <f>+'CCs # Master'!AN159</f>
        <v>0</v>
      </c>
      <c r="AQ229" s="19">
        <f>+'CCs # Master'!AO159</f>
        <v>0</v>
      </c>
      <c r="AR229" s="19">
        <f>+'CCs # Master'!AP159</f>
        <v>0</v>
      </c>
      <c r="AS229" s="19">
        <f>+'CCs # Master'!AQ159</f>
        <v>0</v>
      </c>
      <c r="AT229" s="19">
        <f>+'CCs # Master'!AR159</f>
        <v>0</v>
      </c>
      <c r="AU229" s="19">
        <f>+'CCs # Master'!AS159</f>
        <v>0</v>
      </c>
      <c r="AV229" s="19">
        <f>+'CCs # Master'!AT159</f>
        <v>0</v>
      </c>
      <c r="AW229"/>
      <c r="AX229" s="21">
        <f t="shared" si="133"/>
        <v>2671</v>
      </c>
      <c r="AY229" s="21">
        <f t="shared" si="134"/>
        <v>0</v>
      </c>
      <c r="BA229" s="19">
        <f t="shared" si="135"/>
        <v>0</v>
      </c>
      <c r="BB229" s="19">
        <f t="shared" si="136"/>
        <v>2671</v>
      </c>
      <c r="BC229" s="19">
        <f t="shared" si="137"/>
        <v>0</v>
      </c>
      <c r="BE229" s="19">
        <f t="shared" si="138"/>
        <v>2671</v>
      </c>
      <c r="BG229" s="234">
        <f t="shared" si="139"/>
        <v>2671</v>
      </c>
      <c r="BH229" s="19">
        <f t="shared" si="140"/>
        <v>0</v>
      </c>
    </row>
    <row r="230" spans="1:60" s="19" customFormat="1" ht="12.95" customHeight="1" x14ac:dyDescent="0.2">
      <c r="A230" s="85">
        <f>+'CCs # Master'!A160</f>
        <v>11</v>
      </c>
      <c r="B230" s="226" t="str">
        <f>+'CCs # Master'!B160</f>
        <v>Corp GPG Charges</v>
      </c>
      <c r="C230" s="226" t="str">
        <f>+'CCs # Master'!C160</f>
        <v>Lindsey, Mark</v>
      </c>
      <c r="D230" s="85">
        <f>+'CCs # Master'!D160</f>
        <v>102919</v>
      </c>
      <c r="E230" s="19">
        <f>+'CCs # Master'!E160</f>
        <v>0</v>
      </c>
      <c r="F230" s="19">
        <f>+'CCs # Master'!F160</f>
        <v>0</v>
      </c>
      <c r="G230" s="19">
        <f>+'CCs # Master'!G160</f>
        <v>0</v>
      </c>
      <c r="H230" s="19">
        <f>+'CCs # Master'!H160</f>
        <v>0</v>
      </c>
      <c r="I230" s="19">
        <f>+'CCs # Master'!I160</f>
        <v>0</v>
      </c>
      <c r="J230" s="19">
        <f>+'CCs # Master'!J160</f>
        <v>398</v>
      </c>
      <c r="K230" s="21">
        <f t="shared" si="132"/>
        <v>398</v>
      </c>
      <c r="M230" s="19" t="str">
        <f>+'CCs # Master'!M160</f>
        <v>MMF</v>
      </c>
      <c r="N230" s="19">
        <f>+'CCs # Master'!AW160</f>
        <v>398</v>
      </c>
      <c r="O230" s="19">
        <v>0</v>
      </c>
      <c r="P230" s="19">
        <f>+'CCs # Master'!N160</f>
        <v>0</v>
      </c>
      <c r="Q230" s="19">
        <f>+'CCs # Master'!O160</f>
        <v>0</v>
      </c>
      <c r="R230" s="19">
        <f>+'CCs # Master'!P160</f>
        <v>0</v>
      </c>
      <c r="S230" s="19">
        <f>+'CCs # Master'!Q160</f>
        <v>0</v>
      </c>
      <c r="T230" s="19">
        <f>+'CCs # Master'!R160</f>
        <v>0</v>
      </c>
      <c r="U230" s="19">
        <f>+'CCs # Master'!S160</f>
        <v>0</v>
      </c>
      <c r="V230" s="19">
        <f>+'CCs # Master'!T160</f>
        <v>0</v>
      </c>
      <c r="W230" s="19">
        <f>+'CCs # Master'!U160</f>
        <v>0</v>
      </c>
      <c r="X230" s="19">
        <f>+'CCs # Master'!V160</f>
        <v>0</v>
      </c>
      <c r="Y230" s="19">
        <f>+'CCs # Master'!W160</f>
        <v>0</v>
      </c>
      <c r="Z230" s="19">
        <f>+'CCs # Master'!X160</f>
        <v>0</v>
      </c>
      <c r="AA230" s="19">
        <f>+'CCs # Master'!Y160</f>
        <v>0</v>
      </c>
      <c r="AB230" s="19">
        <f>+'CCs # Master'!Z160</f>
        <v>0</v>
      </c>
      <c r="AC230" s="19">
        <f>+'CCs # Master'!AA160</f>
        <v>0</v>
      </c>
      <c r="AD230" s="19">
        <f>+'CCs # Master'!AB160</f>
        <v>0</v>
      </c>
      <c r="AE230" s="19">
        <f>+'CCs # Master'!AC160</f>
        <v>0</v>
      </c>
      <c r="AF230" s="19">
        <f>+'CCs # Master'!AD160</f>
        <v>0</v>
      </c>
      <c r="AG230" s="19">
        <f>+'CCs # Master'!AE160</f>
        <v>0</v>
      </c>
      <c r="AH230" s="19">
        <f>+'CCs # Master'!AF160</f>
        <v>0</v>
      </c>
      <c r="AI230" s="19">
        <f>+'CCs # Master'!AG160</f>
        <v>0</v>
      </c>
      <c r="AJ230" s="19">
        <f>+'CCs # Master'!AH160</f>
        <v>0</v>
      </c>
      <c r="AK230" s="19">
        <f>+'CCs # Master'!AI160</f>
        <v>0</v>
      </c>
      <c r="AL230" s="19">
        <f>+'CCs # Master'!AJ160</f>
        <v>0</v>
      </c>
      <c r="AM230" s="19">
        <f>+'CCs # Master'!AK160</f>
        <v>0</v>
      </c>
      <c r="AN230" s="19">
        <f>+'CCs # Master'!AL160</f>
        <v>0</v>
      </c>
      <c r="AO230" s="19">
        <f>+'CCs # Master'!AM160</f>
        <v>0</v>
      </c>
      <c r="AP230" s="19">
        <f>+'CCs # Master'!AN160</f>
        <v>0</v>
      </c>
      <c r="AQ230" s="19">
        <f>+'CCs # Master'!AO160</f>
        <v>0</v>
      </c>
      <c r="AR230" s="19">
        <f>+'CCs # Master'!AP160</f>
        <v>0</v>
      </c>
      <c r="AS230" s="19">
        <f>+'CCs # Master'!AQ160</f>
        <v>0</v>
      </c>
      <c r="AT230" s="19">
        <f>+'CCs # Master'!AR160</f>
        <v>0</v>
      </c>
      <c r="AU230" s="19">
        <f>+'CCs # Master'!AS160</f>
        <v>0</v>
      </c>
      <c r="AV230" s="19">
        <f>+'CCs # Master'!AT160</f>
        <v>0</v>
      </c>
      <c r="AW230"/>
      <c r="AX230" s="21">
        <f t="shared" si="133"/>
        <v>398</v>
      </c>
      <c r="AY230" s="21">
        <f t="shared" si="134"/>
        <v>0</v>
      </c>
      <c r="BA230" s="19">
        <f t="shared" si="135"/>
        <v>0</v>
      </c>
      <c r="BB230" s="19">
        <f t="shared" si="136"/>
        <v>398</v>
      </c>
      <c r="BC230" s="227">
        <f t="shared" si="137"/>
        <v>0</v>
      </c>
      <c r="BE230" s="227">
        <f t="shared" si="138"/>
        <v>398</v>
      </c>
      <c r="BG230" s="249">
        <f t="shared" si="139"/>
        <v>398</v>
      </c>
      <c r="BH230" s="19">
        <f t="shared" si="140"/>
        <v>0</v>
      </c>
    </row>
    <row r="231" spans="1:60" s="19" customFormat="1" ht="8.1" customHeight="1" x14ac:dyDescent="0.2">
      <c r="A231" s="85"/>
      <c r="D231" s="205"/>
      <c r="E231" s="191"/>
      <c r="F231" s="191"/>
      <c r="G231" s="191"/>
      <c r="H231" s="191"/>
      <c r="I231" s="191"/>
      <c r="J231" s="191"/>
      <c r="K231" s="191"/>
      <c r="N231" s="191"/>
      <c r="O231" s="191"/>
      <c r="P231" s="191"/>
      <c r="Q231" s="191"/>
      <c r="R231" s="191"/>
      <c r="S231" s="191"/>
      <c r="T231" s="191"/>
      <c r="U231" s="191"/>
      <c r="V231" s="191"/>
      <c r="W231" s="191"/>
      <c r="X231" s="191"/>
      <c r="Y231" s="191"/>
      <c r="Z231" s="191"/>
      <c r="AA231" s="191"/>
      <c r="AB231" s="191"/>
      <c r="AC231" s="191"/>
      <c r="AD231" s="191"/>
      <c r="AE231" s="191"/>
      <c r="AF231" s="191"/>
      <c r="AG231" s="191"/>
      <c r="AH231" s="191"/>
      <c r="AI231" s="191"/>
      <c r="AJ231" s="191"/>
      <c r="AK231" s="191"/>
      <c r="AL231" s="191"/>
      <c r="AM231" s="191"/>
      <c r="AN231" s="191"/>
      <c r="AO231" s="191"/>
      <c r="AP231" s="191"/>
      <c r="AQ231" s="191"/>
      <c r="AR231" s="191"/>
      <c r="AS231" s="191"/>
      <c r="AT231" s="191"/>
      <c r="AU231" s="191"/>
      <c r="AV231" s="191"/>
      <c r="AW231"/>
      <c r="AX231" s="191"/>
      <c r="AY231" s="191"/>
      <c r="BA231" s="191"/>
      <c r="BB231" s="191"/>
      <c r="BG231" s="234"/>
    </row>
    <row r="232" spans="1:60" s="19" customFormat="1" ht="12.95" customHeight="1" x14ac:dyDescent="0.2">
      <c r="A232" s="85"/>
      <c r="D232" s="205"/>
      <c r="E232" s="227">
        <f>SUM(E225:E231)</f>
        <v>0</v>
      </c>
      <c r="F232" s="227">
        <f t="shared" ref="F232:K232" si="141">SUM(F225:F231)</f>
        <v>0</v>
      </c>
      <c r="G232" s="227">
        <f t="shared" si="141"/>
        <v>0</v>
      </c>
      <c r="H232" s="227">
        <f t="shared" si="141"/>
        <v>0</v>
      </c>
      <c r="I232" s="227">
        <f t="shared" si="141"/>
        <v>0</v>
      </c>
      <c r="J232" s="227">
        <f t="shared" si="141"/>
        <v>10904</v>
      </c>
      <c r="K232" s="227">
        <f t="shared" si="141"/>
        <v>10904</v>
      </c>
      <c r="N232" s="227">
        <f t="shared" ref="N232:AR232" si="142">SUM(N225:N231)</f>
        <v>10904</v>
      </c>
      <c r="O232" s="227">
        <f t="shared" si="142"/>
        <v>0</v>
      </c>
      <c r="P232" s="227">
        <f t="shared" si="142"/>
        <v>0</v>
      </c>
      <c r="Q232" s="227">
        <f t="shared" si="142"/>
        <v>0</v>
      </c>
      <c r="R232" s="227">
        <f t="shared" si="142"/>
        <v>0</v>
      </c>
      <c r="S232" s="227">
        <f t="shared" si="142"/>
        <v>0</v>
      </c>
      <c r="T232" s="227">
        <f t="shared" si="142"/>
        <v>0</v>
      </c>
      <c r="U232" s="227">
        <f t="shared" si="142"/>
        <v>0</v>
      </c>
      <c r="V232" s="227">
        <f t="shared" si="142"/>
        <v>0</v>
      </c>
      <c r="W232" s="227">
        <f t="shared" si="142"/>
        <v>0</v>
      </c>
      <c r="X232" s="227">
        <f t="shared" si="142"/>
        <v>0</v>
      </c>
      <c r="Y232" s="227">
        <f t="shared" si="142"/>
        <v>0</v>
      </c>
      <c r="Z232" s="227">
        <f t="shared" si="142"/>
        <v>0</v>
      </c>
      <c r="AA232" s="227">
        <f t="shared" si="142"/>
        <v>0</v>
      </c>
      <c r="AB232" s="227">
        <f t="shared" si="142"/>
        <v>0</v>
      </c>
      <c r="AC232" s="227">
        <f t="shared" si="142"/>
        <v>0</v>
      </c>
      <c r="AD232" s="227">
        <f t="shared" si="142"/>
        <v>0</v>
      </c>
      <c r="AE232" s="227">
        <f t="shared" si="142"/>
        <v>0</v>
      </c>
      <c r="AF232" s="227">
        <f t="shared" si="142"/>
        <v>0</v>
      </c>
      <c r="AG232" s="227">
        <f t="shared" si="142"/>
        <v>0</v>
      </c>
      <c r="AH232" s="227">
        <f t="shared" si="142"/>
        <v>0</v>
      </c>
      <c r="AI232" s="227">
        <f t="shared" si="142"/>
        <v>0</v>
      </c>
      <c r="AJ232" s="227">
        <f t="shared" si="142"/>
        <v>0</v>
      </c>
      <c r="AK232" s="227">
        <f t="shared" si="142"/>
        <v>0</v>
      </c>
      <c r="AL232" s="227">
        <f t="shared" si="142"/>
        <v>0</v>
      </c>
      <c r="AM232" s="227">
        <f t="shared" si="142"/>
        <v>0</v>
      </c>
      <c r="AN232" s="227">
        <f t="shared" si="142"/>
        <v>0</v>
      </c>
      <c r="AO232" s="227">
        <f t="shared" si="142"/>
        <v>0</v>
      </c>
      <c r="AP232" s="227">
        <f t="shared" si="142"/>
        <v>0</v>
      </c>
      <c r="AQ232" s="227">
        <f t="shared" si="142"/>
        <v>0</v>
      </c>
      <c r="AR232" s="227">
        <f t="shared" si="142"/>
        <v>0</v>
      </c>
      <c r="AS232" s="227">
        <f>SUM(AS225:AS231)</f>
        <v>0</v>
      </c>
      <c r="AT232" s="227">
        <f>SUM(AT225:AT231)</f>
        <v>0</v>
      </c>
      <c r="AU232" s="227">
        <f>SUM(AU225:AU231)</f>
        <v>0</v>
      </c>
      <c r="AV232" s="227">
        <f>SUM(AV225:AV231)</f>
        <v>0</v>
      </c>
      <c r="AW232"/>
      <c r="AX232" s="227">
        <f>SUM(AX225:AX231)</f>
        <v>10904</v>
      </c>
      <c r="AY232" s="227">
        <f>SUM(AY225:AY231)</f>
        <v>0</v>
      </c>
      <c r="BA232" s="227">
        <f>SUM(BA225:BA231)</f>
        <v>0</v>
      </c>
      <c r="BB232" s="227">
        <f>SUM(BB225:BB231)</f>
        <v>10904</v>
      </c>
      <c r="BC232" s="227">
        <f>SUM(BC225:BC231)</f>
        <v>0</v>
      </c>
      <c r="BE232" s="227">
        <f>SUM(BE225:BE231)</f>
        <v>10904</v>
      </c>
      <c r="BG232" s="249">
        <f>SUM(BG225:BG231)</f>
        <v>10904</v>
      </c>
      <c r="BH232" s="19">
        <f>SUM(BH225:BH231)</f>
        <v>0</v>
      </c>
    </row>
    <row r="233" spans="1:60" s="19" customFormat="1" ht="8.1" customHeight="1" x14ac:dyDescent="0.2">
      <c r="A233" s="85"/>
      <c r="D233" s="205"/>
      <c r="K233" s="21"/>
      <c r="AW233"/>
      <c r="AX233" s="21"/>
      <c r="AY233" s="21"/>
      <c r="BG233" s="234"/>
    </row>
    <row r="234" spans="1:60" s="19" customFormat="1" ht="12.95" hidden="1" customHeight="1" x14ac:dyDescent="0.2">
      <c r="A234" s="207" t="s">
        <v>346</v>
      </c>
      <c r="D234" s="205"/>
      <c r="K234" s="21"/>
      <c r="AW234"/>
      <c r="AX234" s="21"/>
      <c r="AY234" s="21"/>
      <c r="BC234" s="227"/>
      <c r="BE234" s="227"/>
      <c r="BG234" s="249"/>
    </row>
    <row r="235" spans="1:60" s="19" customFormat="1" ht="8.1" hidden="1" customHeight="1" x14ac:dyDescent="0.2">
      <c r="A235" s="85"/>
      <c r="D235" s="205"/>
      <c r="E235" s="191"/>
      <c r="F235" s="191"/>
      <c r="G235" s="191"/>
      <c r="H235" s="191"/>
      <c r="I235" s="191"/>
      <c r="J235" s="191"/>
      <c r="K235" s="191"/>
      <c r="N235" s="191"/>
      <c r="O235" s="191"/>
      <c r="P235" s="191"/>
      <c r="Q235" s="191"/>
      <c r="R235" s="191"/>
      <c r="S235" s="191"/>
      <c r="T235" s="191"/>
      <c r="U235" s="191"/>
      <c r="V235" s="191"/>
      <c r="W235" s="191"/>
      <c r="X235" s="191"/>
      <c r="Y235" s="191"/>
      <c r="Z235" s="191"/>
      <c r="AA235" s="191"/>
      <c r="AB235" s="191"/>
      <c r="AC235" s="191"/>
      <c r="AD235" s="191"/>
      <c r="AE235" s="191"/>
      <c r="AF235" s="191"/>
      <c r="AG235" s="191"/>
      <c r="AH235" s="191"/>
      <c r="AI235" s="191"/>
      <c r="AJ235" s="191"/>
      <c r="AK235" s="191"/>
      <c r="AL235" s="191"/>
      <c r="AM235" s="191"/>
      <c r="AN235" s="191"/>
      <c r="AO235" s="191"/>
      <c r="AP235" s="191"/>
      <c r="AQ235" s="191"/>
      <c r="AR235" s="191"/>
      <c r="AS235" s="191"/>
      <c r="AT235" s="191"/>
      <c r="AU235" s="191"/>
      <c r="AV235" s="191"/>
      <c r="AW235"/>
      <c r="AX235" s="191"/>
      <c r="AY235" s="191"/>
      <c r="BA235" s="191"/>
      <c r="BB235" s="191"/>
      <c r="BG235" s="234"/>
    </row>
    <row r="236" spans="1:60" s="19" customFormat="1" ht="12.95" hidden="1" customHeight="1" x14ac:dyDescent="0.2">
      <c r="A236" s="85"/>
      <c r="D236" s="205"/>
      <c r="E236" s="227">
        <f t="shared" ref="E236:K236" si="143">SUM(E235:E235)</f>
        <v>0</v>
      </c>
      <c r="F236" s="227">
        <f t="shared" si="143"/>
        <v>0</v>
      </c>
      <c r="G236" s="227">
        <f t="shared" si="143"/>
        <v>0</v>
      </c>
      <c r="H236" s="227">
        <f t="shared" si="143"/>
        <v>0</v>
      </c>
      <c r="I236" s="227">
        <f t="shared" si="143"/>
        <v>0</v>
      </c>
      <c r="J236" s="227">
        <f t="shared" si="143"/>
        <v>0</v>
      </c>
      <c r="K236" s="227">
        <f t="shared" si="143"/>
        <v>0</v>
      </c>
      <c r="N236" s="227">
        <f t="shared" ref="N236:AR236" si="144">SUM(N235:N235)</f>
        <v>0</v>
      </c>
      <c r="O236" s="227">
        <v>0</v>
      </c>
      <c r="P236" s="227">
        <f t="shared" si="144"/>
        <v>0</v>
      </c>
      <c r="Q236" s="227">
        <f t="shared" si="144"/>
        <v>0</v>
      </c>
      <c r="R236" s="227">
        <f t="shared" si="144"/>
        <v>0</v>
      </c>
      <c r="S236" s="227">
        <f t="shared" si="144"/>
        <v>0</v>
      </c>
      <c r="T236" s="227">
        <f t="shared" si="144"/>
        <v>0</v>
      </c>
      <c r="U236" s="227">
        <f t="shared" si="144"/>
        <v>0</v>
      </c>
      <c r="V236" s="227">
        <f t="shared" si="144"/>
        <v>0</v>
      </c>
      <c r="W236" s="227">
        <f t="shared" si="144"/>
        <v>0</v>
      </c>
      <c r="X236" s="227">
        <f t="shared" si="144"/>
        <v>0</v>
      </c>
      <c r="Y236" s="227">
        <f t="shared" si="144"/>
        <v>0</v>
      </c>
      <c r="Z236" s="227">
        <f t="shared" si="144"/>
        <v>0</v>
      </c>
      <c r="AA236" s="227">
        <f t="shared" si="144"/>
        <v>0</v>
      </c>
      <c r="AB236" s="227">
        <f t="shared" si="144"/>
        <v>0</v>
      </c>
      <c r="AC236" s="227">
        <f t="shared" si="144"/>
        <v>0</v>
      </c>
      <c r="AD236" s="227">
        <f t="shared" si="144"/>
        <v>0</v>
      </c>
      <c r="AE236" s="227">
        <f t="shared" si="144"/>
        <v>0</v>
      </c>
      <c r="AF236" s="227">
        <f t="shared" si="144"/>
        <v>0</v>
      </c>
      <c r="AG236" s="227">
        <f t="shared" si="144"/>
        <v>0</v>
      </c>
      <c r="AH236" s="227">
        <f t="shared" si="144"/>
        <v>0</v>
      </c>
      <c r="AI236" s="227">
        <f t="shared" si="144"/>
        <v>0</v>
      </c>
      <c r="AJ236" s="227">
        <f t="shared" si="144"/>
        <v>0</v>
      </c>
      <c r="AK236" s="227">
        <f t="shared" si="144"/>
        <v>0</v>
      </c>
      <c r="AL236" s="227">
        <f t="shared" si="144"/>
        <v>0</v>
      </c>
      <c r="AM236" s="227">
        <f t="shared" si="144"/>
        <v>0</v>
      </c>
      <c r="AN236" s="227">
        <f t="shared" si="144"/>
        <v>0</v>
      </c>
      <c r="AO236" s="227">
        <f t="shared" si="144"/>
        <v>0</v>
      </c>
      <c r="AP236" s="227">
        <f t="shared" si="144"/>
        <v>0</v>
      </c>
      <c r="AQ236" s="227">
        <f t="shared" si="144"/>
        <v>0</v>
      </c>
      <c r="AR236" s="227">
        <f t="shared" si="144"/>
        <v>0</v>
      </c>
      <c r="AS236" s="227">
        <f>SUM(AS235:AS235)</f>
        <v>0</v>
      </c>
      <c r="AT236" s="227">
        <f>SUM(AT235:AT235)</f>
        <v>0</v>
      </c>
      <c r="AU236" s="227">
        <f>SUM(AU235:AU235)</f>
        <v>0</v>
      </c>
      <c r="AV236" s="227">
        <f>SUM(AV235:AV235)</f>
        <v>0</v>
      </c>
      <c r="AW236"/>
      <c r="AX236" s="227">
        <f>SUM(AX235:AX235)</f>
        <v>0</v>
      </c>
      <c r="AY236" s="227">
        <f>SUM(AY235:AY235)</f>
        <v>0</v>
      </c>
      <c r="BA236" s="227">
        <f>SUM(BA235:BA235)</f>
        <v>0</v>
      </c>
      <c r="BB236" s="227">
        <f>SUM(BB235:BB235)</f>
        <v>0</v>
      </c>
      <c r="BC236" s="227">
        <f>SUM(BC235:BC235)</f>
        <v>0</v>
      </c>
      <c r="BE236" s="227">
        <f>SUM(BE235:BE235)</f>
        <v>0</v>
      </c>
      <c r="BG236" s="249">
        <f>SUM(BG235:BG235)</f>
        <v>0</v>
      </c>
      <c r="BH236" s="19">
        <f>SUM(BH235:BH235)</f>
        <v>0</v>
      </c>
    </row>
    <row r="237" spans="1:60" s="19" customFormat="1" ht="8.1" customHeight="1" x14ac:dyDescent="0.2">
      <c r="A237" s="85"/>
      <c r="D237" s="205"/>
      <c r="K237" s="21"/>
      <c r="AW237"/>
      <c r="AX237" s="21"/>
      <c r="AY237" s="21"/>
      <c r="BG237" s="234"/>
    </row>
    <row r="238" spans="1:60" s="19" customFormat="1" ht="12.95" customHeight="1" x14ac:dyDescent="0.2">
      <c r="A238" s="207" t="s">
        <v>347</v>
      </c>
      <c r="D238" s="205"/>
      <c r="K238" s="21"/>
      <c r="AW238"/>
      <c r="AX238" s="21"/>
      <c r="AY238" s="21"/>
      <c r="BG238" s="234"/>
    </row>
    <row r="239" spans="1:60" s="19" customFormat="1" ht="12.95" customHeight="1" x14ac:dyDescent="0.2">
      <c r="A239" s="85" t="str">
        <f>+'CCs # Master'!A108</f>
        <v>0011</v>
      </c>
      <c r="B239" s="19" t="str">
        <f>+'CCs # Master'!B108</f>
        <v>EARN Risk Management</v>
      </c>
      <c r="C239" s="19" t="str">
        <f>+'CCs # Master'!C108</f>
        <v>Bouillion, Jim</v>
      </c>
      <c r="D239" s="205">
        <f>+'CCs # Master'!D108</f>
        <v>100225</v>
      </c>
      <c r="E239" s="19">
        <f>+'CCs # Master'!E108</f>
        <v>1695</v>
      </c>
      <c r="F239" s="19">
        <f>+'CCs # Master'!F108</f>
        <v>248</v>
      </c>
      <c r="G239" s="19">
        <f>+'CCs # Master'!G108</f>
        <v>15</v>
      </c>
      <c r="H239" s="19">
        <f>+'CCs # Master'!H108</f>
        <v>287</v>
      </c>
      <c r="I239" s="19">
        <f>+'CCs # Master'!I108</f>
        <v>210</v>
      </c>
      <c r="J239" s="19">
        <f>+'CCs # Master'!J108</f>
        <v>13</v>
      </c>
      <c r="K239" s="21">
        <f>SUM(E239:J239)</f>
        <v>2468</v>
      </c>
      <c r="M239" s="19" t="str">
        <f>+'CCs # Master'!M108</f>
        <v>Anticipated Resources</v>
      </c>
      <c r="N239" s="19">
        <f>+'CCs # Master'!AW108</f>
        <v>0</v>
      </c>
      <c r="O239" s="19">
        <v>0</v>
      </c>
      <c r="P239" s="19">
        <f>+'CCs # Master'!N108</f>
        <v>78</v>
      </c>
      <c r="Q239" s="19">
        <f>+'CCs # Master'!O108</f>
        <v>517</v>
      </c>
      <c r="R239" s="19">
        <f>+'CCs # Master'!P108</f>
        <v>26</v>
      </c>
      <c r="S239" s="19">
        <f>+'CCs # Master'!Q108</f>
        <v>68</v>
      </c>
      <c r="T239" s="19">
        <f>+'CCs # Master'!R108</f>
        <v>1</v>
      </c>
      <c r="U239" s="19">
        <f>+'CCs # Master'!S108</f>
        <v>0</v>
      </c>
      <c r="V239" s="19">
        <f>+'CCs # Master'!T108</f>
        <v>0</v>
      </c>
      <c r="W239" s="19">
        <f>+'CCs # Master'!U108</f>
        <v>262</v>
      </c>
      <c r="X239" s="19">
        <f>+'CCs # Master'!V108</f>
        <v>8</v>
      </c>
      <c r="Y239" s="19">
        <f>+'CCs # Master'!W108</f>
        <v>8</v>
      </c>
      <c r="Z239" s="19">
        <f>+'CCs # Master'!X108</f>
        <v>391</v>
      </c>
      <c r="AA239" s="19">
        <f>+'CCs # Master'!Y108</f>
        <v>0</v>
      </c>
      <c r="AB239" s="19">
        <f>+'CCs # Master'!Z108</f>
        <v>137</v>
      </c>
      <c r="AC239" s="19">
        <f>+'CCs # Master'!AA108</f>
        <v>7</v>
      </c>
      <c r="AD239" s="19">
        <f>+'CCs # Master'!AB108</f>
        <v>142</v>
      </c>
      <c r="AE239" s="19">
        <f>+'CCs # Master'!AC108</f>
        <v>3</v>
      </c>
      <c r="AF239" s="19">
        <f>+'CCs # Master'!AD108</f>
        <v>87</v>
      </c>
      <c r="AG239" s="19">
        <f>+'CCs # Master'!AE108</f>
        <v>45</v>
      </c>
      <c r="AH239" s="19">
        <f>+'CCs # Master'!AF108</f>
        <v>37</v>
      </c>
      <c r="AI239" s="19">
        <f>+'CCs # Master'!AG108</f>
        <v>0</v>
      </c>
      <c r="AJ239" s="19">
        <f>+'CCs # Master'!AH108</f>
        <v>134</v>
      </c>
      <c r="AK239" s="19">
        <f>+'CCs # Master'!AI108</f>
        <v>134</v>
      </c>
      <c r="AL239" s="19">
        <f>+'CCs # Master'!AJ108</f>
        <v>134</v>
      </c>
      <c r="AM239" s="19">
        <f>+'CCs # Master'!AK108</f>
        <v>4</v>
      </c>
      <c r="AN239" s="19">
        <f>+'CCs # Master'!AL108</f>
        <v>79</v>
      </c>
      <c r="AO239" s="19">
        <f>+'CCs # Master'!AM108</f>
        <v>24</v>
      </c>
      <c r="AP239" s="19">
        <f>+'CCs # Master'!AN108</f>
        <v>0</v>
      </c>
      <c r="AQ239" s="19">
        <f>+'CCs # Master'!AO108</f>
        <v>124</v>
      </c>
      <c r="AR239" s="19">
        <f>+'CCs # Master'!AP108</f>
        <v>18</v>
      </c>
      <c r="AS239" s="19">
        <f>+'CCs # Master'!AQ108</f>
        <v>0</v>
      </c>
      <c r="AT239" s="19">
        <f>+'CCs # Master'!AR108</f>
        <v>0</v>
      </c>
      <c r="AU239" s="19">
        <f>+'CCs # Master'!AS108</f>
        <v>0</v>
      </c>
      <c r="AV239" s="19">
        <f>+'CCs # Master'!AT108</f>
        <v>0</v>
      </c>
      <c r="AW239"/>
      <c r="AX239" s="21">
        <f>SUM(N239:AW239)</f>
        <v>2468</v>
      </c>
      <c r="AY239" s="21">
        <f>+K239-AX239</f>
        <v>0</v>
      </c>
      <c r="BA239" s="19">
        <f>+P239+Q239+T239+U239+V239+W239+X239+Y239</f>
        <v>874</v>
      </c>
      <c r="BB239" s="19">
        <f>N239</f>
        <v>0</v>
      </c>
      <c r="BC239" s="19">
        <f>SUM(P239:AW239)</f>
        <v>2468</v>
      </c>
      <c r="BE239" s="19">
        <f>SUM(BB239:BC239)</f>
        <v>2468</v>
      </c>
      <c r="BG239" s="234">
        <f>SUM(N239:AW239)</f>
        <v>2468</v>
      </c>
      <c r="BH239" s="19">
        <f>BE239-BG239</f>
        <v>0</v>
      </c>
    </row>
    <row r="240" spans="1:60" s="19" customFormat="1" ht="12.95" customHeight="1" x14ac:dyDescent="0.2">
      <c r="A240" s="85">
        <f>+'CCs # Master'!A131</f>
        <v>11</v>
      </c>
      <c r="B240" s="19" t="str">
        <f>+'CCs # Master'!B131</f>
        <v>Corporate Insurance Premiums</v>
      </c>
      <c r="C240" s="19" t="str">
        <f>+'CCs # Master'!C131</f>
        <v>Bouillion, Jim</v>
      </c>
      <c r="D240" s="205">
        <f>+'CCs # Master'!D131</f>
        <v>100226</v>
      </c>
      <c r="E240" s="19">
        <f>+'CCs # Master'!E131</f>
        <v>0</v>
      </c>
      <c r="F240" s="19">
        <f>+'CCs # Master'!F131</f>
        <v>0</v>
      </c>
      <c r="G240" s="19">
        <f>+'CCs # Master'!G131</f>
        <v>0</v>
      </c>
      <c r="H240" s="19">
        <f>+'CCs # Master'!H131</f>
        <v>0</v>
      </c>
      <c r="I240" s="19">
        <f>+'CCs # Master'!I131</f>
        <v>0</v>
      </c>
      <c r="J240" s="19">
        <f>+'CCs # Master'!J131</f>
        <v>34444</v>
      </c>
      <c r="K240" s="21">
        <f>SUM(E240:J240)</f>
        <v>34444</v>
      </c>
      <c r="M240" s="19" t="str">
        <f>+'CCs # Master'!M131</f>
        <v>Anticipated Resources</v>
      </c>
      <c r="N240" s="19">
        <f>+'CCs # Master'!AW131</f>
        <v>2097</v>
      </c>
      <c r="O240" s="19">
        <v>0</v>
      </c>
      <c r="P240" s="19">
        <f>+'CCs # Master'!N131</f>
        <v>1393</v>
      </c>
      <c r="Q240" s="19">
        <f>+'CCs # Master'!O131</f>
        <v>6008</v>
      </c>
      <c r="R240" s="19">
        <f>+'CCs # Master'!P131</f>
        <v>420</v>
      </c>
      <c r="S240" s="19">
        <f>+'CCs # Master'!Q131</f>
        <v>999</v>
      </c>
      <c r="T240" s="19">
        <f>+'CCs # Master'!R131</f>
        <v>21</v>
      </c>
      <c r="U240" s="19">
        <f>+'CCs # Master'!S131</f>
        <v>460</v>
      </c>
      <c r="V240" s="19">
        <f>+'CCs # Master'!T131</f>
        <v>8</v>
      </c>
      <c r="W240" s="19">
        <f>+'CCs # Master'!U131</f>
        <v>5241</v>
      </c>
      <c r="X240" s="19">
        <f>+'CCs # Master'!V131</f>
        <v>155</v>
      </c>
      <c r="Y240" s="19">
        <f>+'CCs # Master'!W131</f>
        <v>85</v>
      </c>
      <c r="Z240" s="19">
        <f>+'CCs # Master'!X131</f>
        <v>7600</v>
      </c>
      <c r="AA240" s="19">
        <f>+'CCs # Master'!Y131</f>
        <v>10</v>
      </c>
      <c r="AB240" s="19">
        <f>+'CCs # Master'!Z131</f>
        <v>2019</v>
      </c>
      <c r="AC240" s="19">
        <f>+'CCs # Master'!AA131</f>
        <v>152</v>
      </c>
      <c r="AD240" s="19">
        <f>+'CCs # Master'!AB131</f>
        <v>903</v>
      </c>
      <c r="AE240" s="19">
        <f>+'CCs # Master'!AC131</f>
        <v>63</v>
      </c>
      <c r="AF240" s="19">
        <f>+'CCs # Master'!AD131</f>
        <v>1514</v>
      </c>
      <c r="AG240" s="19">
        <f>+'CCs # Master'!AE131</f>
        <v>949</v>
      </c>
      <c r="AH240" s="19">
        <f>+'CCs # Master'!AF131</f>
        <v>1045</v>
      </c>
      <c r="AI240" s="19">
        <f>+'CCs # Master'!AG131</f>
        <v>0</v>
      </c>
      <c r="AJ240" s="19">
        <f>+'CCs # Master'!AH131</f>
        <v>155</v>
      </c>
      <c r="AK240" s="19">
        <f>+'CCs # Master'!AI131</f>
        <v>218</v>
      </c>
      <c r="AL240" s="19">
        <f>+'CCs # Master'!AJ131</f>
        <v>131</v>
      </c>
      <c r="AM240" s="19">
        <f>+'CCs # Master'!AK131</f>
        <v>85</v>
      </c>
      <c r="AN240" s="19">
        <f>+'CCs # Master'!AL131</f>
        <v>591</v>
      </c>
      <c r="AO240" s="19">
        <f>+'CCs # Master'!AM131</f>
        <v>508</v>
      </c>
      <c r="AP240" s="19">
        <f>+'CCs # Master'!AN131</f>
        <v>0</v>
      </c>
      <c r="AQ240" s="19">
        <f>+'CCs # Master'!AO131</f>
        <v>1257</v>
      </c>
      <c r="AR240" s="19">
        <f>+'CCs # Master'!AP131</f>
        <v>357</v>
      </c>
      <c r="AS240" s="19">
        <f>+'CCs # Master'!AQ131</f>
        <v>0</v>
      </c>
      <c r="AT240" s="19">
        <f>+'CCs # Master'!AR131</f>
        <v>0</v>
      </c>
      <c r="AU240" s="19">
        <f>+'CCs # Master'!AS131</f>
        <v>0</v>
      </c>
      <c r="AV240" s="19">
        <f>+'CCs # Master'!AT131</f>
        <v>0</v>
      </c>
      <c r="AW240"/>
      <c r="AX240" s="21">
        <f>SUM(N240:AW240)</f>
        <v>34444</v>
      </c>
      <c r="AY240" s="21">
        <f>+K240-AX240</f>
        <v>0</v>
      </c>
      <c r="BA240" s="19">
        <f>+P240+Q240+T240+U240+V240+W240+X240+Y240</f>
        <v>13371</v>
      </c>
      <c r="BB240" s="19">
        <f>N240</f>
        <v>2097</v>
      </c>
      <c r="BC240" s="19">
        <f>SUM(P240:AW240)</f>
        <v>32347</v>
      </c>
      <c r="BE240" s="19">
        <f>SUM(BB240:BC240)</f>
        <v>34444</v>
      </c>
      <c r="BG240" s="234">
        <f>SUM(N240:AW240)</f>
        <v>34444</v>
      </c>
      <c r="BH240" s="19">
        <f>BE240-BG240</f>
        <v>0</v>
      </c>
    </row>
    <row r="241" spans="1:60" s="19" customFormat="1" ht="12.95" customHeight="1" x14ac:dyDescent="0.2">
      <c r="A241" s="85">
        <f>+'CCs # Master'!A132</f>
        <v>11</v>
      </c>
      <c r="B241" s="19" t="str">
        <f>+'CCs # Master'!B132</f>
        <v>Portfolio Management (Political Risk Insurance)</v>
      </c>
      <c r="C241" s="19" t="str">
        <f>+'CCs # Master'!C132</f>
        <v>Shedd, Cliff</v>
      </c>
      <c r="D241" s="205">
        <f>+'CCs # Master'!D132</f>
        <v>100245</v>
      </c>
      <c r="E241" s="19">
        <f>+'CCs # Master'!E132</f>
        <v>262</v>
      </c>
      <c r="F241" s="19">
        <f>+'CCs # Master'!F132</f>
        <v>25</v>
      </c>
      <c r="G241" s="19">
        <f>+'CCs # Master'!G132</f>
        <v>0</v>
      </c>
      <c r="H241" s="19">
        <f>+'CCs # Master'!H132</f>
        <v>50</v>
      </c>
      <c r="I241" s="19">
        <f>+'CCs # Master'!I132</f>
        <v>0</v>
      </c>
      <c r="J241" s="19">
        <f>+'CCs # Master'!J132</f>
        <v>34900</v>
      </c>
      <c r="K241" s="21">
        <f>SUM(E241:J241)</f>
        <v>35237</v>
      </c>
      <c r="M241" s="19" t="str">
        <f>+'CCs # Master'!M132</f>
        <v>Direct Usage</v>
      </c>
      <c r="N241" s="19">
        <f>+'CCs # Master'!AW132</f>
        <v>337</v>
      </c>
      <c r="O241" s="19">
        <v>0</v>
      </c>
      <c r="P241" s="19">
        <f>+'CCs # Master'!N132</f>
        <v>0</v>
      </c>
      <c r="Q241" s="19">
        <f>+'CCs # Master'!O132</f>
        <v>0</v>
      </c>
      <c r="R241" s="19">
        <f>+'CCs # Master'!P132</f>
        <v>0</v>
      </c>
      <c r="S241" s="19">
        <f>+'CCs # Master'!Q132</f>
        <v>0</v>
      </c>
      <c r="T241" s="19">
        <f>+'CCs # Master'!R132</f>
        <v>0</v>
      </c>
      <c r="U241" s="19">
        <f>+'CCs # Master'!S132</f>
        <v>0</v>
      </c>
      <c r="V241" s="19">
        <f>+'CCs # Master'!T132</f>
        <v>0</v>
      </c>
      <c r="W241" s="19">
        <f>+'CCs # Master'!U132</f>
        <v>0</v>
      </c>
      <c r="X241" s="19">
        <f>+'CCs # Master'!V132</f>
        <v>0</v>
      </c>
      <c r="Y241" s="19">
        <f>+'CCs # Master'!W132</f>
        <v>0</v>
      </c>
      <c r="Z241" s="19">
        <f>+'CCs # Master'!X132</f>
        <v>0</v>
      </c>
      <c r="AA241" s="19">
        <f>+'CCs # Master'!Y132</f>
        <v>0</v>
      </c>
      <c r="AB241" s="19">
        <f>+'CCs # Master'!Z132</f>
        <v>0</v>
      </c>
      <c r="AC241" s="19">
        <f>+'CCs # Master'!AA132</f>
        <v>0</v>
      </c>
      <c r="AD241" s="19">
        <f>+'CCs # Master'!AB132</f>
        <v>700</v>
      </c>
      <c r="AE241" s="19">
        <f>+'CCs # Master'!AC132</f>
        <v>0</v>
      </c>
      <c r="AF241" s="19">
        <f>+'CCs # Master'!AD132</f>
        <v>0</v>
      </c>
      <c r="AG241" s="19">
        <f>+'CCs # Master'!AE132</f>
        <v>0</v>
      </c>
      <c r="AH241" s="19">
        <f>+'CCs # Master'!AF132</f>
        <v>0</v>
      </c>
      <c r="AI241" s="19">
        <f>+'CCs # Master'!AG132</f>
        <v>0</v>
      </c>
      <c r="AJ241" s="19">
        <f>+'CCs # Master'!AH132</f>
        <v>3600</v>
      </c>
      <c r="AK241" s="19">
        <f>+'CCs # Master'!AI132</f>
        <v>20000</v>
      </c>
      <c r="AL241" s="19">
        <f>+'CCs # Master'!AJ132</f>
        <v>5300</v>
      </c>
      <c r="AM241" s="19">
        <f>+'CCs # Master'!AK132</f>
        <v>0</v>
      </c>
      <c r="AN241" s="19">
        <f>+'CCs # Master'!AL132</f>
        <v>2400</v>
      </c>
      <c r="AO241" s="19">
        <f>+'CCs # Master'!AM132</f>
        <v>0</v>
      </c>
      <c r="AP241" s="19">
        <f>+'CCs # Master'!AN132</f>
        <v>0</v>
      </c>
      <c r="AQ241" s="19">
        <f>+'CCs # Master'!AO132</f>
        <v>800</v>
      </c>
      <c r="AR241" s="19">
        <f>+'CCs # Master'!AP132</f>
        <v>0</v>
      </c>
      <c r="AS241" s="19">
        <f>+'CCs # Master'!AQ132</f>
        <v>2100</v>
      </c>
      <c r="AT241" s="19">
        <f>+'CCs # Master'!AR132</f>
        <v>0</v>
      </c>
      <c r="AU241" s="19">
        <f>+'CCs # Master'!AS132</f>
        <v>0</v>
      </c>
      <c r="AV241" s="19">
        <f>+'CCs # Master'!AT132</f>
        <v>0</v>
      </c>
      <c r="AW241"/>
      <c r="AX241" s="21">
        <f>SUM(N241:AW241)</f>
        <v>35237</v>
      </c>
      <c r="AY241" s="21">
        <f>+K241-AX241</f>
        <v>0</v>
      </c>
      <c r="BA241" s="19">
        <f>+P241+Q241+T241+U241+V241+W241+X241+Y241</f>
        <v>0</v>
      </c>
      <c r="BB241" s="19">
        <f>N241</f>
        <v>337</v>
      </c>
      <c r="BC241" s="19">
        <f>SUM(P241:AW241)</f>
        <v>34900</v>
      </c>
      <c r="BE241" s="19">
        <f>SUM(BB241:BC241)</f>
        <v>35237</v>
      </c>
      <c r="BG241" s="234">
        <f>SUM(N241:AW241)</f>
        <v>35237</v>
      </c>
      <c r="BH241" s="19">
        <f>BE241-BG241</f>
        <v>0</v>
      </c>
    </row>
    <row r="242" spans="1:60" s="19" customFormat="1" ht="12.95" customHeight="1" x14ac:dyDescent="0.2">
      <c r="A242" s="85">
        <v>11</v>
      </c>
      <c r="B242" s="19" t="str">
        <f>'CCs # Master'!B147</f>
        <v>Global Risk Mgmt</v>
      </c>
      <c r="C242" s="19" t="str">
        <f>'CCs # Master'!C147</f>
        <v>Cousino, L</v>
      </c>
      <c r="D242" s="205">
        <f>'CCs # Master'!D147</f>
        <v>102711</v>
      </c>
      <c r="E242" s="19">
        <f>'CCs # Master'!E147</f>
        <v>0</v>
      </c>
      <c r="F242" s="19">
        <f>'CCs # Master'!F147</f>
        <v>389</v>
      </c>
      <c r="G242" s="19">
        <f>'CCs # Master'!G147</f>
        <v>0</v>
      </c>
      <c r="H242" s="19">
        <f>'CCs # Master'!H147</f>
        <v>120</v>
      </c>
      <c r="I242" s="19">
        <f>'CCs # Master'!I147</f>
        <v>0</v>
      </c>
      <c r="J242" s="19">
        <f>'CCs # Master'!J147</f>
        <v>0</v>
      </c>
      <c r="K242" s="21">
        <f>SUM(E242:J242)</f>
        <v>509</v>
      </c>
      <c r="M242" s="19" t="s">
        <v>243</v>
      </c>
      <c r="N242" s="19">
        <f>'CCs # Master'!AW147</f>
        <v>509</v>
      </c>
      <c r="O242" s="19">
        <v>0</v>
      </c>
      <c r="P242" s="19">
        <v>0</v>
      </c>
      <c r="Q242" s="19">
        <v>0</v>
      </c>
      <c r="R242" s="19">
        <v>0</v>
      </c>
      <c r="S242" s="19">
        <v>0</v>
      </c>
      <c r="T242" s="19">
        <v>0</v>
      </c>
      <c r="U242" s="19">
        <v>0</v>
      </c>
      <c r="V242" s="19">
        <v>0</v>
      </c>
      <c r="W242" s="19">
        <v>0</v>
      </c>
      <c r="X242" s="19">
        <v>0</v>
      </c>
      <c r="Y242" s="19">
        <v>0</v>
      </c>
      <c r="Z242" s="19">
        <v>0</v>
      </c>
      <c r="AA242" s="19">
        <v>0</v>
      </c>
      <c r="AB242" s="19">
        <v>0</v>
      </c>
      <c r="AC242" s="19">
        <v>0</v>
      </c>
      <c r="AD242" s="19">
        <v>0</v>
      </c>
      <c r="AE242" s="19">
        <v>0</v>
      </c>
      <c r="AF242" s="19">
        <v>0</v>
      </c>
      <c r="AG242" s="19">
        <v>0</v>
      </c>
      <c r="AH242" s="19">
        <v>0</v>
      </c>
      <c r="AI242" s="19">
        <v>0</v>
      </c>
      <c r="AJ242" s="19">
        <v>0</v>
      </c>
      <c r="AK242" s="19">
        <v>0</v>
      </c>
      <c r="AL242" s="19">
        <v>0</v>
      </c>
      <c r="AM242" s="19">
        <v>0</v>
      </c>
      <c r="AN242" s="19">
        <v>0</v>
      </c>
      <c r="AO242" s="19">
        <v>0</v>
      </c>
      <c r="AP242" s="19">
        <v>0</v>
      </c>
      <c r="AQ242" s="19">
        <v>0</v>
      </c>
      <c r="AR242" s="19">
        <v>0</v>
      </c>
      <c r="AS242" s="19">
        <v>0</v>
      </c>
      <c r="AT242" s="19">
        <v>0</v>
      </c>
      <c r="AU242" s="19">
        <v>0</v>
      </c>
      <c r="AV242" s="19">
        <v>0</v>
      </c>
      <c r="AW242"/>
      <c r="AX242" s="21">
        <f>SUM(N242:AW242)</f>
        <v>509</v>
      </c>
      <c r="AY242" s="21">
        <f>+K242-AX242</f>
        <v>0</v>
      </c>
      <c r="BA242" s="19">
        <f>+P242+Q242+T242+U242+V242+W242+X242+Y242</f>
        <v>0</v>
      </c>
      <c r="BB242" s="19">
        <f>N242</f>
        <v>509</v>
      </c>
      <c r="BC242" s="19">
        <f>SUM(P242:AW242)</f>
        <v>0</v>
      </c>
      <c r="BE242" s="19">
        <f>SUM(BB242:BC242)</f>
        <v>509</v>
      </c>
      <c r="BG242" s="234">
        <f>SUM(N242:AW242)</f>
        <v>509</v>
      </c>
      <c r="BH242" s="19">
        <f>BE242-BG242</f>
        <v>0</v>
      </c>
    </row>
    <row r="243" spans="1:60" s="19" customFormat="1" ht="12.95" customHeight="1" x14ac:dyDescent="0.2">
      <c r="A243" s="85">
        <v>11</v>
      </c>
      <c r="B243" s="19" t="str">
        <f>'CCs # Master'!B152</f>
        <v>Southern Cone Risk Mgmt</v>
      </c>
      <c r="C243" s="19" t="str">
        <f>'CCs # Master'!C152</f>
        <v>Cousino, L</v>
      </c>
      <c r="D243" s="205">
        <f>'CCs # Master'!D152</f>
        <v>102757</v>
      </c>
      <c r="E243" s="258">
        <f>'CCs # Master'!E152</f>
        <v>573</v>
      </c>
      <c r="F243" s="258">
        <f>'CCs # Master'!F152</f>
        <v>87</v>
      </c>
      <c r="G243" s="258">
        <f>'CCs # Master'!G152</f>
        <v>6</v>
      </c>
      <c r="H243" s="258">
        <f>'CCs # Master'!H152</f>
        <v>0</v>
      </c>
      <c r="I243" s="258">
        <f>'CCs # Master'!I152</f>
        <v>77</v>
      </c>
      <c r="J243" s="258">
        <f>'CCs # Master'!J152</f>
        <v>1</v>
      </c>
      <c r="K243" s="21">
        <f>SUM(E243:J243)</f>
        <v>744</v>
      </c>
      <c r="M243" s="19" t="s">
        <v>243</v>
      </c>
      <c r="N243" s="19">
        <f>'CCs # Master'!AW152</f>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19">
        <v>0</v>
      </c>
      <c r="AG243" s="19">
        <v>0</v>
      </c>
      <c r="AH243" s="19">
        <v>0</v>
      </c>
      <c r="AI243" s="19">
        <v>0</v>
      </c>
      <c r="AJ243" s="19">
        <v>0</v>
      </c>
      <c r="AK243" s="19">
        <f>'CCs # Master'!AI152</f>
        <v>744</v>
      </c>
      <c r="AL243" s="19">
        <v>0</v>
      </c>
      <c r="AM243" s="19">
        <v>0</v>
      </c>
      <c r="AN243" s="19">
        <v>0</v>
      </c>
      <c r="AO243" s="19">
        <v>0</v>
      </c>
      <c r="AP243" s="19">
        <v>0</v>
      </c>
      <c r="AQ243" s="19">
        <v>0</v>
      </c>
      <c r="AR243" s="19">
        <v>0</v>
      </c>
      <c r="AS243" s="19">
        <v>0</v>
      </c>
      <c r="AT243" s="19">
        <v>0</v>
      </c>
      <c r="AU243" s="19">
        <v>0</v>
      </c>
      <c r="AV243" s="19">
        <v>0</v>
      </c>
      <c r="AW243"/>
      <c r="AX243" s="21">
        <f>SUM(N243:AW243)</f>
        <v>744</v>
      </c>
      <c r="AY243" s="21">
        <f>+K243-AX243</f>
        <v>0</v>
      </c>
      <c r="BA243" s="19">
        <f>+P243+Q243+T243+U243+V243+W243+X243+Y243</f>
        <v>0</v>
      </c>
      <c r="BB243" s="19">
        <f>N243</f>
        <v>0</v>
      </c>
      <c r="BC243" s="19">
        <f>SUM(P243:AW243)</f>
        <v>744</v>
      </c>
      <c r="BE243" s="19">
        <f>SUM(BB243:BC243)</f>
        <v>744</v>
      </c>
      <c r="BG243" s="234">
        <f>SUM(N243:AW243)</f>
        <v>744</v>
      </c>
      <c r="BH243" s="19">
        <f>BE243-BG243</f>
        <v>0</v>
      </c>
    </row>
    <row r="244" spans="1:60" ht="12.95" customHeight="1" x14ac:dyDescent="0.2">
      <c r="BC244" s="267"/>
      <c r="BE244" s="267"/>
    </row>
    <row r="245" spans="1:60" s="19" customFormat="1" ht="8.1" customHeight="1" x14ac:dyDescent="0.2">
      <c r="A245" s="85"/>
      <c r="D245" s="205"/>
      <c r="E245" s="191"/>
      <c r="F245" s="191"/>
      <c r="G245" s="191"/>
      <c r="H245" s="191"/>
      <c r="I245" s="191"/>
      <c r="J245" s="191"/>
      <c r="K245" s="191"/>
      <c r="N245" s="191"/>
      <c r="O245" s="191"/>
      <c r="P245" s="191"/>
      <c r="Q245" s="191"/>
      <c r="R245" s="191"/>
      <c r="S245" s="191"/>
      <c r="T245" s="191"/>
      <c r="U245" s="191"/>
      <c r="V245" s="191"/>
      <c r="W245" s="191"/>
      <c r="X245" s="191"/>
      <c r="Y245" s="191"/>
      <c r="Z245" s="191"/>
      <c r="AA245" s="191"/>
      <c r="AB245" s="191"/>
      <c r="AC245" s="191"/>
      <c r="AD245" s="191"/>
      <c r="AE245" s="191"/>
      <c r="AF245" s="191"/>
      <c r="AG245" s="191"/>
      <c r="AH245" s="191"/>
      <c r="AI245" s="191"/>
      <c r="AJ245" s="191"/>
      <c r="AK245" s="191"/>
      <c r="AL245" s="191"/>
      <c r="AM245" s="191"/>
      <c r="AN245" s="191"/>
      <c r="AO245" s="191"/>
      <c r="AP245" s="191"/>
      <c r="AQ245" s="191"/>
      <c r="AR245" s="191"/>
      <c r="AS245" s="191"/>
      <c r="AT245" s="191"/>
      <c r="AU245" s="191"/>
      <c r="AV245" s="191"/>
      <c r="AW245"/>
      <c r="AX245" s="191"/>
      <c r="AY245" s="191"/>
      <c r="BA245" s="191"/>
      <c r="BB245" s="191"/>
      <c r="BG245" s="234"/>
    </row>
    <row r="246" spans="1:60" s="19" customFormat="1" ht="12.95" customHeight="1" x14ac:dyDescent="0.2">
      <c r="A246" s="85"/>
      <c r="D246" s="205"/>
      <c r="E246" s="227">
        <f>SUM(E239:E245)</f>
        <v>2530</v>
      </c>
      <c r="F246" s="227">
        <f t="shared" ref="F246:K246" si="145">SUM(F239:F245)</f>
        <v>749</v>
      </c>
      <c r="G246" s="227">
        <f t="shared" si="145"/>
        <v>21</v>
      </c>
      <c r="H246" s="227">
        <f t="shared" si="145"/>
        <v>457</v>
      </c>
      <c r="I246" s="227">
        <f t="shared" si="145"/>
        <v>287</v>
      </c>
      <c r="J246" s="227">
        <f t="shared" si="145"/>
        <v>69358</v>
      </c>
      <c r="K246" s="227">
        <f t="shared" si="145"/>
        <v>73402</v>
      </c>
      <c r="N246" s="227">
        <f t="shared" ref="N246:AR246" si="146">SUM(N239:N245)</f>
        <v>2943</v>
      </c>
      <c r="O246" s="227">
        <f t="shared" si="146"/>
        <v>0</v>
      </c>
      <c r="P246" s="227">
        <f t="shared" si="146"/>
        <v>1471</v>
      </c>
      <c r="Q246" s="227">
        <f t="shared" si="146"/>
        <v>6525</v>
      </c>
      <c r="R246" s="227">
        <f t="shared" si="146"/>
        <v>446</v>
      </c>
      <c r="S246" s="227">
        <f t="shared" si="146"/>
        <v>1067</v>
      </c>
      <c r="T246" s="227">
        <f t="shared" si="146"/>
        <v>22</v>
      </c>
      <c r="U246" s="227">
        <f t="shared" si="146"/>
        <v>460</v>
      </c>
      <c r="V246" s="227">
        <f t="shared" si="146"/>
        <v>8</v>
      </c>
      <c r="W246" s="227">
        <f t="shared" si="146"/>
        <v>5503</v>
      </c>
      <c r="X246" s="227">
        <f t="shared" si="146"/>
        <v>163</v>
      </c>
      <c r="Y246" s="227">
        <f t="shared" si="146"/>
        <v>93</v>
      </c>
      <c r="Z246" s="227">
        <f t="shared" si="146"/>
        <v>7991</v>
      </c>
      <c r="AA246" s="227">
        <f t="shared" si="146"/>
        <v>10</v>
      </c>
      <c r="AB246" s="227">
        <f t="shared" si="146"/>
        <v>2156</v>
      </c>
      <c r="AC246" s="227">
        <f t="shared" si="146"/>
        <v>159</v>
      </c>
      <c r="AD246" s="227">
        <f t="shared" si="146"/>
        <v>1745</v>
      </c>
      <c r="AE246" s="227">
        <f t="shared" si="146"/>
        <v>66</v>
      </c>
      <c r="AF246" s="227">
        <f t="shared" si="146"/>
        <v>1601</v>
      </c>
      <c r="AG246" s="227">
        <f t="shared" si="146"/>
        <v>994</v>
      </c>
      <c r="AH246" s="227">
        <f t="shared" si="146"/>
        <v>1082</v>
      </c>
      <c r="AI246" s="227">
        <f t="shared" si="146"/>
        <v>0</v>
      </c>
      <c r="AJ246" s="227">
        <f t="shared" si="146"/>
        <v>3889</v>
      </c>
      <c r="AK246" s="227">
        <f t="shared" si="146"/>
        <v>21096</v>
      </c>
      <c r="AL246" s="227">
        <f t="shared" si="146"/>
        <v>5565</v>
      </c>
      <c r="AM246" s="227">
        <f t="shared" si="146"/>
        <v>89</v>
      </c>
      <c r="AN246" s="227">
        <f t="shared" si="146"/>
        <v>3070</v>
      </c>
      <c r="AO246" s="227">
        <f t="shared" si="146"/>
        <v>532</v>
      </c>
      <c r="AP246" s="227">
        <f t="shared" si="146"/>
        <v>0</v>
      </c>
      <c r="AQ246" s="227">
        <f t="shared" si="146"/>
        <v>2181</v>
      </c>
      <c r="AR246" s="227">
        <f t="shared" si="146"/>
        <v>375</v>
      </c>
      <c r="AS246" s="227">
        <f>SUM(AS239:AS245)</f>
        <v>2100</v>
      </c>
      <c r="AT246" s="227">
        <f>SUM(AT239:AT245)</f>
        <v>0</v>
      </c>
      <c r="AU246" s="227">
        <f>SUM(AU239:AU245)</f>
        <v>0</v>
      </c>
      <c r="AV246" s="227">
        <f>SUM(AV239:AV245)</f>
        <v>0</v>
      </c>
      <c r="AW246"/>
      <c r="AX246" s="227">
        <f>SUM(AX239:AX245)</f>
        <v>73402</v>
      </c>
      <c r="AY246" s="227">
        <f>SUM(AY239:AY245)</f>
        <v>0</v>
      </c>
      <c r="BA246" s="227">
        <f>SUM(BA239:BA245)</f>
        <v>14245</v>
      </c>
      <c r="BB246" s="227">
        <f>SUM(BB239:BB245)</f>
        <v>2943</v>
      </c>
      <c r="BC246" s="227">
        <f>SUM(BC239:BC245)</f>
        <v>70459</v>
      </c>
      <c r="BE246" s="227">
        <f>SUM(BE239:BE245)</f>
        <v>73402</v>
      </c>
      <c r="BG246" s="249">
        <f>SUM(BG239:BG245)</f>
        <v>73402</v>
      </c>
      <c r="BH246" s="19">
        <f>SUM(BH239:BH245)</f>
        <v>0</v>
      </c>
    </row>
    <row r="247" spans="1:60" s="19" customFormat="1" ht="8.1" customHeight="1" x14ac:dyDescent="0.2">
      <c r="A247" s="85"/>
      <c r="D247" s="205"/>
      <c r="K247" s="21"/>
      <c r="AW247"/>
      <c r="AX247" s="21"/>
      <c r="AY247" s="21"/>
      <c r="BG247" s="234"/>
    </row>
    <row r="248" spans="1:60" s="19" customFormat="1" ht="8.1" customHeight="1" x14ac:dyDescent="0.2">
      <c r="A248" s="84"/>
      <c r="B248" s="29"/>
      <c r="D248" s="205"/>
      <c r="F248" s="21"/>
      <c r="G248" s="21"/>
      <c r="K248" s="21"/>
      <c r="N248" s="21"/>
      <c r="O248" s="21"/>
      <c r="P248" s="21"/>
      <c r="Q248" s="21"/>
      <c r="R248" s="21"/>
      <c r="S248" s="21"/>
      <c r="T248" s="21"/>
      <c r="U248" s="21"/>
      <c r="V248" s="21"/>
      <c r="W248" s="21"/>
      <c r="X248" s="21"/>
      <c r="Y248" s="21"/>
      <c r="Z248" s="21"/>
      <c r="AA248" s="21"/>
      <c r="AB248" s="21"/>
      <c r="AC248" s="21"/>
      <c r="AD248" s="21"/>
      <c r="AE248" s="21"/>
      <c r="AF248" s="21"/>
      <c r="AG248" s="21"/>
      <c r="AH248" s="21"/>
      <c r="AI248" s="21"/>
      <c r="AJ248" s="21"/>
      <c r="AK248" s="21"/>
      <c r="AL248" s="21"/>
      <c r="AM248" s="21"/>
      <c r="AN248" s="21"/>
      <c r="AO248" s="21"/>
      <c r="AP248" s="21"/>
      <c r="AQ248" s="21"/>
      <c r="AR248" s="21"/>
      <c r="AS248" s="21"/>
      <c r="AT248" s="21"/>
      <c r="AU248" s="21"/>
      <c r="AV248" s="21"/>
      <c r="AW248"/>
      <c r="AX248" s="21"/>
      <c r="AY248" s="21"/>
      <c r="BA248" s="21"/>
      <c r="BB248" s="21"/>
      <c r="BC248" s="21"/>
      <c r="BE248" s="21"/>
      <c r="BF248" s="21"/>
      <c r="BG248" s="234"/>
    </row>
    <row r="249" spans="1:60" s="19" customFormat="1" ht="12.95" customHeight="1" x14ac:dyDescent="0.2">
      <c r="A249" s="213" t="s">
        <v>314</v>
      </c>
      <c r="B249" s="29"/>
      <c r="D249" s="205"/>
      <c r="F249" s="21"/>
      <c r="G249" s="21"/>
      <c r="K249" s="21"/>
      <c r="N249" s="21"/>
      <c r="O249" s="21"/>
      <c r="P249" s="21"/>
      <c r="Q249" s="21"/>
      <c r="R249" s="21"/>
      <c r="S249" s="21"/>
      <c r="T249" s="21"/>
      <c r="U249" s="21"/>
      <c r="V249" s="21"/>
      <c r="W249" s="21"/>
      <c r="X249" s="21"/>
      <c r="Y249" s="21"/>
      <c r="Z249" s="21"/>
      <c r="AA249" s="21"/>
      <c r="AB249" s="21"/>
      <c r="AC249" s="21"/>
      <c r="AD249" s="21"/>
      <c r="AE249" s="21"/>
      <c r="AF249" s="21"/>
      <c r="AG249" s="21"/>
      <c r="AH249" s="21"/>
      <c r="AI249" s="21"/>
      <c r="AJ249" s="21"/>
      <c r="AK249" s="21"/>
      <c r="AL249" s="21"/>
      <c r="AM249" s="21"/>
      <c r="AN249" s="21"/>
      <c r="AO249" s="21"/>
      <c r="AP249" s="21"/>
      <c r="AQ249" s="21"/>
      <c r="AR249" s="21"/>
      <c r="AS249" s="21"/>
      <c r="AT249" s="21"/>
      <c r="AU249" s="21"/>
      <c r="AV249" s="21"/>
      <c r="AW249"/>
      <c r="AX249" s="21"/>
      <c r="AY249" s="21"/>
      <c r="BA249" s="21"/>
      <c r="BB249" s="21"/>
      <c r="BC249" s="21"/>
      <c r="BE249" s="21"/>
      <c r="BF249" s="21"/>
      <c r="BG249" s="234"/>
    </row>
    <row r="250" spans="1:60" s="19" customFormat="1" ht="12.95" customHeight="1" x14ac:dyDescent="0.2">
      <c r="A250" s="85">
        <f>+'CCs # Master'!A52</f>
        <v>901</v>
      </c>
      <c r="B250" s="19" t="str">
        <f>+'CCs # Master'!B52</f>
        <v>Vacant  Space</v>
      </c>
      <c r="C250" s="19" t="str">
        <f>+'CCs # Master'!C52</f>
        <v>Akhave, Billie</v>
      </c>
      <c r="D250" s="205">
        <f>+'CCs # Master'!D52</f>
        <v>100064</v>
      </c>
      <c r="E250" s="19">
        <f>+'CCs # Master'!E52</f>
        <v>0</v>
      </c>
      <c r="F250" s="19">
        <f>+'CCs # Master'!F52</f>
        <v>0</v>
      </c>
      <c r="G250" s="19">
        <f>+'CCs # Master'!G52</f>
        <v>0</v>
      </c>
      <c r="H250" s="19">
        <f>+'CCs # Master'!H52</f>
        <v>0</v>
      </c>
      <c r="I250" s="19">
        <f>+'CCs # Master'!I52</f>
        <v>727</v>
      </c>
      <c r="J250" s="19">
        <f>+'CCs # Master'!J52</f>
        <v>0</v>
      </c>
      <c r="K250" s="21">
        <f>SUM(E250:J250)</f>
        <v>727</v>
      </c>
      <c r="M250" s="19" t="str">
        <f>+'CCs # Master'!M52</f>
        <v>MMF</v>
      </c>
      <c r="N250" s="19">
        <f>+'CCs # Master'!AW52</f>
        <v>727</v>
      </c>
      <c r="O250" s="19">
        <v>0</v>
      </c>
      <c r="P250" s="19">
        <f>+'CCs # Master'!N52</f>
        <v>0</v>
      </c>
      <c r="Q250" s="19">
        <f>+'CCs # Master'!O52</f>
        <v>0</v>
      </c>
      <c r="R250" s="19">
        <f>+'CCs # Master'!P52</f>
        <v>0</v>
      </c>
      <c r="S250" s="19">
        <f>+'CCs # Master'!Q52</f>
        <v>0</v>
      </c>
      <c r="T250" s="19">
        <f>+'CCs # Master'!R52</f>
        <v>0</v>
      </c>
      <c r="U250" s="19">
        <f>+'CCs # Master'!S52</f>
        <v>0</v>
      </c>
      <c r="V250" s="19">
        <f>+'CCs # Master'!T52</f>
        <v>0</v>
      </c>
      <c r="W250" s="19">
        <f>+'CCs # Master'!U52</f>
        <v>0</v>
      </c>
      <c r="X250" s="19">
        <f>+'CCs # Master'!V52</f>
        <v>0</v>
      </c>
      <c r="Y250" s="19">
        <f>+'CCs # Master'!W52</f>
        <v>0</v>
      </c>
      <c r="Z250" s="19">
        <f>+'CCs # Master'!X52</f>
        <v>0</v>
      </c>
      <c r="AA250" s="19">
        <f>+'CCs # Master'!Y52</f>
        <v>0</v>
      </c>
      <c r="AB250" s="19">
        <f>+'CCs # Master'!Z52</f>
        <v>0</v>
      </c>
      <c r="AC250" s="19">
        <f>+'CCs # Master'!AA52</f>
        <v>0</v>
      </c>
      <c r="AD250" s="19">
        <f>+'CCs # Master'!AB52</f>
        <v>0</v>
      </c>
      <c r="AE250" s="19">
        <f>+'CCs # Master'!AC52</f>
        <v>0</v>
      </c>
      <c r="AF250" s="19">
        <f>+'CCs # Master'!AD52</f>
        <v>0</v>
      </c>
      <c r="AG250" s="19">
        <f>+'CCs # Master'!AE52</f>
        <v>0</v>
      </c>
      <c r="AH250" s="19">
        <f>+'CCs # Master'!AF52</f>
        <v>0</v>
      </c>
      <c r="AI250" s="19">
        <f>+'CCs # Master'!AG52</f>
        <v>0</v>
      </c>
      <c r="AJ250" s="19">
        <f>+'CCs # Master'!AH52</f>
        <v>0</v>
      </c>
      <c r="AK250" s="19">
        <f>+'CCs # Master'!AI52</f>
        <v>0</v>
      </c>
      <c r="AL250" s="19">
        <f>+'CCs # Master'!AJ52</f>
        <v>0</v>
      </c>
      <c r="AM250" s="19">
        <f>+'CCs # Master'!AK52</f>
        <v>0</v>
      </c>
      <c r="AN250" s="19">
        <f>+'CCs # Master'!AL52</f>
        <v>0</v>
      </c>
      <c r="AO250" s="19">
        <f>+'CCs # Master'!AM52</f>
        <v>0</v>
      </c>
      <c r="AP250" s="19">
        <f>+'CCs # Master'!AN52</f>
        <v>0</v>
      </c>
      <c r="AQ250" s="19">
        <f>+'CCs # Master'!AO52</f>
        <v>0</v>
      </c>
      <c r="AR250" s="19">
        <f>+'CCs # Master'!AP52</f>
        <v>0</v>
      </c>
      <c r="AS250" s="19">
        <f>+'CCs # Master'!AQ52</f>
        <v>0</v>
      </c>
      <c r="AT250" s="19">
        <f>+'CCs # Master'!AR52</f>
        <v>0</v>
      </c>
      <c r="AU250" s="19">
        <f>+'CCs # Master'!AS52</f>
        <v>0</v>
      </c>
      <c r="AV250" s="19">
        <f>+'CCs # Master'!AT52</f>
        <v>0</v>
      </c>
      <c r="AW250"/>
      <c r="AX250" s="21">
        <f>SUM(N250:AW250)</f>
        <v>727</v>
      </c>
      <c r="AY250" s="21">
        <f>+K250-AX250</f>
        <v>0</v>
      </c>
      <c r="BA250" s="19">
        <f>+P250+Q250+T250+U250+V250+W250+X250+Y250</f>
        <v>0</v>
      </c>
      <c r="BB250" s="19">
        <f>N250</f>
        <v>727</v>
      </c>
      <c r="BC250" s="19">
        <f>SUM(P250:AW250)</f>
        <v>0</v>
      </c>
      <c r="BE250" s="19">
        <f>SUM(BB250:BC250)</f>
        <v>727</v>
      </c>
      <c r="BG250" s="234">
        <f>SUM(N250:AW250)</f>
        <v>727</v>
      </c>
      <c r="BH250" s="19">
        <f>BE250-BG250</f>
        <v>0</v>
      </c>
    </row>
    <row r="251" spans="1:60" s="19" customFormat="1" ht="12.95" customHeight="1" x14ac:dyDescent="0.2">
      <c r="A251" s="85"/>
      <c r="B251" s="19" t="s">
        <v>352</v>
      </c>
      <c r="D251" s="205"/>
      <c r="K251" s="21">
        <v>0</v>
      </c>
      <c r="N251" s="19">
        <v>0</v>
      </c>
      <c r="O251" s="19">
        <v>0</v>
      </c>
      <c r="P251" s="19">
        <v>0</v>
      </c>
      <c r="Q251" s="19">
        <v>0</v>
      </c>
      <c r="R251" s="19">
        <v>0</v>
      </c>
      <c r="S251" s="19">
        <v>0</v>
      </c>
      <c r="T251" s="19">
        <v>0</v>
      </c>
      <c r="U251" s="19">
        <v>0</v>
      </c>
      <c r="V251" s="19">
        <v>0</v>
      </c>
      <c r="W251" s="19">
        <v>0</v>
      </c>
      <c r="X251" s="19">
        <v>0</v>
      </c>
      <c r="Y251" s="19">
        <v>0</v>
      </c>
      <c r="Z251" s="19">
        <v>0</v>
      </c>
      <c r="AA251" s="19">
        <v>0</v>
      </c>
      <c r="AB251" s="19">
        <v>0</v>
      </c>
      <c r="AC251" s="19">
        <v>0</v>
      </c>
      <c r="AD251" s="19">
        <v>0</v>
      </c>
      <c r="AE251" s="19">
        <v>0</v>
      </c>
      <c r="AF251" s="19">
        <v>0</v>
      </c>
      <c r="AG251" s="19">
        <v>0</v>
      </c>
      <c r="AH251" s="19">
        <v>0</v>
      </c>
      <c r="AI251" s="19">
        <v>0</v>
      </c>
      <c r="AJ251" s="19">
        <v>0</v>
      </c>
      <c r="AK251" s="19">
        <v>0</v>
      </c>
      <c r="AL251" s="19">
        <v>0</v>
      </c>
      <c r="AM251" s="19">
        <v>0</v>
      </c>
      <c r="AN251" s="19">
        <v>0</v>
      </c>
      <c r="AO251" s="19">
        <v>0</v>
      </c>
      <c r="AP251" s="19">
        <v>0</v>
      </c>
      <c r="AQ251" s="19">
        <v>0</v>
      </c>
      <c r="AR251" s="19">
        <v>0</v>
      </c>
      <c r="AS251" s="19">
        <v>0</v>
      </c>
      <c r="AT251" s="19">
        <v>0</v>
      </c>
      <c r="AU251" s="19">
        <v>0</v>
      </c>
      <c r="AV251" s="19">
        <v>0</v>
      </c>
      <c r="AW251"/>
      <c r="AX251" s="21"/>
      <c r="AY251" s="21"/>
      <c r="BA251" s="19">
        <f>+P251+Q251+T251+U251+V251+W251+X251+Y251</f>
        <v>0</v>
      </c>
      <c r="BB251" s="19">
        <v>0</v>
      </c>
      <c r="BC251" s="227">
        <f>SUM(P251:AW251)</f>
        <v>0</v>
      </c>
      <c r="BE251" s="227">
        <f>SUM(BB251:BC251)</f>
        <v>0</v>
      </c>
      <c r="BG251" s="249">
        <f>SUM(N251:AW251)</f>
        <v>0</v>
      </c>
      <c r="BH251" s="19">
        <f>BE251-BG251</f>
        <v>0</v>
      </c>
    </row>
    <row r="252" spans="1:60" s="19" customFormat="1" ht="12.95" customHeight="1" x14ac:dyDescent="0.2">
      <c r="A252" s="84"/>
      <c r="B252" s="208" t="s">
        <v>313</v>
      </c>
      <c r="D252" s="205"/>
      <c r="E252" s="209">
        <f t="shared" ref="E252:K252" si="147">SUM(E250:E251)</f>
        <v>0</v>
      </c>
      <c r="F252" s="209">
        <f t="shared" si="147"/>
        <v>0</v>
      </c>
      <c r="G252" s="209">
        <f t="shared" si="147"/>
        <v>0</v>
      </c>
      <c r="H252" s="209">
        <f t="shared" si="147"/>
        <v>0</v>
      </c>
      <c r="I252" s="209">
        <f t="shared" si="147"/>
        <v>727</v>
      </c>
      <c r="J252" s="209">
        <f t="shared" si="147"/>
        <v>0</v>
      </c>
      <c r="K252" s="209">
        <f t="shared" si="147"/>
        <v>727</v>
      </c>
      <c r="N252" s="209">
        <f t="shared" ref="N252:AM252" si="148">SUM(N250:N251)</f>
        <v>727</v>
      </c>
      <c r="O252" s="209">
        <f t="shared" si="148"/>
        <v>0</v>
      </c>
      <c r="P252" s="209">
        <f t="shared" si="148"/>
        <v>0</v>
      </c>
      <c r="Q252" s="209">
        <f t="shared" si="148"/>
        <v>0</v>
      </c>
      <c r="R252" s="209">
        <f t="shared" si="148"/>
        <v>0</v>
      </c>
      <c r="S252" s="209">
        <f t="shared" si="148"/>
        <v>0</v>
      </c>
      <c r="T252" s="209">
        <f t="shared" si="148"/>
        <v>0</v>
      </c>
      <c r="U252" s="209">
        <f t="shared" si="148"/>
        <v>0</v>
      </c>
      <c r="V252" s="209">
        <f t="shared" si="148"/>
        <v>0</v>
      </c>
      <c r="W252" s="209">
        <f t="shared" si="148"/>
        <v>0</v>
      </c>
      <c r="X252" s="209">
        <f t="shared" si="148"/>
        <v>0</v>
      </c>
      <c r="Y252" s="209">
        <f t="shared" si="148"/>
        <v>0</v>
      </c>
      <c r="Z252" s="209">
        <f t="shared" si="148"/>
        <v>0</v>
      </c>
      <c r="AA252" s="209">
        <f t="shared" si="148"/>
        <v>0</v>
      </c>
      <c r="AB252" s="209">
        <f t="shared" si="148"/>
        <v>0</v>
      </c>
      <c r="AC252" s="209">
        <f t="shared" si="148"/>
        <v>0</v>
      </c>
      <c r="AD252" s="209">
        <f t="shared" si="148"/>
        <v>0</v>
      </c>
      <c r="AE252" s="209">
        <f t="shared" si="148"/>
        <v>0</v>
      </c>
      <c r="AF252" s="209">
        <f t="shared" si="148"/>
        <v>0</v>
      </c>
      <c r="AG252" s="209">
        <f t="shared" si="148"/>
        <v>0</v>
      </c>
      <c r="AH252" s="209">
        <f t="shared" si="148"/>
        <v>0</v>
      </c>
      <c r="AI252" s="209">
        <f t="shared" si="148"/>
        <v>0</v>
      </c>
      <c r="AJ252" s="209">
        <f t="shared" si="148"/>
        <v>0</v>
      </c>
      <c r="AK252" s="209">
        <f t="shared" si="148"/>
        <v>0</v>
      </c>
      <c r="AL252" s="209">
        <f t="shared" si="148"/>
        <v>0</v>
      </c>
      <c r="AM252" s="209">
        <f t="shared" si="148"/>
        <v>0</v>
      </c>
      <c r="AN252" s="209">
        <f t="shared" ref="AN252:AV252" si="149">SUM(AN250:AN251)</f>
        <v>0</v>
      </c>
      <c r="AO252" s="209">
        <f t="shared" si="149"/>
        <v>0</v>
      </c>
      <c r="AP252" s="209">
        <f t="shared" si="149"/>
        <v>0</v>
      </c>
      <c r="AQ252" s="209">
        <f t="shared" si="149"/>
        <v>0</v>
      </c>
      <c r="AR252" s="209">
        <f t="shared" si="149"/>
        <v>0</v>
      </c>
      <c r="AS252" s="209">
        <f t="shared" si="149"/>
        <v>0</v>
      </c>
      <c r="AT252" s="209">
        <f t="shared" si="149"/>
        <v>0</v>
      </c>
      <c r="AU252" s="209">
        <f t="shared" si="149"/>
        <v>0</v>
      </c>
      <c r="AV252" s="209">
        <f t="shared" si="149"/>
        <v>0</v>
      </c>
      <c r="AW252" s="173"/>
      <c r="AX252" s="209">
        <f>SUM(AX250:AX251)</f>
        <v>727</v>
      </c>
      <c r="AY252" s="209">
        <f>SUM(AY250:AY251)</f>
        <v>0</v>
      </c>
      <c r="BA252" s="209">
        <f>SUM(BA250:BA251)</f>
        <v>0</v>
      </c>
      <c r="BB252" s="209">
        <f>SUM(BB250:BB251)</f>
        <v>727</v>
      </c>
      <c r="BC252" s="227">
        <f>SUM(BC250:BC251)</f>
        <v>0</v>
      </c>
      <c r="BE252" s="227">
        <f>SUM(BE250:BE251)</f>
        <v>727</v>
      </c>
      <c r="BG252" s="250">
        <f>SUM(BG250:BG251)</f>
        <v>727</v>
      </c>
      <c r="BH252" s="19">
        <f>SUM(BH250:BH251)</f>
        <v>0</v>
      </c>
    </row>
    <row r="253" spans="1:60" s="19" customFormat="1" ht="8.1" customHeight="1" x14ac:dyDescent="0.2">
      <c r="A253" s="84"/>
      <c r="B253" s="29"/>
      <c r="D253" s="205"/>
      <c r="F253" s="21"/>
      <c r="G253" s="21"/>
      <c r="K253" s="257"/>
      <c r="N253" s="21"/>
      <c r="O253" s="21"/>
      <c r="P253" s="21"/>
      <c r="Q253" s="21"/>
      <c r="R253" s="21"/>
      <c r="S253" s="21"/>
      <c r="T253" s="21"/>
      <c r="U253" s="21"/>
      <c r="V253" s="21"/>
      <c r="W253" s="21"/>
      <c r="X253" s="21"/>
      <c r="Y253" s="21"/>
      <c r="Z253" s="21"/>
      <c r="AA253" s="21"/>
      <c r="AB253" s="21"/>
      <c r="AC253" s="21"/>
      <c r="AD253" s="21"/>
      <c r="AE253" s="21"/>
      <c r="AF253" s="21"/>
      <c r="AG253" s="21"/>
      <c r="AH253" s="21"/>
      <c r="AI253" s="21"/>
      <c r="AJ253" s="21"/>
      <c r="AK253" s="21"/>
      <c r="AL253" s="21"/>
      <c r="AM253" s="21"/>
      <c r="AN253" s="21"/>
      <c r="AO253" s="21"/>
      <c r="AP253" s="21"/>
      <c r="AQ253" s="21"/>
      <c r="AR253" s="21"/>
      <c r="AS253" s="21"/>
      <c r="AT253" s="21"/>
      <c r="AU253" s="21"/>
      <c r="AV253" s="21"/>
      <c r="AW253" s="173"/>
      <c r="AX253" s="21"/>
      <c r="AY253" s="21"/>
      <c r="BA253" s="21"/>
      <c r="BB253" s="21"/>
      <c r="BC253" s="21"/>
      <c r="BE253" s="21"/>
      <c r="BF253" s="21"/>
      <c r="BG253" s="234"/>
    </row>
    <row r="254" spans="1:60" s="80" customFormat="1" ht="12.95" customHeight="1" thickBot="1" x14ac:dyDescent="0.25">
      <c r="A254" s="211"/>
      <c r="B254" s="210"/>
      <c r="D254" s="212"/>
      <c r="E254" s="259">
        <f t="shared" ref="E254:K254" si="150">E22+E34+E72+E83+E86+E89+E118+E134+E183+E209+E222+E232+E246+E252+E193+E146</f>
        <v>310207</v>
      </c>
      <c r="F254" s="259">
        <f t="shared" si="150"/>
        <v>30305</v>
      </c>
      <c r="G254" s="259">
        <f t="shared" si="150"/>
        <v>1539</v>
      </c>
      <c r="H254" s="259">
        <f t="shared" si="150"/>
        <v>94055</v>
      </c>
      <c r="I254" s="259">
        <f t="shared" si="150"/>
        <v>17103</v>
      </c>
      <c r="J254" s="259">
        <f t="shared" si="150"/>
        <v>389643</v>
      </c>
      <c r="K254" s="259">
        <f t="shared" si="150"/>
        <v>842852</v>
      </c>
      <c r="N254" s="259">
        <f t="shared" ref="N254:BE254" si="151">N22+N34+N72+N83+N86+N89+N118+N134+N183+N209+N222+N232+N246+N252+N193+N146</f>
        <v>272718</v>
      </c>
      <c r="O254" s="259">
        <f t="shared" si="151"/>
        <v>63859</v>
      </c>
      <c r="P254" s="259">
        <f t="shared" si="151"/>
        <v>4677</v>
      </c>
      <c r="Q254" s="259">
        <f t="shared" si="151"/>
        <v>13988</v>
      </c>
      <c r="R254" s="259">
        <f t="shared" si="151"/>
        <v>17873</v>
      </c>
      <c r="S254" s="259">
        <f t="shared" si="151"/>
        <v>4114</v>
      </c>
      <c r="T254" s="259">
        <f t="shared" si="151"/>
        <v>922</v>
      </c>
      <c r="U254" s="259">
        <f t="shared" si="151"/>
        <v>3161</v>
      </c>
      <c r="V254" s="259">
        <f t="shared" si="151"/>
        <v>4677</v>
      </c>
      <c r="W254" s="259">
        <f t="shared" si="151"/>
        <v>30313</v>
      </c>
      <c r="X254" s="259">
        <f t="shared" si="151"/>
        <v>15423</v>
      </c>
      <c r="Y254" s="259">
        <f t="shared" si="151"/>
        <v>922</v>
      </c>
      <c r="Z254" s="259">
        <f t="shared" si="151"/>
        <v>97878</v>
      </c>
      <c r="AA254" s="259">
        <f t="shared" si="151"/>
        <v>499</v>
      </c>
      <c r="AB254" s="259">
        <f t="shared" si="151"/>
        <v>5898</v>
      </c>
      <c r="AC254" s="259">
        <f t="shared" si="151"/>
        <v>2500</v>
      </c>
      <c r="AD254" s="259">
        <f t="shared" si="151"/>
        <v>29176</v>
      </c>
      <c r="AE254" s="259">
        <f t="shared" si="151"/>
        <v>4561</v>
      </c>
      <c r="AF254" s="259">
        <f t="shared" si="151"/>
        <v>67380</v>
      </c>
      <c r="AG254" s="259">
        <f t="shared" si="151"/>
        <v>73388</v>
      </c>
      <c r="AH254" s="259">
        <f t="shared" si="151"/>
        <v>2785</v>
      </c>
      <c r="AI254" s="259">
        <f t="shared" si="151"/>
        <v>2541</v>
      </c>
      <c r="AJ254" s="259">
        <f t="shared" si="151"/>
        <v>12775</v>
      </c>
      <c r="AK254" s="259">
        <f t="shared" si="151"/>
        <v>36233</v>
      </c>
      <c r="AL254" s="259">
        <f t="shared" si="151"/>
        <v>14394</v>
      </c>
      <c r="AM254" s="259">
        <f t="shared" si="151"/>
        <v>4738</v>
      </c>
      <c r="AN254" s="259">
        <f t="shared" si="151"/>
        <v>10605</v>
      </c>
      <c r="AO254" s="259">
        <f t="shared" si="151"/>
        <v>18199</v>
      </c>
      <c r="AP254" s="259">
        <f t="shared" si="151"/>
        <v>0</v>
      </c>
      <c r="AQ254" s="259">
        <f t="shared" si="151"/>
        <v>17934</v>
      </c>
      <c r="AR254" s="259">
        <f t="shared" si="151"/>
        <v>6542</v>
      </c>
      <c r="AS254" s="259">
        <f t="shared" si="151"/>
        <v>2130</v>
      </c>
      <c r="AT254" s="259">
        <f t="shared" si="151"/>
        <v>24</v>
      </c>
      <c r="AU254" s="259">
        <f t="shared" si="151"/>
        <v>25</v>
      </c>
      <c r="AV254" s="259">
        <f t="shared" si="151"/>
        <v>0</v>
      </c>
      <c r="AX254" s="259">
        <f t="shared" si="151"/>
        <v>842852</v>
      </c>
      <c r="AY254" s="259">
        <f t="shared" si="151"/>
        <v>0</v>
      </c>
      <c r="BA254" s="259">
        <f t="shared" si="151"/>
        <v>74083</v>
      </c>
      <c r="BB254" s="259">
        <f t="shared" si="151"/>
        <v>336577</v>
      </c>
      <c r="BC254" s="259">
        <f t="shared" si="151"/>
        <v>506275</v>
      </c>
      <c r="BE254" s="259">
        <f t="shared" si="151"/>
        <v>842852</v>
      </c>
      <c r="BG254" s="260" t="e">
        <f>+BG252+#REF!+BG246+BG236+BG232+BG183+BG134+BG118+BG89+BG86+BG83+BG72+BG34+BG22+BG222+BG209</f>
        <v>#REF!</v>
      </c>
      <c r="BH254" s="260" t="e">
        <f>+BH252+#REF!+BH246+BH236+BH232+BH183+BH134+BH118+BH89+BH86+BH83+BH72+BH34+BH22+BH222+BH209</f>
        <v>#REF!</v>
      </c>
    </row>
    <row r="255" spans="1:60" s="19" customFormat="1" ht="12.95" customHeight="1" thickTop="1" x14ac:dyDescent="0.2">
      <c r="A255" s="84"/>
      <c r="B255" s="29"/>
      <c r="D255" s="205"/>
      <c r="E255" s="19">
        <f>E254-'CCs # Master'!E193</f>
        <v>0</v>
      </c>
      <c r="F255" s="19">
        <f>F254-'CCs # Master'!F193</f>
        <v>0</v>
      </c>
      <c r="G255" s="19">
        <f>G254-'CCs # Master'!G193</f>
        <v>0</v>
      </c>
      <c r="H255" s="19">
        <f>H254-'CCs # Master'!H193</f>
        <v>0</v>
      </c>
      <c r="I255" s="19">
        <f>I254-'CCs # Master'!I193</f>
        <v>0</v>
      </c>
      <c r="J255" s="19">
        <f>J254-'CCs # Master'!J193</f>
        <v>0</v>
      </c>
      <c r="K255" s="21"/>
      <c r="N255" s="21">
        <f>N254-'CCs # Master'!AW193</f>
        <v>0</v>
      </c>
      <c r="O255" s="21">
        <f>O254-'CCs # Master'!AX193</f>
        <v>0</v>
      </c>
      <c r="P255" s="21">
        <f>P254-'CCs # Master'!N193</f>
        <v>0</v>
      </c>
      <c r="Q255" s="21">
        <f>Q254-'CCs # Master'!O193</f>
        <v>0</v>
      </c>
      <c r="R255" s="21">
        <f>R254-'CCs # Master'!P193</f>
        <v>0</v>
      </c>
      <c r="S255" s="21">
        <f>S254-'CCs # Master'!Q193</f>
        <v>0</v>
      </c>
      <c r="T255" s="21">
        <f>T254-'CCs # Master'!R193</f>
        <v>0</v>
      </c>
      <c r="U255" s="21">
        <f>U254-'CCs # Master'!S193</f>
        <v>0</v>
      </c>
      <c r="V255" s="21">
        <f>V254-'CCs # Master'!T193</f>
        <v>0</v>
      </c>
      <c r="W255" s="21">
        <f>W254-'CCs # Master'!U193</f>
        <v>0</v>
      </c>
      <c r="X255" s="21">
        <f>X254-'CCs # Master'!V193</f>
        <v>0</v>
      </c>
      <c r="Y255" s="21">
        <f>Y254-'CCs # Master'!W193</f>
        <v>0</v>
      </c>
      <c r="Z255" s="21">
        <f>Z254-'CCs # Master'!X193</f>
        <v>0</v>
      </c>
      <c r="AA255" s="21">
        <f>AA254-'CCs # Master'!Y193</f>
        <v>0</v>
      </c>
      <c r="AB255" s="21">
        <f>AB254-'CCs # Master'!Z193</f>
        <v>0</v>
      </c>
      <c r="AC255" s="21">
        <f>AC254-'CCs # Master'!AA193</f>
        <v>0</v>
      </c>
      <c r="AD255" s="21">
        <f>AD254-'CCs # Master'!AB193</f>
        <v>0</v>
      </c>
      <c r="AE255" s="21">
        <f>AE254-'CCs # Master'!AC193</f>
        <v>0</v>
      </c>
      <c r="AF255" s="21">
        <f>AF254-'CCs # Master'!AD193</f>
        <v>0</v>
      </c>
      <c r="AG255" s="21">
        <f>AG254-'CCs # Master'!AE193</f>
        <v>0</v>
      </c>
      <c r="AH255" s="21">
        <f>AH254-'CCs # Master'!AF193</f>
        <v>0</v>
      </c>
      <c r="AI255" s="21">
        <f>AI254-'CCs # Master'!AG193</f>
        <v>0</v>
      </c>
      <c r="AJ255" s="21">
        <f>AJ254-'CCs # Master'!AH193</f>
        <v>0</v>
      </c>
      <c r="AK255" s="21">
        <f>AK254-'CCs # Master'!AI193</f>
        <v>0</v>
      </c>
      <c r="AL255" s="21">
        <f>AL254-'CCs # Master'!AJ193</f>
        <v>0</v>
      </c>
      <c r="AM255" s="21">
        <f>AM254-'CCs # Master'!AK193</f>
        <v>0</v>
      </c>
      <c r="AN255" s="21">
        <f>AN254-'CCs # Master'!AL193</f>
        <v>0</v>
      </c>
      <c r="AO255" s="21">
        <f>AO254-'CCs # Master'!AM193</f>
        <v>0</v>
      </c>
      <c r="AP255" s="21">
        <f>AP254-'CCs # Master'!AN193</f>
        <v>0</v>
      </c>
      <c r="AQ255" s="21">
        <f>AQ254-'CCs # Master'!AO193</f>
        <v>0</v>
      </c>
      <c r="AR255" s="21">
        <f>AR254-'CCs # Master'!AP193</f>
        <v>0</v>
      </c>
      <c r="AS255" s="21">
        <f>AS254-'CCs # Master'!AQ193</f>
        <v>0</v>
      </c>
      <c r="AT255" s="21">
        <f>AT254-'CCs # Master'!AR193</f>
        <v>0</v>
      </c>
      <c r="AU255" s="21">
        <f>AU254-'CCs # Master'!AS193</f>
        <v>0</v>
      </c>
      <c r="AV255" s="21">
        <f>AV254-'CCs # Master'!AT193</f>
        <v>0</v>
      </c>
      <c r="AW255" s="173"/>
      <c r="AX255" s="21"/>
      <c r="AY255" s="21"/>
      <c r="BA255" s="21"/>
      <c r="BB255" s="21"/>
      <c r="BC255" s="21"/>
      <c r="BE255" s="21"/>
      <c r="BF255" s="21"/>
      <c r="BG255" s="234"/>
    </row>
    <row r="256" spans="1:60" s="19" customFormat="1" ht="12.95" hidden="1" customHeight="1" x14ac:dyDescent="0.2">
      <c r="A256" s="84"/>
      <c r="B256" s="29"/>
      <c r="D256" s="205"/>
      <c r="F256" s="21"/>
      <c r="G256" s="21"/>
      <c r="K256" s="21">
        <f>K254-'CCs # Master'!AY193</f>
        <v>0</v>
      </c>
      <c r="N256" s="21"/>
      <c r="O256" s="21"/>
      <c r="P256" s="21"/>
      <c r="Q256" s="21"/>
      <c r="R256" s="21"/>
      <c r="S256" s="21"/>
      <c r="T256" s="21"/>
      <c r="U256" s="21"/>
      <c r="V256" s="21"/>
      <c r="W256" s="21"/>
      <c r="X256" s="21"/>
      <c r="Y256" s="21"/>
      <c r="Z256" s="21"/>
      <c r="AA256" s="21"/>
      <c r="AB256" s="21"/>
      <c r="AC256" s="21"/>
      <c r="AD256" s="21"/>
      <c r="AE256" s="21"/>
      <c r="AF256" s="21"/>
      <c r="AG256" s="21"/>
      <c r="AH256" s="21"/>
      <c r="AI256" s="21"/>
      <c r="AJ256" s="21"/>
      <c r="AK256" s="21"/>
      <c r="AL256" s="21"/>
      <c r="AM256" s="21"/>
      <c r="AN256" s="21"/>
      <c r="AO256" s="21"/>
      <c r="AP256" s="21"/>
      <c r="AQ256" s="21"/>
      <c r="AR256" s="21"/>
      <c r="AS256" s="21"/>
      <c r="AT256" s="21"/>
      <c r="AU256" s="21"/>
      <c r="AV256" s="21"/>
      <c r="AW256" s="21"/>
      <c r="AX256" s="21"/>
      <c r="AY256" s="21"/>
      <c r="BA256" s="21"/>
      <c r="BB256" s="21"/>
      <c r="BC256" s="21">
        <v>109710</v>
      </c>
      <c r="BE256" s="21">
        <v>119010</v>
      </c>
      <c r="BF256" s="21"/>
      <c r="BG256" s="234"/>
    </row>
    <row r="257" spans="1:59" s="19" customFormat="1" ht="12.95" hidden="1" customHeight="1" x14ac:dyDescent="0.2">
      <c r="A257" s="84"/>
      <c r="B257" s="208"/>
      <c r="D257" s="205"/>
      <c r="BC257" s="19">
        <f>BC254-BC256</f>
        <v>396565</v>
      </c>
      <c r="BE257" s="19">
        <f>BE254-BE256</f>
        <v>723842</v>
      </c>
      <c r="BG257" s="234"/>
    </row>
    <row r="258" spans="1:59" s="19" customFormat="1" ht="12.95" hidden="1" customHeight="1" x14ac:dyDescent="0.2">
      <c r="BC258" s="19">
        <v>13737</v>
      </c>
      <c r="BE258" s="19">
        <v>-727</v>
      </c>
      <c r="BG258" s="234"/>
    </row>
    <row r="259" spans="1:59" s="19" customFormat="1" ht="12.95" hidden="1" customHeight="1" x14ac:dyDescent="0.2">
      <c r="N259" s="19">
        <v>295328</v>
      </c>
      <c r="O259" s="19">
        <v>65400</v>
      </c>
      <c r="P259" s="19">
        <v>4622</v>
      </c>
      <c r="Q259" s="19">
        <v>13831</v>
      </c>
      <c r="R259" s="19">
        <v>19094</v>
      </c>
      <c r="S259" s="19">
        <v>4797</v>
      </c>
      <c r="T259" s="19">
        <v>961</v>
      </c>
      <c r="U259" s="19">
        <v>5017</v>
      </c>
      <c r="V259" s="19">
        <v>4697</v>
      </c>
      <c r="W259" s="19">
        <v>29025</v>
      </c>
      <c r="X259" s="19">
        <v>16762</v>
      </c>
      <c r="Y259" s="19">
        <v>2162</v>
      </c>
      <c r="Z259" s="19">
        <v>102105</v>
      </c>
      <c r="AA259" s="19">
        <v>370</v>
      </c>
      <c r="AB259" s="19">
        <v>6076</v>
      </c>
      <c r="AC259" s="19">
        <v>2107</v>
      </c>
      <c r="AD259" s="19">
        <v>34607</v>
      </c>
      <c r="AE259" s="19">
        <v>4546</v>
      </c>
      <c r="AF259" s="19">
        <v>69739</v>
      </c>
      <c r="AG259" s="19">
        <v>76383</v>
      </c>
      <c r="AH259" s="19">
        <v>3681</v>
      </c>
      <c r="AI259" s="19">
        <v>5137</v>
      </c>
      <c r="AJ259" s="19">
        <v>15025</v>
      </c>
      <c r="AK259" s="19">
        <v>38764</v>
      </c>
      <c r="AL259" s="19">
        <v>18162</v>
      </c>
      <c r="AM259" s="19">
        <v>5213</v>
      </c>
      <c r="AN259" s="19">
        <v>11565</v>
      </c>
      <c r="AO259" s="19">
        <v>18864</v>
      </c>
      <c r="AP259" s="19">
        <v>0</v>
      </c>
      <c r="AQ259" s="19">
        <v>19316</v>
      </c>
      <c r="AR259" s="19">
        <v>6013</v>
      </c>
      <c r="AS259" s="19">
        <v>30</v>
      </c>
      <c r="AT259" s="19">
        <v>24</v>
      </c>
      <c r="AU259" s="19">
        <v>25</v>
      </c>
      <c r="AV259" s="19">
        <v>0</v>
      </c>
      <c r="AW259" s="19">
        <v>0</v>
      </c>
      <c r="AX259" s="19">
        <v>899448</v>
      </c>
      <c r="AY259" s="19">
        <v>0</v>
      </c>
      <c r="BA259" s="19">
        <v>80991</v>
      </c>
      <c r="BB259" s="19">
        <v>360728</v>
      </c>
      <c r="BC259" s="19">
        <v>538720</v>
      </c>
      <c r="BE259" s="19">
        <v>899448</v>
      </c>
      <c r="BG259" s="234"/>
    </row>
    <row r="260" spans="1:59" s="19" customFormat="1" ht="12.95" hidden="1" customHeight="1" x14ac:dyDescent="0.2">
      <c r="BE260" s="19">
        <f>BE259-BC259</f>
        <v>360728</v>
      </c>
      <c r="BG260" s="234"/>
    </row>
    <row r="261" spans="1:59" s="19" customFormat="1" ht="12.95" hidden="1" customHeight="1" x14ac:dyDescent="0.2">
      <c r="N261" s="19">
        <f>N254-N259</f>
        <v>-22610</v>
      </c>
      <c r="O261" s="19">
        <f t="shared" ref="O261:AY261" si="152">O254-O259</f>
        <v>-1541</v>
      </c>
      <c r="P261" s="19">
        <f t="shared" si="152"/>
        <v>55</v>
      </c>
      <c r="Q261" s="19">
        <f t="shared" si="152"/>
        <v>157</v>
      </c>
      <c r="R261" s="19">
        <f t="shared" si="152"/>
        <v>-1221</v>
      </c>
      <c r="S261" s="19">
        <f t="shared" si="152"/>
        <v>-683</v>
      </c>
      <c r="T261" s="19">
        <f t="shared" si="152"/>
        <v>-39</v>
      </c>
      <c r="U261" s="19">
        <f t="shared" si="152"/>
        <v>-1856</v>
      </c>
      <c r="V261" s="19">
        <f t="shared" si="152"/>
        <v>-20</v>
      </c>
      <c r="W261" s="19">
        <f t="shared" si="152"/>
        <v>1288</v>
      </c>
      <c r="X261" s="19">
        <f t="shared" si="152"/>
        <v>-1339</v>
      </c>
      <c r="Y261" s="19">
        <f t="shared" si="152"/>
        <v>-1240</v>
      </c>
      <c r="Z261" s="19">
        <f t="shared" si="152"/>
        <v>-4227</v>
      </c>
      <c r="AA261" s="19">
        <f t="shared" si="152"/>
        <v>129</v>
      </c>
      <c r="AB261" s="19">
        <f t="shared" si="152"/>
        <v>-178</v>
      </c>
      <c r="AC261" s="19">
        <f t="shared" si="152"/>
        <v>393</v>
      </c>
      <c r="AD261" s="19">
        <f t="shared" si="152"/>
        <v>-5431</v>
      </c>
      <c r="AE261" s="19">
        <f t="shared" si="152"/>
        <v>15</v>
      </c>
      <c r="AF261" s="19">
        <f t="shared" si="152"/>
        <v>-2359</v>
      </c>
      <c r="AG261" s="19">
        <f t="shared" si="152"/>
        <v>-2995</v>
      </c>
      <c r="AH261" s="19">
        <f t="shared" si="152"/>
        <v>-896</v>
      </c>
      <c r="AI261" s="19">
        <f t="shared" si="152"/>
        <v>-2596</v>
      </c>
      <c r="AJ261" s="19">
        <f t="shared" si="152"/>
        <v>-2250</v>
      </c>
      <c r="AK261" s="19">
        <f t="shared" si="152"/>
        <v>-2531</v>
      </c>
      <c r="AL261" s="19">
        <f t="shared" si="152"/>
        <v>-3768</v>
      </c>
      <c r="AM261" s="19">
        <f t="shared" si="152"/>
        <v>-475</v>
      </c>
      <c r="AN261" s="19">
        <f t="shared" si="152"/>
        <v>-960</v>
      </c>
      <c r="AO261" s="19">
        <f t="shared" si="152"/>
        <v>-665</v>
      </c>
      <c r="AP261" s="19">
        <f t="shared" si="152"/>
        <v>0</v>
      </c>
      <c r="AQ261" s="19">
        <f t="shared" si="152"/>
        <v>-1382</v>
      </c>
      <c r="AR261" s="19">
        <f t="shared" si="152"/>
        <v>529</v>
      </c>
      <c r="AS261" s="19">
        <f t="shared" si="152"/>
        <v>2100</v>
      </c>
      <c r="AT261" s="19">
        <f t="shared" si="152"/>
        <v>0</v>
      </c>
      <c r="AU261" s="19">
        <f t="shared" si="152"/>
        <v>0</v>
      </c>
      <c r="AV261" s="19">
        <f t="shared" si="152"/>
        <v>0</v>
      </c>
      <c r="AW261" s="19">
        <f t="shared" si="152"/>
        <v>0</v>
      </c>
      <c r="AX261" s="19">
        <f t="shared" si="152"/>
        <v>-56596</v>
      </c>
      <c r="AY261" s="19">
        <f t="shared" si="152"/>
        <v>0</v>
      </c>
      <c r="BG261" s="234"/>
    </row>
    <row r="262" spans="1:59" s="19" customFormat="1" ht="12.95" hidden="1" customHeight="1" x14ac:dyDescent="0.2">
      <c r="BG262" s="234"/>
    </row>
    <row r="263" spans="1:59" s="19" customFormat="1" ht="12.95" hidden="1" customHeight="1" x14ac:dyDescent="0.2">
      <c r="BG263" s="234"/>
    </row>
    <row r="264" spans="1:59" s="19" customFormat="1" ht="12.95" hidden="1" customHeight="1" x14ac:dyDescent="0.2">
      <c r="BG264" s="234"/>
    </row>
    <row r="265" spans="1:59" s="19" customFormat="1" ht="12.95" hidden="1" customHeight="1" x14ac:dyDescent="0.2">
      <c r="BG265" s="234"/>
    </row>
    <row r="266" spans="1:59" s="19" customFormat="1" ht="12.95" hidden="1" customHeight="1" x14ac:dyDescent="0.2">
      <c r="BG266" s="234"/>
    </row>
    <row r="267" spans="1:59" s="19" customFormat="1" ht="12.95" hidden="1" customHeight="1" x14ac:dyDescent="0.2">
      <c r="BG267" s="234"/>
    </row>
    <row r="268" spans="1:59" s="19" customFormat="1" ht="12.95" hidden="1" customHeight="1" x14ac:dyDescent="0.2">
      <c r="BG268" s="234"/>
    </row>
    <row r="269" spans="1:59" s="19" customFormat="1" ht="12.95" hidden="1" customHeight="1" x14ac:dyDescent="0.2">
      <c r="BG269" s="234"/>
    </row>
    <row r="270" spans="1:59" s="19" customFormat="1" ht="12.95" hidden="1" customHeight="1" x14ac:dyDescent="0.2">
      <c r="BG270" s="234"/>
    </row>
    <row r="271" spans="1:59" s="19" customFormat="1" ht="12.95" hidden="1" customHeight="1" x14ac:dyDescent="0.2">
      <c r="BG271" s="234"/>
    </row>
    <row r="272" spans="1:59" s="19" customFormat="1" ht="12.95" hidden="1" customHeight="1" x14ac:dyDescent="0.2">
      <c r="BG272" s="234"/>
    </row>
    <row r="273" spans="1:59" s="19" customFormat="1" ht="12.75" hidden="1" customHeight="1" x14ac:dyDescent="0.2">
      <c r="BG273" s="234"/>
    </row>
    <row r="274" spans="1:59" s="24" customFormat="1" ht="12.95" hidden="1" customHeight="1" x14ac:dyDescent="0.2">
      <c r="A274" s="199"/>
      <c r="B274" s="25"/>
      <c r="C274" s="25"/>
      <c r="D274" s="206"/>
      <c r="E274" s="87"/>
      <c r="F274" s="27"/>
      <c r="G274" s="27"/>
      <c r="H274" s="27"/>
      <c r="I274" s="27"/>
      <c r="J274" s="25"/>
      <c r="K274" s="25"/>
      <c r="L274" s="25"/>
      <c r="M274" s="19"/>
      <c r="N274" s="67"/>
      <c r="O274" s="67"/>
      <c r="P274" s="67"/>
      <c r="Q274" s="67"/>
      <c r="R274" s="67"/>
      <c r="S274" s="67"/>
      <c r="T274" s="67"/>
      <c r="U274" s="67"/>
      <c r="V274" s="67"/>
      <c r="W274" s="67"/>
      <c r="X274" s="67"/>
      <c r="Y274" s="67"/>
      <c r="Z274" s="67"/>
      <c r="AA274" s="67"/>
      <c r="AB274" s="67"/>
      <c r="AC274" s="67"/>
      <c r="AD274" s="67"/>
      <c r="AE274" s="67"/>
      <c r="AF274" s="67"/>
      <c r="AG274" s="67"/>
      <c r="AH274" s="67"/>
      <c r="AI274" s="67"/>
      <c r="AJ274" s="67"/>
      <c r="AK274" s="67"/>
      <c r="AL274" s="67"/>
      <c r="AM274" s="67"/>
      <c r="AN274" s="67"/>
      <c r="AO274" s="67"/>
      <c r="AP274" s="67"/>
      <c r="AQ274" s="67"/>
      <c r="AR274" s="67"/>
      <c r="AS274" s="67"/>
      <c r="AT274" s="67"/>
      <c r="AU274" s="67"/>
      <c r="AV274" s="67"/>
      <c r="AW274" s="67"/>
      <c r="AX274" s="67"/>
      <c r="AY274" s="67"/>
      <c r="BA274" s="67"/>
      <c r="BB274" s="67"/>
      <c r="BC274" s="67"/>
      <c r="BE274" s="67"/>
      <c r="BF274" s="67"/>
      <c r="BG274" s="235"/>
    </row>
    <row r="275" spans="1:59" ht="12.95" hidden="1" customHeight="1" x14ac:dyDescent="0.2">
      <c r="A275" s="159"/>
      <c r="B275" s="3"/>
      <c r="E275" s="2"/>
      <c r="F275" s="2"/>
      <c r="G275" s="2"/>
      <c r="H275" s="2"/>
      <c r="I275" s="2"/>
      <c r="J275" s="2"/>
      <c r="BA275" s="8"/>
      <c r="BB275" s="8"/>
      <c r="BC275" s="8"/>
      <c r="BE275" s="8"/>
      <c r="BF275" s="8"/>
    </row>
    <row r="276" spans="1:59" ht="12.95" hidden="1" customHeight="1" x14ac:dyDescent="0.2">
      <c r="A276" s="200"/>
      <c r="BA276" s="8"/>
      <c r="BB276" s="8"/>
      <c r="BC276" s="8"/>
      <c r="BE276" s="8"/>
      <c r="BF276" s="8"/>
    </row>
    <row r="277" spans="1:59" ht="12.95" hidden="1" customHeight="1" x14ac:dyDescent="0.2">
      <c r="BA277" s="8"/>
      <c r="BB277" s="8"/>
      <c r="BC277" s="8"/>
      <c r="BE277" s="8"/>
      <c r="BF277" s="8"/>
    </row>
    <row r="278" spans="1:59" ht="12.95" hidden="1" customHeight="1" x14ac:dyDescent="0.2">
      <c r="BA278" s="8"/>
      <c r="BB278" s="8"/>
      <c r="BC278" s="8"/>
      <c r="BE278" s="8"/>
      <c r="BF278" s="8"/>
    </row>
    <row r="279" spans="1:59" ht="12.95" hidden="1" customHeight="1" x14ac:dyDescent="0.2">
      <c r="BA279" s="8"/>
      <c r="BB279" s="8"/>
      <c r="BC279" s="8"/>
      <c r="BE279" s="8"/>
      <c r="BF279" s="8"/>
    </row>
    <row r="280" spans="1:59" ht="12.95" hidden="1" customHeight="1" x14ac:dyDescent="0.2">
      <c r="BA280" s="8"/>
      <c r="BB280" s="8"/>
      <c r="BC280" s="8"/>
      <c r="BE280" s="8"/>
      <c r="BF280" s="8"/>
    </row>
    <row r="281" spans="1:59" ht="12.95" hidden="1" customHeight="1" x14ac:dyDescent="0.2">
      <c r="BA281" s="8"/>
      <c r="BB281" s="8"/>
      <c r="BC281" s="8"/>
      <c r="BE281" s="8"/>
      <c r="BF281" s="8"/>
    </row>
    <row r="282" spans="1:59" ht="12.95" hidden="1" customHeight="1" x14ac:dyDescent="0.2"/>
    <row r="283" spans="1:59" ht="12.95" hidden="1" customHeight="1" x14ac:dyDescent="0.2"/>
    <row r="284" spans="1:59" ht="12.95" hidden="1" customHeight="1" x14ac:dyDescent="0.2"/>
    <row r="285" spans="1:59" ht="12.95" hidden="1" customHeight="1" x14ac:dyDescent="0.2"/>
    <row r="286" spans="1:59" ht="12.95" hidden="1" customHeight="1" x14ac:dyDescent="0.2"/>
    <row r="287" spans="1:59" ht="12.95" hidden="1" customHeight="1" x14ac:dyDescent="0.2"/>
  </sheetData>
  <pageMargins left="0" right="0" top="0.25" bottom="0" header="0" footer="0"/>
  <pageSetup paperSize="5" scale="66" fitToWidth="2" fitToHeight="4" orientation="landscape" horizontalDpi="300" verticalDpi="300" r:id="rId1"/>
  <headerFooter alignWithMargins="0"/>
  <rowBreaks count="2" manualBreakCount="2">
    <brk id="97" max="12" man="1"/>
    <brk id="183" max="12" man="1"/>
  </rowBreaks>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pageSetUpPr fitToPage="1"/>
  </sheetPr>
  <dimension ref="A1:AF311"/>
  <sheetViews>
    <sheetView topLeftCell="A6" workbookViewId="0">
      <pane xSplit="6" ySplit="3" topLeftCell="G9" activePane="bottomRight" state="frozen"/>
      <selection activeCell="A6" sqref="A6"/>
      <selection pane="topRight" activeCell="G6" sqref="G6"/>
      <selection pane="bottomLeft" activeCell="A9" sqref="A9"/>
      <selection pane="bottomRight" activeCell="G9" sqref="G9"/>
    </sheetView>
  </sheetViews>
  <sheetFormatPr defaultRowHeight="12.75" x14ac:dyDescent="0.2"/>
  <cols>
    <col min="1" max="1" width="3.7109375" style="89" customWidth="1"/>
    <col min="2" max="2" width="1.42578125" style="35" customWidth="1"/>
    <col min="3" max="3" width="31.42578125" style="1" customWidth="1"/>
    <col min="4" max="4" width="14" style="1" customWidth="1"/>
    <col min="5" max="5" width="2.7109375" style="1" customWidth="1"/>
    <col min="6" max="6" width="7.42578125" style="83" customWidth="1"/>
    <col min="7" max="7" width="2.7109375" style="4" customWidth="1"/>
    <col min="8" max="8" width="10.28515625" style="2" customWidth="1"/>
    <col min="9" max="9" width="0.85546875" style="2" customWidth="1"/>
    <col min="10" max="10" width="10.85546875" style="2" customWidth="1"/>
    <col min="11" max="11" width="0.85546875" style="2" customWidth="1"/>
    <col min="12" max="12" width="10.28515625" style="2" customWidth="1"/>
    <col min="13" max="13" width="0.85546875" style="2" customWidth="1"/>
    <col min="14" max="14" width="10.42578125" style="2" customWidth="1"/>
    <col min="15" max="15" width="4.7109375" style="2" customWidth="1"/>
    <col min="16" max="16" width="10.85546875" style="1" hidden="1" customWidth="1"/>
    <col min="17" max="17" width="0.85546875" style="1" hidden="1" customWidth="1"/>
    <col min="18" max="18" width="11" style="1" hidden="1" customWidth="1"/>
    <col min="19" max="19" width="0.85546875" style="1" hidden="1" customWidth="1"/>
    <col min="20" max="20" width="9.28515625" style="1" hidden="1" customWidth="1"/>
    <col min="21" max="21" width="0.85546875" style="1" hidden="1" customWidth="1"/>
    <col min="22" max="22" width="9.28515625" style="1" hidden="1" customWidth="1"/>
    <col min="23" max="23" width="4.7109375" style="1" hidden="1" customWidth="1"/>
    <col min="24" max="24" width="10" style="1" customWidth="1"/>
    <col min="25" max="25" width="0.85546875" style="1" customWidth="1"/>
    <col min="26" max="26" width="10.42578125" style="1" customWidth="1"/>
    <col min="27" max="27" width="0.85546875" style="1" customWidth="1"/>
    <col min="28" max="28" width="9.42578125" style="1" customWidth="1"/>
    <col min="29" max="29" width="0.85546875" style="1" customWidth="1"/>
    <col min="30" max="31" width="9.42578125" style="1" customWidth="1"/>
    <col min="32" max="32" width="22.85546875" style="5" customWidth="1"/>
  </cols>
  <sheetData>
    <row r="1" spans="1:32" ht="15.75" x14ac:dyDescent="0.25">
      <c r="C1" s="3" t="s">
        <v>3</v>
      </c>
      <c r="X1" s="6"/>
      <c r="Y1" s="6"/>
      <c r="Z1" s="6"/>
      <c r="AA1" s="6"/>
      <c r="AB1" s="6"/>
      <c r="AC1" s="6"/>
      <c r="AD1" s="6"/>
      <c r="AE1" s="6"/>
    </row>
    <row r="2" spans="1:32" x14ac:dyDescent="0.2">
      <c r="C2" s="3" t="s">
        <v>222</v>
      </c>
    </row>
    <row r="3" spans="1:32" x14ac:dyDescent="0.2">
      <c r="C3" s="3" t="s">
        <v>99</v>
      </c>
    </row>
    <row r="4" spans="1:32" x14ac:dyDescent="0.2">
      <c r="C4" s="2" t="s">
        <v>5</v>
      </c>
    </row>
    <row r="5" spans="1:32" x14ac:dyDescent="0.2">
      <c r="H5" s="11"/>
      <c r="I5" s="11"/>
      <c r="J5" s="11"/>
      <c r="K5" s="11"/>
      <c r="L5" s="11"/>
      <c r="M5" s="11"/>
      <c r="N5" s="11"/>
      <c r="O5" s="11"/>
      <c r="P5" s="11"/>
      <c r="Q5" s="11"/>
      <c r="R5" s="11"/>
      <c r="S5" s="11"/>
      <c r="T5" s="11"/>
      <c r="U5" s="11"/>
      <c r="V5" s="11"/>
      <c r="W5" s="11"/>
      <c r="X5" s="11"/>
      <c r="Y5" s="11"/>
      <c r="Z5" s="11"/>
      <c r="AA5" s="11"/>
      <c r="AB5" s="11"/>
      <c r="AC5" s="11"/>
      <c r="AD5" s="11"/>
      <c r="AE5" s="11"/>
      <c r="AF5" s="13"/>
    </row>
    <row r="6" spans="1:32" x14ac:dyDescent="0.2">
      <c r="H6" s="90" t="s">
        <v>186</v>
      </c>
      <c r="I6" s="90"/>
      <c r="J6" s="90"/>
      <c r="K6" s="90"/>
      <c r="L6" s="90"/>
      <c r="M6" s="90"/>
      <c r="N6" s="90"/>
      <c r="O6" s="91"/>
      <c r="P6" s="90" t="s">
        <v>187</v>
      </c>
      <c r="Q6" s="90"/>
      <c r="R6" s="90"/>
      <c r="S6" s="90"/>
      <c r="T6" s="90"/>
      <c r="U6" s="90"/>
      <c r="V6" s="90"/>
      <c r="W6" s="11"/>
      <c r="X6" s="90" t="s">
        <v>1</v>
      </c>
      <c r="Y6" s="90"/>
      <c r="Z6" s="90"/>
      <c r="AA6" s="90"/>
      <c r="AB6" s="90"/>
      <c r="AC6" s="90"/>
      <c r="AD6" s="90"/>
      <c r="AE6" s="11"/>
      <c r="AF6" s="13"/>
    </row>
    <row r="7" spans="1:32" s="130" customFormat="1" ht="11.25" x14ac:dyDescent="0.2">
      <c r="A7" s="101"/>
      <c r="B7" s="81"/>
      <c r="C7" s="19"/>
      <c r="D7" s="19"/>
      <c r="E7" s="19"/>
      <c r="F7" s="85"/>
      <c r="G7" s="20"/>
      <c r="H7" s="128"/>
      <c r="I7" s="128"/>
      <c r="J7" s="30" t="s">
        <v>216</v>
      </c>
      <c r="K7" s="128"/>
      <c r="L7" s="30" t="s">
        <v>216</v>
      </c>
      <c r="M7" s="128"/>
      <c r="N7" s="30" t="s">
        <v>217</v>
      </c>
      <c r="O7" s="129"/>
      <c r="P7" s="128"/>
      <c r="Q7" s="128"/>
      <c r="R7" s="30" t="s">
        <v>216</v>
      </c>
      <c r="S7" s="128"/>
      <c r="T7" s="30" t="s">
        <v>216</v>
      </c>
      <c r="U7" s="128"/>
      <c r="V7" s="30" t="s">
        <v>217</v>
      </c>
      <c r="W7" s="32"/>
      <c r="X7" s="128"/>
      <c r="Y7" s="128"/>
      <c r="Z7" s="30" t="s">
        <v>216</v>
      </c>
      <c r="AA7" s="128"/>
      <c r="AB7" s="30" t="s">
        <v>216</v>
      </c>
      <c r="AC7" s="128"/>
      <c r="AD7" s="30" t="s">
        <v>217</v>
      </c>
      <c r="AE7" s="32"/>
      <c r="AF7" s="30"/>
    </row>
    <row r="8" spans="1:32" x14ac:dyDescent="0.2">
      <c r="A8" s="92" t="s">
        <v>6</v>
      </c>
      <c r="B8" s="93"/>
      <c r="C8" s="94" t="s">
        <v>7</v>
      </c>
      <c r="D8" s="94" t="s">
        <v>8</v>
      </c>
      <c r="E8" s="30"/>
      <c r="F8" s="95" t="s">
        <v>9</v>
      </c>
      <c r="G8" s="26"/>
      <c r="H8" s="94" t="s">
        <v>18</v>
      </c>
      <c r="I8" s="30"/>
      <c r="J8" s="94" t="s">
        <v>188</v>
      </c>
      <c r="K8" s="30"/>
      <c r="L8" s="94" t="s">
        <v>19</v>
      </c>
      <c r="M8" s="30"/>
      <c r="N8" s="94" t="s">
        <v>112</v>
      </c>
      <c r="O8" s="30"/>
      <c r="P8" s="94" t="s">
        <v>18</v>
      </c>
      <c r="Q8" s="30"/>
      <c r="R8" s="94" t="s">
        <v>188</v>
      </c>
      <c r="S8" s="30"/>
      <c r="T8" s="94" t="s">
        <v>19</v>
      </c>
      <c r="U8" s="30"/>
      <c r="V8" s="94" t="s">
        <v>112</v>
      </c>
      <c r="W8" s="30"/>
      <c r="X8" s="94" t="s">
        <v>18</v>
      </c>
      <c r="Y8" s="30"/>
      <c r="Z8" s="94" t="s">
        <v>188</v>
      </c>
      <c r="AA8" s="30"/>
      <c r="AB8" s="94" t="s">
        <v>19</v>
      </c>
      <c r="AC8" s="30"/>
      <c r="AD8" s="94" t="s">
        <v>112</v>
      </c>
      <c r="AE8" s="30"/>
      <c r="AF8" s="30" t="s">
        <v>12</v>
      </c>
    </row>
    <row r="9" spans="1:32" x14ac:dyDescent="0.2">
      <c r="A9" s="93"/>
      <c r="B9" s="93"/>
      <c r="C9" s="30" t="s">
        <v>189</v>
      </c>
      <c r="D9" s="30"/>
      <c r="E9" s="30"/>
      <c r="F9" s="87"/>
      <c r="G9" s="26"/>
      <c r="H9" s="30"/>
      <c r="I9" s="30"/>
      <c r="J9" s="30"/>
      <c r="K9" s="30"/>
      <c r="L9" s="30"/>
      <c r="M9" s="30"/>
      <c r="N9" s="30"/>
      <c r="O9" s="30"/>
      <c r="P9" s="30"/>
      <c r="Q9" s="30"/>
      <c r="R9" s="30"/>
      <c r="S9" s="30"/>
      <c r="T9" s="30"/>
      <c r="U9" s="30"/>
      <c r="V9" s="30"/>
      <c r="W9" s="30"/>
      <c r="X9" s="30"/>
      <c r="Y9" s="30"/>
      <c r="Z9" s="30"/>
      <c r="AA9" s="30"/>
      <c r="AB9" s="30"/>
      <c r="AC9" s="30"/>
      <c r="AD9" s="30"/>
      <c r="AE9" s="30"/>
      <c r="AF9" s="30"/>
    </row>
    <row r="10" spans="1:32" x14ac:dyDescent="0.2">
      <c r="A10" s="98" t="s">
        <v>103</v>
      </c>
      <c r="B10" s="36"/>
      <c r="C10" s="19" t="e">
        <f ca="1">+#REF!</f>
        <v>#REF!</v>
      </c>
      <c r="D10" s="19" t="e">
        <f ca="1">+#REF!</f>
        <v>#REF!</v>
      </c>
      <c r="E10" s="19"/>
      <c r="F10" s="85" t="e">
        <f ca="1">+#REF!</f>
        <v>#REF!</v>
      </c>
      <c r="G10" s="20"/>
      <c r="H10" s="97" t="e">
        <f ca="1">ROUND(#REF!/1000,0)</f>
        <v>#REF!</v>
      </c>
      <c r="I10" s="97"/>
      <c r="J10" s="97" t="e">
        <f ca="1">ROUND(#REF!/1000,0)</f>
        <v>#REF!</v>
      </c>
      <c r="K10" s="97"/>
      <c r="L10" s="97" t="e">
        <f ca="1">-ROUND((#REF!-#REF!)/1000,0)</f>
        <v>#REF!</v>
      </c>
      <c r="M10" s="97"/>
      <c r="N10" s="97" t="e">
        <f>SUM(H10:L10)</f>
        <v>#REF!</v>
      </c>
      <c r="O10" s="97"/>
      <c r="P10" s="97">
        <v>0</v>
      </c>
      <c r="Q10" s="97"/>
      <c r="R10" s="97">
        <v>1612</v>
      </c>
      <c r="S10" s="97"/>
      <c r="T10" s="97">
        <v>-1098</v>
      </c>
      <c r="U10" s="97"/>
      <c r="V10" s="97">
        <f>SUM(P10:T10)</f>
        <v>514</v>
      </c>
      <c r="W10" s="97"/>
      <c r="X10" s="97">
        <v>0</v>
      </c>
      <c r="Y10" s="97"/>
      <c r="Z10" s="97">
        <v>1612</v>
      </c>
      <c r="AA10" s="97"/>
      <c r="AB10" s="97">
        <v>-1098</v>
      </c>
      <c r="AC10" s="97"/>
      <c r="AD10" s="97">
        <f>SUM(X10:AB10)</f>
        <v>514</v>
      </c>
      <c r="AE10" s="21"/>
      <c r="AF10" s="19" t="s">
        <v>66</v>
      </c>
    </row>
    <row r="11" spans="1:32" x14ac:dyDescent="0.2">
      <c r="A11" s="96">
        <v>11</v>
      </c>
      <c r="B11" s="36"/>
      <c r="C11" s="19" t="e">
        <f ca="1">+#REF!</f>
        <v>#REF!</v>
      </c>
      <c r="D11" s="19" t="e">
        <f ca="1">+#REF!</f>
        <v>#REF!</v>
      </c>
      <c r="E11" s="19"/>
      <c r="F11" s="85" t="e">
        <f ca="1">+#REF!</f>
        <v>#REF!</v>
      </c>
      <c r="G11" s="20"/>
      <c r="H11" s="97" t="e">
        <f ca="1">ROUND(#REF!/1000,0)</f>
        <v>#REF!</v>
      </c>
      <c r="I11" s="97"/>
      <c r="J11" s="97" t="e">
        <f ca="1">ROUND(#REF!/1000,0)</f>
        <v>#REF!</v>
      </c>
      <c r="K11" s="97"/>
      <c r="L11" s="97" t="e">
        <f ca="1">-ROUND((#REF!-#REF!)/1000,0)</f>
        <v>#REF!</v>
      </c>
      <c r="M11" s="97"/>
      <c r="N11" s="97" t="e">
        <f t="shared" ref="N11:N21" si="0">SUM(H11:L11)</f>
        <v>#REF!</v>
      </c>
      <c r="O11" s="97"/>
      <c r="P11" s="97">
        <v>683</v>
      </c>
      <c r="Q11" s="97"/>
      <c r="R11" s="97">
        <v>-300</v>
      </c>
      <c r="S11" s="97"/>
      <c r="T11" s="97">
        <v>-163</v>
      </c>
      <c r="U11" s="97"/>
      <c r="V11" s="97">
        <f t="shared" ref="V11:V27" si="1">SUM(P11:T11)</f>
        <v>220</v>
      </c>
      <c r="W11" s="97"/>
      <c r="X11" s="97">
        <v>672</v>
      </c>
      <c r="Y11" s="97"/>
      <c r="Z11" s="97">
        <v>-300</v>
      </c>
      <c r="AA11" s="97"/>
      <c r="AB11" s="97">
        <v>-163</v>
      </c>
      <c r="AC11" s="97"/>
      <c r="AD11" s="97">
        <f t="shared" ref="AD11:AD27" si="2">SUM(X11:AB11)</f>
        <v>209</v>
      </c>
      <c r="AE11" s="21"/>
      <c r="AF11" s="19" t="s">
        <v>86</v>
      </c>
    </row>
    <row r="12" spans="1:32" x14ac:dyDescent="0.2">
      <c r="A12" s="96">
        <v>11</v>
      </c>
      <c r="B12" s="36"/>
      <c r="C12" s="176" t="e">
        <f ca="1">+#REF!</f>
        <v>#REF!</v>
      </c>
      <c r="D12" s="176" t="e">
        <f ca="1">+#REF!</f>
        <v>#REF!</v>
      </c>
      <c r="E12" s="85"/>
      <c r="F12" s="85" t="e">
        <f ca="1">+#REF!</f>
        <v>#REF!</v>
      </c>
      <c r="G12" s="20"/>
      <c r="H12" s="97" t="e">
        <f ca="1">ROUND(#REF!/1000,0)</f>
        <v>#REF!</v>
      </c>
      <c r="I12" s="97"/>
      <c r="J12" s="97" t="e">
        <f ca="1">ROUND(#REF!/1000,0)</f>
        <v>#REF!</v>
      </c>
      <c r="K12" s="97"/>
      <c r="L12" s="97" t="e">
        <f ca="1">-ROUND((#REF!-#REF!)/1000,0)</f>
        <v>#REF!</v>
      </c>
      <c r="M12" s="97"/>
      <c r="N12" s="97" t="e">
        <f t="shared" si="0"/>
        <v>#REF!</v>
      </c>
      <c r="O12" s="97"/>
      <c r="P12" s="97">
        <v>2737</v>
      </c>
      <c r="Q12" s="97"/>
      <c r="R12" s="97">
        <v>0</v>
      </c>
      <c r="S12" s="97"/>
      <c r="T12" s="97">
        <v>-961</v>
      </c>
      <c r="U12" s="97"/>
      <c r="V12" s="97">
        <f t="shared" si="1"/>
        <v>1776</v>
      </c>
      <c r="W12" s="97"/>
      <c r="X12" s="97">
        <v>1411</v>
      </c>
      <c r="Y12" s="97"/>
      <c r="Z12" s="97">
        <v>0</v>
      </c>
      <c r="AA12" s="97"/>
      <c r="AB12" s="97">
        <v>-961</v>
      </c>
      <c r="AC12" s="97"/>
      <c r="AD12" s="97">
        <f t="shared" si="2"/>
        <v>450</v>
      </c>
      <c r="AE12" s="21"/>
      <c r="AF12" s="19" t="s">
        <v>19</v>
      </c>
    </row>
    <row r="13" spans="1:32" x14ac:dyDescent="0.2">
      <c r="A13" s="96">
        <v>11</v>
      </c>
      <c r="B13" s="36"/>
      <c r="C13" s="176" t="e">
        <f ca="1">+#REF!</f>
        <v>#REF!</v>
      </c>
      <c r="D13" s="176" t="e">
        <f ca="1">+#REF!</f>
        <v>#REF!</v>
      </c>
      <c r="E13" s="85"/>
      <c r="F13" s="85" t="e">
        <f ca="1">+#REF!</f>
        <v>#REF!</v>
      </c>
      <c r="G13" s="20"/>
      <c r="H13" s="97" t="e">
        <f ca="1">ROUND(#REF!/1000,0)</f>
        <v>#REF!</v>
      </c>
      <c r="I13" s="97"/>
      <c r="J13" s="97" t="e">
        <f ca="1">ROUND(#REF!/1000,0)</f>
        <v>#REF!</v>
      </c>
      <c r="K13" s="97"/>
      <c r="L13" s="97" t="e">
        <f ca="1">-ROUND((#REF!-#REF!)/1000,0)</f>
        <v>#REF!</v>
      </c>
      <c r="M13" s="97"/>
      <c r="N13" s="97" t="e">
        <f>SUM(H13:L13)</f>
        <v>#REF!</v>
      </c>
      <c r="O13" s="97"/>
      <c r="P13" s="97">
        <v>69</v>
      </c>
      <c r="Q13" s="97"/>
      <c r="R13" s="97">
        <v>0</v>
      </c>
      <c r="S13" s="97"/>
      <c r="T13" s="97">
        <v>0</v>
      </c>
      <c r="U13" s="97"/>
      <c r="V13" s="97">
        <f t="shared" si="1"/>
        <v>69</v>
      </c>
      <c r="W13" s="97"/>
      <c r="X13" s="97">
        <v>0</v>
      </c>
      <c r="Y13" s="97"/>
      <c r="Z13" s="97">
        <v>0</v>
      </c>
      <c r="AA13" s="97"/>
      <c r="AB13" s="97">
        <v>0</v>
      </c>
      <c r="AC13" s="97"/>
      <c r="AD13" s="97">
        <f t="shared" si="2"/>
        <v>0</v>
      </c>
      <c r="AE13" s="21"/>
      <c r="AF13" s="19" t="s">
        <v>19</v>
      </c>
    </row>
    <row r="14" spans="1:32" x14ac:dyDescent="0.2">
      <c r="A14" s="96">
        <v>11</v>
      </c>
      <c r="B14" s="36"/>
      <c r="C14" s="176" t="e">
        <f ca="1">+#REF!</f>
        <v>#REF!</v>
      </c>
      <c r="D14" s="176" t="e">
        <f ca="1">+#REF!</f>
        <v>#REF!</v>
      </c>
      <c r="E14" s="85"/>
      <c r="F14" s="85" t="e">
        <f ca="1">+#REF!</f>
        <v>#REF!</v>
      </c>
      <c r="G14" s="20"/>
      <c r="H14" s="97" t="e">
        <f ca="1">ROUND(#REF!/1000,0)</f>
        <v>#REF!</v>
      </c>
      <c r="I14" s="97"/>
      <c r="J14" s="97" t="e">
        <f ca="1">ROUND(#REF!/1000,0)</f>
        <v>#REF!</v>
      </c>
      <c r="K14" s="97"/>
      <c r="L14" s="97" t="e">
        <f ca="1">-ROUND((#REF!-#REF!)/1000,0)</f>
        <v>#REF!</v>
      </c>
      <c r="M14" s="97"/>
      <c r="N14" s="97" t="e">
        <f t="shared" si="0"/>
        <v>#REF!</v>
      </c>
      <c r="O14" s="97"/>
      <c r="P14" s="97">
        <v>850</v>
      </c>
      <c r="Q14" s="97"/>
      <c r="R14" s="97">
        <v>0</v>
      </c>
      <c r="S14" s="97"/>
      <c r="T14" s="97">
        <v>-273</v>
      </c>
      <c r="U14" s="97"/>
      <c r="V14" s="97">
        <f t="shared" si="1"/>
        <v>577</v>
      </c>
      <c r="W14" s="97"/>
      <c r="X14" s="97">
        <v>689</v>
      </c>
      <c r="Y14" s="97"/>
      <c r="Z14" s="97">
        <v>0</v>
      </c>
      <c r="AA14" s="97"/>
      <c r="AB14" s="97">
        <v>-273</v>
      </c>
      <c r="AC14" s="97"/>
      <c r="AD14" s="97">
        <f t="shared" si="2"/>
        <v>416</v>
      </c>
      <c r="AE14" s="21"/>
      <c r="AF14" s="19" t="s">
        <v>19</v>
      </c>
    </row>
    <row r="15" spans="1:32" x14ac:dyDescent="0.2">
      <c r="A15" s="96">
        <v>11</v>
      </c>
      <c r="B15" s="36"/>
      <c r="C15" s="176" t="e">
        <f ca="1">+#REF!</f>
        <v>#REF!</v>
      </c>
      <c r="D15" s="176" t="e">
        <f ca="1">+#REF!</f>
        <v>#REF!</v>
      </c>
      <c r="E15" s="85"/>
      <c r="F15" s="85" t="e">
        <f ca="1">+#REF!</f>
        <v>#REF!</v>
      </c>
      <c r="G15" s="20"/>
      <c r="H15" s="97" t="e">
        <f ca="1">ROUND(#REF!/1000,0)</f>
        <v>#REF!</v>
      </c>
      <c r="I15" s="97"/>
      <c r="J15" s="97" t="e">
        <f ca="1">ROUND(#REF!/1000,0)</f>
        <v>#REF!</v>
      </c>
      <c r="K15" s="97"/>
      <c r="L15" s="97" t="e">
        <f ca="1">-ROUND((#REF!-#REF!)/1000,0)</f>
        <v>#REF!</v>
      </c>
      <c r="M15" s="97"/>
      <c r="N15" s="97" t="e">
        <f t="shared" si="0"/>
        <v>#REF!</v>
      </c>
      <c r="O15" s="97"/>
      <c r="P15" s="97">
        <v>2483</v>
      </c>
      <c r="Q15" s="97"/>
      <c r="R15" s="97">
        <v>0</v>
      </c>
      <c r="S15" s="97"/>
      <c r="T15" s="97">
        <v>-1515</v>
      </c>
      <c r="U15" s="97"/>
      <c r="V15" s="97">
        <f t="shared" si="1"/>
        <v>968</v>
      </c>
      <c r="W15" s="97"/>
      <c r="X15" s="97">
        <v>2474</v>
      </c>
      <c r="Y15" s="97"/>
      <c r="Z15" s="97">
        <v>0</v>
      </c>
      <c r="AA15" s="97"/>
      <c r="AB15" s="97">
        <v>-1515</v>
      </c>
      <c r="AC15" s="97"/>
      <c r="AD15" s="97">
        <f t="shared" si="2"/>
        <v>959</v>
      </c>
      <c r="AE15" s="21"/>
      <c r="AF15" s="19" t="s">
        <v>19</v>
      </c>
    </row>
    <row r="16" spans="1:32" x14ac:dyDescent="0.2">
      <c r="A16" s="96">
        <v>11</v>
      </c>
      <c r="B16" s="36"/>
      <c r="C16" s="176" t="e">
        <f ca="1">+#REF!</f>
        <v>#REF!</v>
      </c>
      <c r="D16" s="176" t="e">
        <f ca="1">+#REF!</f>
        <v>#REF!</v>
      </c>
      <c r="E16" s="85"/>
      <c r="F16" s="85" t="e">
        <f ca="1">+#REF!</f>
        <v>#REF!</v>
      </c>
      <c r="G16" s="20"/>
      <c r="H16" s="97" t="e">
        <f ca="1">ROUND(#REF!/1000,0)</f>
        <v>#REF!</v>
      </c>
      <c r="I16" s="97"/>
      <c r="J16" s="97" t="e">
        <f ca="1">ROUND(#REF!/1000,0)</f>
        <v>#REF!</v>
      </c>
      <c r="K16" s="97"/>
      <c r="L16" s="97" t="e">
        <f ca="1">-ROUND((#REF!-#REF!)/1000,0)</f>
        <v>#REF!</v>
      </c>
      <c r="M16" s="97"/>
      <c r="N16" s="97" t="e">
        <f t="shared" si="0"/>
        <v>#REF!</v>
      </c>
      <c r="O16" s="97"/>
      <c r="P16" s="97">
        <v>228</v>
      </c>
      <c r="Q16" s="97"/>
      <c r="R16" s="97">
        <v>0</v>
      </c>
      <c r="S16" s="97"/>
      <c r="T16" s="97">
        <v>-218</v>
      </c>
      <c r="U16" s="97"/>
      <c r="V16" s="97">
        <f t="shared" si="1"/>
        <v>10</v>
      </c>
      <c r="W16" s="97"/>
      <c r="X16" s="97">
        <v>1234</v>
      </c>
      <c r="Y16" s="97"/>
      <c r="Z16" s="97">
        <v>-740</v>
      </c>
      <c r="AA16" s="97"/>
      <c r="AB16" s="97">
        <v>-218</v>
      </c>
      <c r="AC16" s="97"/>
      <c r="AD16" s="97">
        <f t="shared" si="2"/>
        <v>276</v>
      </c>
      <c r="AE16" s="21"/>
      <c r="AF16" s="19" t="s">
        <v>90</v>
      </c>
    </row>
    <row r="17" spans="1:32" x14ac:dyDescent="0.2">
      <c r="A17" s="96">
        <v>11</v>
      </c>
      <c r="B17" s="36"/>
      <c r="C17" s="176" t="e">
        <f ca="1">+#REF!</f>
        <v>#REF!</v>
      </c>
      <c r="D17" s="176" t="e">
        <f ca="1">+#REF!</f>
        <v>#REF!</v>
      </c>
      <c r="E17" s="85"/>
      <c r="F17" s="85" t="e">
        <f ca="1">+#REF!</f>
        <v>#REF!</v>
      </c>
      <c r="G17" s="20"/>
      <c r="H17" s="97" t="e">
        <f ca="1">ROUND(#REF!/1000,0)</f>
        <v>#REF!</v>
      </c>
      <c r="I17" s="97"/>
      <c r="J17" s="97" t="e">
        <f ca="1">ROUND(#REF!/1000,0)</f>
        <v>#REF!</v>
      </c>
      <c r="K17" s="97"/>
      <c r="L17" s="97" t="e">
        <f ca="1">-ROUND((#REF!-#REF!)/1000,0)</f>
        <v>#REF!</v>
      </c>
      <c r="M17" s="97"/>
      <c r="N17" s="97" t="e">
        <f t="shared" si="0"/>
        <v>#REF!</v>
      </c>
      <c r="O17" s="97"/>
      <c r="P17" s="97">
        <v>754</v>
      </c>
      <c r="Q17" s="97"/>
      <c r="R17" s="97">
        <v>0</v>
      </c>
      <c r="S17" s="97"/>
      <c r="T17" s="97">
        <v>0</v>
      </c>
      <c r="U17" s="97"/>
      <c r="V17" s="97">
        <f t="shared" si="1"/>
        <v>754</v>
      </c>
      <c r="W17" s="97"/>
      <c r="X17" s="97">
        <v>438</v>
      </c>
      <c r="Y17" s="97"/>
      <c r="Z17" s="97">
        <v>0</v>
      </c>
      <c r="AA17" s="97"/>
      <c r="AB17" s="97">
        <v>0</v>
      </c>
      <c r="AC17" s="97"/>
      <c r="AD17" s="97">
        <f t="shared" si="2"/>
        <v>438</v>
      </c>
      <c r="AE17" s="21"/>
      <c r="AF17" s="19" t="s">
        <v>19</v>
      </c>
    </row>
    <row r="18" spans="1:32" x14ac:dyDescent="0.2">
      <c r="A18" s="96">
        <v>11</v>
      </c>
      <c r="B18" s="36"/>
      <c r="C18" s="176" t="e">
        <f ca="1">+#REF!</f>
        <v>#REF!</v>
      </c>
      <c r="D18" s="176" t="e">
        <f ca="1">+#REF!</f>
        <v>#REF!</v>
      </c>
      <c r="E18" s="85"/>
      <c r="F18" s="85" t="e">
        <f ca="1">+#REF!</f>
        <v>#REF!</v>
      </c>
      <c r="G18" s="20"/>
      <c r="H18" s="97" t="e">
        <f ca="1">ROUND(#REF!/1000,0)</f>
        <v>#REF!</v>
      </c>
      <c r="I18" s="97"/>
      <c r="J18" s="97" t="e">
        <f ca="1">ROUND(#REF!/1000,0)</f>
        <v>#REF!</v>
      </c>
      <c r="K18" s="97"/>
      <c r="L18" s="97" t="e">
        <f ca="1">-ROUND((#REF!-#REF!)/1000,0)</f>
        <v>#REF!</v>
      </c>
      <c r="M18" s="97"/>
      <c r="N18" s="97" t="e">
        <f t="shared" si="0"/>
        <v>#REF!</v>
      </c>
      <c r="O18" s="97"/>
      <c r="P18" s="97">
        <v>725</v>
      </c>
      <c r="Q18" s="97"/>
      <c r="R18" s="97">
        <v>-598</v>
      </c>
      <c r="S18" s="97"/>
      <c r="T18" s="97">
        <v>-155</v>
      </c>
      <c r="U18" s="97"/>
      <c r="V18" s="97">
        <f t="shared" si="1"/>
        <v>-28</v>
      </c>
      <c r="W18" s="97"/>
      <c r="X18" s="97">
        <v>725</v>
      </c>
      <c r="Y18" s="97"/>
      <c r="Z18" s="97">
        <v>-598</v>
      </c>
      <c r="AA18" s="97"/>
      <c r="AB18" s="97">
        <v>-155</v>
      </c>
      <c r="AC18" s="97"/>
      <c r="AD18" s="97">
        <f t="shared" si="2"/>
        <v>-28</v>
      </c>
      <c r="AE18" s="21"/>
      <c r="AF18" s="19" t="s">
        <v>81</v>
      </c>
    </row>
    <row r="19" spans="1:32" x14ac:dyDescent="0.2">
      <c r="A19" s="98" t="s">
        <v>103</v>
      </c>
      <c r="B19" s="36"/>
      <c r="C19" s="177" t="s">
        <v>190</v>
      </c>
      <c r="D19" s="177" t="s">
        <v>137</v>
      </c>
      <c r="E19" s="19"/>
      <c r="F19" s="84">
        <v>1355</v>
      </c>
      <c r="G19" s="20"/>
      <c r="H19" s="97">
        <v>0</v>
      </c>
      <c r="I19" s="97"/>
      <c r="J19" s="97">
        <v>0</v>
      </c>
      <c r="K19" s="97"/>
      <c r="L19" s="97">
        <v>0</v>
      </c>
      <c r="M19" s="97"/>
      <c r="N19" s="97">
        <f t="shared" si="0"/>
        <v>0</v>
      </c>
      <c r="O19" s="97"/>
      <c r="P19" s="97">
        <v>1700</v>
      </c>
      <c r="Q19" s="97"/>
      <c r="R19" s="97">
        <v>0</v>
      </c>
      <c r="S19" s="97"/>
      <c r="T19" s="97">
        <v>0</v>
      </c>
      <c r="U19" s="97"/>
      <c r="V19" s="97">
        <f t="shared" si="1"/>
        <v>1700</v>
      </c>
      <c r="W19" s="97"/>
      <c r="X19" s="97">
        <v>0</v>
      </c>
      <c r="Y19" s="97"/>
      <c r="Z19" s="97">
        <v>0</v>
      </c>
      <c r="AA19" s="97"/>
      <c r="AB19" s="97">
        <v>0</v>
      </c>
      <c r="AC19" s="97"/>
      <c r="AD19" s="97">
        <f t="shared" si="2"/>
        <v>0</v>
      </c>
      <c r="AE19" s="21"/>
      <c r="AF19" s="19"/>
    </row>
    <row r="20" spans="1:32" x14ac:dyDescent="0.2">
      <c r="A20" s="96">
        <v>11</v>
      </c>
      <c r="B20" s="36"/>
      <c r="C20" s="178" t="e">
        <f ca="1">+#REF!</f>
        <v>#REF!</v>
      </c>
      <c r="D20" s="178" t="e">
        <f ca="1">+#REF!</f>
        <v>#REF!</v>
      </c>
      <c r="E20" s="86"/>
      <c r="F20" s="86" t="e">
        <f ca="1">+#REF!</f>
        <v>#REF!</v>
      </c>
      <c r="G20" s="23"/>
      <c r="H20" s="97" t="e">
        <f ca="1">ROUND(#REF!/1000,0)</f>
        <v>#REF!</v>
      </c>
      <c r="I20" s="97"/>
      <c r="J20" s="97" t="e">
        <f ca="1">ROUND(#REF!/1000,0)</f>
        <v>#REF!</v>
      </c>
      <c r="K20" s="97"/>
      <c r="L20" s="97" t="e">
        <f ca="1">-ROUND((#REF!-#REF!)/1000,0)</f>
        <v>#REF!</v>
      </c>
      <c r="M20" s="97"/>
      <c r="N20" s="97" t="e">
        <f t="shared" si="0"/>
        <v>#REF!</v>
      </c>
      <c r="O20" s="97"/>
      <c r="P20" s="97">
        <v>0</v>
      </c>
      <c r="Q20" s="97"/>
      <c r="R20" s="97">
        <v>0</v>
      </c>
      <c r="S20" s="97"/>
      <c r="T20" s="97">
        <v>0</v>
      </c>
      <c r="U20" s="97"/>
      <c r="V20" s="97">
        <f t="shared" si="1"/>
        <v>0</v>
      </c>
      <c r="W20" s="97"/>
      <c r="X20" s="97">
        <v>0</v>
      </c>
      <c r="Y20" s="97"/>
      <c r="Z20" s="97">
        <v>0</v>
      </c>
      <c r="AA20" s="97"/>
      <c r="AB20" s="97">
        <v>0</v>
      </c>
      <c r="AC20" s="97"/>
      <c r="AD20" s="97">
        <f t="shared" si="2"/>
        <v>0</v>
      </c>
      <c r="AE20" s="21"/>
      <c r="AF20" s="19"/>
    </row>
    <row r="21" spans="1:32" x14ac:dyDescent="0.2">
      <c r="A21" s="96">
        <v>11</v>
      </c>
      <c r="B21" s="36"/>
      <c r="C21" s="176" t="e">
        <f ca="1">+#REF!</f>
        <v>#REF!</v>
      </c>
      <c r="D21" s="176" t="e">
        <f ca="1">+#REF!</f>
        <v>#REF!</v>
      </c>
      <c r="E21" s="85"/>
      <c r="F21" s="85" t="e">
        <f ca="1">+#REF!</f>
        <v>#REF!</v>
      </c>
      <c r="G21" s="20"/>
      <c r="H21" s="97" t="e">
        <f ca="1">ROUND(#REF!/1000,0)</f>
        <v>#REF!</v>
      </c>
      <c r="I21" s="97"/>
      <c r="J21" s="97" t="e">
        <f ca="1">ROUND(#REF!/1000,0)</f>
        <v>#REF!</v>
      </c>
      <c r="K21" s="97"/>
      <c r="L21" s="97" t="e">
        <f ca="1">-ROUND((#REF!-#REF!)/1000,0)</f>
        <v>#REF!</v>
      </c>
      <c r="M21" s="97"/>
      <c r="N21" s="97" t="e">
        <f t="shared" si="0"/>
        <v>#REF!</v>
      </c>
      <c r="O21" s="97"/>
      <c r="P21" s="97">
        <v>6821</v>
      </c>
      <c r="Q21" s="97"/>
      <c r="R21" s="97">
        <v>0</v>
      </c>
      <c r="S21" s="97"/>
      <c r="T21" s="97">
        <v>-3120</v>
      </c>
      <c r="U21" s="97"/>
      <c r="V21" s="97">
        <f t="shared" si="1"/>
        <v>3701</v>
      </c>
      <c r="W21" s="97"/>
      <c r="X21" s="97">
        <v>4581</v>
      </c>
      <c r="Y21" s="97"/>
      <c r="Z21" s="97">
        <v>0</v>
      </c>
      <c r="AA21" s="97"/>
      <c r="AB21" s="97">
        <v>-3120</v>
      </c>
      <c r="AC21" s="97"/>
      <c r="AD21" s="97">
        <f t="shared" si="2"/>
        <v>1461</v>
      </c>
      <c r="AE21" s="21"/>
      <c r="AF21" s="19" t="s">
        <v>19</v>
      </c>
    </row>
    <row r="22" spans="1:32" x14ac:dyDescent="0.2">
      <c r="A22" s="96">
        <v>1</v>
      </c>
      <c r="B22" s="36"/>
      <c r="C22" s="178" t="e">
        <f ca="1">+#REF!</f>
        <v>#REF!</v>
      </c>
      <c r="D22" s="178" t="e">
        <f ca="1">+#REF!</f>
        <v>#REF!</v>
      </c>
      <c r="E22" s="86"/>
      <c r="F22" s="86" t="e">
        <f ca="1">+#REF!</f>
        <v>#REF!</v>
      </c>
      <c r="G22" s="20"/>
      <c r="H22" s="97" t="e">
        <f ca="1">ROUND(#REF!/1000,0)</f>
        <v>#REF!</v>
      </c>
      <c r="I22" s="97"/>
      <c r="J22" s="97" t="e">
        <f ca="1">ROUND(#REF!/1000,0)</f>
        <v>#REF!</v>
      </c>
      <c r="K22" s="97"/>
      <c r="L22" s="97" t="e">
        <f ca="1">-ROUND((#REF!-#REF!)/1000,0)</f>
        <v>#REF!</v>
      </c>
      <c r="M22" s="97"/>
      <c r="N22" s="97" t="e">
        <f t="shared" ref="N22:N27" si="3">SUM(H22:L22)</f>
        <v>#REF!</v>
      </c>
      <c r="O22" s="97"/>
      <c r="P22" s="97">
        <v>9487</v>
      </c>
      <c r="Q22" s="97"/>
      <c r="R22" s="97">
        <v>0</v>
      </c>
      <c r="S22" s="97"/>
      <c r="T22" s="97">
        <v>0</v>
      </c>
      <c r="U22" s="97"/>
      <c r="V22" s="97">
        <f t="shared" si="1"/>
        <v>9487</v>
      </c>
      <c r="W22" s="97"/>
      <c r="X22" s="97">
        <v>9487</v>
      </c>
      <c r="Y22" s="97"/>
      <c r="Z22" s="97">
        <v>0</v>
      </c>
      <c r="AA22" s="97"/>
      <c r="AB22" s="97">
        <v>0</v>
      </c>
      <c r="AC22" s="97"/>
      <c r="AD22" s="97">
        <f t="shared" si="2"/>
        <v>9487</v>
      </c>
      <c r="AE22" s="21"/>
      <c r="AF22" s="19" t="s">
        <v>36</v>
      </c>
    </row>
    <row r="23" spans="1:32" x14ac:dyDescent="0.2">
      <c r="A23" s="98" t="s">
        <v>103</v>
      </c>
      <c r="B23" s="36"/>
      <c r="C23" s="178" t="e">
        <f ca="1">+#REF!</f>
        <v>#REF!</v>
      </c>
      <c r="D23" s="178" t="e">
        <f ca="1">+#REF!</f>
        <v>#REF!</v>
      </c>
      <c r="E23" s="86"/>
      <c r="F23" s="86" t="e">
        <f ca="1">+#REF!</f>
        <v>#REF!</v>
      </c>
      <c r="G23" s="20"/>
      <c r="H23" s="97" t="e">
        <f ca="1">ROUND(#REF!/1000,0)</f>
        <v>#REF!</v>
      </c>
      <c r="I23" s="97"/>
      <c r="J23" s="97" t="e">
        <f ca="1">ROUND(#REF!/1000,0)</f>
        <v>#REF!</v>
      </c>
      <c r="K23" s="97"/>
      <c r="L23" s="97" t="e">
        <f ca="1">-ROUND((#REF!-#REF!)/1000,0)</f>
        <v>#REF!</v>
      </c>
      <c r="M23" s="97"/>
      <c r="N23" s="97" t="e">
        <f t="shared" si="3"/>
        <v>#REF!</v>
      </c>
      <c r="O23" s="97"/>
      <c r="P23" s="97">
        <v>20285</v>
      </c>
      <c r="Q23" s="97"/>
      <c r="R23" s="97">
        <v>-19897</v>
      </c>
      <c r="S23" s="97"/>
      <c r="T23" s="97">
        <v>-264</v>
      </c>
      <c r="U23" s="97"/>
      <c r="V23" s="97">
        <f t="shared" si="1"/>
        <v>124</v>
      </c>
      <c r="W23" s="97"/>
      <c r="X23" s="97">
        <v>20285</v>
      </c>
      <c r="Y23" s="97"/>
      <c r="Z23" s="97">
        <v>-19897</v>
      </c>
      <c r="AA23" s="97"/>
      <c r="AB23" s="97">
        <v>-264</v>
      </c>
      <c r="AC23" s="97"/>
      <c r="AD23" s="97">
        <f t="shared" si="2"/>
        <v>124</v>
      </c>
      <c r="AE23" s="21"/>
      <c r="AF23" s="19" t="s">
        <v>66</v>
      </c>
    </row>
    <row r="24" spans="1:32" x14ac:dyDescent="0.2">
      <c r="A24" s="96">
        <v>11</v>
      </c>
      <c r="B24" s="36"/>
      <c r="C24" s="178" t="e">
        <f ca="1">+#REF!</f>
        <v>#REF!</v>
      </c>
      <c r="D24" s="178" t="e">
        <f ca="1">+#REF!</f>
        <v>#REF!</v>
      </c>
      <c r="E24" s="86"/>
      <c r="F24" s="86" t="e">
        <f ca="1">+#REF!</f>
        <v>#REF!</v>
      </c>
      <c r="G24" s="20"/>
      <c r="H24" s="97" t="e">
        <f ca="1">ROUND(#REF!/1000,0)</f>
        <v>#REF!</v>
      </c>
      <c r="I24" s="97"/>
      <c r="J24" s="97" t="e">
        <f ca="1">ROUND(#REF!/1000,0)</f>
        <v>#REF!</v>
      </c>
      <c r="K24" s="97"/>
      <c r="L24" s="97" t="e">
        <f ca="1">-ROUND((#REF!-#REF!)/1000,0)</f>
        <v>#REF!</v>
      </c>
      <c r="M24" s="97"/>
      <c r="N24" s="97" t="e">
        <f t="shared" si="3"/>
        <v>#REF!</v>
      </c>
      <c r="O24" s="97"/>
      <c r="P24" s="97">
        <v>10</v>
      </c>
      <c r="Q24" s="97"/>
      <c r="R24" s="97">
        <v>0</v>
      </c>
      <c r="S24" s="97"/>
      <c r="T24" s="97">
        <v>-7</v>
      </c>
      <c r="U24" s="97"/>
      <c r="V24" s="97">
        <f t="shared" si="1"/>
        <v>3</v>
      </c>
      <c r="W24" s="97"/>
      <c r="X24" s="97">
        <v>10</v>
      </c>
      <c r="Y24" s="97"/>
      <c r="Z24" s="97">
        <v>0</v>
      </c>
      <c r="AA24" s="97"/>
      <c r="AB24" s="97">
        <v>-7</v>
      </c>
      <c r="AC24" s="97"/>
      <c r="AD24" s="97">
        <f t="shared" si="2"/>
        <v>3</v>
      </c>
      <c r="AE24" s="21"/>
      <c r="AF24" s="19" t="s">
        <v>19</v>
      </c>
    </row>
    <row r="25" spans="1:32" x14ac:dyDescent="0.2">
      <c r="A25" s="98" t="s">
        <v>103</v>
      </c>
      <c r="B25" s="36"/>
      <c r="C25" s="178" t="e">
        <f ca="1">+#REF!</f>
        <v>#REF!</v>
      </c>
      <c r="D25" s="178" t="e">
        <f ca="1">+#REF!</f>
        <v>#REF!</v>
      </c>
      <c r="E25" s="86"/>
      <c r="F25" s="86" t="e">
        <f ca="1">+#REF!</f>
        <v>#REF!</v>
      </c>
      <c r="G25" s="20"/>
      <c r="H25" s="97" t="e">
        <f ca="1">ROUND(#REF!/1000,0)</f>
        <v>#REF!</v>
      </c>
      <c r="I25" s="97"/>
      <c r="J25" s="97" t="e">
        <f ca="1">ROUND(#REF!/1000,0)</f>
        <v>#REF!</v>
      </c>
      <c r="K25" s="97"/>
      <c r="L25" s="97" t="e">
        <f ca="1">-ROUND((#REF!-#REF!)/1000,0)</f>
        <v>#REF!</v>
      </c>
      <c r="M25" s="97"/>
      <c r="N25" s="97" t="e">
        <f t="shared" si="3"/>
        <v>#REF!</v>
      </c>
      <c r="O25" s="97"/>
      <c r="P25" s="97">
        <v>17480</v>
      </c>
      <c r="Q25" s="97"/>
      <c r="R25" s="97">
        <v>0</v>
      </c>
      <c r="S25" s="97"/>
      <c r="T25" s="97">
        <v>-8022</v>
      </c>
      <c r="U25" s="97"/>
      <c r="V25" s="97">
        <f t="shared" si="1"/>
        <v>9458</v>
      </c>
      <c r="W25" s="97"/>
      <c r="X25" s="97">
        <v>11780</v>
      </c>
      <c r="Y25" s="97"/>
      <c r="Z25" s="97">
        <v>0</v>
      </c>
      <c r="AA25" s="97"/>
      <c r="AB25" s="97">
        <v>-8022</v>
      </c>
      <c r="AC25" s="97"/>
      <c r="AD25" s="97">
        <f t="shared" si="2"/>
        <v>3758</v>
      </c>
      <c r="AE25" s="21"/>
      <c r="AF25" s="19" t="s">
        <v>93</v>
      </c>
    </row>
    <row r="26" spans="1:32" x14ac:dyDescent="0.2">
      <c r="A26" s="96">
        <v>11</v>
      </c>
      <c r="B26" s="36"/>
      <c r="C26" s="178" t="e">
        <f ca="1">+#REF!</f>
        <v>#REF!</v>
      </c>
      <c r="D26" s="178" t="e">
        <f ca="1">+#REF!</f>
        <v>#REF!</v>
      </c>
      <c r="E26" s="86"/>
      <c r="F26" s="86" t="e">
        <f ca="1">+#REF!</f>
        <v>#REF!</v>
      </c>
      <c r="G26" s="20"/>
      <c r="H26" s="97" t="e">
        <f ca="1">ROUND(#REF!/1000,0)</f>
        <v>#REF!</v>
      </c>
      <c r="I26" s="97"/>
      <c r="J26" s="97" t="e">
        <f ca="1">ROUND(#REF!/1000,0)</f>
        <v>#REF!</v>
      </c>
      <c r="K26" s="97"/>
      <c r="L26" s="97" t="e">
        <f ca="1">-ROUND((#REF!-#REF!)/1000,0)</f>
        <v>#REF!</v>
      </c>
      <c r="M26" s="97"/>
      <c r="N26" s="97" t="e">
        <f t="shared" si="3"/>
        <v>#REF!</v>
      </c>
      <c r="O26" s="97"/>
      <c r="P26" s="97">
        <v>54</v>
      </c>
      <c r="Q26" s="97"/>
      <c r="R26" s="97">
        <v>0</v>
      </c>
      <c r="S26" s="97"/>
      <c r="T26" s="97">
        <v>-36</v>
      </c>
      <c r="U26" s="97"/>
      <c r="V26" s="97">
        <f t="shared" si="1"/>
        <v>18</v>
      </c>
      <c r="W26" s="97"/>
      <c r="X26" s="97">
        <v>54</v>
      </c>
      <c r="Y26" s="97"/>
      <c r="Z26" s="97">
        <v>0</v>
      </c>
      <c r="AA26" s="97"/>
      <c r="AB26" s="97">
        <v>-36</v>
      </c>
      <c r="AC26" s="97"/>
      <c r="AD26" s="97">
        <f t="shared" si="2"/>
        <v>18</v>
      </c>
      <c r="AE26" s="21"/>
      <c r="AF26" s="19" t="s">
        <v>19</v>
      </c>
    </row>
    <row r="27" spans="1:32" x14ac:dyDescent="0.2">
      <c r="A27" s="96">
        <v>11</v>
      </c>
      <c r="B27" s="36"/>
      <c r="C27" s="178" t="e">
        <f ca="1">+#REF!</f>
        <v>#REF!</v>
      </c>
      <c r="D27" s="178" t="e">
        <f ca="1">+#REF!</f>
        <v>#REF!</v>
      </c>
      <c r="E27" s="86"/>
      <c r="F27" s="86" t="e">
        <f ca="1">+#REF!</f>
        <v>#REF!</v>
      </c>
      <c r="G27" s="20"/>
      <c r="H27" s="97" t="e">
        <f ca="1">ROUND(#REF!/1000,0)</f>
        <v>#REF!</v>
      </c>
      <c r="I27" s="97"/>
      <c r="J27" s="97" t="e">
        <f ca="1">ROUND(#REF!/1000,0)</f>
        <v>#REF!</v>
      </c>
      <c r="K27" s="97"/>
      <c r="L27" s="97" t="e">
        <f ca="1">-ROUND((#REF!-#REF!)/1000,0)</f>
        <v>#REF!</v>
      </c>
      <c r="M27" s="97"/>
      <c r="N27" s="97" t="e">
        <f t="shared" si="3"/>
        <v>#REF!</v>
      </c>
      <c r="O27" s="97"/>
      <c r="P27" s="97">
        <v>155</v>
      </c>
      <c r="Q27" s="97"/>
      <c r="R27" s="97">
        <v>0</v>
      </c>
      <c r="S27" s="97"/>
      <c r="T27" s="97">
        <v>-106</v>
      </c>
      <c r="U27" s="97"/>
      <c r="V27" s="97">
        <f t="shared" si="1"/>
        <v>49</v>
      </c>
      <c r="W27" s="97"/>
      <c r="X27" s="97">
        <v>155</v>
      </c>
      <c r="Y27" s="97"/>
      <c r="Z27" s="97">
        <v>0</v>
      </c>
      <c r="AA27" s="97"/>
      <c r="AB27" s="97">
        <v>-106</v>
      </c>
      <c r="AC27" s="97"/>
      <c r="AD27" s="97">
        <f t="shared" si="2"/>
        <v>49</v>
      </c>
      <c r="AE27" s="21"/>
      <c r="AF27" s="19" t="s">
        <v>19</v>
      </c>
    </row>
    <row r="28" spans="1:32" x14ac:dyDescent="0.2">
      <c r="A28" s="96">
        <v>11</v>
      </c>
      <c r="B28" s="36"/>
      <c r="C28" s="178" t="e">
        <f ca="1">+#REF!</f>
        <v>#REF!</v>
      </c>
      <c r="D28" s="178" t="e">
        <f ca="1">+#REF!</f>
        <v>#REF!</v>
      </c>
      <c r="E28" s="86"/>
      <c r="F28" s="86" t="e">
        <f ca="1">+#REF!</f>
        <v>#REF!</v>
      </c>
      <c r="G28" s="23"/>
      <c r="H28" s="97" t="e">
        <f ca="1">ROUND(#REF!/1000,0)</f>
        <v>#REF!</v>
      </c>
      <c r="I28" s="97"/>
      <c r="J28" s="97" t="e">
        <f ca="1">ROUND(#REF!/1000,0)</f>
        <v>#REF!</v>
      </c>
      <c r="K28" s="97"/>
      <c r="L28" s="97" t="e">
        <f ca="1">-ROUND((#REF!-#REF!)/1000,0)</f>
        <v>#REF!</v>
      </c>
      <c r="M28" s="97"/>
      <c r="N28" s="97" t="e">
        <f>SUM(H28:L28)</f>
        <v>#REF!</v>
      </c>
      <c r="O28" s="97"/>
      <c r="P28" s="97">
        <v>-1091</v>
      </c>
      <c r="Q28" s="97"/>
      <c r="R28" s="97">
        <v>0</v>
      </c>
      <c r="S28" s="97"/>
      <c r="T28" s="97">
        <v>0</v>
      </c>
      <c r="U28" s="97"/>
      <c r="V28" s="97">
        <f>SUM(P28:T28)</f>
        <v>-1091</v>
      </c>
      <c r="W28" s="97"/>
      <c r="X28" s="97">
        <v>-1091</v>
      </c>
      <c r="Y28" s="97"/>
      <c r="Z28" s="97">
        <v>0</v>
      </c>
      <c r="AA28" s="97"/>
      <c r="AB28" s="97">
        <v>0</v>
      </c>
      <c r="AC28" s="97"/>
      <c r="AD28" s="97">
        <f>SUM(X28:AB28)</f>
        <v>-1091</v>
      </c>
      <c r="AE28" s="21"/>
      <c r="AF28" s="19" t="s">
        <v>24</v>
      </c>
    </row>
    <row r="29" spans="1:32" x14ac:dyDescent="0.2">
      <c r="A29" s="96"/>
      <c r="B29" s="36"/>
      <c r="C29" s="19"/>
      <c r="D29" s="19"/>
      <c r="E29" s="19"/>
      <c r="F29" s="85"/>
      <c r="G29" s="20"/>
      <c r="H29" s="99"/>
      <c r="I29" s="97"/>
      <c r="J29" s="99"/>
      <c r="K29" s="97"/>
      <c r="L29" s="99"/>
      <c r="M29" s="97"/>
      <c r="N29" s="99"/>
      <c r="O29" s="97"/>
      <c r="P29" s="99"/>
      <c r="Q29" s="97"/>
      <c r="R29" s="99"/>
      <c r="S29" s="97"/>
      <c r="T29" s="99"/>
      <c r="U29" s="97"/>
      <c r="V29" s="99"/>
      <c r="W29" s="97"/>
      <c r="X29" s="99"/>
      <c r="Y29" s="97"/>
      <c r="Z29" s="99"/>
      <c r="AA29" s="97"/>
      <c r="AB29" s="99"/>
      <c r="AC29" s="97"/>
      <c r="AD29" s="99"/>
      <c r="AE29" s="21"/>
      <c r="AF29" s="19"/>
    </row>
    <row r="30" spans="1:32" s="114" customFormat="1" x14ac:dyDescent="0.2">
      <c r="A30" s="104"/>
      <c r="B30" s="68"/>
      <c r="C30" s="69" t="s">
        <v>201</v>
      </c>
      <c r="D30" s="69"/>
      <c r="E30" s="69"/>
      <c r="F30" s="88"/>
      <c r="G30" s="70"/>
      <c r="H30" s="113" t="e">
        <f>SUM(H10:H29)</f>
        <v>#REF!</v>
      </c>
      <c r="I30" s="105"/>
      <c r="J30" s="113" t="e">
        <f>SUM(J10:J29)</f>
        <v>#REF!</v>
      </c>
      <c r="K30" s="105"/>
      <c r="L30" s="113" t="e">
        <f>SUM(L10:L29)</f>
        <v>#REF!</v>
      </c>
      <c r="M30" s="105"/>
      <c r="N30" s="113" t="e">
        <f>SUM(N10:N29)</f>
        <v>#REF!</v>
      </c>
      <c r="O30" s="105"/>
      <c r="P30" s="113">
        <f>SUM(P10:P29)</f>
        <v>63430</v>
      </c>
      <c r="Q30" s="105"/>
      <c r="R30" s="113">
        <f>SUM(R10:R29)</f>
        <v>-19183</v>
      </c>
      <c r="S30" s="105"/>
      <c r="T30" s="113">
        <f>SUM(T10:T29)</f>
        <v>-15938</v>
      </c>
      <c r="U30" s="105"/>
      <c r="V30" s="113">
        <f>SUM(V10:V29)</f>
        <v>28309</v>
      </c>
      <c r="W30" s="105"/>
      <c r="X30" s="113">
        <f>SUM(X10:X29)</f>
        <v>52904</v>
      </c>
      <c r="Y30" s="105"/>
      <c r="Z30" s="113">
        <f>SUM(Z10:Z29)</f>
        <v>-19923</v>
      </c>
      <c r="AA30" s="105"/>
      <c r="AB30" s="113">
        <f>SUM(AB10:AB29)</f>
        <v>-15938</v>
      </c>
      <c r="AC30" s="105"/>
      <c r="AD30" s="113">
        <f>SUM(AD10:AD29)</f>
        <v>17043</v>
      </c>
      <c r="AE30" s="71"/>
      <c r="AF30" s="69"/>
    </row>
    <row r="31" spans="1:32" x14ac:dyDescent="0.2">
      <c r="A31" s="2"/>
      <c r="B31" s="2"/>
      <c r="C31" s="2"/>
      <c r="D31" s="2"/>
      <c r="E31" s="2"/>
      <c r="F31" s="2"/>
      <c r="G31" s="2"/>
      <c r="P31" s="2"/>
      <c r="Q31" s="2"/>
      <c r="R31" s="2"/>
      <c r="S31" s="2"/>
      <c r="T31" s="2"/>
      <c r="U31" s="2"/>
      <c r="V31" s="2"/>
      <c r="W31" s="2"/>
      <c r="X31" s="2"/>
      <c r="Y31" s="2"/>
      <c r="Z31" s="2"/>
      <c r="AA31" s="2"/>
      <c r="AB31" s="2"/>
      <c r="AC31" s="2"/>
      <c r="AD31" s="2"/>
      <c r="AE31" s="2"/>
      <c r="AF31" s="2"/>
    </row>
    <row r="32" spans="1:32" x14ac:dyDescent="0.2">
      <c r="A32" s="96"/>
      <c r="B32" s="36"/>
      <c r="C32" s="30" t="s">
        <v>191</v>
      </c>
      <c r="D32" s="19"/>
      <c r="E32" s="19"/>
      <c r="F32" s="85"/>
      <c r="G32" s="20"/>
      <c r="H32" s="97"/>
      <c r="I32" s="97"/>
      <c r="J32" s="97"/>
      <c r="K32" s="97"/>
      <c r="L32" s="97"/>
      <c r="M32" s="97"/>
      <c r="N32" s="97"/>
      <c r="O32" s="97"/>
      <c r="P32" s="97"/>
      <c r="Q32" s="97"/>
      <c r="R32" s="97"/>
      <c r="S32" s="97"/>
      <c r="T32" s="97"/>
      <c r="U32" s="97"/>
      <c r="V32" s="97"/>
      <c r="W32" s="97"/>
      <c r="X32" s="97"/>
      <c r="Y32" s="97"/>
      <c r="Z32" s="97"/>
      <c r="AA32" s="97"/>
      <c r="AB32" s="97"/>
      <c r="AC32" s="97"/>
      <c r="AD32" s="97"/>
      <c r="AE32" s="21"/>
      <c r="AF32" s="19"/>
    </row>
    <row r="33" spans="1:32" x14ac:dyDescent="0.2">
      <c r="A33" s="96">
        <v>11</v>
      </c>
      <c r="B33" s="36"/>
      <c r="C33" s="176" t="e">
        <f ca="1">+#REF!</f>
        <v>#REF!</v>
      </c>
      <c r="D33" s="176" t="e">
        <f ca="1">+#REF!</f>
        <v>#REF!</v>
      </c>
      <c r="E33" s="85"/>
      <c r="F33" s="85" t="e">
        <f ca="1">+#REF!</f>
        <v>#REF!</v>
      </c>
      <c r="G33" s="20"/>
      <c r="H33" s="97" t="e">
        <f ca="1">ROUND(#REF!/1000,0)</f>
        <v>#REF!</v>
      </c>
      <c r="I33" s="97"/>
      <c r="J33" s="97" t="e">
        <f ca="1">ROUND(#REF!/1000,0)</f>
        <v>#REF!</v>
      </c>
      <c r="K33" s="97"/>
      <c r="L33" s="97" t="e">
        <f ca="1">-ROUND((#REF!-#REF!)/1000,0)</f>
        <v>#REF!</v>
      </c>
      <c r="M33" s="97"/>
      <c r="N33" s="97" t="e">
        <f t="shared" ref="N33:N41" si="4">SUM(H33:L33)</f>
        <v>#REF!</v>
      </c>
      <c r="O33" s="97"/>
      <c r="P33" s="97">
        <f>2276-1200</f>
        <v>1076</v>
      </c>
      <c r="Q33" s="97"/>
      <c r="R33" s="97">
        <v>0</v>
      </c>
      <c r="S33" s="97"/>
      <c r="T33" s="97">
        <v>-434</v>
      </c>
      <c r="U33" s="97"/>
      <c r="V33" s="97">
        <f t="shared" ref="V33:V41" si="5">SUM(P33:T33)</f>
        <v>642</v>
      </c>
      <c r="W33" s="97"/>
      <c r="X33" s="97">
        <f>765+600</f>
        <v>1365</v>
      </c>
      <c r="Y33" s="97"/>
      <c r="Z33" s="97">
        <v>0</v>
      </c>
      <c r="AA33" s="97"/>
      <c r="AB33" s="97">
        <v>-434</v>
      </c>
      <c r="AC33" s="97"/>
      <c r="AD33" s="97">
        <f t="shared" ref="AD33:AD41" si="6">SUM(X33:AB33)</f>
        <v>931</v>
      </c>
      <c r="AE33" s="21"/>
      <c r="AF33" s="19" t="s">
        <v>19</v>
      </c>
    </row>
    <row r="34" spans="1:32" x14ac:dyDescent="0.2">
      <c r="A34" s="96">
        <v>11</v>
      </c>
      <c r="B34" s="36"/>
      <c r="C34" s="176" t="e">
        <f ca="1">+#REF!</f>
        <v>#REF!</v>
      </c>
      <c r="D34" s="176" t="e">
        <f ca="1">+#REF!</f>
        <v>#REF!</v>
      </c>
      <c r="E34" s="85"/>
      <c r="F34" s="85" t="e">
        <f ca="1">+#REF!</f>
        <v>#REF!</v>
      </c>
      <c r="G34" s="20"/>
      <c r="H34" s="97" t="e">
        <f ca="1">ROUND(#REF!/1000,0)</f>
        <v>#REF!</v>
      </c>
      <c r="I34" s="97"/>
      <c r="J34" s="97" t="e">
        <f ca="1">ROUND(#REF!/1000,0)</f>
        <v>#REF!</v>
      </c>
      <c r="K34" s="97"/>
      <c r="L34" s="97" t="e">
        <f ca="1">-ROUND((#REF!-#REF!)/1000,0)</f>
        <v>#REF!</v>
      </c>
      <c r="M34" s="97"/>
      <c r="N34" s="97" t="e">
        <f t="shared" si="4"/>
        <v>#REF!</v>
      </c>
      <c r="O34" s="97"/>
      <c r="P34" s="97">
        <v>1431</v>
      </c>
      <c r="Q34" s="97"/>
      <c r="R34" s="97">
        <v>0</v>
      </c>
      <c r="S34" s="97"/>
      <c r="T34" s="97">
        <v>-838</v>
      </c>
      <c r="U34" s="97"/>
      <c r="V34" s="97">
        <f t="shared" si="5"/>
        <v>593</v>
      </c>
      <c r="W34" s="97"/>
      <c r="X34" s="97">
        <v>1311</v>
      </c>
      <c r="Y34" s="97"/>
      <c r="Z34" s="97">
        <v>0</v>
      </c>
      <c r="AA34" s="97"/>
      <c r="AB34" s="97">
        <v>-838</v>
      </c>
      <c r="AC34" s="97"/>
      <c r="AD34" s="97">
        <f t="shared" si="6"/>
        <v>473</v>
      </c>
      <c r="AE34" s="21"/>
      <c r="AF34" s="19" t="s">
        <v>19</v>
      </c>
    </row>
    <row r="35" spans="1:32" x14ac:dyDescent="0.2">
      <c r="A35" s="96">
        <v>11</v>
      </c>
      <c r="B35" s="36"/>
      <c r="C35" s="176" t="e">
        <f ca="1">+#REF!</f>
        <v>#REF!</v>
      </c>
      <c r="D35" s="176" t="e">
        <f ca="1">+#REF!</f>
        <v>#REF!</v>
      </c>
      <c r="E35" s="85"/>
      <c r="F35" s="85" t="e">
        <f ca="1">+#REF!</f>
        <v>#REF!</v>
      </c>
      <c r="G35" s="20"/>
      <c r="H35" s="97" t="e">
        <f ca="1">ROUND(#REF!/1000,0)</f>
        <v>#REF!</v>
      </c>
      <c r="I35" s="97"/>
      <c r="J35" s="97" t="e">
        <f ca="1">ROUND(#REF!/1000,0)</f>
        <v>#REF!</v>
      </c>
      <c r="K35" s="97"/>
      <c r="L35" s="97" t="e">
        <f ca="1">-ROUND((#REF!-#REF!)/1000,0)</f>
        <v>#REF!</v>
      </c>
      <c r="M35" s="97"/>
      <c r="N35" s="97" t="e">
        <f t="shared" si="4"/>
        <v>#REF!</v>
      </c>
      <c r="O35" s="97"/>
      <c r="P35" s="97">
        <v>102</v>
      </c>
      <c r="Q35" s="97"/>
      <c r="R35" s="97">
        <v>0</v>
      </c>
      <c r="S35" s="97"/>
      <c r="T35" s="97">
        <v>0</v>
      </c>
      <c r="U35" s="97"/>
      <c r="V35" s="97">
        <f t="shared" si="5"/>
        <v>102</v>
      </c>
      <c r="W35" s="97"/>
      <c r="X35" s="97">
        <v>50</v>
      </c>
      <c r="Y35" s="97"/>
      <c r="Z35" s="97">
        <v>0</v>
      </c>
      <c r="AA35" s="97"/>
      <c r="AB35" s="97">
        <v>0</v>
      </c>
      <c r="AC35" s="97"/>
      <c r="AD35" s="97">
        <f t="shared" si="6"/>
        <v>50</v>
      </c>
      <c r="AE35" s="21"/>
      <c r="AF35" s="19" t="s">
        <v>19</v>
      </c>
    </row>
    <row r="36" spans="1:32" x14ac:dyDescent="0.2">
      <c r="A36" s="96">
        <v>11</v>
      </c>
      <c r="B36" s="36"/>
      <c r="C36" s="176" t="e">
        <f ca="1">+#REF!</f>
        <v>#REF!</v>
      </c>
      <c r="D36" s="176" t="e">
        <f ca="1">+#REF!</f>
        <v>#REF!</v>
      </c>
      <c r="E36" s="85"/>
      <c r="F36" s="85" t="e">
        <f ca="1">+#REF!</f>
        <v>#REF!</v>
      </c>
      <c r="G36" s="20"/>
      <c r="H36" s="97" t="e">
        <f ca="1">ROUND(#REF!/1000,0)</f>
        <v>#REF!</v>
      </c>
      <c r="I36" s="97"/>
      <c r="J36" s="97" t="e">
        <f ca="1">ROUND(#REF!/1000,0)</f>
        <v>#REF!</v>
      </c>
      <c r="K36" s="97"/>
      <c r="L36" s="97" t="e">
        <f ca="1">-ROUND((#REF!-#REF!)/1000,0)</f>
        <v>#REF!</v>
      </c>
      <c r="M36" s="97"/>
      <c r="N36" s="97" t="e">
        <f t="shared" si="4"/>
        <v>#REF!</v>
      </c>
      <c r="O36" s="97"/>
      <c r="P36" s="97">
        <f>2400+4368+3200</f>
        <v>9968</v>
      </c>
      <c r="Q36" s="97"/>
      <c r="R36" s="97">
        <v>0</v>
      </c>
      <c r="S36" s="97"/>
      <c r="T36" s="97">
        <v>0</v>
      </c>
      <c r="U36" s="97"/>
      <c r="V36" s="97">
        <f t="shared" si="5"/>
        <v>9968</v>
      </c>
      <c r="W36" s="97"/>
      <c r="X36" s="97">
        <f>3000+3000+4000</f>
        <v>10000</v>
      </c>
      <c r="Y36" s="97"/>
      <c r="Z36" s="97">
        <v>0</v>
      </c>
      <c r="AA36" s="97"/>
      <c r="AB36" s="97">
        <v>0</v>
      </c>
      <c r="AC36" s="97"/>
      <c r="AD36" s="97">
        <f t="shared" si="6"/>
        <v>10000</v>
      </c>
      <c r="AE36" s="21"/>
      <c r="AF36" s="19" t="s">
        <v>19</v>
      </c>
    </row>
    <row r="37" spans="1:32" x14ac:dyDescent="0.2">
      <c r="A37" s="96">
        <v>11</v>
      </c>
      <c r="B37" s="36"/>
      <c r="C37" s="176" t="e">
        <f ca="1">+#REF!</f>
        <v>#REF!</v>
      </c>
      <c r="D37" s="176" t="e">
        <f ca="1">+#REF!</f>
        <v>#REF!</v>
      </c>
      <c r="E37" s="85"/>
      <c r="F37" s="85" t="e">
        <f ca="1">+#REF!</f>
        <v>#REF!</v>
      </c>
      <c r="G37" s="20"/>
      <c r="H37" s="97" t="e">
        <f ca="1">ROUND(#REF!/1000,0)</f>
        <v>#REF!</v>
      </c>
      <c r="I37" s="97"/>
      <c r="J37" s="97" t="e">
        <f ca="1">ROUND(#REF!/1000,0)</f>
        <v>#REF!</v>
      </c>
      <c r="K37" s="97"/>
      <c r="L37" s="97" t="e">
        <f ca="1">-ROUND((#REF!-#REF!)/1000,0)</f>
        <v>#REF!</v>
      </c>
      <c r="M37" s="97"/>
      <c r="N37" s="97" t="e">
        <f t="shared" si="4"/>
        <v>#REF!</v>
      </c>
      <c r="O37" s="97"/>
      <c r="P37" s="97">
        <v>810</v>
      </c>
      <c r="Q37" s="97"/>
      <c r="R37" s="97">
        <v>-208</v>
      </c>
      <c r="S37" s="97"/>
      <c r="T37" s="97">
        <v>-12</v>
      </c>
      <c r="U37" s="97"/>
      <c r="V37" s="97">
        <f t="shared" si="5"/>
        <v>590</v>
      </c>
      <c r="W37" s="97"/>
      <c r="X37" s="97">
        <v>485</v>
      </c>
      <c r="Y37" s="97"/>
      <c r="Z37" s="97">
        <v>-208</v>
      </c>
      <c r="AA37" s="97"/>
      <c r="AB37" s="97">
        <v>-12</v>
      </c>
      <c r="AC37" s="97"/>
      <c r="AD37" s="97">
        <f t="shared" si="6"/>
        <v>265</v>
      </c>
      <c r="AE37" s="21"/>
      <c r="AF37" s="19" t="s">
        <v>37</v>
      </c>
    </row>
    <row r="38" spans="1:32" x14ac:dyDescent="0.2">
      <c r="A38" s="96">
        <v>11</v>
      </c>
      <c r="B38" s="36"/>
      <c r="C38" s="176" t="e">
        <f ca="1">+#REF!</f>
        <v>#REF!</v>
      </c>
      <c r="D38" s="176" t="e">
        <f ca="1">+#REF!</f>
        <v>#REF!</v>
      </c>
      <c r="E38" s="85"/>
      <c r="F38" s="85" t="e">
        <f ca="1">+#REF!</f>
        <v>#REF!</v>
      </c>
      <c r="G38" s="20"/>
      <c r="H38" s="97" t="e">
        <f ca="1">ROUND(#REF!/1000,0)</f>
        <v>#REF!</v>
      </c>
      <c r="I38" s="97"/>
      <c r="J38" s="97" t="e">
        <f ca="1">ROUND(#REF!/1000,0)</f>
        <v>#REF!</v>
      </c>
      <c r="K38" s="97"/>
      <c r="L38" s="97" t="e">
        <f ca="1">-ROUND((#REF!-#REF!)/1000,0)</f>
        <v>#REF!</v>
      </c>
      <c r="M38" s="97"/>
      <c r="N38" s="97" t="e">
        <f t="shared" si="4"/>
        <v>#REF!</v>
      </c>
      <c r="O38" s="97"/>
      <c r="P38" s="97">
        <v>1498</v>
      </c>
      <c r="Q38" s="97"/>
      <c r="R38" s="97">
        <v>-1498</v>
      </c>
      <c r="S38" s="97"/>
      <c r="T38" s="97">
        <v>0</v>
      </c>
      <c r="U38" s="97"/>
      <c r="V38" s="97">
        <f t="shared" si="5"/>
        <v>0</v>
      </c>
      <c r="W38" s="97"/>
      <c r="X38" s="97">
        <v>1550</v>
      </c>
      <c r="Y38" s="97"/>
      <c r="Z38" s="97">
        <v>0</v>
      </c>
      <c r="AA38" s="97"/>
      <c r="AB38" s="97">
        <v>0</v>
      </c>
      <c r="AC38" s="97"/>
      <c r="AD38" s="97">
        <f t="shared" si="6"/>
        <v>1550</v>
      </c>
      <c r="AE38" s="21"/>
      <c r="AF38" s="19" t="s">
        <v>19</v>
      </c>
    </row>
    <row r="39" spans="1:32" x14ac:dyDescent="0.2">
      <c r="A39" s="96">
        <v>11</v>
      </c>
      <c r="B39" s="36"/>
      <c r="C39" s="176" t="e">
        <f ca="1">+#REF!</f>
        <v>#REF!</v>
      </c>
      <c r="D39" s="176" t="e">
        <f ca="1">+#REF!</f>
        <v>#REF!</v>
      </c>
      <c r="E39" s="85"/>
      <c r="F39" s="85" t="e">
        <f ca="1">+#REF!</f>
        <v>#REF!</v>
      </c>
      <c r="G39" s="20"/>
      <c r="H39" s="97" t="e">
        <f ca="1">ROUND(#REF!/1000,0)</f>
        <v>#REF!</v>
      </c>
      <c r="I39" s="97"/>
      <c r="J39" s="97" t="e">
        <f ca="1">ROUND(#REF!/1000,0)</f>
        <v>#REF!</v>
      </c>
      <c r="K39" s="97"/>
      <c r="L39" s="97" t="e">
        <f ca="1">-ROUND((#REF!-#REF!)/1000,0)</f>
        <v>#REF!</v>
      </c>
      <c r="M39" s="97"/>
      <c r="N39" s="97" t="e">
        <f>SUM(H39:L39)</f>
        <v>#REF!</v>
      </c>
      <c r="O39" s="97"/>
      <c r="P39" s="97">
        <v>322</v>
      </c>
      <c r="Q39" s="97"/>
      <c r="R39" s="97">
        <v>-82</v>
      </c>
      <c r="S39" s="97"/>
      <c r="T39" s="97">
        <v>-14</v>
      </c>
      <c r="U39" s="97"/>
      <c r="V39" s="97">
        <f>SUM(P39:T39)</f>
        <v>226</v>
      </c>
      <c r="W39" s="97"/>
      <c r="X39" s="97">
        <v>313</v>
      </c>
      <c r="Y39" s="97"/>
      <c r="Z39" s="97">
        <v>-82</v>
      </c>
      <c r="AA39" s="97"/>
      <c r="AB39" s="97">
        <v>-14</v>
      </c>
      <c r="AC39" s="97"/>
      <c r="AD39" s="97">
        <f>SUM(X39:AB39)</f>
        <v>217</v>
      </c>
      <c r="AE39" s="21"/>
      <c r="AF39" s="19" t="s">
        <v>37</v>
      </c>
    </row>
    <row r="40" spans="1:32" x14ac:dyDescent="0.2">
      <c r="A40" s="96">
        <v>11</v>
      </c>
      <c r="B40" s="36"/>
      <c r="C40" s="178" t="e">
        <f ca="1">+#REF!</f>
        <v>#REF!</v>
      </c>
      <c r="D40" s="178" t="e">
        <f ca="1">+#REF!</f>
        <v>#REF!</v>
      </c>
      <c r="E40" s="86"/>
      <c r="F40" s="86" t="e">
        <f ca="1">+#REF!</f>
        <v>#REF!</v>
      </c>
      <c r="G40" s="23"/>
      <c r="H40" s="97" t="e">
        <f ca="1">ROUND(#REF!/1000,0)</f>
        <v>#REF!</v>
      </c>
      <c r="I40" s="97"/>
      <c r="J40" s="97" t="e">
        <f ca="1">ROUND(#REF!/1000,0)</f>
        <v>#REF!</v>
      </c>
      <c r="K40" s="97"/>
      <c r="L40" s="97" t="e">
        <f ca="1">-ROUND((#REF!-#REF!)/1000,0)</f>
        <v>#REF!</v>
      </c>
      <c r="M40" s="97"/>
      <c r="N40" s="97" t="e">
        <f>SUM(H40:L40)</f>
        <v>#REF!</v>
      </c>
      <c r="O40" s="97"/>
      <c r="P40" s="97">
        <v>0</v>
      </c>
      <c r="Q40" s="97"/>
      <c r="R40" s="97">
        <v>0</v>
      </c>
      <c r="S40" s="97"/>
      <c r="T40" s="97">
        <v>0</v>
      </c>
      <c r="U40" s="97"/>
      <c r="V40" s="97">
        <f>SUM(P40:T40)</f>
        <v>0</v>
      </c>
      <c r="W40" s="97"/>
      <c r="X40" s="97">
        <v>0</v>
      </c>
      <c r="Y40" s="97"/>
      <c r="Z40" s="97">
        <v>0</v>
      </c>
      <c r="AA40" s="97"/>
      <c r="AB40" s="97">
        <v>0</v>
      </c>
      <c r="AC40" s="97"/>
      <c r="AD40" s="97">
        <f>SUM(X40:AB40)</f>
        <v>0</v>
      </c>
      <c r="AE40" s="21"/>
      <c r="AF40" s="19"/>
    </row>
    <row r="41" spans="1:32" x14ac:dyDescent="0.2">
      <c r="A41" s="96">
        <v>11</v>
      </c>
      <c r="B41" s="36"/>
      <c r="C41" s="176" t="e">
        <f ca="1">+#REF!</f>
        <v>#REF!</v>
      </c>
      <c r="D41" s="176" t="e">
        <f ca="1">+#REF!</f>
        <v>#REF!</v>
      </c>
      <c r="E41" s="85"/>
      <c r="F41" s="85" t="e">
        <f ca="1">+#REF!</f>
        <v>#REF!</v>
      </c>
      <c r="G41" s="20"/>
      <c r="H41" s="97" t="e">
        <f ca="1">ROUND(#REF!/1000,0)</f>
        <v>#REF!</v>
      </c>
      <c r="I41" s="97"/>
      <c r="J41" s="97" t="e">
        <f ca="1">ROUND(#REF!/1000,0)</f>
        <v>#REF!</v>
      </c>
      <c r="K41" s="97"/>
      <c r="L41" s="97" t="e">
        <f ca="1">-ROUND((#REF!-#REF!)/1000,0)</f>
        <v>#REF!</v>
      </c>
      <c r="M41" s="97"/>
      <c r="N41" s="97" t="e">
        <f t="shared" si="4"/>
        <v>#REF!</v>
      </c>
      <c r="O41" s="97"/>
      <c r="P41" s="97">
        <v>4169</v>
      </c>
      <c r="Q41" s="97"/>
      <c r="R41" s="97">
        <v>-644</v>
      </c>
      <c r="S41" s="97"/>
      <c r="T41" s="97">
        <v>0</v>
      </c>
      <c r="U41" s="97"/>
      <c r="V41" s="97">
        <f t="shared" si="5"/>
        <v>3525</v>
      </c>
      <c r="W41" s="97"/>
      <c r="X41" s="97">
        <v>3256</v>
      </c>
      <c r="Y41" s="97"/>
      <c r="Z41" s="97">
        <v>-2142</v>
      </c>
      <c r="AA41" s="97"/>
      <c r="AB41" s="97">
        <v>0</v>
      </c>
      <c r="AC41" s="97"/>
      <c r="AD41" s="97">
        <f t="shared" si="6"/>
        <v>1114</v>
      </c>
      <c r="AE41" s="21"/>
      <c r="AF41" s="19" t="s">
        <v>92</v>
      </c>
    </row>
    <row r="42" spans="1:32" x14ac:dyDescent="0.2">
      <c r="A42" s="96">
        <v>11</v>
      </c>
      <c r="B42" s="36"/>
      <c r="C42" s="176" t="e">
        <f ca="1">+#REF!</f>
        <v>#REF!</v>
      </c>
      <c r="D42" s="176" t="e">
        <f ca="1">+#REF!</f>
        <v>#REF!</v>
      </c>
      <c r="E42" s="85"/>
      <c r="F42" s="85" t="e">
        <f ca="1">+#REF!</f>
        <v>#REF!</v>
      </c>
      <c r="G42" s="20"/>
      <c r="H42" s="97" t="e">
        <f ca="1">ROUND(#REF!/1000,0)</f>
        <v>#REF!</v>
      </c>
      <c r="I42" s="97"/>
      <c r="J42" s="97" t="e">
        <f ca="1">ROUND(#REF!/1000,0)</f>
        <v>#REF!</v>
      </c>
      <c r="K42" s="97"/>
      <c r="L42" s="97" t="e">
        <f ca="1">-ROUND((#REF!-#REF!)/1000,0)</f>
        <v>#REF!</v>
      </c>
      <c r="M42" s="97"/>
      <c r="N42" s="97" t="e">
        <f>SUM(H42:L42)</f>
        <v>#REF!</v>
      </c>
      <c r="O42" s="97"/>
      <c r="P42" s="97">
        <v>550</v>
      </c>
      <c r="Q42" s="97"/>
      <c r="R42" s="97">
        <v>0</v>
      </c>
      <c r="S42" s="97"/>
      <c r="T42" s="97">
        <v>-218</v>
      </c>
      <c r="U42" s="97"/>
      <c r="V42" s="97">
        <f>SUM(P42:T42)</f>
        <v>332</v>
      </c>
      <c r="W42" s="97"/>
      <c r="X42" s="97">
        <v>350</v>
      </c>
      <c r="Y42" s="97"/>
      <c r="Z42" s="97">
        <v>0</v>
      </c>
      <c r="AA42" s="97"/>
      <c r="AB42" s="97">
        <v>-218</v>
      </c>
      <c r="AC42" s="97"/>
      <c r="AD42" s="97">
        <f>SUM(X42:AB42)</f>
        <v>132</v>
      </c>
      <c r="AE42" s="21"/>
      <c r="AF42" s="19" t="s">
        <v>19</v>
      </c>
    </row>
    <row r="43" spans="1:32" x14ac:dyDescent="0.2">
      <c r="A43" s="96">
        <v>11</v>
      </c>
      <c r="B43" s="36"/>
      <c r="C43" s="176" t="e">
        <f ca="1">+#REF!</f>
        <v>#REF!</v>
      </c>
      <c r="D43" s="176" t="e">
        <f ca="1">+#REF!</f>
        <v>#REF!</v>
      </c>
      <c r="E43" s="85"/>
      <c r="F43" s="85" t="e">
        <f ca="1">+#REF!</f>
        <v>#REF!</v>
      </c>
      <c r="G43" s="20"/>
      <c r="H43" s="97" t="e">
        <f ca="1">ROUND(#REF!/1000,0)</f>
        <v>#REF!</v>
      </c>
      <c r="I43" s="97"/>
      <c r="J43" s="97" t="e">
        <f ca="1">ROUND(#REF!/1000,0)</f>
        <v>#REF!</v>
      </c>
      <c r="K43" s="97"/>
      <c r="L43" s="97" t="e">
        <f ca="1">-ROUND((#REF!-#REF!)/1000,0)</f>
        <v>#REF!</v>
      </c>
      <c r="M43" s="97"/>
      <c r="N43" s="97" t="e">
        <f>SUM(H43:L43)</f>
        <v>#REF!</v>
      </c>
      <c r="O43" s="97"/>
      <c r="P43" s="97">
        <v>494</v>
      </c>
      <c r="Q43" s="97"/>
      <c r="R43" s="97">
        <v>-484</v>
      </c>
      <c r="S43" s="97"/>
      <c r="T43" s="97">
        <v>0</v>
      </c>
      <c r="U43" s="97"/>
      <c r="V43" s="97">
        <f>SUM(P43:T43)</f>
        <v>10</v>
      </c>
      <c r="W43" s="97"/>
      <c r="X43" s="97">
        <v>485</v>
      </c>
      <c r="Y43" s="97"/>
      <c r="Z43" s="97">
        <v>-485</v>
      </c>
      <c r="AA43" s="97"/>
      <c r="AB43" s="97">
        <v>0</v>
      </c>
      <c r="AC43" s="97"/>
      <c r="AD43" s="97">
        <f>SUM(X43:AB43)</f>
        <v>0</v>
      </c>
      <c r="AE43" s="21"/>
      <c r="AF43" s="19" t="s">
        <v>39</v>
      </c>
    </row>
    <row r="44" spans="1:32" x14ac:dyDescent="0.2">
      <c r="A44" s="96">
        <v>11</v>
      </c>
      <c r="B44" s="36"/>
      <c r="C44" s="176" t="e">
        <f ca="1">+#REF!</f>
        <v>#REF!</v>
      </c>
      <c r="D44" s="176" t="e">
        <f ca="1">+#REF!</f>
        <v>#REF!</v>
      </c>
      <c r="E44" s="85"/>
      <c r="F44" s="85" t="e">
        <f ca="1">+#REF!</f>
        <v>#REF!</v>
      </c>
      <c r="G44" s="20"/>
      <c r="H44" s="97" t="e">
        <f ca="1">ROUND(#REF!/1000,0)</f>
        <v>#REF!</v>
      </c>
      <c r="I44" s="97"/>
      <c r="J44" s="97" t="e">
        <f ca="1">ROUND(#REF!/1000,0)</f>
        <v>#REF!</v>
      </c>
      <c r="K44" s="97"/>
      <c r="L44" s="97" t="e">
        <f ca="1">-ROUND((#REF!-#REF!)/1000,0)</f>
        <v>#REF!</v>
      </c>
      <c r="M44" s="97"/>
      <c r="N44" s="97" t="e">
        <f>SUM(H44:L44)</f>
        <v>#REF!</v>
      </c>
      <c r="O44" s="97"/>
      <c r="P44" s="97">
        <v>723</v>
      </c>
      <c r="Q44" s="97"/>
      <c r="R44" s="97">
        <v>0</v>
      </c>
      <c r="S44" s="97"/>
      <c r="T44" s="97">
        <v>-328</v>
      </c>
      <c r="U44" s="97"/>
      <c r="V44" s="97">
        <f>SUM(P44:T44)</f>
        <v>395</v>
      </c>
      <c r="W44" s="97"/>
      <c r="X44" s="97">
        <v>525</v>
      </c>
      <c r="Y44" s="97"/>
      <c r="Z44" s="97">
        <v>0</v>
      </c>
      <c r="AA44" s="97"/>
      <c r="AB44" s="97">
        <v>-328</v>
      </c>
      <c r="AC44" s="97"/>
      <c r="AD44" s="97">
        <f>SUM(X44:AB44)</f>
        <v>197</v>
      </c>
      <c r="AE44" s="21"/>
      <c r="AF44" s="19" t="s">
        <v>19</v>
      </c>
    </row>
    <row r="45" spans="1:32" x14ac:dyDescent="0.2">
      <c r="A45" s="96">
        <v>11</v>
      </c>
      <c r="B45" s="36"/>
      <c r="C45" s="176" t="e">
        <f ca="1">+#REF!</f>
        <v>#REF!</v>
      </c>
      <c r="D45" s="176" t="e">
        <f ca="1">+#REF!</f>
        <v>#REF!</v>
      </c>
      <c r="E45" s="85"/>
      <c r="F45" s="85" t="e">
        <f ca="1">+#REF!</f>
        <v>#REF!</v>
      </c>
      <c r="G45" s="20"/>
      <c r="H45" s="97" t="e">
        <f ca="1">ROUND(#REF!/1000,0)</f>
        <v>#REF!</v>
      </c>
      <c r="I45" s="97"/>
      <c r="J45" s="97" t="e">
        <f ca="1">ROUND(#REF!/1000,0)</f>
        <v>#REF!</v>
      </c>
      <c r="K45" s="97"/>
      <c r="L45" s="97" t="e">
        <f ca="1">-ROUND((#REF!-#REF!)/1000,0)</f>
        <v>#REF!</v>
      </c>
      <c r="M45" s="97"/>
      <c r="N45" s="97" t="e">
        <f>SUM(H45:L45)</f>
        <v>#REF!</v>
      </c>
      <c r="O45" s="97"/>
      <c r="P45" s="97">
        <v>2594</v>
      </c>
      <c r="Q45" s="97"/>
      <c r="R45" s="97">
        <v>0</v>
      </c>
      <c r="S45" s="97"/>
      <c r="T45" s="97">
        <v>-1766</v>
      </c>
      <c r="U45" s="97"/>
      <c r="V45" s="97">
        <f>SUM(P45:T45)</f>
        <v>828</v>
      </c>
      <c r="W45" s="97"/>
      <c r="X45" s="97">
        <v>2612</v>
      </c>
      <c r="Y45" s="97"/>
      <c r="Z45" s="97">
        <v>0</v>
      </c>
      <c r="AA45" s="97"/>
      <c r="AB45" s="97">
        <v>-1766</v>
      </c>
      <c r="AC45" s="97"/>
      <c r="AD45" s="97">
        <f>SUM(X45:AB45)</f>
        <v>846</v>
      </c>
      <c r="AE45" s="21"/>
      <c r="AF45" s="19" t="s">
        <v>90</v>
      </c>
    </row>
    <row r="46" spans="1:32" x14ac:dyDescent="0.2">
      <c r="A46" s="96">
        <v>49</v>
      </c>
      <c r="B46" s="36"/>
      <c r="C46" s="176" t="e">
        <f ca="1">+#REF!</f>
        <v>#REF!</v>
      </c>
      <c r="D46" s="176" t="e">
        <f ca="1">+#REF!</f>
        <v>#REF!</v>
      </c>
      <c r="E46" s="85"/>
      <c r="F46" s="85" t="e">
        <f ca="1">+#REF!</f>
        <v>#REF!</v>
      </c>
      <c r="G46" s="20"/>
      <c r="H46" s="97" t="e">
        <f ca="1">ROUND(#REF!/1000,0)</f>
        <v>#REF!</v>
      </c>
      <c r="I46" s="97"/>
      <c r="J46" s="97" t="e">
        <f ca="1">ROUND(#REF!/1000,0)</f>
        <v>#REF!</v>
      </c>
      <c r="K46" s="97"/>
      <c r="L46" s="97" t="e">
        <f ca="1">-ROUND((#REF!-#REF!)/1000,0)</f>
        <v>#REF!</v>
      </c>
      <c r="M46" s="97"/>
      <c r="N46" s="97" t="e">
        <f>SUM(H46:L46)</f>
        <v>#REF!</v>
      </c>
      <c r="O46" s="97"/>
      <c r="P46" s="97">
        <v>275</v>
      </c>
      <c r="Q46" s="97"/>
      <c r="R46" s="97">
        <v>-275</v>
      </c>
      <c r="S46" s="97"/>
      <c r="T46" s="97">
        <v>0</v>
      </c>
      <c r="U46" s="97"/>
      <c r="V46" s="97">
        <f>SUM(P46:T46)</f>
        <v>0</v>
      </c>
      <c r="W46" s="97"/>
      <c r="X46" s="97">
        <v>915</v>
      </c>
      <c r="Y46" s="97"/>
      <c r="Z46" s="97">
        <v>-915</v>
      </c>
      <c r="AA46" s="97"/>
      <c r="AB46" s="97">
        <v>0</v>
      </c>
      <c r="AC46" s="97"/>
      <c r="AD46" s="97">
        <f>SUM(X46:AB46)</f>
        <v>0</v>
      </c>
      <c r="AE46" s="21"/>
      <c r="AF46" s="19" t="s">
        <v>171</v>
      </c>
    </row>
    <row r="47" spans="1:32" ht="6" customHeight="1" x14ac:dyDescent="0.2">
      <c r="A47" s="96"/>
      <c r="B47" s="36"/>
      <c r="C47" s="19"/>
      <c r="D47" s="19"/>
      <c r="E47" s="19"/>
      <c r="F47" s="85"/>
      <c r="G47" s="20"/>
      <c r="H47" s="99"/>
      <c r="I47" s="97"/>
      <c r="J47" s="99"/>
      <c r="K47" s="97"/>
      <c r="L47" s="99"/>
      <c r="M47" s="97"/>
      <c r="N47" s="99"/>
      <c r="O47" s="97"/>
      <c r="P47" s="99"/>
      <c r="Q47" s="97"/>
      <c r="R47" s="99"/>
      <c r="S47" s="97"/>
      <c r="T47" s="99"/>
      <c r="U47" s="97"/>
      <c r="V47" s="99"/>
      <c r="W47" s="97"/>
      <c r="X47" s="99"/>
      <c r="Y47" s="97"/>
      <c r="Z47" s="99"/>
      <c r="AA47" s="97"/>
      <c r="AB47" s="99"/>
      <c r="AC47" s="97"/>
      <c r="AD47" s="99"/>
      <c r="AE47" s="21"/>
      <c r="AF47" s="19"/>
    </row>
    <row r="48" spans="1:32" x14ac:dyDescent="0.2">
      <c r="A48" s="96"/>
      <c r="B48" s="36"/>
      <c r="C48" s="19" t="s">
        <v>223</v>
      </c>
      <c r="D48" s="19"/>
      <c r="E48" s="19"/>
      <c r="F48" s="85"/>
      <c r="G48" s="20"/>
      <c r="H48" s="100" t="e">
        <f>SUM(H33:H47)</f>
        <v>#REF!</v>
      </c>
      <c r="I48" s="97"/>
      <c r="J48" s="100" t="e">
        <f>SUM(J33:J47)</f>
        <v>#REF!</v>
      </c>
      <c r="K48" s="97"/>
      <c r="L48" s="100" t="e">
        <f>SUM(L33:L47)</f>
        <v>#REF!</v>
      </c>
      <c r="M48" s="97"/>
      <c r="N48" s="100" t="e">
        <f>SUM(N33:N47)</f>
        <v>#REF!</v>
      </c>
      <c r="O48" s="97"/>
      <c r="P48" s="100">
        <f>SUM(P33:P47)</f>
        <v>24012</v>
      </c>
      <c r="Q48" s="97"/>
      <c r="R48" s="100">
        <f>SUM(R33:R47)</f>
        <v>-3191</v>
      </c>
      <c r="S48" s="97"/>
      <c r="T48" s="100">
        <f>SUM(T33:T47)</f>
        <v>-3610</v>
      </c>
      <c r="U48" s="97"/>
      <c r="V48" s="100">
        <f>SUM(V33:V47)</f>
        <v>17211</v>
      </c>
      <c r="W48" s="97"/>
      <c r="X48" s="100">
        <f>SUM(X33:X47)</f>
        <v>23217</v>
      </c>
      <c r="Y48" s="97"/>
      <c r="Z48" s="100">
        <f>SUM(Z33:Z47)</f>
        <v>-3832</v>
      </c>
      <c r="AA48" s="97"/>
      <c r="AB48" s="100">
        <f>SUM(AB33:AB47)</f>
        <v>-3610</v>
      </c>
      <c r="AC48" s="97"/>
      <c r="AD48" s="100">
        <f>SUM(AD33:AD47)</f>
        <v>15775</v>
      </c>
      <c r="AE48" s="21"/>
      <c r="AF48" s="19"/>
    </row>
    <row r="49" spans="1:32" x14ac:dyDescent="0.2">
      <c r="A49" s="96"/>
      <c r="B49" s="36"/>
      <c r="C49" s="19"/>
      <c r="D49" s="19"/>
      <c r="E49" s="19"/>
      <c r="F49" s="85"/>
      <c r="G49" s="20"/>
      <c r="H49" s="97"/>
      <c r="I49" s="97"/>
      <c r="J49" s="97"/>
      <c r="K49" s="97"/>
      <c r="L49" s="97"/>
      <c r="M49" s="97"/>
      <c r="N49" s="97"/>
      <c r="O49" s="97"/>
      <c r="P49" s="97"/>
      <c r="Q49" s="97"/>
      <c r="R49" s="97"/>
      <c r="S49" s="97"/>
      <c r="T49" s="97"/>
      <c r="U49" s="97"/>
      <c r="V49" s="97"/>
      <c r="W49" s="97"/>
      <c r="X49" s="97"/>
      <c r="Y49" s="97"/>
      <c r="Z49" s="97"/>
      <c r="AA49" s="97"/>
      <c r="AB49" s="97"/>
      <c r="AC49" s="97"/>
      <c r="AD49" s="97"/>
      <c r="AE49" s="21"/>
      <c r="AF49" s="19"/>
    </row>
    <row r="50" spans="1:32" x14ac:dyDescent="0.2">
      <c r="A50" s="96"/>
      <c r="B50" s="36"/>
      <c r="C50" s="30" t="s">
        <v>192</v>
      </c>
      <c r="D50" s="19"/>
      <c r="E50" s="19"/>
      <c r="F50" s="85"/>
      <c r="G50" s="20"/>
      <c r="H50" s="97"/>
      <c r="I50" s="97"/>
      <c r="J50" s="97"/>
      <c r="K50" s="97"/>
      <c r="L50" s="97"/>
      <c r="M50" s="97"/>
      <c r="N50" s="97"/>
      <c r="O50" s="97"/>
      <c r="P50" s="97"/>
      <c r="Q50" s="97"/>
      <c r="R50" s="97"/>
      <c r="S50" s="97"/>
      <c r="T50" s="97"/>
      <c r="U50" s="97"/>
      <c r="V50" s="97"/>
      <c r="W50" s="97"/>
      <c r="X50" s="97"/>
      <c r="Y50" s="97"/>
      <c r="Z50" s="97"/>
      <c r="AA50" s="97"/>
      <c r="AB50" s="97"/>
      <c r="AC50" s="97"/>
      <c r="AD50" s="97"/>
      <c r="AE50" s="21"/>
      <c r="AF50" s="19"/>
    </row>
    <row r="51" spans="1:32" x14ac:dyDescent="0.2">
      <c r="A51" s="96">
        <v>11</v>
      </c>
      <c r="B51" s="36"/>
      <c r="C51" s="176" t="e">
        <f ca="1">+#REF!</f>
        <v>#REF!</v>
      </c>
      <c r="D51" s="176" t="e">
        <f ca="1">+#REF!</f>
        <v>#REF!</v>
      </c>
      <c r="E51" s="85"/>
      <c r="F51" s="85" t="e">
        <f ca="1">+#REF!</f>
        <v>#REF!</v>
      </c>
      <c r="G51" s="20"/>
      <c r="H51" s="97" t="e">
        <f ca="1">ROUND(#REF!/1000,0)</f>
        <v>#REF!</v>
      </c>
      <c r="I51" s="97"/>
      <c r="J51" s="97" t="e">
        <f ca="1">ROUND(#REF!/1000,0)</f>
        <v>#REF!</v>
      </c>
      <c r="K51" s="97"/>
      <c r="L51" s="97" t="e">
        <f ca="1">-ROUND((#REF!-#REF!)/1000,0)</f>
        <v>#REF!</v>
      </c>
      <c r="M51" s="97"/>
      <c r="N51" s="97" t="e">
        <f>SUM(H51:L51)</f>
        <v>#REF!</v>
      </c>
      <c r="O51" s="97"/>
      <c r="P51" s="97">
        <v>761</v>
      </c>
      <c r="Q51" s="97"/>
      <c r="R51" s="97">
        <v>0</v>
      </c>
      <c r="S51" s="97"/>
      <c r="T51" s="97">
        <v>-243</v>
      </c>
      <c r="U51" s="97"/>
      <c r="V51" s="97">
        <f>SUM(P51:T51)</f>
        <v>518</v>
      </c>
      <c r="W51" s="97"/>
      <c r="X51" s="97">
        <v>457</v>
      </c>
      <c r="Y51" s="97"/>
      <c r="Z51" s="97">
        <v>0</v>
      </c>
      <c r="AA51" s="97"/>
      <c r="AB51" s="97">
        <v>-243</v>
      </c>
      <c r="AC51" s="97"/>
      <c r="AD51" s="97">
        <f>SUM(X51:AB51)</f>
        <v>214</v>
      </c>
      <c r="AE51" s="21"/>
      <c r="AF51" s="19" t="s">
        <v>19</v>
      </c>
    </row>
    <row r="52" spans="1:32" x14ac:dyDescent="0.2">
      <c r="A52" s="96">
        <v>11</v>
      </c>
      <c r="B52" s="36"/>
      <c r="C52" s="176" t="e">
        <f ca="1">+#REF!</f>
        <v>#REF!</v>
      </c>
      <c r="D52" s="176" t="e">
        <f ca="1">+#REF!</f>
        <v>#REF!</v>
      </c>
      <c r="E52" s="85"/>
      <c r="F52" s="85" t="e">
        <f ca="1">+#REF!</f>
        <v>#REF!</v>
      </c>
      <c r="G52" s="20"/>
      <c r="H52" s="97" t="e">
        <f ca="1">ROUND(#REF!/1000,0)</f>
        <v>#REF!</v>
      </c>
      <c r="I52" s="97"/>
      <c r="J52" s="97" t="e">
        <f ca="1">ROUND(#REF!/1000,0)</f>
        <v>#REF!</v>
      </c>
      <c r="K52" s="97"/>
      <c r="L52" s="97" t="e">
        <f ca="1">-ROUND((#REF!-#REF!)/1000,0)</f>
        <v>#REF!</v>
      </c>
      <c r="M52" s="97"/>
      <c r="N52" s="97" t="e">
        <f>SUM(H52:L52)</f>
        <v>#REF!</v>
      </c>
      <c r="O52" s="97"/>
      <c r="P52" s="97">
        <v>327</v>
      </c>
      <c r="Q52" s="97"/>
      <c r="R52" s="97">
        <v>0</v>
      </c>
      <c r="S52" s="97"/>
      <c r="T52" s="97">
        <v>-146</v>
      </c>
      <c r="U52" s="97"/>
      <c r="V52" s="97">
        <f>SUM(P52:T52)</f>
        <v>181</v>
      </c>
      <c r="W52" s="97"/>
      <c r="X52" s="97">
        <v>344</v>
      </c>
      <c r="Y52" s="97"/>
      <c r="Z52" s="97">
        <v>0</v>
      </c>
      <c r="AA52" s="97"/>
      <c r="AB52" s="97">
        <v>-146</v>
      </c>
      <c r="AC52" s="97"/>
      <c r="AD52" s="97">
        <f>SUM(X52:AB52)</f>
        <v>198</v>
      </c>
      <c r="AE52" s="21"/>
      <c r="AF52" s="19" t="s">
        <v>19</v>
      </c>
    </row>
    <row r="53" spans="1:32" ht="6" customHeight="1" x14ac:dyDescent="0.2">
      <c r="A53" s="96"/>
      <c r="B53" s="36"/>
      <c r="C53" s="19"/>
      <c r="D53" s="19"/>
      <c r="E53" s="19"/>
      <c r="F53" s="85"/>
      <c r="G53" s="20"/>
      <c r="H53" s="99"/>
      <c r="I53" s="97"/>
      <c r="J53" s="99"/>
      <c r="K53" s="97"/>
      <c r="L53" s="99"/>
      <c r="M53" s="97"/>
      <c r="N53" s="99"/>
      <c r="O53" s="97"/>
      <c r="P53" s="99"/>
      <c r="Q53" s="97"/>
      <c r="R53" s="99"/>
      <c r="S53" s="97"/>
      <c r="T53" s="99"/>
      <c r="U53" s="97"/>
      <c r="V53" s="99"/>
      <c r="W53" s="97"/>
      <c r="X53" s="99"/>
      <c r="Y53" s="97"/>
      <c r="Z53" s="99"/>
      <c r="AA53" s="97"/>
      <c r="AB53" s="99"/>
      <c r="AC53" s="97"/>
      <c r="AD53" s="99"/>
      <c r="AE53" s="21"/>
      <c r="AF53" s="19"/>
    </row>
    <row r="54" spans="1:32" x14ac:dyDescent="0.2">
      <c r="A54" s="96"/>
      <c r="B54" s="36"/>
      <c r="C54" s="19" t="s">
        <v>224</v>
      </c>
      <c r="D54" s="19"/>
      <c r="E54" s="19"/>
      <c r="F54" s="85"/>
      <c r="G54" s="20"/>
      <c r="H54" s="100" t="e">
        <f>SUM(H51:H53)</f>
        <v>#REF!</v>
      </c>
      <c r="I54" s="97"/>
      <c r="J54" s="100" t="e">
        <f>SUM(J51:J53)</f>
        <v>#REF!</v>
      </c>
      <c r="K54" s="97"/>
      <c r="L54" s="100" t="e">
        <f>SUM(L51:L53)</f>
        <v>#REF!</v>
      </c>
      <c r="M54" s="97"/>
      <c r="N54" s="100" t="e">
        <f>SUM(N51:N53)</f>
        <v>#REF!</v>
      </c>
      <c r="O54" s="97"/>
      <c r="P54" s="100">
        <f>SUM(P51:P53)</f>
        <v>1088</v>
      </c>
      <c r="Q54" s="97"/>
      <c r="R54" s="100">
        <f>SUM(R51:R53)</f>
        <v>0</v>
      </c>
      <c r="S54" s="97"/>
      <c r="T54" s="100">
        <f>SUM(T51:T53)</f>
        <v>-389</v>
      </c>
      <c r="U54" s="97"/>
      <c r="V54" s="100">
        <f>SUM(V51:V53)</f>
        <v>699</v>
      </c>
      <c r="W54" s="97"/>
      <c r="X54" s="100">
        <f>SUM(X51:X53)</f>
        <v>801</v>
      </c>
      <c r="Y54" s="97"/>
      <c r="Z54" s="100">
        <f>SUM(Z51:Z53)</f>
        <v>0</v>
      </c>
      <c r="AA54" s="97"/>
      <c r="AB54" s="100">
        <f>SUM(AB51:AB53)</f>
        <v>-389</v>
      </c>
      <c r="AC54" s="97"/>
      <c r="AD54" s="100">
        <f>SUM(AD51:AD53)</f>
        <v>412</v>
      </c>
      <c r="AE54" s="21"/>
      <c r="AF54" s="19"/>
    </row>
    <row r="55" spans="1:32" ht="12.75" customHeight="1" x14ac:dyDescent="0.2">
      <c r="A55" s="96"/>
      <c r="B55" s="36"/>
      <c r="C55" s="29"/>
      <c r="D55" s="2"/>
      <c r="E55" s="2"/>
      <c r="F55" s="86"/>
      <c r="G55" s="23"/>
      <c r="H55" s="97"/>
      <c r="I55" s="97"/>
      <c r="J55" s="97"/>
      <c r="K55" s="97"/>
      <c r="L55" s="97"/>
      <c r="M55" s="97"/>
      <c r="N55" s="97"/>
      <c r="O55" s="97"/>
      <c r="P55" s="97"/>
      <c r="Q55" s="97"/>
      <c r="R55" s="97"/>
      <c r="S55" s="97"/>
      <c r="T55" s="97"/>
      <c r="U55" s="97"/>
      <c r="V55" s="97"/>
      <c r="W55" s="97"/>
      <c r="X55" s="97"/>
      <c r="Y55" s="97"/>
      <c r="Z55" s="97"/>
      <c r="AA55" s="97"/>
      <c r="AB55" s="97"/>
      <c r="AC55" s="97"/>
      <c r="AD55" s="97"/>
      <c r="AE55" s="21"/>
      <c r="AF55" s="19"/>
    </row>
    <row r="56" spans="1:32" s="114" customFormat="1" ht="11.25" customHeight="1" x14ac:dyDescent="0.2">
      <c r="A56" s="104"/>
      <c r="B56" s="68"/>
      <c r="C56" s="115" t="s">
        <v>202</v>
      </c>
      <c r="D56" s="72"/>
      <c r="E56" s="72"/>
      <c r="F56" s="107"/>
      <c r="G56" s="108"/>
      <c r="H56" s="113" t="e">
        <f>+H48+H54</f>
        <v>#REF!</v>
      </c>
      <c r="I56" s="105"/>
      <c r="J56" s="113" t="e">
        <f>+J48+J54</f>
        <v>#REF!</v>
      </c>
      <c r="K56" s="105"/>
      <c r="L56" s="113" t="e">
        <f>+L48+L54</f>
        <v>#REF!</v>
      </c>
      <c r="M56" s="105"/>
      <c r="N56" s="113" t="e">
        <f>+N48+N54</f>
        <v>#REF!</v>
      </c>
      <c r="O56" s="105"/>
      <c r="P56" s="113">
        <f>+P48+P54</f>
        <v>25100</v>
      </c>
      <c r="Q56" s="105"/>
      <c r="R56" s="113">
        <f>+R48+R54</f>
        <v>-3191</v>
      </c>
      <c r="S56" s="105"/>
      <c r="T56" s="113">
        <f>+T48+T54</f>
        <v>-3999</v>
      </c>
      <c r="U56" s="105"/>
      <c r="V56" s="113">
        <f>+V48+V54</f>
        <v>17910</v>
      </c>
      <c r="W56" s="105"/>
      <c r="X56" s="113">
        <f>+X48+X54</f>
        <v>24018</v>
      </c>
      <c r="Y56" s="105"/>
      <c r="Z56" s="113">
        <f>+Z48+Z54</f>
        <v>-3832</v>
      </c>
      <c r="AA56" s="105"/>
      <c r="AB56" s="113">
        <f>+AB48+AB54</f>
        <v>-3999</v>
      </c>
      <c r="AC56" s="105"/>
      <c r="AD56" s="113">
        <f>+AD48+AD54</f>
        <v>16187</v>
      </c>
      <c r="AE56" s="71"/>
      <c r="AF56" s="69"/>
    </row>
    <row r="57" spans="1:32" x14ac:dyDescent="0.2">
      <c r="A57" s="96"/>
      <c r="B57" s="36"/>
      <c r="C57" s="19"/>
      <c r="D57" s="19"/>
      <c r="E57" s="19"/>
      <c r="F57" s="85"/>
      <c r="G57" s="20"/>
      <c r="H57" s="97"/>
      <c r="I57" s="97"/>
      <c r="J57" s="97"/>
      <c r="K57" s="97"/>
      <c r="L57" s="97"/>
      <c r="M57" s="97"/>
      <c r="N57" s="97"/>
      <c r="O57" s="97"/>
      <c r="P57" s="97"/>
      <c r="Q57" s="97"/>
      <c r="R57" s="97"/>
      <c r="S57" s="97"/>
      <c r="T57" s="97"/>
      <c r="U57" s="97"/>
      <c r="V57" s="97"/>
      <c r="W57" s="97"/>
      <c r="X57" s="97"/>
      <c r="Y57" s="97"/>
      <c r="Z57" s="97"/>
      <c r="AA57" s="97"/>
      <c r="AB57" s="97"/>
      <c r="AC57" s="97"/>
      <c r="AD57" s="97"/>
      <c r="AE57" s="21"/>
      <c r="AF57" s="19"/>
    </row>
    <row r="58" spans="1:32" s="114" customFormat="1" x14ac:dyDescent="0.2">
      <c r="A58" s="116">
        <v>11</v>
      </c>
      <c r="B58" s="117"/>
      <c r="C58" s="118" t="e">
        <f ca="1">+#REF!</f>
        <v>#REF!</v>
      </c>
      <c r="D58" s="69" t="e">
        <f ca="1">+#REF!</f>
        <v>#REF!</v>
      </c>
      <c r="E58" s="69"/>
      <c r="F58" s="88" t="e">
        <f ca="1">+#REF!</f>
        <v>#REF!</v>
      </c>
      <c r="G58" s="70"/>
      <c r="H58" s="105" t="e">
        <f ca="1">ROUND(#REF!/1000,0)</f>
        <v>#REF!</v>
      </c>
      <c r="I58" s="105"/>
      <c r="J58" s="105" t="e">
        <f ca="1">ROUND(#REF!/1000,0)</f>
        <v>#REF!</v>
      </c>
      <c r="K58" s="105"/>
      <c r="L58" s="105" t="e">
        <f ca="1">-ROUND((#REF!-#REF!)/1000,0)</f>
        <v>#REF!</v>
      </c>
      <c r="M58" s="105"/>
      <c r="N58" s="105" t="e">
        <f>SUM(H58:L58)</f>
        <v>#REF!</v>
      </c>
      <c r="O58" s="105"/>
      <c r="P58" s="105">
        <v>3461</v>
      </c>
      <c r="Q58" s="105"/>
      <c r="R58" s="105">
        <v>0</v>
      </c>
      <c r="S58" s="105"/>
      <c r="T58" s="105">
        <v>-62</v>
      </c>
      <c r="U58" s="105"/>
      <c r="V58" s="105">
        <f>SUM(P58:T58)</f>
        <v>3399</v>
      </c>
      <c r="W58" s="105"/>
      <c r="X58" s="105">
        <v>2214</v>
      </c>
      <c r="Y58" s="105"/>
      <c r="Z58" s="105">
        <v>0</v>
      </c>
      <c r="AA58" s="105"/>
      <c r="AB58" s="105">
        <v>-62</v>
      </c>
      <c r="AC58" s="105"/>
      <c r="AD58" s="105">
        <f>SUM(X58:AB58)</f>
        <v>2152</v>
      </c>
      <c r="AE58" s="71"/>
      <c r="AF58" s="69" t="s">
        <v>22</v>
      </c>
    </row>
    <row r="59" spans="1:32" x14ac:dyDescent="0.2">
      <c r="A59" s="96"/>
      <c r="B59" s="36"/>
      <c r="C59" s="29"/>
      <c r="D59" s="2"/>
      <c r="E59" s="2"/>
      <c r="F59" s="86"/>
      <c r="G59" s="23"/>
      <c r="H59" s="97"/>
      <c r="I59" s="97"/>
      <c r="J59" s="97"/>
      <c r="K59" s="97"/>
      <c r="L59" s="97"/>
      <c r="M59" s="97"/>
      <c r="N59" s="97"/>
      <c r="O59" s="97"/>
      <c r="P59" s="97"/>
      <c r="Q59" s="97"/>
      <c r="R59" s="97"/>
      <c r="S59" s="97"/>
      <c r="T59" s="97"/>
      <c r="U59" s="97"/>
      <c r="V59" s="97"/>
      <c r="W59" s="97"/>
      <c r="X59" s="97"/>
      <c r="Y59" s="97"/>
      <c r="Z59" s="97"/>
      <c r="AA59" s="97"/>
      <c r="AB59" s="97"/>
      <c r="AC59" s="97"/>
      <c r="AD59" s="97"/>
      <c r="AE59" s="21"/>
      <c r="AF59" s="19"/>
    </row>
    <row r="60" spans="1:32" s="114" customFormat="1" x14ac:dyDescent="0.2">
      <c r="A60" s="104">
        <v>11</v>
      </c>
      <c r="B60" s="68"/>
      <c r="C60" s="118" t="e">
        <f ca="1">+#REF!</f>
        <v>#REF!</v>
      </c>
      <c r="D60" s="69" t="e">
        <f ca="1">+#REF!</f>
        <v>#REF!</v>
      </c>
      <c r="E60" s="69"/>
      <c r="F60" s="88" t="e">
        <f ca="1">+#REF!</f>
        <v>#REF!</v>
      </c>
      <c r="G60" s="70"/>
      <c r="H60" s="105" t="e">
        <f ca="1">ROUND(#REF!/1000,0)</f>
        <v>#REF!</v>
      </c>
      <c r="I60" s="105"/>
      <c r="J60" s="105" t="e">
        <f ca="1">ROUND(#REF!/1000,0)</f>
        <v>#REF!</v>
      </c>
      <c r="K60" s="105"/>
      <c r="L60" s="105" t="e">
        <f ca="1">-ROUND((#REF!-#REF!)/1000,0)</f>
        <v>#REF!</v>
      </c>
      <c r="M60" s="105"/>
      <c r="N60" s="105" t="e">
        <f>SUM(H60:L60)</f>
        <v>#REF!</v>
      </c>
      <c r="O60" s="105"/>
      <c r="P60" s="105">
        <v>2048</v>
      </c>
      <c r="Q60" s="105"/>
      <c r="R60" s="105">
        <v>-226</v>
      </c>
      <c r="S60" s="105"/>
      <c r="T60" s="105">
        <v>-634</v>
      </c>
      <c r="U60" s="105"/>
      <c r="V60" s="105">
        <f>SUM(P60:T60)</f>
        <v>1188</v>
      </c>
      <c r="W60" s="105"/>
      <c r="X60" s="105">
        <v>1664</v>
      </c>
      <c r="Y60" s="105"/>
      <c r="Z60" s="105">
        <v>-226</v>
      </c>
      <c r="AA60" s="105"/>
      <c r="AB60" s="105">
        <v>-634</v>
      </c>
      <c r="AC60" s="105"/>
      <c r="AD60" s="105">
        <f>SUM(X60:AB60)</f>
        <v>804</v>
      </c>
      <c r="AE60" s="71"/>
      <c r="AF60" s="69" t="s">
        <v>90</v>
      </c>
    </row>
    <row r="61" spans="1:32" x14ac:dyDescent="0.2">
      <c r="A61" s="101"/>
      <c r="B61" s="81"/>
      <c r="C61" s="19"/>
      <c r="D61" s="19"/>
      <c r="E61" s="19"/>
      <c r="F61" s="85"/>
      <c r="G61" s="20"/>
      <c r="H61" s="97"/>
      <c r="I61" s="97"/>
      <c r="J61" s="97"/>
      <c r="K61" s="97"/>
      <c r="L61" s="97"/>
      <c r="M61" s="97"/>
      <c r="N61" s="97"/>
      <c r="O61" s="97"/>
      <c r="P61" s="97"/>
      <c r="Q61" s="97"/>
      <c r="R61" s="97"/>
      <c r="S61" s="97"/>
      <c r="T61" s="97"/>
      <c r="U61" s="97"/>
      <c r="V61" s="97"/>
      <c r="W61" s="97"/>
      <c r="X61" s="97"/>
      <c r="Y61" s="97"/>
      <c r="Z61" s="97"/>
      <c r="AA61" s="97"/>
      <c r="AB61" s="97"/>
      <c r="AC61" s="97"/>
      <c r="AD61" s="97"/>
      <c r="AE61" s="21"/>
      <c r="AF61" s="19"/>
    </row>
    <row r="62" spans="1:32" x14ac:dyDescent="0.2">
      <c r="A62" s="96"/>
      <c r="B62" s="36"/>
      <c r="C62" s="102" t="s">
        <v>30</v>
      </c>
      <c r="D62" s="2"/>
      <c r="E62" s="2"/>
      <c r="F62" s="86"/>
      <c r="G62" s="23"/>
      <c r="H62" s="97"/>
      <c r="I62" s="97"/>
      <c r="J62" s="97"/>
      <c r="K62" s="97"/>
      <c r="L62" s="97"/>
      <c r="M62" s="97"/>
      <c r="N62" s="97"/>
      <c r="O62" s="97"/>
      <c r="P62" s="97"/>
      <c r="Q62" s="97"/>
      <c r="R62" s="97"/>
      <c r="S62" s="97"/>
      <c r="T62" s="97"/>
      <c r="U62" s="97"/>
      <c r="V62" s="97"/>
      <c r="W62" s="97"/>
      <c r="X62" s="97"/>
      <c r="Y62" s="97"/>
      <c r="Z62" s="97"/>
      <c r="AA62" s="97"/>
      <c r="AB62" s="97"/>
      <c r="AC62" s="97"/>
      <c r="AD62" s="97"/>
      <c r="AE62" s="21"/>
      <c r="AF62" s="19"/>
    </row>
    <row r="63" spans="1:32" x14ac:dyDescent="0.2">
      <c r="A63" s="96">
        <v>11</v>
      </c>
      <c r="B63" s="36"/>
      <c r="C63" s="176" t="e">
        <f ca="1">+#REF!</f>
        <v>#REF!</v>
      </c>
      <c r="D63" s="176" t="e">
        <f ca="1">+#REF!</f>
        <v>#REF!</v>
      </c>
      <c r="E63" s="85"/>
      <c r="F63" s="85" t="e">
        <f ca="1">+#REF!</f>
        <v>#REF!</v>
      </c>
      <c r="G63" s="20"/>
      <c r="H63" s="97" t="e">
        <f ca="1">ROUND(#REF!/1000,0)</f>
        <v>#REF!</v>
      </c>
      <c r="I63" s="97"/>
      <c r="J63" s="97" t="e">
        <f ca="1">ROUND(#REF!/1000,0)</f>
        <v>#REF!</v>
      </c>
      <c r="K63" s="97"/>
      <c r="L63" s="97" t="e">
        <f ca="1">-ROUND((#REF!-#REF!)/1000,0)</f>
        <v>#REF!</v>
      </c>
      <c r="M63" s="97"/>
      <c r="N63" s="97" t="e">
        <f t="shared" ref="N63:N68" si="7">SUM(H63:L63)</f>
        <v>#REF!</v>
      </c>
      <c r="O63" s="97"/>
      <c r="P63" s="97">
        <v>3500</v>
      </c>
      <c r="Q63" s="97"/>
      <c r="R63" s="97">
        <v>-546</v>
      </c>
      <c r="S63" s="97"/>
      <c r="T63" s="97">
        <v>-1103</v>
      </c>
      <c r="U63" s="97"/>
      <c r="V63" s="97">
        <f t="shared" ref="V63:V68" si="8">SUM(P63:T63)</f>
        <v>1851</v>
      </c>
      <c r="W63" s="97"/>
      <c r="X63" s="97">
        <v>2717</v>
      </c>
      <c r="Y63" s="97"/>
      <c r="Z63" s="97">
        <v>-546</v>
      </c>
      <c r="AA63" s="97"/>
      <c r="AB63" s="97">
        <v>-1103</v>
      </c>
      <c r="AC63" s="97"/>
      <c r="AD63" s="97">
        <f t="shared" ref="AD63:AD68" si="9">SUM(X63:AB63)</f>
        <v>1068</v>
      </c>
      <c r="AE63" s="21"/>
      <c r="AF63" s="19" t="s">
        <v>90</v>
      </c>
    </row>
    <row r="64" spans="1:32" x14ac:dyDescent="0.2">
      <c r="A64" s="96">
        <v>11</v>
      </c>
      <c r="B64" s="36"/>
      <c r="C64" s="176" t="e">
        <f ca="1">+#REF!</f>
        <v>#REF!</v>
      </c>
      <c r="D64" s="176" t="e">
        <f ca="1">+#REF!</f>
        <v>#REF!</v>
      </c>
      <c r="E64" s="85"/>
      <c r="F64" s="85" t="e">
        <f ca="1">+#REF!</f>
        <v>#REF!</v>
      </c>
      <c r="G64" s="20"/>
      <c r="H64" s="97" t="e">
        <f ca="1">ROUND(#REF!/1000,0)</f>
        <v>#REF!</v>
      </c>
      <c r="I64" s="97"/>
      <c r="J64" s="97" t="e">
        <f ca="1">ROUND(#REF!/1000,0)</f>
        <v>#REF!</v>
      </c>
      <c r="K64" s="97"/>
      <c r="L64" s="97" t="e">
        <f ca="1">-ROUND((#REF!-#REF!)/1000,0)</f>
        <v>#REF!</v>
      </c>
      <c r="M64" s="97"/>
      <c r="N64" s="97" t="e">
        <f>SUM(H64:L64)</f>
        <v>#REF!</v>
      </c>
      <c r="O64" s="97"/>
      <c r="P64" s="97">
        <v>420</v>
      </c>
      <c r="Q64" s="97"/>
      <c r="R64" s="97">
        <v>-397</v>
      </c>
      <c r="S64" s="97"/>
      <c r="T64" s="97">
        <v>0</v>
      </c>
      <c r="U64" s="97"/>
      <c r="V64" s="97">
        <f>SUM(P64:T64)</f>
        <v>23</v>
      </c>
      <c r="W64" s="97"/>
      <c r="X64" s="97">
        <v>420</v>
      </c>
      <c r="Y64" s="97"/>
      <c r="Z64" s="97">
        <v>-397</v>
      </c>
      <c r="AA64" s="97"/>
      <c r="AB64" s="97">
        <v>0</v>
      </c>
      <c r="AC64" s="97"/>
      <c r="AD64" s="97">
        <f>SUM(X64:AB64)</f>
        <v>23</v>
      </c>
      <c r="AE64" s="21"/>
      <c r="AF64" s="19" t="s">
        <v>27</v>
      </c>
    </row>
    <row r="65" spans="1:32" x14ac:dyDescent="0.2">
      <c r="A65" s="98" t="s">
        <v>103</v>
      </c>
      <c r="B65" s="36"/>
      <c r="C65" s="178" t="e">
        <f ca="1">+#REF!</f>
        <v>#REF!</v>
      </c>
      <c r="D65" s="178" t="e">
        <f ca="1">+#REF!</f>
        <v>#REF!</v>
      </c>
      <c r="E65" s="86"/>
      <c r="F65" s="86" t="e">
        <f ca="1">+#REF!</f>
        <v>#REF!</v>
      </c>
      <c r="G65" s="23"/>
      <c r="H65" s="97" t="e">
        <f ca="1">ROUND(#REF!/1000,0)</f>
        <v>#REF!</v>
      </c>
      <c r="I65" s="97"/>
      <c r="J65" s="97" t="e">
        <f ca="1">ROUND(#REF!/1000,0)</f>
        <v>#REF!</v>
      </c>
      <c r="K65" s="97"/>
      <c r="L65" s="97" t="e">
        <f ca="1">-ROUND((#REF!-#REF!)/1000,0)</f>
        <v>#REF!</v>
      </c>
      <c r="M65" s="97"/>
      <c r="N65" s="97" t="e">
        <f t="shared" si="7"/>
        <v>#REF!</v>
      </c>
      <c r="O65" s="97"/>
      <c r="P65" s="97">
        <v>3951</v>
      </c>
      <c r="Q65" s="97"/>
      <c r="R65" s="97">
        <v>-3951</v>
      </c>
      <c r="S65" s="97"/>
      <c r="T65" s="97">
        <v>0</v>
      </c>
      <c r="U65" s="97"/>
      <c r="V65" s="97">
        <f t="shared" si="8"/>
        <v>0</v>
      </c>
      <c r="W65" s="97"/>
      <c r="X65" s="97">
        <v>3951</v>
      </c>
      <c r="Y65" s="97"/>
      <c r="Z65" s="97">
        <v>-3951</v>
      </c>
      <c r="AA65" s="97"/>
      <c r="AB65" s="97">
        <v>0</v>
      </c>
      <c r="AC65" s="97"/>
      <c r="AD65" s="97">
        <f t="shared" si="9"/>
        <v>0</v>
      </c>
      <c r="AE65" s="21"/>
      <c r="AF65" s="19" t="s">
        <v>69</v>
      </c>
    </row>
    <row r="66" spans="1:32" x14ac:dyDescent="0.2">
      <c r="A66" s="96">
        <v>11</v>
      </c>
      <c r="B66" s="36"/>
      <c r="C66" s="176" t="e">
        <f ca="1">+#REF!</f>
        <v>#REF!</v>
      </c>
      <c r="D66" s="176" t="e">
        <f ca="1">+#REF!</f>
        <v>#REF!</v>
      </c>
      <c r="E66" s="85"/>
      <c r="F66" s="85" t="e">
        <f ca="1">+#REF!</f>
        <v>#REF!</v>
      </c>
      <c r="G66" s="20"/>
      <c r="H66" s="97" t="e">
        <f ca="1">ROUND(#REF!/1000,0)</f>
        <v>#REF!</v>
      </c>
      <c r="I66" s="97"/>
      <c r="J66" s="97" t="e">
        <f ca="1">ROUND(#REF!/1000,0)</f>
        <v>#REF!</v>
      </c>
      <c r="K66" s="97"/>
      <c r="L66" s="97" t="e">
        <f ca="1">-ROUND((#REF!-#REF!)/1000,0)</f>
        <v>#REF!</v>
      </c>
      <c r="M66" s="97"/>
      <c r="N66" s="97" t="e">
        <f t="shared" si="7"/>
        <v>#REF!</v>
      </c>
      <c r="O66" s="97"/>
      <c r="P66" s="97">
        <v>2762</v>
      </c>
      <c r="Q66" s="97"/>
      <c r="R66" s="97">
        <v>-1589</v>
      </c>
      <c r="S66" s="97"/>
      <c r="T66" s="97">
        <v>-581</v>
      </c>
      <c r="U66" s="97"/>
      <c r="V66" s="97">
        <f t="shared" si="8"/>
        <v>592</v>
      </c>
      <c r="W66" s="97"/>
      <c r="X66" s="97">
        <v>2915</v>
      </c>
      <c r="Y66" s="97"/>
      <c r="Z66" s="97">
        <v>-1589</v>
      </c>
      <c r="AA66" s="97"/>
      <c r="AB66" s="97">
        <v>-581</v>
      </c>
      <c r="AC66" s="97"/>
      <c r="AD66" s="97">
        <f t="shared" si="9"/>
        <v>745</v>
      </c>
      <c r="AE66" s="21"/>
      <c r="AF66" s="19" t="s">
        <v>90</v>
      </c>
    </row>
    <row r="67" spans="1:32" x14ac:dyDescent="0.2">
      <c r="A67" s="98" t="s">
        <v>103</v>
      </c>
      <c r="B67" s="36"/>
      <c r="C67" s="176" t="e">
        <f ca="1">+#REF!</f>
        <v>#REF!</v>
      </c>
      <c r="D67" s="176" t="e">
        <f ca="1">+#REF!</f>
        <v>#REF!</v>
      </c>
      <c r="E67" s="85"/>
      <c r="F67" s="85" t="e">
        <f ca="1">+#REF!</f>
        <v>#REF!</v>
      </c>
      <c r="G67" s="20"/>
      <c r="H67" s="97" t="e">
        <f ca="1">ROUND(#REF!/1000,0)</f>
        <v>#REF!</v>
      </c>
      <c r="I67" s="97"/>
      <c r="J67" s="97" t="e">
        <f ca="1">ROUND(#REF!/1000,0)</f>
        <v>#REF!</v>
      </c>
      <c r="K67" s="97"/>
      <c r="L67" s="97" t="e">
        <f ca="1">-ROUND((#REF!-#REF!)/1000,0)</f>
        <v>#REF!</v>
      </c>
      <c r="M67" s="97"/>
      <c r="N67" s="97" t="e">
        <f>SUM(H67:L67)</f>
        <v>#REF!</v>
      </c>
      <c r="O67" s="97"/>
      <c r="P67" s="97">
        <v>413</v>
      </c>
      <c r="Q67" s="97"/>
      <c r="R67" s="97">
        <v>-413</v>
      </c>
      <c r="S67" s="97"/>
      <c r="T67" s="97">
        <v>0</v>
      </c>
      <c r="U67" s="97"/>
      <c r="V67" s="97">
        <f>SUM(P67:T67)</f>
        <v>0</v>
      </c>
      <c r="W67" s="97"/>
      <c r="X67" s="97">
        <v>441</v>
      </c>
      <c r="Y67" s="97"/>
      <c r="Z67" s="97">
        <v>-441</v>
      </c>
      <c r="AA67" s="97"/>
      <c r="AB67" s="97">
        <v>0</v>
      </c>
      <c r="AC67" s="97"/>
      <c r="AD67" s="97">
        <f>SUM(X67:AB67)</f>
        <v>0</v>
      </c>
      <c r="AE67" s="21"/>
      <c r="AF67" s="19" t="s">
        <v>90</v>
      </c>
    </row>
    <row r="68" spans="1:32" x14ac:dyDescent="0.2">
      <c r="A68" s="98" t="s">
        <v>103</v>
      </c>
      <c r="B68" s="36"/>
      <c r="C68" s="178" t="e">
        <f ca="1">+#REF!</f>
        <v>#REF!</v>
      </c>
      <c r="D68" s="178" t="e">
        <f ca="1">+#REF!</f>
        <v>#REF!</v>
      </c>
      <c r="E68" s="86"/>
      <c r="F68" s="86" t="e">
        <f ca="1">+#REF!</f>
        <v>#REF!</v>
      </c>
      <c r="G68" s="23"/>
      <c r="H68" s="97" t="e">
        <f ca="1">ROUND(#REF!/1000,0)</f>
        <v>#REF!</v>
      </c>
      <c r="I68" s="97"/>
      <c r="J68" s="97" t="e">
        <f ca="1">ROUND(#REF!/1000,0)</f>
        <v>#REF!</v>
      </c>
      <c r="K68" s="97"/>
      <c r="L68" s="97" t="e">
        <f ca="1">-ROUND((#REF!-#REF!)/1000,0)</f>
        <v>#REF!</v>
      </c>
      <c r="M68" s="97"/>
      <c r="N68" s="97" t="e">
        <f t="shared" si="7"/>
        <v>#REF!</v>
      </c>
      <c r="O68" s="97"/>
      <c r="P68" s="97">
        <v>656</v>
      </c>
      <c r="Q68" s="97"/>
      <c r="R68" s="97">
        <v>-646</v>
      </c>
      <c r="S68" s="97"/>
      <c r="T68" s="97">
        <v>0</v>
      </c>
      <c r="U68" s="97"/>
      <c r="V68" s="97">
        <f t="shared" si="8"/>
        <v>10</v>
      </c>
      <c r="W68" s="97"/>
      <c r="X68" s="97">
        <v>646</v>
      </c>
      <c r="Y68" s="97"/>
      <c r="Z68" s="97">
        <v>-646</v>
      </c>
      <c r="AA68" s="97"/>
      <c r="AB68" s="97">
        <v>0</v>
      </c>
      <c r="AC68" s="97"/>
      <c r="AD68" s="97">
        <f t="shared" si="9"/>
        <v>0</v>
      </c>
      <c r="AE68" s="21"/>
      <c r="AF68" s="19" t="s">
        <v>83</v>
      </c>
    </row>
    <row r="69" spans="1:32" x14ac:dyDescent="0.2">
      <c r="A69" s="96">
        <v>11</v>
      </c>
      <c r="B69" s="36"/>
      <c r="C69" s="178" t="e">
        <f ca="1">+#REF!</f>
        <v>#REF!</v>
      </c>
      <c r="D69" s="178" t="e">
        <f ca="1">+#REF!</f>
        <v>#REF!</v>
      </c>
      <c r="E69" s="86"/>
      <c r="F69" s="86" t="e">
        <f ca="1">+#REF!</f>
        <v>#REF!</v>
      </c>
      <c r="G69" s="20"/>
      <c r="H69" s="97" t="e">
        <f ca="1">ROUND(#REF!/1000,0)</f>
        <v>#REF!</v>
      </c>
      <c r="I69" s="97"/>
      <c r="J69" s="97" t="e">
        <f ca="1">ROUND(#REF!/1000,0)</f>
        <v>#REF!</v>
      </c>
      <c r="K69" s="97"/>
      <c r="L69" s="97" t="e">
        <f ca="1">-ROUND((#REF!-#REF!)/1000,0)</f>
        <v>#REF!</v>
      </c>
      <c r="M69" s="97"/>
      <c r="N69" s="97" t="e">
        <f>SUM(H69:L69)</f>
        <v>#REF!</v>
      </c>
      <c r="O69" s="97"/>
      <c r="P69" s="97">
        <v>1435</v>
      </c>
      <c r="Q69" s="97"/>
      <c r="R69" s="97">
        <v>0</v>
      </c>
      <c r="S69" s="97"/>
      <c r="T69" s="97">
        <v>-782</v>
      </c>
      <c r="U69" s="97"/>
      <c r="V69" s="97">
        <f>SUM(P69:T69)</f>
        <v>653</v>
      </c>
      <c r="W69" s="97"/>
      <c r="X69" s="97">
        <v>1253</v>
      </c>
      <c r="Y69" s="97"/>
      <c r="Z69" s="97">
        <v>0</v>
      </c>
      <c r="AA69" s="97"/>
      <c r="AB69" s="97">
        <v>-782</v>
      </c>
      <c r="AC69" s="97"/>
      <c r="AD69" s="97">
        <f>SUM(X69:AB69)</f>
        <v>471</v>
      </c>
      <c r="AE69" s="21"/>
      <c r="AF69" s="19" t="s">
        <v>19</v>
      </c>
    </row>
    <row r="70" spans="1:32" x14ac:dyDescent="0.2">
      <c r="A70" s="96"/>
      <c r="B70" s="36"/>
      <c r="C70" s="19"/>
      <c r="D70" s="19"/>
      <c r="E70" s="19"/>
      <c r="F70" s="85"/>
      <c r="G70" s="20"/>
      <c r="H70" s="99"/>
      <c r="I70" s="97"/>
      <c r="J70" s="99"/>
      <c r="K70" s="97"/>
      <c r="L70" s="99"/>
      <c r="M70" s="97"/>
      <c r="N70" s="99"/>
      <c r="O70" s="97"/>
      <c r="P70" s="99"/>
      <c r="Q70" s="97"/>
      <c r="R70" s="99"/>
      <c r="S70" s="97"/>
      <c r="T70" s="99"/>
      <c r="U70" s="97"/>
      <c r="V70" s="99"/>
      <c r="W70" s="97"/>
      <c r="X70" s="99"/>
      <c r="Y70" s="97"/>
      <c r="Z70" s="99"/>
      <c r="AA70" s="97"/>
      <c r="AB70" s="99"/>
      <c r="AC70" s="97"/>
      <c r="AD70" s="99"/>
      <c r="AE70" s="21"/>
      <c r="AF70" s="19"/>
    </row>
    <row r="71" spans="1:32" s="114" customFormat="1" x14ac:dyDescent="0.2">
      <c r="A71" s="104"/>
      <c r="B71" s="68"/>
      <c r="C71" s="69" t="s">
        <v>204</v>
      </c>
      <c r="D71" s="69"/>
      <c r="E71" s="69"/>
      <c r="F71" s="88"/>
      <c r="G71" s="70"/>
      <c r="H71" s="113" t="e">
        <f>SUM(H63:H70)</f>
        <v>#REF!</v>
      </c>
      <c r="I71" s="105"/>
      <c r="J71" s="113" t="e">
        <f>SUM(J63:J70)</f>
        <v>#REF!</v>
      </c>
      <c r="K71" s="105"/>
      <c r="L71" s="113" t="e">
        <f>SUM(L63:L70)</f>
        <v>#REF!</v>
      </c>
      <c r="M71" s="105"/>
      <c r="N71" s="113" t="e">
        <f>SUM(N63:N70)</f>
        <v>#REF!</v>
      </c>
      <c r="O71" s="105"/>
      <c r="P71" s="113">
        <f>SUM(P63:P70)</f>
        <v>13137</v>
      </c>
      <c r="Q71" s="105"/>
      <c r="R71" s="113">
        <f>SUM(R63:R70)</f>
        <v>-7542</v>
      </c>
      <c r="S71" s="105"/>
      <c r="T71" s="113">
        <f>SUM(T63:T70)</f>
        <v>-2466</v>
      </c>
      <c r="U71" s="105"/>
      <c r="V71" s="113">
        <f>SUM(V63:V70)</f>
        <v>3129</v>
      </c>
      <c r="W71" s="105"/>
      <c r="X71" s="113">
        <f>SUM(X63:X70)</f>
        <v>12343</v>
      </c>
      <c r="Y71" s="105"/>
      <c r="Z71" s="113">
        <f>SUM(Z63:Z70)</f>
        <v>-7570</v>
      </c>
      <c r="AA71" s="105"/>
      <c r="AB71" s="113">
        <f>SUM(AB63:AB70)</f>
        <v>-2466</v>
      </c>
      <c r="AC71" s="105"/>
      <c r="AD71" s="113">
        <f>SUM(AD63:AD70)</f>
        <v>2307</v>
      </c>
      <c r="AE71" s="71"/>
      <c r="AF71" s="69"/>
    </row>
    <row r="72" spans="1:32" x14ac:dyDescent="0.2">
      <c r="A72" s="96"/>
      <c r="B72" s="36"/>
      <c r="C72" s="19"/>
      <c r="D72" s="19"/>
      <c r="E72" s="19"/>
      <c r="F72" s="85"/>
      <c r="G72" s="20"/>
      <c r="H72" s="97"/>
      <c r="I72" s="97"/>
      <c r="J72" s="97"/>
      <c r="K72" s="97"/>
      <c r="L72" s="97"/>
      <c r="M72" s="97"/>
      <c r="N72" s="97"/>
      <c r="O72" s="97"/>
      <c r="P72" s="97"/>
      <c r="Q72" s="97"/>
      <c r="R72" s="97"/>
      <c r="S72" s="97"/>
      <c r="T72" s="97"/>
      <c r="U72" s="97"/>
      <c r="V72" s="97"/>
      <c r="W72" s="97"/>
      <c r="X72" s="97"/>
      <c r="Y72" s="97"/>
      <c r="Z72" s="97"/>
      <c r="AA72" s="97"/>
      <c r="AB72" s="97"/>
      <c r="AC72" s="97"/>
      <c r="AD72" s="97"/>
      <c r="AE72" s="21"/>
      <c r="AF72" s="19"/>
    </row>
    <row r="73" spans="1:32" x14ac:dyDescent="0.2">
      <c r="A73" s="96"/>
      <c r="B73" s="36"/>
      <c r="C73" s="30" t="s">
        <v>194</v>
      </c>
      <c r="D73" s="19"/>
      <c r="E73" s="19"/>
      <c r="F73" s="85"/>
      <c r="G73" s="20"/>
      <c r="H73" s="97"/>
      <c r="I73" s="97"/>
      <c r="J73" s="97"/>
      <c r="K73" s="97"/>
      <c r="L73" s="97"/>
      <c r="M73" s="97"/>
      <c r="N73" s="97"/>
      <c r="O73" s="97"/>
      <c r="P73" s="97"/>
      <c r="Q73" s="97"/>
      <c r="R73" s="97"/>
      <c r="S73" s="97"/>
      <c r="T73" s="97"/>
      <c r="U73" s="97"/>
      <c r="V73" s="97"/>
      <c r="W73" s="97"/>
      <c r="X73" s="97"/>
      <c r="Y73" s="97"/>
      <c r="Z73" s="97"/>
      <c r="AA73" s="97"/>
      <c r="AB73" s="97"/>
      <c r="AC73" s="97"/>
      <c r="AD73" s="97"/>
      <c r="AE73" s="21"/>
      <c r="AF73" s="19"/>
    </row>
    <row r="74" spans="1:32" x14ac:dyDescent="0.2">
      <c r="A74" s="98" t="s">
        <v>103</v>
      </c>
      <c r="B74" s="36"/>
      <c r="C74" s="176" t="e">
        <f ca="1">+#REF!</f>
        <v>#REF!</v>
      </c>
      <c r="D74" s="176" t="e">
        <f ca="1">+#REF!</f>
        <v>#REF!</v>
      </c>
      <c r="E74" s="85"/>
      <c r="F74" s="85" t="e">
        <f ca="1">+#REF!</f>
        <v>#REF!</v>
      </c>
      <c r="G74" s="20"/>
      <c r="H74" s="97" t="e">
        <f ca="1">ROUND(#REF!/1000,0)</f>
        <v>#REF!</v>
      </c>
      <c r="I74" s="97"/>
      <c r="J74" s="97" t="e">
        <f ca="1">ROUND(#REF!/1000,0)</f>
        <v>#REF!</v>
      </c>
      <c r="K74" s="97"/>
      <c r="L74" s="97" t="e">
        <f ca="1">-ROUND((#REF!-#REF!)/1000,0)</f>
        <v>#REF!</v>
      </c>
      <c r="M74" s="97"/>
      <c r="N74" s="97" t="e">
        <f t="shared" ref="N74:N87" si="10">SUM(H74:L74)</f>
        <v>#REF!</v>
      </c>
      <c r="O74" s="97"/>
      <c r="P74" s="97">
        <v>5925</v>
      </c>
      <c r="Q74" s="97"/>
      <c r="R74" s="97">
        <v>-2156</v>
      </c>
      <c r="S74" s="97"/>
      <c r="T74" s="97">
        <v>-1099</v>
      </c>
      <c r="U74" s="97"/>
      <c r="V74" s="97">
        <f t="shared" ref="V74:V87" si="11">SUM(P74:T74)</f>
        <v>2670</v>
      </c>
      <c r="W74" s="97"/>
      <c r="X74" s="97">
        <v>5925</v>
      </c>
      <c r="Y74" s="97"/>
      <c r="Z74" s="97">
        <v>-4311</v>
      </c>
      <c r="AA74" s="97"/>
      <c r="AB74" s="97">
        <v>-1099</v>
      </c>
      <c r="AC74" s="97"/>
      <c r="AD74" s="97">
        <f t="shared" ref="AD74:AD87" si="12">SUM(X74:AB74)</f>
        <v>515</v>
      </c>
      <c r="AE74" s="21"/>
      <c r="AF74" s="19" t="s">
        <v>23</v>
      </c>
    </row>
    <row r="75" spans="1:32" x14ac:dyDescent="0.2">
      <c r="A75" s="96">
        <v>11</v>
      </c>
      <c r="B75" s="36"/>
      <c r="C75" s="176" t="e">
        <f ca="1">+#REF!</f>
        <v>#REF!</v>
      </c>
      <c r="D75" s="176" t="e">
        <f ca="1">+#REF!</f>
        <v>#REF!</v>
      </c>
      <c r="E75" s="85"/>
      <c r="F75" s="85" t="e">
        <f ca="1">+#REF!</f>
        <v>#REF!</v>
      </c>
      <c r="G75" s="20"/>
      <c r="H75" s="97" t="e">
        <f ca="1">ROUND(#REF!/1000,0)</f>
        <v>#REF!</v>
      </c>
      <c r="I75" s="97"/>
      <c r="J75" s="97" t="e">
        <f ca="1">ROUND(#REF!/1000,0)</f>
        <v>#REF!</v>
      </c>
      <c r="K75" s="97"/>
      <c r="L75" s="97" t="e">
        <f ca="1">-ROUND((#REF!-#REF!)/1000,0)</f>
        <v>#REF!</v>
      </c>
      <c r="M75" s="97"/>
      <c r="N75" s="97" t="e">
        <f>SUM(H75:L75)</f>
        <v>#REF!</v>
      </c>
      <c r="O75" s="97"/>
      <c r="P75" s="97">
        <v>1133</v>
      </c>
      <c r="Q75" s="97"/>
      <c r="R75" s="97">
        <v>0</v>
      </c>
      <c r="S75" s="97"/>
      <c r="T75" s="97">
        <v>-648</v>
      </c>
      <c r="U75" s="97"/>
      <c r="V75" s="97">
        <f>SUM(P75:T75)</f>
        <v>485</v>
      </c>
      <c r="W75" s="97"/>
      <c r="X75" s="97">
        <v>1133</v>
      </c>
      <c r="Y75" s="97"/>
      <c r="Z75" s="97">
        <v>0</v>
      </c>
      <c r="AA75" s="97"/>
      <c r="AB75" s="97">
        <v>-648</v>
      </c>
      <c r="AC75" s="97"/>
      <c r="AD75" s="97">
        <f>SUM(X75:AB75)</f>
        <v>485</v>
      </c>
      <c r="AE75" s="21"/>
      <c r="AF75" s="19" t="s">
        <v>19</v>
      </c>
    </row>
    <row r="76" spans="1:32" x14ac:dyDescent="0.2">
      <c r="A76" s="98" t="s">
        <v>103</v>
      </c>
      <c r="B76" s="36"/>
      <c r="C76" s="176" t="e">
        <f ca="1">+#REF!</f>
        <v>#REF!</v>
      </c>
      <c r="D76" s="176" t="e">
        <f ca="1">+#REF!</f>
        <v>#REF!</v>
      </c>
      <c r="E76" s="85"/>
      <c r="F76" s="85" t="e">
        <f ca="1">+#REF!</f>
        <v>#REF!</v>
      </c>
      <c r="G76" s="20"/>
      <c r="H76" s="97" t="e">
        <f ca="1">ROUND(#REF!/1000,0)</f>
        <v>#REF!</v>
      </c>
      <c r="I76" s="97"/>
      <c r="J76" s="97" t="e">
        <f ca="1">ROUND(#REF!/1000,0)</f>
        <v>#REF!</v>
      </c>
      <c r="K76" s="97"/>
      <c r="L76" s="97" t="e">
        <f ca="1">-ROUND((#REF!-#REF!)/1000,0)</f>
        <v>#REF!</v>
      </c>
      <c r="M76" s="97"/>
      <c r="N76" s="97" t="e">
        <f t="shared" si="10"/>
        <v>#REF!</v>
      </c>
      <c r="O76" s="97"/>
      <c r="P76" s="97">
        <v>5398</v>
      </c>
      <c r="Q76" s="97"/>
      <c r="R76" s="97">
        <v>-5398</v>
      </c>
      <c r="S76" s="97"/>
      <c r="T76" s="97">
        <v>0</v>
      </c>
      <c r="U76" s="97"/>
      <c r="V76" s="97">
        <f t="shared" si="11"/>
        <v>0</v>
      </c>
      <c r="W76" s="97"/>
      <c r="X76" s="97">
        <v>5398</v>
      </c>
      <c r="Y76" s="97"/>
      <c r="Z76" s="97">
        <v>-5398</v>
      </c>
      <c r="AA76" s="97"/>
      <c r="AB76" s="97">
        <v>0</v>
      </c>
      <c r="AC76" s="97"/>
      <c r="AD76" s="97">
        <f t="shared" si="12"/>
        <v>0</v>
      </c>
      <c r="AE76" s="21"/>
      <c r="AF76" s="19" t="s">
        <v>90</v>
      </c>
    </row>
    <row r="77" spans="1:32" x14ac:dyDescent="0.2">
      <c r="A77" s="96">
        <v>11</v>
      </c>
      <c r="B77" s="36"/>
      <c r="C77" s="176" t="e">
        <f ca="1">+#REF!</f>
        <v>#REF!</v>
      </c>
      <c r="D77" s="176" t="e">
        <f ca="1">+#REF!</f>
        <v>#REF!</v>
      </c>
      <c r="E77" s="85"/>
      <c r="F77" s="85" t="e">
        <f ca="1">+#REF!</f>
        <v>#REF!</v>
      </c>
      <c r="G77" s="20"/>
      <c r="H77" s="97" t="e">
        <f ca="1">ROUND(#REF!/1000,0)</f>
        <v>#REF!</v>
      </c>
      <c r="I77" s="97"/>
      <c r="J77" s="97" t="e">
        <f ca="1">ROUND(#REF!/1000,0)</f>
        <v>#REF!</v>
      </c>
      <c r="K77" s="97"/>
      <c r="L77" s="97" t="e">
        <f ca="1">-ROUND((#REF!-#REF!)/1000,0)</f>
        <v>#REF!</v>
      </c>
      <c r="M77" s="97"/>
      <c r="N77" s="97" t="e">
        <f t="shared" si="10"/>
        <v>#REF!</v>
      </c>
      <c r="O77" s="97"/>
      <c r="P77" s="97">
        <v>1954</v>
      </c>
      <c r="Q77" s="97"/>
      <c r="R77" s="97">
        <v>-977</v>
      </c>
      <c r="S77" s="97"/>
      <c r="T77" s="97">
        <v>0</v>
      </c>
      <c r="U77" s="97"/>
      <c r="V77" s="97">
        <f t="shared" si="11"/>
        <v>977</v>
      </c>
      <c r="W77" s="97"/>
      <c r="X77" s="97">
        <v>1954</v>
      </c>
      <c r="Y77" s="97"/>
      <c r="Z77" s="97">
        <v>-1954</v>
      </c>
      <c r="AA77" s="97"/>
      <c r="AB77" s="97">
        <v>0</v>
      </c>
      <c r="AC77" s="97"/>
      <c r="AD77" s="97">
        <f t="shared" si="12"/>
        <v>0</v>
      </c>
      <c r="AE77" s="21"/>
      <c r="AF77" s="19" t="s">
        <v>90</v>
      </c>
    </row>
    <row r="78" spans="1:32" x14ac:dyDescent="0.2">
      <c r="A78" s="98" t="s">
        <v>103</v>
      </c>
      <c r="B78" s="36"/>
      <c r="C78" s="176" t="e">
        <f ca="1">+#REF!</f>
        <v>#REF!</v>
      </c>
      <c r="D78" s="176" t="e">
        <f ca="1">+#REF!</f>
        <v>#REF!</v>
      </c>
      <c r="E78" s="85"/>
      <c r="F78" s="85" t="e">
        <f ca="1">+#REF!</f>
        <v>#REF!</v>
      </c>
      <c r="G78" s="20"/>
      <c r="H78" s="97" t="e">
        <f ca="1">ROUND(#REF!/1000,0)</f>
        <v>#REF!</v>
      </c>
      <c r="I78" s="97"/>
      <c r="J78" s="97" t="e">
        <f ca="1">ROUND(#REF!/1000,0)</f>
        <v>#REF!</v>
      </c>
      <c r="K78" s="97"/>
      <c r="L78" s="97" t="e">
        <f ca="1">-ROUND((#REF!-#REF!)/1000,0)</f>
        <v>#REF!</v>
      </c>
      <c r="M78" s="97"/>
      <c r="N78" s="97" t="e">
        <f>SUM(H78:L78)</f>
        <v>#REF!</v>
      </c>
      <c r="O78" s="97"/>
      <c r="P78" s="97">
        <v>6683</v>
      </c>
      <c r="Q78" s="97"/>
      <c r="R78" s="97">
        <v>-3342</v>
      </c>
      <c r="S78" s="97"/>
      <c r="T78" s="97">
        <v>0</v>
      </c>
      <c r="U78" s="97"/>
      <c r="V78" s="97">
        <f>SUM(P78:T78)</f>
        <v>3341</v>
      </c>
      <c r="W78" s="97"/>
      <c r="X78" s="97">
        <v>6683</v>
      </c>
      <c r="Y78" s="97"/>
      <c r="Z78" s="97">
        <v>-6683</v>
      </c>
      <c r="AA78" s="97"/>
      <c r="AB78" s="97">
        <v>0</v>
      </c>
      <c r="AC78" s="97"/>
      <c r="AD78" s="97">
        <f>SUM(X78:AB78)</f>
        <v>0</v>
      </c>
      <c r="AE78" s="21"/>
      <c r="AF78" s="19" t="s">
        <v>90</v>
      </c>
    </row>
    <row r="79" spans="1:32" x14ac:dyDescent="0.2">
      <c r="A79" s="98" t="s">
        <v>103</v>
      </c>
      <c r="B79" s="36"/>
      <c r="C79" s="176" t="e">
        <f ca="1">+#REF!</f>
        <v>#REF!</v>
      </c>
      <c r="D79" s="176" t="e">
        <f ca="1">+#REF!</f>
        <v>#REF!</v>
      </c>
      <c r="E79" s="85"/>
      <c r="F79" s="85" t="e">
        <f ca="1">+#REF!</f>
        <v>#REF!</v>
      </c>
      <c r="G79" s="20"/>
      <c r="H79" s="97" t="e">
        <f ca="1">ROUND(#REF!/1000,0)</f>
        <v>#REF!</v>
      </c>
      <c r="I79" s="97"/>
      <c r="J79" s="97" t="e">
        <f ca="1">ROUND(#REF!/1000,0)</f>
        <v>#REF!</v>
      </c>
      <c r="K79" s="97"/>
      <c r="L79" s="97" t="e">
        <f ca="1">-ROUND((#REF!-#REF!)/1000,0)</f>
        <v>#REF!</v>
      </c>
      <c r="M79" s="97"/>
      <c r="N79" s="97" t="e">
        <f t="shared" si="10"/>
        <v>#REF!</v>
      </c>
      <c r="O79" s="97"/>
      <c r="P79" s="97">
        <v>2263</v>
      </c>
      <c r="Q79" s="97"/>
      <c r="R79" s="97">
        <v>-1132</v>
      </c>
      <c r="S79" s="97"/>
      <c r="T79" s="97">
        <v>0</v>
      </c>
      <c r="U79" s="97"/>
      <c r="V79" s="97">
        <f t="shared" si="11"/>
        <v>1131</v>
      </c>
      <c r="W79" s="97"/>
      <c r="X79" s="97">
        <v>2263</v>
      </c>
      <c r="Y79" s="97"/>
      <c r="Z79" s="97">
        <v>-2263</v>
      </c>
      <c r="AA79" s="97"/>
      <c r="AB79" s="97">
        <v>0</v>
      </c>
      <c r="AC79" s="97"/>
      <c r="AD79" s="97">
        <f t="shared" si="12"/>
        <v>0</v>
      </c>
      <c r="AE79" s="21"/>
      <c r="AF79" s="19" t="s">
        <v>90</v>
      </c>
    </row>
    <row r="80" spans="1:32" x14ac:dyDescent="0.2">
      <c r="A80" s="98" t="s">
        <v>103</v>
      </c>
      <c r="B80" s="36"/>
      <c r="C80" s="176" t="e">
        <f ca="1">+#REF!</f>
        <v>#REF!</v>
      </c>
      <c r="D80" s="176" t="e">
        <f ca="1">+#REF!</f>
        <v>#REF!</v>
      </c>
      <c r="E80" s="85"/>
      <c r="F80" s="85" t="e">
        <f ca="1">+#REF!</f>
        <v>#REF!</v>
      </c>
      <c r="G80" s="20"/>
      <c r="H80" s="97" t="e">
        <f ca="1">ROUND(#REF!/1000,0)</f>
        <v>#REF!</v>
      </c>
      <c r="I80" s="97"/>
      <c r="J80" s="97" t="e">
        <f ca="1">ROUND(#REF!/1000,0)</f>
        <v>#REF!</v>
      </c>
      <c r="K80" s="97"/>
      <c r="L80" s="97" t="e">
        <f ca="1">-ROUND((#REF!-#REF!)/1000,0)</f>
        <v>#REF!</v>
      </c>
      <c r="M80" s="97"/>
      <c r="N80" s="97" t="e">
        <f>SUM(H80:L80)</f>
        <v>#REF!</v>
      </c>
      <c r="O80" s="97"/>
      <c r="P80" s="97">
        <v>1625</v>
      </c>
      <c r="Q80" s="97"/>
      <c r="R80" s="97">
        <v>-813</v>
      </c>
      <c r="S80" s="97"/>
      <c r="T80" s="97">
        <v>0</v>
      </c>
      <c r="U80" s="97"/>
      <c r="V80" s="97">
        <f>SUM(P80:T80)</f>
        <v>812</v>
      </c>
      <c r="W80" s="97"/>
      <c r="X80" s="97">
        <v>1625</v>
      </c>
      <c r="Y80" s="97"/>
      <c r="Z80" s="97">
        <v>-1625</v>
      </c>
      <c r="AA80" s="97"/>
      <c r="AB80" s="97">
        <v>0</v>
      </c>
      <c r="AC80" s="97"/>
      <c r="AD80" s="97">
        <f>SUM(X80:AB80)</f>
        <v>0</v>
      </c>
      <c r="AE80" s="21"/>
      <c r="AF80" s="19" t="s">
        <v>90</v>
      </c>
    </row>
    <row r="81" spans="1:32" x14ac:dyDescent="0.2">
      <c r="A81" s="98" t="s">
        <v>103</v>
      </c>
      <c r="B81" s="36"/>
      <c r="C81" s="176" t="e">
        <f ca="1">+#REF!</f>
        <v>#REF!</v>
      </c>
      <c r="D81" s="176" t="e">
        <f ca="1">+#REF!</f>
        <v>#REF!</v>
      </c>
      <c r="E81" s="85"/>
      <c r="F81" s="85" t="e">
        <f ca="1">+#REF!</f>
        <v>#REF!</v>
      </c>
      <c r="G81" s="20"/>
      <c r="H81" s="97" t="e">
        <f ca="1">ROUND(#REF!/1000,0)</f>
        <v>#REF!</v>
      </c>
      <c r="I81" s="97"/>
      <c r="J81" s="97" t="e">
        <f ca="1">ROUND(#REF!/1000,0)</f>
        <v>#REF!</v>
      </c>
      <c r="K81" s="97"/>
      <c r="L81" s="97" t="e">
        <f ca="1">-ROUND((#REF!-#REF!)/1000,0)</f>
        <v>#REF!</v>
      </c>
      <c r="M81" s="97"/>
      <c r="N81" s="97" t="e">
        <f>SUM(H81:L81)</f>
        <v>#REF!</v>
      </c>
      <c r="O81" s="97"/>
      <c r="P81" s="97">
        <v>1031</v>
      </c>
      <c r="Q81" s="97"/>
      <c r="R81" s="97">
        <v>-516</v>
      </c>
      <c r="S81" s="97"/>
      <c r="T81" s="97">
        <v>0</v>
      </c>
      <c r="U81" s="97"/>
      <c r="V81" s="97">
        <f>SUM(P81:T81)</f>
        <v>515</v>
      </c>
      <c r="W81" s="97"/>
      <c r="X81" s="97">
        <v>1031</v>
      </c>
      <c r="Y81" s="97"/>
      <c r="Z81" s="97">
        <v>-1031</v>
      </c>
      <c r="AA81" s="97"/>
      <c r="AB81" s="97">
        <v>0</v>
      </c>
      <c r="AC81" s="97"/>
      <c r="AD81" s="97">
        <f>SUM(X81:AB81)</f>
        <v>0</v>
      </c>
      <c r="AE81" s="21"/>
      <c r="AF81" s="19" t="s">
        <v>90</v>
      </c>
    </row>
    <row r="82" spans="1:32" x14ac:dyDescent="0.2">
      <c r="A82" s="98" t="s">
        <v>103</v>
      </c>
      <c r="B82" s="36"/>
      <c r="C82" s="176" t="e">
        <f ca="1">+#REF!</f>
        <v>#REF!</v>
      </c>
      <c r="D82" s="176" t="e">
        <f ca="1">+#REF!</f>
        <v>#REF!</v>
      </c>
      <c r="E82" s="85"/>
      <c r="F82" s="85" t="e">
        <f ca="1">+#REF!</f>
        <v>#REF!</v>
      </c>
      <c r="G82" s="20"/>
      <c r="H82" s="97" t="e">
        <f ca="1">ROUND(#REF!/1000,0)</f>
        <v>#REF!</v>
      </c>
      <c r="I82" s="97"/>
      <c r="J82" s="97" t="e">
        <f ca="1">ROUND(#REF!/1000,0)</f>
        <v>#REF!</v>
      </c>
      <c r="K82" s="97"/>
      <c r="L82" s="97" t="e">
        <f ca="1">-ROUND((#REF!-#REF!)/1000,0)</f>
        <v>#REF!</v>
      </c>
      <c r="M82" s="97"/>
      <c r="N82" s="97" t="e">
        <f t="shared" si="10"/>
        <v>#REF!</v>
      </c>
      <c r="O82" s="97"/>
      <c r="P82" s="97">
        <v>2405</v>
      </c>
      <c r="Q82" s="97"/>
      <c r="R82" s="97">
        <v>-1203</v>
      </c>
      <c r="S82" s="97"/>
      <c r="T82" s="97">
        <v>0</v>
      </c>
      <c r="U82" s="97"/>
      <c r="V82" s="97">
        <f t="shared" si="11"/>
        <v>1202</v>
      </c>
      <c r="W82" s="97"/>
      <c r="X82" s="97">
        <v>2405</v>
      </c>
      <c r="Y82" s="97"/>
      <c r="Z82" s="97">
        <v>-2405</v>
      </c>
      <c r="AA82" s="97"/>
      <c r="AB82" s="97">
        <v>0</v>
      </c>
      <c r="AC82" s="97"/>
      <c r="AD82" s="97">
        <f t="shared" si="12"/>
        <v>0</v>
      </c>
      <c r="AE82" s="21"/>
      <c r="AF82" s="19" t="s">
        <v>90</v>
      </c>
    </row>
    <row r="83" spans="1:32" x14ac:dyDescent="0.2">
      <c r="A83" s="98" t="s">
        <v>103</v>
      </c>
      <c r="B83" s="36"/>
      <c r="C83" s="176" t="e">
        <f ca="1">+#REF!</f>
        <v>#REF!</v>
      </c>
      <c r="D83" s="176" t="e">
        <f ca="1">+#REF!</f>
        <v>#REF!</v>
      </c>
      <c r="E83" s="85"/>
      <c r="F83" s="85" t="e">
        <f ca="1">+#REF!</f>
        <v>#REF!</v>
      </c>
      <c r="G83" s="20"/>
      <c r="H83" s="97" t="e">
        <f ca="1">ROUND(#REF!/1000,0)</f>
        <v>#REF!</v>
      </c>
      <c r="I83" s="97"/>
      <c r="J83" s="97" t="e">
        <f ca="1">ROUND(#REF!/1000,0)</f>
        <v>#REF!</v>
      </c>
      <c r="K83" s="97"/>
      <c r="L83" s="97" t="e">
        <f ca="1">-ROUND((#REF!-#REF!)/1000,0)</f>
        <v>#REF!</v>
      </c>
      <c r="M83" s="97"/>
      <c r="N83" s="97" t="e">
        <f>SUM(H83:L83)</f>
        <v>#REF!</v>
      </c>
      <c r="O83" s="97"/>
      <c r="P83" s="97">
        <v>823</v>
      </c>
      <c r="Q83" s="97"/>
      <c r="R83" s="97">
        <v>0</v>
      </c>
      <c r="S83" s="97"/>
      <c r="T83" s="97">
        <v>0</v>
      </c>
      <c r="U83" s="97"/>
      <c r="V83" s="97">
        <f>SUM(P83:T83)</f>
        <v>823</v>
      </c>
      <c r="W83" s="97"/>
      <c r="X83" s="97">
        <v>823</v>
      </c>
      <c r="Y83" s="97"/>
      <c r="Z83" s="97">
        <v>-823</v>
      </c>
      <c r="AA83" s="97"/>
      <c r="AB83" s="97">
        <v>0</v>
      </c>
      <c r="AC83" s="97"/>
      <c r="AD83" s="97">
        <f>SUM(X83:AB83)</f>
        <v>0</v>
      </c>
      <c r="AE83" s="21"/>
      <c r="AF83" s="19" t="s">
        <v>90</v>
      </c>
    </row>
    <row r="84" spans="1:32" x14ac:dyDescent="0.2">
      <c r="A84" s="98" t="s">
        <v>103</v>
      </c>
      <c r="B84" s="36"/>
      <c r="C84" s="176" t="e">
        <f ca="1">+#REF!</f>
        <v>#REF!</v>
      </c>
      <c r="D84" s="176" t="e">
        <f ca="1">+#REF!</f>
        <v>#REF!</v>
      </c>
      <c r="E84" s="85"/>
      <c r="F84" s="85" t="e">
        <f ca="1">+#REF!</f>
        <v>#REF!</v>
      </c>
      <c r="G84" s="20"/>
      <c r="H84" s="97" t="e">
        <f ca="1">ROUND(#REF!/1000,0)</f>
        <v>#REF!</v>
      </c>
      <c r="I84" s="97"/>
      <c r="J84" s="97" t="e">
        <f ca="1">ROUND(#REF!/1000,0)</f>
        <v>#REF!</v>
      </c>
      <c r="K84" s="97"/>
      <c r="L84" s="97" t="e">
        <f ca="1">-ROUND((#REF!-#REF!)/1000,0)</f>
        <v>#REF!</v>
      </c>
      <c r="M84" s="97"/>
      <c r="N84" s="97" t="e">
        <f>SUM(H84:L84)</f>
        <v>#REF!</v>
      </c>
      <c r="O84" s="97"/>
      <c r="P84" s="97">
        <v>3500</v>
      </c>
      <c r="Q84" s="97"/>
      <c r="R84" s="97">
        <v>-1273</v>
      </c>
      <c r="S84" s="97"/>
      <c r="T84" s="97">
        <v>0</v>
      </c>
      <c r="U84" s="97"/>
      <c r="V84" s="97">
        <f>SUM(P84:T84)</f>
        <v>2227</v>
      </c>
      <c r="W84" s="97"/>
      <c r="X84" s="97">
        <v>2545</v>
      </c>
      <c r="Y84" s="97"/>
      <c r="Z84" s="97">
        <v>-2545</v>
      </c>
      <c r="AA84" s="97"/>
      <c r="AB84" s="97">
        <v>0</v>
      </c>
      <c r="AC84" s="97"/>
      <c r="AD84" s="97">
        <f>SUM(X84:AB84)</f>
        <v>0</v>
      </c>
      <c r="AE84" s="21"/>
      <c r="AF84" s="19" t="s">
        <v>90</v>
      </c>
    </row>
    <row r="85" spans="1:32" x14ac:dyDescent="0.2">
      <c r="A85" s="98" t="s">
        <v>103</v>
      </c>
      <c r="B85" s="36"/>
      <c r="C85" s="176" t="e">
        <f ca="1">+#REF!</f>
        <v>#REF!</v>
      </c>
      <c r="D85" s="176" t="e">
        <f ca="1">+#REF!</f>
        <v>#REF!</v>
      </c>
      <c r="E85" s="85"/>
      <c r="F85" s="85" t="e">
        <f ca="1">+#REF!</f>
        <v>#REF!</v>
      </c>
      <c r="G85" s="20"/>
      <c r="H85" s="97" t="e">
        <f ca="1">ROUND(#REF!/1000,0)</f>
        <v>#REF!</v>
      </c>
      <c r="I85" s="97"/>
      <c r="J85" s="97" t="e">
        <f ca="1">ROUND(#REF!/1000,0)</f>
        <v>#REF!</v>
      </c>
      <c r="K85" s="97"/>
      <c r="L85" s="97" t="e">
        <f ca="1">-ROUND((#REF!-#REF!)/1000,0)</f>
        <v>#REF!</v>
      </c>
      <c r="M85" s="97"/>
      <c r="N85" s="97" t="e">
        <f>SUM(H85:L85)</f>
        <v>#REF!</v>
      </c>
      <c r="O85" s="97"/>
      <c r="P85" s="97">
        <v>2425</v>
      </c>
      <c r="Q85" s="97"/>
      <c r="R85" s="97">
        <v>-592</v>
      </c>
      <c r="S85" s="97"/>
      <c r="T85" s="97">
        <v>0</v>
      </c>
      <c r="U85" s="97"/>
      <c r="V85" s="97">
        <f>SUM(P85:T85)</f>
        <v>1833</v>
      </c>
      <c r="W85" s="97"/>
      <c r="X85" s="97">
        <v>2425</v>
      </c>
      <c r="Y85" s="97"/>
      <c r="Z85" s="97">
        <v>-2425</v>
      </c>
      <c r="AA85" s="97"/>
      <c r="AB85" s="97">
        <v>0</v>
      </c>
      <c r="AC85" s="97"/>
      <c r="AD85" s="97">
        <f>SUM(X85:AB85)</f>
        <v>0</v>
      </c>
      <c r="AE85" s="21"/>
      <c r="AF85" s="19" t="s">
        <v>90</v>
      </c>
    </row>
    <row r="86" spans="1:32" x14ac:dyDescent="0.2">
      <c r="A86" s="96">
        <v>11</v>
      </c>
      <c r="B86" s="36"/>
      <c r="C86" s="176" t="e">
        <f ca="1">+#REF!</f>
        <v>#REF!</v>
      </c>
      <c r="D86" s="176" t="e">
        <f ca="1">+#REF!</f>
        <v>#REF!</v>
      </c>
      <c r="E86" s="85"/>
      <c r="F86" s="85" t="e">
        <f ca="1">+#REF!</f>
        <v>#REF!</v>
      </c>
      <c r="G86" s="20"/>
      <c r="H86" s="97" t="e">
        <f ca="1">ROUND(#REF!/1000,0)</f>
        <v>#REF!</v>
      </c>
      <c r="I86" s="97"/>
      <c r="J86" s="97" t="e">
        <f ca="1">ROUND(#REF!/1000,0)</f>
        <v>#REF!</v>
      </c>
      <c r="K86" s="97"/>
      <c r="L86" s="97" t="e">
        <f ca="1">-ROUND((#REF!-#REF!)/1000,0)</f>
        <v>#REF!</v>
      </c>
      <c r="M86" s="97"/>
      <c r="N86" s="97" t="e">
        <f t="shared" si="10"/>
        <v>#REF!</v>
      </c>
      <c r="O86" s="97"/>
      <c r="P86" s="97">
        <v>0</v>
      </c>
      <c r="Q86" s="97"/>
      <c r="R86" s="97">
        <f>+P86/2</f>
        <v>0</v>
      </c>
      <c r="S86" s="97"/>
      <c r="T86" s="97">
        <v>0</v>
      </c>
      <c r="U86" s="97"/>
      <c r="V86" s="97">
        <f t="shared" si="11"/>
        <v>0</v>
      </c>
      <c r="W86" s="97"/>
      <c r="X86" s="97">
        <v>0</v>
      </c>
      <c r="Y86" s="97"/>
      <c r="Z86" s="97">
        <v>0</v>
      </c>
      <c r="AA86" s="97"/>
      <c r="AB86" s="97">
        <v>0</v>
      </c>
      <c r="AC86" s="97"/>
      <c r="AD86" s="97">
        <f t="shared" si="12"/>
        <v>0</v>
      </c>
      <c r="AE86" s="21"/>
      <c r="AF86" s="19" t="s">
        <v>90</v>
      </c>
    </row>
    <row r="87" spans="1:32" x14ac:dyDescent="0.2">
      <c r="A87" s="96">
        <v>11</v>
      </c>
      <c r="B87" s="36"/>
      <c r="C87" s="176" t="e">
        <f ca="1">+#REF!</f>
        <v>#REF!</v>
      </c>
      <c r="D87" s="176" t="e">
        <f ca="1">+#REF!</f>
        <v>#REF!</v>
      </c>
      <c r="E87" s="85"/>
      <c r="F87" s="85" t="e">
        <f ca="1">+#REF!</f>
        <v>#REF!</v>
      </c>
      <c r="G87" s="20"/>
      <c r="H87" s="97" t="e">
        <f ca="1">ROUND(#REF!/1000,0)</f>
        <v>#REF!</v>
      </c>
      <c r="I87" s="97"/>
      <c r="J87" s="97" t="e">
        <f ca="1">ROUND(#REF!/1000,0)</f>
        <v>#REF!</v>
      </c>
      <c r="K87" s="97"/>
      <c r="L87" s="97" t="e">
        <f ca="1">-ROUND((#REF!-#REF!)/1000,0)</f>
        <v>#REF!</v>
      </c>
      <c r="M87" s="97"/>
      <c r="N87" s="97" t="e">
        <f t="shared" si="10"/>
        <v>#REF!</v>
      </c>
      <c r="O87" s="97"/>
      <c r="P87" s="97">
        <v>0</v>
      </c>
      <c r="Q87" s="97"/>
      <c r="R87" s="97">
        <f>+P87/2</f>
        <v>0</v>
      </c>
      <c r="S87" s="97"/>
      <c r="T87" s="97">
        <v>0</v>
      </c>
      <c r="U87" s="97"/>
      <c r="V87" s="97">
        <f t="shared" si="11"/>
        <v>0</v>
      </c>
      <c r="W87" s="97"/>
      <c r="X87" s="97">
        <v>0</v>
      </c>
      <c r="Y87" s="97"/>
      <c r="Z87" s="97">
        <v>0</v>
      </c>
      <c r="AA87" s="97"/>
      <c r="AB87" s="97">
        <v>0</v>
      </c>
      <c r="AC87" s="97"/>
      <c r="AD87" s="97">
        <f t="shared" si="12"/>
        <v>0</v>
      </c>
      <c r="AE87" s="21"/>
      <c r="AF87" s="19" t="s">
        <v>90</v>
      </c>
    </row>
    <row r="88" spans="1:32" x14ac:dyDescent="0.2">
      <c r="A88" s="96">
        <v>11</v>
      </c>
      <c r="B88" s="36"/>
      <c r="C88" s="176" t="e">
        <f ca="1">+#REF!</f>
        <v>#REF!</v>
      </c>
      <c r="D88" s="176" t="e">
        <f ca="1">+#REF!</f>
        <v>#REF!</v>
      </c>
      <c r="E88" s="85"/>
      <c r="F88" s="85" t="e">
        <f ca="1">+#REF!</f>
        <v>#REF!</v>
      </c>
      <c r="G88" s="20"/>
      <c r="H88" s="97" t="e">
        <f ca="1">ROUND(#REF!/1000,0)</f>
        <v>#REF!</v>
      </c>
      <c r="I88" s="97"/>
      <c r="J88" s="97" t="e">
        <f ca="1">ROUND(#REF!/1000,0)</f>
        <v>#REF!</v>
      </c>
      <c r="K88" s="97"/>
      <c r="L88" s="97" t="e">
        <f ca="1">-ROUND((#REF!-#REF!)/1000,0)</f>
        <v>#REF!</v>
      </c>
      <c r="M88" s="97"/>
      <c r="N88" s="97" t="e">
        <f>SUM(H88:L88)</f>
        <v>#REF!</v>
      </c>
      <c r="O88" s="97"/>
      <c r="P88" s="97">
        <v>0</v>
      </c>
      <c r="Q88" s="97"/>
      <c r="R88" s="97">
        <f>+P88/2</f>
        <v>0</v>
      </c>
      <c r="S88" s="97"/>
      <c r="T88" s="97">
        <v>0</v>
      </c>
      <c r="U88" s="97"/>
      <c r="V88" s="97">
        <f>SUM(P88:T88)</f>
        <v>0</v>
      </c>
      <c r="W88" s="97"/>
      <c r="X88" s="97">
        <v>0</v>
      </c>
      <c r="Y88" s="97"/>
      <c r="Z88" s="97">
        <v>0</v>
      </c>
      <c r="AA88" s="97"/>
      <c r="AB88" s="97">
        <v>0</v>
      </c>
      <c r="AC88" s="97"/>
      <c r="AD88" s="97">
        <f>SUM(X88:AB88)</f>
        <v>0</v>
      </c>
      <c r="AE88" s="21"/>
      <c r="AF88" s="19" t="s">
        <v>90</v>
      </c>
    </row>
    <row r="89" spans="1:32" x14ac:dyDescent="0.2">
      <c r="A89" s="96"/>
      <c r="B89" s="36"/>
      <c r="C89" s="19"/>
      <c r="D89" s="19"/>
      <c r="E89" s="19"/>
      <c r="F89" s="85"/>
      <c r="G89" s="20"/>
      <c r="H89" s="99"/>
      <c r="I89" s="97"/>
      <c r="J89" s="99"/>
      <c r="K89" s="97"/>
      <c r="L89" s="99"/>
      <c r="M89" s="97"/>
      <c r="N89" s="99"/>
      <c r="O89" s="97"/>
      <c r="P89" s="99"/>
      <c r="Q89" s="97"/>
      <c r="R89" s="99"/>
      <c r="S89" s="97"/>
      <c r="T89" s="99"/>
      <c r="U89" s="97"/>
      <c r="V89" s="99"/>
      <c r="W89" s="97"/>
      <c r="X89" s="99"/>
      <c r="Y89" s="97"/>
      <c r="Z89" s="99"/>
      <c r="AA89" s="97"/>
      <c r="AB89" s="99"/>
      <c r="AC89" s="97"/>
      <c r="AD89" s="99"/>
      <c r="AE89" s="21"/>
      <c r="AF89" s="19"/>
    </row>
    <row r="90" spans="1:32" s="114" customFormat="1" x14ac:dyDescent="0.2">
      <c r="A90" s="104"/>
      <c r="B90" s="68"/>
      <c r="C90" s="69" t="s">
        <v>203</v>
      </c>
      <c r="D90" s="69"/>
      <c r="E90" s="69"/>
      <c r="F90" s="88"/>
      <c r="G90" s="70"/>
      <c r="H90" s="113" t="e">
        <f>SUM(H74:H89)</f>
        <v>#REF!</v>
      </c>
      <c r="I90" s="105"/>
      <c r="J90" s="113" t="e">
        <f>SUM(J74:J89)</f>
        <v>#REF!</v>
      </c>
      <c r="K90" s="105"/>
      <c r="L90" s="113" t="e">
        <f>SUM(L74:L89)</f>
        <v>#REF!</v>
      </c>
      <c r="M90" s="105"/>
      <c r="N90" s="113" t="e">
        <f>SUM(N74:N89)</f>
        <v>#REF!</v>
      </c>
      <c r="O90" s="105"/>
      <c r="P90" s="113">
        <f>SUM(P74:P89)</f>
        <v>35165</v>
      </c>
      <c r="Q90" s="105"/>
      <c r="R90" s="113">
        <f>SUM(R74:R89)</f>
        <v>-17402</v>
      </c>
      <c r="S90" s="105"/>
      <c r="T90" s="113">
        <f>SUM(T74:T89)</f>
        <v>-1747</v>
      </c>
      <c r="U90" s="105"/>
      <c r="V90" s="113">
        <f>SUM(V74:V89)</f>
        <v>16016</v>
      </c>
      <c r="W90" s="105"/>
      <c r="X90" s="113">
        <f>SUM(X74:X89)</f>
        <v>34210</v>
      </c>
      <c r="Y90" s="105"/>
      <c r="Z90" s="113">
        <f>SUM(Z74:Z89)</f>
        <v>-31463</v>
      </c>
      <c r="AA90" s="105"/>
      <c r="AB90" s="113">
        <f>SUM(AB74:AB89)</f>
        <v>-1747</v>
      </c>
      <c r="AC90" s="105"/>
      <c r="AD90" s="113">
        <f>SUM(AD74:AD89)</f>
        <v>1000</v>
      </c>
      <c r="AE90" s="71"/>
      <c r="AF90" s="69"/>
    </row>
    <row r="91" spans="1:32" x14ac:dyDescent="0.2">
      <c r="A91" s="96"/>
      <c r="B91" s="36"/>
      <c r="C91" s="19"/>
      <c r="D91" s="19"/>
      <c r="E91" s="19"/>
      <c r="F91" s="85"/>
      <c r="G91" s="20"/>
      <c r="H91" s="97"/>
      <c r="I91" s="97"/>
      <c r="J91" s="97"/>
      <c r="K91" s="97"/>
      <c r="L91" s="97"/>
      <c r="M91" s="97"/>
      <c r="N91" s="97"/>
      <c r="O91" s="97"/>
      <c r="P91" s="97"/>
      <c r="Q91" s="97"/>
      <c r="R91" s="97"/>
      <c r="S91" s="97"/>
      <c r="T91" s="97"/>
      <c r="U91" s="97"/>
      <c r="V91" s="97"/>
      <c r="W91" s="97"/>
      <c r="X91" s="97"/>
      <c r="Y91" s="97"/>
      <c r="Z91" s="97"/>
      <c r="AA91" s="97"/>
      <c r="AB91" s="97"/>
      <c r="AC91" s="97"/>
      <c r="AD91" s="97"/>
      <c r="AE91" s="21"/>
      <c r="AF91" s="19"/>
    </row>
    <row r="92" spans="1:32" x14ac:dyDescent="0.2">
      <c r="A92" s="96"/>
      <c r="B92" s="36"/>
      <c r="C92" s="30" t="s">
        <v>195</v>
      </c>
      <c r="D92" s="2"/>
      <c r="E92" s="2"/>
      <c r="F92" s="86"/>
      <c r="G92" s="23"/>
      <c r="H92" s="97"/>
      <c r="I92" s="97"/>
      <c r="J92" s="97"/>
      <c r="K92" s="97"/>
      <c r="L92" s="97"/>
      <c r="M92" s="97"/>
      <c r="N92" s="97"/>
      <c r="O92" s="97"/>
      <c r="P92" s="97"/>
      <c r="Q92" s="97"/>
      <c r="R92" s="97"/>
      <c r="S92" s="97"/>
      <c r="T92" s="97"/>
      <c r="U92" s="97"/>
      <c r="V92" s="97"/>
      <c r="W92" s="97"/>
      <c r="X92" s="97"/>
      <c r="Y92" s="97"/>
      <c r="Z92" s="97"/>
      <c r="AA92" s="97"/>
      <c r="AB92" s="97"/>
      <c r="AC92" s="97"/>
      <c r="AD92" s="97"/>
      <c r="AE92" s="21"/>
      <c r="AF92" s="19"/>
    </row>
    <row r="93" spans="1:32" x14ac:dyDescent="0.2">
      <c r="A93" s="98" t="s">
        <v>103</v>
      </c>
      <c r="B93" s="82"/>
      <c r="C93" s="178" t="e">
        <f ca="1">+#REF!</f>
        <v>#REF!</v>
      </c>
      <c r="D93" s="178" t="e">
        <f ca="1">+#REF!</f>
        <v>#REF!</v>
      </c>
      <c r="E93" s="86"/>
      <c r="F93" s="86" t="e">
        <f ca="1">+#REF!</f>
        <v>#REF!</v>
      </c>
      <c r="G93" s="23"/>
      <c r="H93" s="97" t="e">
        <f ca="1">ROUND(#REF!/1000,0)</f>
        <v>#REF!</v>
      </c>
      <c r="I93" s="97"/>
      <c r="J93" s="97" t="e">
        <f ca="1">ROUND(#REF!/1000,0)</f>
        <v>#REF!</v>
      </c>
      <c r="K93" s="97"/>
      <c r="L93" s="97" t="e">
        <f ca="1">-ROUND((#REF!-#REF!)/1000,0)</f>
        <v>#REF!</v>
      </c>
      <c r="M93" s="97"/>
      <c r="N93" s="97" t="e">
        <f t="shared" ref="N93:N100" si="13">SUM(H93:L93)</f>
        <v>#REF!</v>
      </c>
      <c r="O93" s="103"/>
      <c r="P93" s="97">
        <v>3375</v>
      </c>
      <c r="Q93" s="97"/>
      <c r="R93" s="97">
        <v>-1671</v>
      </c>
      <c r="S93" s="97"/>
      <c r="T93" s="97">
        <v>0</v>
      </c>
      <c r="U93" s="97"/>
      <c r="V93" s="97">
        <f t="shared" ref="V93:V100" si="14">SUM(P93:T93)</f>
        <v>1704</v>
      </c>
      <c r="W93" s="97"/>
      <c r="X93" s="97">
        <v>4477</v>
      </c>
      <c r="Y93" s="97"/>
      <c r="Z93" s="97">
        <v>-4477</v>
      </c>
      <c r="AA93" s="97"/>
      <c r="AB93" s="97">
        <v>0</v>
      </c>
      <c r="AC93" s="97"/>
      <c r="AD93" s="97">
        <f t="shared" ref="AD93:AD100" si="15">SUM(X93:AB93)</f>
        <v>0</v>
      </c>
      <c r="AE93" s="21"/>
      <c r="AF93" s="19" t="s">
        <v>90</v>
      </c>
    </row>
    <row r="94" spans="1:32" x14ac:dyDescent="0.2">
      <c r="A94" s="98" t="s">
        <v>103</v>
      </c>
      <c r="B94" s="82"/>
      <c r="C94" s="178" t="e">
        <f ca="1">+#REF!</f>
        <v>#REF!</v>
      </c>
      <c r="D94" s="178" t="e">
        <f ca="1">+#REF!</f>
        <v>#REF!</v>
      </c>
      <c r="E94" s="86"/>
      <c r="F94" s="86" t="e">
        <f ca="1">+#REF!</f>
        <v>#REF!</v>
      </c>
      <c r="G94" s="20"/>
      <c r="H94" s="97" t="e">
        <f ca="1">ROUND(#REF!/1000,0)</f>
        <v>#REF!</v>
      </c>
      <c r="I94" s="97"/>
      <c r="J94" s="97" t="e">
        <f ca="1">ROUND(#REF!/1000,0)</f>
        <v>#REF!</v>
      </c>
      <c r="K94" s="97"/>
      <c r="L94" s="97" t="e">
        <f ca="1">-ROUND((#REF!-#REF!)/1000,0)</f>
        <v>#REF!</v>
      </c>
      <c r="M94" s="97"/>
      <c r="N94" s="97" t="e">
        <f t="shared" si="13"/>
        <v>#REF!</v>
      </c>
      <c r="O94" s="97"/>
      <c r="P94" s="97">
        <v>1600</v>
      </c>
      <c r="Q94" s="97"/>
      <c r="R94" s="97">
        <v>-917</v>
      </c>
      <c r="S94" s="97"/>
      <c r="T94" s="97">
        <v>0</v>
      </c>
      <c r="U94" s="97"/>
      <c r="V94" s="97">
        <f t="shared" si="14"/>
        <v>683</v>
      </c>
      <c r="W94" s="97"/>
      <c r="X94" s="97">
        <v>1600</v>
      </c>
      <c r="Y94" s="97"/>
      <c r="Z94" s="97">
        <v>-1600</v>
      </c>
      <c r="AA94" s="97"/>
      <c r="AB94" s="97">
        <v>0</v>
      </c>
      <c r="AC94" s="97"/>
      <c r="AD94" s="97">
        <f t="shared" si="15"/>
        <v>0</v>
      </c>
      <c r="AE94" s="21"/>
      <c r="AF94" s="19" t="s">
        <v>70</v>
      </c>
    </row>
    <row r="95" spans="1:32" x14ac:dyDescent="0.2">
      <c r="A95" s="98" t="s">
        <v>103</v>
      </c>
      <c r="B95" s="82"/>
      <c r="C95" s="178" t="e">
        <f ca="1">+#REF!</f>
        <v>#REF!</v>
      </c>
      <c r="D95" s="178" t="e">
        <f ca="1">+#REF!</f>
        <v>#REF!</v>
      </c>
      <c r="E95" s="86"/>
      <c r="F95" s="86" t="e">
        <f ca="1">+#REF!</f>
        <v>#REF!</v>
      </c>
      <c r="G95" s="23"/>
      <c r="H95" s="97" t="e">
        <f ca="1">ROUND(#REF!/1000,0)</f>
        <v>#REF!</v>
      </c>
      <c r="I95" s="97"/>
      <c r="J95" s="97" t="e">
        <f ca="1">ROUND(#REF!/1000,0)</f>
        <v>#REF!</v>
      </c>
      <c r="K95" s="97"/>
      <c r="L95" s="97" t="e">
        <f ca="1">-ROUND((#REF!-#REF!)/1000,0)</f>
        <v>#REF!</v>
      </c>
      <c r="M95" s="97"/>
      <c r="N95" s="97" t="e">
        <f t="shared" si="13"/>
        <v>#REF!</v>
      </c>
      <c r="O95" s="97"/>
      <c r="P95" s="97">
        <v>2432</v>
      </c>
      <c r="Q95" s="97"/>
      <c r="R95" s="97">
        <v>-2380</v>
      </c>
      <c r="S95" s="97"/>
      <c r="T95" s="97">
        <v>0</v>
      </c>
      <c r="U95" s="97"/>
      <c r="V95" s="97">
        <f t="shared" si="14"/>
        <v>52</v>
      </c>
      <c r="W95" s="97"/>
      <c r="X95" s="97">
        <v>2432</v>
      </c>
      <c r="Y95" s="97"/>
      <c r="Z95" s="97">
        <v>-2432</v>
      </c>
      <c r="AA95" s="97"/>
      <c r="AB95" s="97">
        <v>0</v>
      </c>
      <c r="AC95" s="97"/>
      <c r="AD95" s="97">
        <f t="shared" si="15"/>
        <v>0</v>
      </c>
      <c r="AE95" s="21"/>
      <c r="AF95" s="19" t="s">
        <v>90</v>
      </c>
    </row>
    <row r="96" spans="1:32" x14ac:dyDescent="0.2">
      <c r="A96" s="98" t="s">
        <v>103</v>
      </c>
      <c r="B96" s="82"/>
      <c r="C96" s="178" t="e">
        <f ca="1">+#REF!</f>
        <v>#REF!</v>
      </c>
      <c r="D96" s="178" t="e">
        <f ca="1">+#REF!</f>
        <v>#REF!</v>
      </c>
      <c r="E96" s="86"/>
      <c r="F96" s="86" t="e">
        <f ca="1">+#REF!</f>
        <v>#REF!</v>
      </c>
      <c r="G96" s="23"/>
      <c r="H96" s="97" t="e">
        <f ca="1">ROUND(#REF!/1000,0)</f>
        <v>#REF!</v>
      </c>
      <c r="I96" s="97"/>
      <c r="J96" s="97" t="e">
        <f ca="1">ROUND(#REF!/1000,0)</f>
        <v>#REF!</v>
      </c>
      <c r="K96" s="97"/>
      <c r="L96" s="97" t="e">
        <f ca="1">-ROUND((#REF!-#REF!)/1000,0)</f>
        <v>#REF!</v>
      </c>
      <c r="M96" s="97"/>
      <c r="N96" s="97" t="e">
        <f>SUM(H96:L96)</f>
        <v>#REF!</v>
      </c>
      <c r="O96" s="97"/>
      <c r="P96" s="97">
        <v>2267</v>
      </c>
      <c r="Q96" s="97"/>
      <c r="R96" s="97">
        <v>-2220</v>
      </c>
      <c r="S96" s="97"/>
      <c r="T96" s="97">
        <v>0</v>
      </c>
      <c r="U96" s="97"/>
      <c r="V96" s="97">
        <f>SUM(P96:T96)</f>
        <v>47</v>
      </c>
      <c r="W96" s="97"/>
      <c r="X96" s="97">
        <v>2267</v>
      </c>
      <c r="Y96" s="97"/>
      <c r="Z96" s="97">
        <v>-2267</v>
      </c>
      <c r="AA96" s="97"/>
      <c r="AB96" s="97">
        <v>0</v>
      </c>
      <c r="AC96" s="97"/>
      <c r="AD96" s="97">
        <f>SUM(X96:AB96)</f>
        <v>0</v>
      </c>
      <c r="AE96" s="21"/>
      <c r="AF96" s="19" t="s">
        <v>90</v>
      </c>
    </row>
    <row r="97" spans="1:32" x14ac:dyDescent="0.2">
      <c r="A97" s="98" t="s">
        <v>103</v>
      </c>
      <c r="B97" s="82"/>
      <c r="C97" s="178" t="e">
        <f ca="1">+#REF!</f>
        <v>#REF!</v>
      </c>
      <c r="D97" s="178" t="e">
        <f ca="1">+#REF!</f>
        <v>#REF!</v>
      </c>
      <c r="E97" s="86"/>
      <c r="F97" s="86" t="e">
        <f ca="1">+#REF!</f>
        <v>#REF!</v>
      </c>
      <c r="G97" s="23"/>
      <c r="H97" s="97" t="e">
        <f ca="1">ROUND(#REF!/1000,0)</f>
        <v>#REF!</v>
      </c>
      <c r="I97" s="97"/>
      <c r="J97" s="97" t="e">
        <f ca="1">ROUND(#REF!/1000,0)</f>
        <v>#REF!</v>
      </c>
      <c r="K97" s="97"/>
      <c r="L97" s="97" t="e">
        <f ca="1">-ROUND((#REF!-#REF!)/1000,0)</f>
        <v>#REF!</v>
      </c>
      <c r="M97" s="97"/>
      <c r="N97" s="97" t="e">
        <f>SUM(H97:L97)</f>
        <v>#REF!</v>
      </c>
      <c r="O97" s="97"/>
      <c r="P97" s="97">
        <v>3471</v>
      </c>
      <c r="Q97" s="97"/>
      <c r="R97" s="97">
        <v>-3419</v>
      </c>
      <c r="S97" s="97"/>
      <c r="T97" s="97">
        <v>0</v>
      </c>
      <c r="U97" s="97"/>
      <c r="V97" s="97">
        <f>SUM(P97:T97)</f>
        <v>52</v>
      </c>
      <c r="W97" s="97"/>
      <c r="X97" s="97">
        <v>3471</v>
      </c>
      <c r="Y97" s="97"/>
      <c r="Z97" s="97">
        <v>-3471</v>
      </c>
      <c r="AA97" s="97"/>
      <c r="AB97" s="97">
        <v>0</v>
      </c>
      <c r="AC97" s="97"/>
      <c r="AD97" s="97">
        <f>SUM(X97:AB97)</f>
        <v>0</v>
      </c>
      <c r="AE97" s="21"/>
      <c r="AF97" s="19" t="s">
        <v>90</v>
      </c>
    </row>
    <row r="98" spans="1:32" x14ac:dyDescent="0.2">
      <c r="A98" s="98" t="s">
        <v>103</v>
      </c>
      <c r="B98" s="82"/>
      <c r="C98" s="178" t="e">
        <f ca="1">+#REF!</f>
        <v>#REF!</v>
      </c>
      <c r="D98" s="178" t="e">
        <f ca="1">+#REF!</f>
        <v>#REF!</v>
      </c>
      <c r="E98" s="86"/>
      <c r="F98" s="86" t="e">
        <f ca="1">+#REF!</f>
        <v>#REF!</v>
      </c>
      <c r="G98" s="23"/>
      <c r="H98" s="97" t="e">
        <f ca="1">ROUND(#REF!/1000,0)</f>
        <v>#REF!</v>
      </c>
      <c r="I98" s="97"/>
      <c r="J98" s="97" t="e">
        <f ca="1">ROUND(#REF!/1000,0)</f>
        <v>#REF!</v>
      </c>
      <c r="K98" s="97"/>
      <c r="L98" s="97" t="e">
        <f ca="1">-ROUND((#REF!-#REF!)/1000,0)</f>
        <v>#REF!</v>
      </c>
      <c r="M98" s="97"/>
      <c r="N98" s="97" t="e">
        <f>SUM(H98:L98)</f>
        <v>#REF!</v>
      </c>
      <c r="O98" s="97"/>
      <c r="P98" s="97">
        <v>2994</v>
      </c>
      <c r="Q98" s="97"/>
      <c r="R98" s="97">
        <v>-2924</v>
      </c>
      <c r="S98" s="97"/>
      <c r="T98" s="97">
        <v>0</v>
      </c>
      <c r="U98" s="97"/>
      <c r="V98" s="97">
        <f>SUM(P98:T98)</f>
        <v>70</v>
      </c>
      <c r="W98" s="97"/>
      <c r="X98" s="97">
        <v>2994</v>
      </c>
      <c r="Y98" s="97"/>
      <c r="Z98" s="97">
        <v>-2994</v>
      </c>
      <c r="AA98" s="97"/>
      <c r="AB98" s="97">
        <v>0</v>
      </c>
      <c r="AC98" s="97"/>
      <c r="AD98" s="97">
        <f>SUM(X98:AB98)</f>
        <v>0</v>
      </c>
      <c r="AE98" s="21"/>
      <c r="AF98" s="19" t="s">
        <v>90</v>
      </c>
    </row>
    <row r="99" spans="1:32" x14ac:dyDescent="0.2">
      <c r="A99" s="98" t="s">
        <v>103</v>
      </c>
      <c r="B99" s="82"/>
      <c r="C99" s="178" t="e">
        <f ca="1">+#REF!</f>
        <v>#REF!</v>
      </c>
      <c r="D99" s="178" t="e">
        <f ca="1">+#REF!</f>
        <v>#REF!</v>
      </c>
      <c r="E99" s="86"/>
      <c r="F99" s="86" t="e">
        <f ca="1">+#REF!</f>
        <v>#REF!</v>
      </c>
      <c r="G99" s="23"/>
      <c r="H99" s="97" t="e">
        <f ca="1">ROUND(#REF!/1000,0)</f>
        <v>#REF!</v>
      </c>
      <c r="I99" s="97"/>
      <c r="J99" s="97" t="e">
        <f ca="1">ROUND(#REF!/1000,0)</f>
        <v>#REF!</v>
      </c>
      <c r="K99" s="97"/>
      <c r="L99" s="97" t="e">
        <f ca="1">-ROUND((#REF!-#REF!)/1000,0)</f>
        <v>#REF!</v>
      </c>
      <c r="M99" s="97"/>
      <c r="N99" s="97" t="e">
        <f t="shared" si="13"/>
        <v>#REF!</v>
      </c>
      <c r="O99" s="97"/>
      <c r="P99" s="97">
        <v>0</v>
      </c>
      <c r="Q99" s="97"/>
      <c r="R99" s="97">
        <v>0</v>
      </c>
      <c r="S99" s="97"/>
      <c r="T99" s="97">
        <v>0</v>
      </c>
      <c r="U99" s="97"/>
      <c r="V99" s="97">
        <f t="shared" si="14"/>
        <v>0</v>
      </c>
      <c r="W99" s="97"/>
      <c r="X99" s="97">
        <v>0</v>
      </c>
      <c r="Y99" s="97"/>
      <c r="Z99" s="97">
        <v>0</v>
      </c>
      <c r="AA99" s="97"/>
      <c r="AB99" s="97">
        <v>0</v>
      </c>
      <c r="AC99" s="97"/>
      <c r="AD99" s="97">
        <f t="shared" si="15"/>
        <v>0</v>
      </c>
      <c r="AE99" s="21"/>
      <c r="AF99" s="19" t="s">
        <v>90</v>
      </c>
    </row>
    <row r="100" spans="1:32" x14ac:dyDescent="0.2">
      <c r="A100" s="98" t="s">
        <v>103</v>
      </c>
      <c r="B100" s="82"/>
      <c r="C100" s="178" t="e">
        <f ca="1">+#REF!</f>
        <v>#REF!</v>
      </c>
      <c r="D100" s="178" t="e">
        <f ca="1">+#REF!</f>
        <v>#REF!</v>
      </c>
      <c r="E100" s="86"/>
      <c r="F100" s="86" t="e">
        <f ca="1">+#REF!</f>
        <v>#REF!</v>
      </c>
      <c r="G100" s="23"/>
      <c r="H100" s="97" t="e">
        <f ca="1">ROUND(#REF!/1000,0)</f>
        <v>#REF!</v>
      </c>
      <c r="I100" s="97"/>
      <c r="J100" s="97" t="e">
        <f ca="1">ROUND(#REF!/1000,0)</f>
        <v>#REF!</v>
      </c>
      <c r="K100" s="97"/>
      <c r="L100" s="97" t="e">
        <f ca="1">-ROUND((#REF!-#REF!)/1000,0)</f>
        <v>#REF!</v>
      </c>
      <c r="M100" s="97"/>
      <c r="N100" s="97" t="e">
        <f t="shared" si="13"/>
        <v>#REF!</v>
      </c>
      <c r="O100" s="97"/>
      <c r="P100" s="97">
        <v>0</v>
      </c>
      <c r="Q100" s="97"/>
      <c r="R100" s="97">
        <v>0</v>
      </c>
      <c r="S100" s="97"/>
      <c r="T100" s="97">
        <v>0</v>
      </c>
      <c r="U100" s="97"/>
      <c r="V100" s="97">
        <f t="shared" si="14"/>
        <v>0</v>
      </c>
      <c r="W100" s="97"/>
      <c r="X100" s="97">
        <v>0</v>
      </c>
      <c r="Y100" s="97"/>
      <c r="Z100" s="97">
        <v>0</v>
      </c>
      <c r="AA100" s="97"/>
      <c r="AB100" s="97">
        <v>0</v>
      </c>
      <c r="AC100" s="97"/>
      <c r="AD100" s="97">
        <f t="shared" si="15"/>
        <v>0</v>
      </c>
      <c r="AE100" s="21"/>
      <c r="AF100" s="19" t="s">
        <v>90</v>
      </c>
    </row>
    <row r="101" spans="1:32" x14ac:dyDescent="0.2">
      <c r="A101" s="96"/>
      <c r="B101" s="82"/>
      <c r="C101" s="29"/>
      <c r="D101" s="2"/>
      <c r="E101" s="2"/>
      <c r="F101" s="86"/>
      <c r="G101" s="23"/>
      <c r="H101" s="99"/>
      <c r="I101" s="97"/>
      <c r="J101" s="99"/>
      <c r="K101" s="97"/>
      <c r="L101" s="99"/>
      <c r="M101" s="97"/>
      <c r="N101" s="99"/>
      <c r="O101" s="97"/>
      <c r="P101" s="99"/>
      <c r="Q101" s="97"/>
      <c r="R101" s="99"/>
      <c r="S101" s="97"/>
      <c r="T101" s="99"/>
      <c r="U101" s="97"/>
      <c r="V101" s="99"/>
      <c r="W101" s="97"/>
      <c r="X101" s="99"/>
      <c r="Y101" s="97"/>
      <c r="Z101" s="99"/>
      <c r="AA101" s="97"/>
      <c r="AB101" s="99"/>
      <c r="AC101" s="97"/>
      <c r="AD101" s="99"/>
      <c r="AE101" s="21"/>
      <c r="AF101" s="19"/>
    </row>
    <row r="102" spans="1:32" s="114" customFormat="1" x14ac:dyDescent="0.2">
      <c r="A102" s="104"/>
      <c r="B102" s="119"/>
      <c r="C102" s="106" t="s">
        <v>205</v>
      </c>
      <c r="D102" s="72"/>
      <c r="E102" s="72"/>
      <c r="F102" s="107"/>
      <c r="G102" s="108"/>
      <c r="H102" s="113" t="e">
        <f>SUM(H93:H101)</f>
        <v>#REF!</v>
      </c>
      <c r="I102" s="105"/>
      <c r="J102" s="113" t="e">
        <f>SUM(J93:J101)</f>
        <v>#REF!</v>
      </c>
      <c r="K102" s="105"/>
      <c r="L102" s="113" t="e">
        <f>SUM(L93:L101)</f>
        <v>#REF!</v>
      </c>
      <c r="M102" s="105"/>
      <c r="N102" s="113" t="e">
        <f>SUM(N93:N101)</f>
        <v>#REF!</v>
      </c>
      <c r="O102" s="105"/>
      <c r="P102" s="113">
        <f>SUM(P93:P101)</f>
        <v>16139</v>
      </c>
      <c r="Q102" s="105"/>
      <c r="R102" s="113">
        <f>SUM(R93:R101)</f>
        <v>-13531</v>
      </c>
      <c r="S102" s="105"/>
      <c r="T102" s="113">
        <f>SUM(T93:T101)</f>
        <v>0</v>
      </c>
      <c r="U102" s="105"/>
      <c r="V102" s="113">
        <f>SUM(V93:V101)</f>
        <v>2608</v>
      </c>
      <c r="W102" s="105"/>
      <c r="X102" s="113">
        <f>SUM(X93:X101)</f>
        <v>17241</v>
      </c>
      <c r="Y102" s="105"/>
      <c r="Z102" s="113">
        <f>SUM(Z93:Z101)</f>
        <v>-17241</v>
      </c>
      <c r="AA102" s="105"/>
      <c r="AB102" s="113">
        <f>SUM(AB93:AB101)</f>
        <v>0</v>
      </c>
      <c r="AC102" s="105"/>
      <c r="AD102" s="113">
        <f>SUM(AD93:AD101)</f>
        <v>0</v>
      </c>
      <c r="AE102" s="71"/>
      <c r="AF102" s="69"/>
    </row>
    <row r="103" spans="1:32" x14ac:dyDescent="0.2">
      <c r="A103" s="96"/>
      <c r="B103" s="82"/>
      <c r="C103" s="29"/>
      <c r="D103" s="2"/>
      <c r="E103" s="2"/>
      <c r="F103" s="86"/>
      <c r="G103" s="23"/>
      <c r="H103" s="97"/>
      <c r="I103" s="97"/>
      <c r="J103" s="97"/>
      <c r="K103" s="97"/>
      <c r="L103" s="97"/>
      <c r="M103" s="97"/>
      <c r="N103" s="97"/>
      <c r="O103" s="97"/>
      <c r="P103" s="97"/>
      <c r="Q103" s="97"/>
      <c r="R103" s="97"/>
      <c r="S103" s="97"/>
      <c r="T103" s="97"/>
      <c r="U103" s="97"/>
      <c r="V103" s="97"/>
      <c r="W103" s="97"/>
      <c r="X103" s="97"/>
      <c r="Y103" s="97"/>
      <c r="Z103" s="97"/>
      <c r="AA103" s="97"/>
      <c r="AB103" s="97"/>
      <c r="AC103" s="97"/>
      <c r="AD103" s="97"/>
      <c r="AE103" s="21"/>
      <c r="AF103" s="19"/>
    </row>
    <row r="104" spans="1:32" x14ac:dyDescent="0.2">
      <c r="A104" s="96"/>
      <c r="B104" s="82"/>
      <c r="C104" s="102" t="s">
        <v>196</v>
      </c>
      <c r="D104" s="2"/>
      <c r="E104" s="2"/>
      <c r="F104" s="86"/>
      <c r="G104" s="23"/>
      <c r="H104" s="97"/>
      <c r="I104" s="97"/>
      <c r="J104" s="97"/>
      <c r="K104" s="97"/>
      <c r="L104" s="97"/>
      <c r="M104" s="97"/>
      <c r="N104" s="97"/>
      <c r="O104" s="97"/>
      <c r="P104" s="97"/>
      <c r="Q104" s="97"/>
      <c r="R104" s="97"/>
      <c r="S104" s="97"/>
      <c r="T104" s="97"/>
      <c r="U104" s="97"/>
      <c r="V104" s="97"/>
      <c r="W104" s="97"/>
      <c r="X104" s="97"/>
      <c r="Y104" s="97"/>
      <c r="Z104" s="97"/>
      <c r="AA104" s="97"/>
      <c r="AB104" s="97"/>
      <c r="AC104" s="97"/>
      <c r="AD104" s="97"/>
      <c r="AE104" s="21"/>
      <c r="AF104" s="19"/>
    </row>
    <row r="105" spans="1:32" s="120" customFormat="1" x14ac:dyDescent="0.2">
      <c r="A105" s="96">
        <v>11</v>
      </c>
      <c r="B105" s="36"/>
      <c r="C105" s="176" t="e">
        <f ca="1">+#REF!</f>
        <v>#REF!</v>
      </c>
      <c r="D105" s="176" t="e">
        <f ca="1">+#REF!</f>
        <v>#REF!</v>
      </c>
      <c r="E105" s="85"/>
      <c r="F105" s="85" t="e">
        <f ca="1">+#REF!</f>
        <v>#REF!</v>
      </c>
      <c r="G105" s="20"/>
      <c r="H105" s="97" t="e">
        <f ca="1">ROUND(#REF!/1000,0)</f>
        <v>#REF!</v>
      </c>
      <c r="I105" s="97"/>
      <c r="J105" s="97" t="e">
        <f ca="1">ROUND(#REF!/1000,0)</f>
        <v>#REF!</v>
      </c>
      <c r="K105" s="97"/>
      <c r="L105" s="97" t="e">
        <f ca="1">-ROUND((#REF!-#REF!)/1000,0)</f>
        <v>#REF!</v>
      </c>
      <c r="M105" s="97"/>
      <c r="N105" s="97" t="e">
        <f>SUM(H105:L105)</f>
        <v>#REF!</v>
      </c>
      <c r="O105" s="97"/>
      <c r="P105" s="97">
        <v>771</v>
      </c>
      <c r="Q105" s="97"/>
      <c r="R105" s="97">
        <v>0</v>
      </c>
      <c r="S105" s="97"/>
      <c r="T105" s="97">
        <v>-525</v>
      </c>
      <c r="U105" s="97"/>
      <c r="V105" s="97">
        <f>SUM(P105:T105)</f>
        <v>246</v>
      </c>
      <c r="W105" s="97"/>
      <c r="X105" s="97">
        <v>521</v>
      </c>
      <c r="Y105" s="97"/>
      <c r="Z105" s="97">
        <v>0</v>
      </c>
      <c r="AA105" s="97"/>
      <c r="AB105" s="97">
        <v>-525</v>
      </c>
      <c r="AC105" s="97"/>
      <c r="AD105" s="97">
        <f>SUM(X105:AB105)</f>
        <v>-4</v>
      </c>
      <c r="AE105" s="21"/>
      <c r="AF105" s="19" t="s">
        <v>19</v>
      </c>
    </row>
    <row r="106" spans="1:32" x14ac:dyDescent="0.2">
      <c r="A106" s="96">
        <v>11</v>
      </c>
      <c r="B106" s="36"/>
      <c r="C106" s="176" t="e">
        <f ca="1">+#REF!</f>
        <v>#REF!</v>
      </c>
      <c r="D106" s="176" t="e">
        <f ca="1">+#REF!</f>
        <v>#REF!</v>
      </c>
      <c r="E106" s="85"/>
      <c r="F106" s="85" t="e">
        <f ca="1">+#REF!</f>
        <v>#REF!</v>
      </c>
      <c r="G106" s="20"/>
      <c r="H106" s="97" t="e">
        <f ca="1">ROUND(#REF!/1000,0)</f>
        <v>#REF!</v>
      </c>
      <c r="I106" s="97"/>
      <c r="J106" s="97" t="e">
        <f ca="1">ROUND(#REF!/1000,0)</f>
        <v>#REF!</v>
      </c>
      <c r="K106" s="97"/>
      <c r="L106" s="97" t="e">
        <f ca="1">-ROUND((#REF!-#REF!)/1000,0)</f>
        <v>#REF!</v>
      </c>
      <c r="M106" s="97"/>
      <c r="N106" s="97" t="e">
        <f>SUM(H106:L106)</f>
        <v>#REF!</v>
      </c>
      <c r="O106" s="97"/>
      <c r="P106" s="97">
        <v>573</v>
      </c>
      <c r="Q106" s="97"/>
      <c r="R106" s="97">
        <v>0</v>
      </c>
      <c r="S106" s="97"/>
      <c r="T106" s="97">
        <v>0</v>
      </c>
      <c r="U106" s="97"/>
      <c r="V106" s="97">
        <f>SUM(P106:T106)</f>
        <v>573</v>
      </c>
      <c r="W106" s="97"/>
      <c r="X106" s="97">
        <f>250+250</f>
        <v>500</v>
      </c>
      <c r="Y106" s="97"/>
      <c r="Z106" s="97">
        <v>0</v>
      </c>
      <c r="AA106" s="97"/>
      <c r="AB106" s="97">
        <v>0</v>
      </c>
      <c r="AC106" s="97"/>
      <c r="AD106" s="97">
        <f>SUM(X106:AB106)</f>
        <v>500</v>
      </c>
      <c r="AE106" s="21"/>
      <c r="AF106" s="19" t="s">
        <v>91</v>
      </c>
    </row>
    <row r="107" spans="1:32" s="153" customFormat="1" x14ac:dyDescent="0.2">
      <c r="A107" s="149"/>
      <c r="B107" s="140"/>
      <c r="C107" s="179" t="s">
        <v>215</v>
      </c>
      <c r="D107" s="180"/>
      <c r="E107" s="150"/>
      <c r="F107" s="150"/>
      <c r="G107" s="151"/>
      <c r="H107" s="152" t="e">
        <f ca="1">ROUND(#REF!/1000,0)</f>
        <v>#REF!</v>
      </c>
      <c r="I107" s="152"/>
      <c r="J107" s="152" t="e">
        <f ca="1">ROUND(#REF!/1000,0)</f>
        <v>#REF!</v>
      </c>
      <c r="K107" s="152"/>
      <c r="L107" s="152" t="e">
        <f ca="1">-ROUND((#REF!-#REF!)/1000,0)</f>
        <v>#REF!</v>
      </c>
      <c r="M107" s="152"/>
      <c r="N107" s="152" t="e">
        <f>SUM(H107:L107)</f>
        <v>#REF!</v>
      </c>
      <c r="O107" s="152"/>
      <c r="P107" s="152">
        <v>0</v>
      </c>
      <c r="Q107" s="152"/>
      <c r="R107" s="152">
        <v>0</v>
      </c>
      <c r="S107" s="152"/>
      <c r="T107" s="152">
        <v>0</v>
      </c>
      <c r="U107" s="152"/>
      <c r="V107" s="152">
        <f>SUM(P107:T107)</f>
        <v>0</v>
      </c>
      <c r="W107" s="152"/>
      <c r="X107" s="152">
        <v>0</v>
      </c>
      <c r="Y107" s="152"/>
      <c r="Z107" s="152">
        <v>0</v>
      </c>
      <c r="AA107" s="152"/>
      <c r="AB107" s="152">
        <v>0</v>
      </c>
      <c r="AC107" s="152"/>
      <c r="AD107" s="152">
        <f>SUM(X107:AB107)</f>
        <v>0</v>
      </c>
      <c r="AE107" s="141"/>
      <c r="AF107" s="142"/>
    </row>
    <row r="108" spans="1:32" x14ac:dyDescent="0.2">
      <c r="A108" s="96">
        <v>11</v>
      </c>
      <c r="B108" s="36"/>
      <c r="C108" s="176" t="e">
        <f ca="1">+#REF!</f>
        <v>#REF!</v>
      </c>
      <c r="D108" s="176" t="e">
        <f ca="1">+#REF!</f>
        <v>#REF!</v>
      </c>
      <c r="E108" s="85"/>
      <c r="F108" s="85" t="e">
        <f ca="1">+#REF!</f>
        <v>#REF!</v>
      </c>
      <c r="G108" s="20"/>
      <c r="H108" s="97" t="e">
        <f ca="1">ROUND(#REF!/1000,0)</f>
        <v>#REF!</v>
      </c>
      <c r="I108" s="97"/>
      <c r="J108" s="97" t="e">
        <f ca="1">ROUND(#REF!/1000,0)</f>
        <v>#REF!</v>
      </c>
      <c r="K108" s="97"/>
      <c r="L108" s="97" t="e">
        <f ca="1">-ROUND((#REF!-#REF!)/1000,0)</f>
        <v>#REF!</v>
      </c>
      <c r="M108" s="97"/>
      <c r="N108" s="97" t="e">
        <f>SUM(H108:L108)</f>
        <v>#REF!</v>
      </c>
      <c r="O108" s="97"/>
      <c r="P108" s="97">
        <v>1976</v>
      </c>
      <c r="Q108" s="97"/>
      <c r="R108" s="97">
        <v>0</v>
      </c>
      <c r="S108" s="97"/>
      <c r="T108" s="97">
        <v>0</v>
      </c>
      <c r="U108" s="97"/>
      <c r="V108" s="97">
        <f>SUM(P108:T108)</f>
        <v>1976</v>
      </c>
      <c r="W108" s="97"/>
      <c r="X108" s="97">
        <v>0</v>
      </c>
      <c r="Y108" s="97"/>
      <c r="Z108" s="97">
        <v>0</v>
      </c>
      <c r="AA108" s="97"/>
      <c r="AB108" s="97">
        <v>0</v>
      </c>
      <c r="AC108" s="97"/>
      <c r="AD108" s="97">
        <f>SUM(X108:AB108)</f>
        <v>0</v>
      </c>
      <c r="AE108" s="21"/>
      <c r="AF108" s="19" t="s">
        <v>19</v>
      </c>
    </row>
    <row r="109" spans="1:32" s="120" customFormat="1" x14ac:dyDescent="0.2">
      <c r="A109" s="96">
        <v>11</v>
      </c>
      <c r="B109" s="36"/>
      <c r="C109" s="176" t="e">
        <f ca="1">+#REF!</f>
        <v>#REF!</v>
      </c>
      <c r="D109" s="176" t="e">
        <f ca="1">+#REF!</f>
        <v>#REF!</v>
      </c>
      <c r="E109" s="85"/>
      <c r="F109" s="85" t="e">
        <f ca="1">+#REF!</f>
        <v>#REF!</v>
      </c>
      <c r="G109" s="20"/>
      <c r="H109" s="97" t="e">
        <f ca="1">ROUND(#REF!/1000,0)</f>
        <v>#REF!</v>
      </c>
      <c r="I109" s="97"/>
      <c r="J109" s="97" t="e">
        <f ca="1">ROUND(#REF!/1000,0)</f>
        <v>#REF!</v>
      </c>
      <c r="K109" s="97"/>
      <c r="L109" s="97" t="e">
        <f ca="1">-ROUND((#REF!-#REF!)/1000,0)</f>
        <v>#REF!</v>
      </c>
      <c r="M109" s="97"/>
      <c r="N109" s="97" t="e">
        <f>SUM(H109:L109)</f>
        <v>#REF!</v>
      </c>
      <c r="O109" s="97"/>
      <c r="P109" s="97">
        <v>80</v>
      </c>
      <c r="Q109" s="97"/>
      <c r="R109" s="97">
        <v>0</v>
      </c>
      <c r="S109" s="97"/>
      <c r="T109" s="97">
        <v>0</v>
      </c>
      <c r="U109" s="97"/>
      <c r="V109" s="97">
        <f>SUM(P109:T109)</f>
        <v>80</v>
      </c>
      <c r="W109" s="97"/>
      <c r="X109" s="97">
        <v>0</v>
      </c>
      <c r="Y109" s="97"/>
      <c r="Z109" s="97">
        <v>0</v>
      </c>
      <c r="AA109" s="97"/>
      <c r="AB109" s="97">
        <v>0</v>
      </c>
      <c r="AC109" s="97"/>
      <c r="AD109" s="97">
        <f>SUM(X109:AB109)</f>
        <v>0</v>
      </c>
      <c r="AE109" s="21"/>
      <c r="AF109" s="19" t="s">
        <v>36</v>
      </c>
    </row>
    <row r="110" spans="1:32" s="120" customFormat="1" x14ac:dyDescent="0.2">
      <c r="A110" s="96"/>
      <c r="B110" s="36"/>
      <c r="C110" s="19"/>
      <c r="D110" s="19"/>
      <c r="E110" s="19"/>
      <c r="F110" s="85"/>
      <c r="G110" s="20"/>
      <c r="H110" s="99"/>
      <c r="I110" s="97"/>
      <c r="J110" s="99"/>
      <c r="K110" s="97"/>
      <c r="L110" s="99"/>
      <c r="M110" s="97"/>
      <c r="N110" s="99"/>
      <c r="O110" s="97"/>
      <c r="P110" s="99"/>
      <c r="Q110" s="97"/>
      <c r="R110" s="99"/>
      <c r="S110" s="97"/>
      <c r="T110" s="99"/>
      <c r="U110" s="97"/>
      <c r="V110" s="99"/>
      <c r="W110" s="97"/>
      <c r="X110" s="99"/>
      <c r="Y110" s="97"/>
      <c r="Z110" s="99"/>
      <c r="AA110" s="97"/>
      <c r="AB110" s="99"/>
      <c r="AC110" s="97"/>
      <c r="AD110" s="99"/>
      <c r="AE110" s="21"/>
      <c r="AF110" s="19"/>
    </row>
    <row r="111" spans="1:32" s="120" customFormat="1" x14ac:dyDescent="0.2">
      <c r="A111" s="96"/>
      <c r="B111" s="36"/>
      <c r="C111" s="19"/>
      <c r="D111" s="19"/>
      <c r="E111" s="19"/>
      <c r="F111" s="85"/>
      <c r="G111" s="20"/>
      <c r="H111" s="100" t="e">
        <f>SUM(H105:H110)</f>
        <v>#REF!</v>
      </c>
      <c r="I111" s="97"/>
      <c r="J111" s="100" t="e">
        <f>SUM(J105:J110)</f>
        <v>#REF!</v>
      </c>
      <c r="K111" s="97"/>
      <c r="L111" s="100" t="e">
        <f>SUM(L105:L110)</f>
        <v>#REF!</v>
      </c>
      <c r="M111" s="97"/>
      <c r="N111" s="100" t="e">
        <f>SUM(N105:N110)</f>
        <v>#REF!</v>
      </c>
      <c r="O111" s="97"/>
      <c r="P111" s="100">
        <f>SUM(P105:P110)</f>
        <v>3400</v>
      </c>
      <c r="Q111" s="97"/>
      <c r="R111" s="100">
        <f>SUM(R105:R110)</f>
        <v>0</v>
      </c>
      <c r="S111" s="97"/>
      <c r="T111" s="100">
        <f>SUM(T105:T110)</f>
        <v>-525</v>
      </c>
      <c r="U111" s="97"/>
      <c r="V111" s="100">
        <f>SUM(V105:V110)</f>
        <v>2875</v>
      </c>
      <c r="W111" s="97"/>
      <c r="X111" s="100">
        <f>SUM(X105:X110)</f>
        <v>1021</v>
      </c>
      <c r="Y111" s="97"/>
      <c r="Z111" s="100">
        <f>SUM(Z105:Z110)</f>
        <v>0</v>
      </c>
      <c r="AA111" s="97"/>
      <c r="AB111" s="100">
        <f>SUM(AB105:AB110)</f>
        <v>-525</v>
      </c>
      <c r="AC111" s="97"/>
      <c r="AD111" s="100">
        <f>SUM(AD105:AD110)</f>
        <v>496</v>
      </c>
      <c r="AE111" s="21"/>
      <c r="AF111" s="19"/>
    </row>
    <row r="112" spans="1:32" s="120" customFormat="1" x14ac:dyDescent="0.2">
      <c r="A112" s="96"/>
      <c r="B112" s="36"/>
      <c r="C112" s="19"/>
      <c r="D112" s="19"/>
      <c r="E112" s="19"/>
      <c r="F112" s="85"/>
      <c r="G112" s="20"/>
      <c r="H112" s="97"/>
      <c r="I112" s="97"/>
      <c r="J112" s="97"/>
      <c r="K112" s="97"/>
      <c r="L112" s="97"/>
      <c r="M112" s="97"/>
      <c r="N112" s="97"/>
      <c r="O112" s="97"/>
      <c r="P112" s="97"/>
      <c r="Q112" s="97"/>
      <c r="R112" s="97"/>
      <c r="S112" s="97"/>
      <c r="T112" s="97"/>
      <c r="U112" s="97"/>
      <c r="V112" s="97"/>
      <c r="W112" s="97"/>
      <c r="X112" s="97"/>
      <c r="Y112" s="97"/>
      <c r="Z112" s="97"/>
      <c r="AA112" s="97"/>
      <c r="AB112" s="97"/>
      <c r="AC112" s="97"/>
      <c r="AD112" s="97"/>
      <c r="AE112" s="21"/>
      <c r="AF112" s="19"/>
    </row>
    <row r="113" spans="1:32" s="120" customFormat="1" x14ac:dyDescent="0.2">
      <c r="A113" s="96">
        <v>11</v>
      </c>
      <c r="B113" s="36"/>
      <c r="C113" s="176" t="e">
        <f ca="1">+#REF!</f>
        <v>#REF!</v>
      </c>
      <c r="D113" s="176" t="e">
        <f ca="1">+#REF!</f>
        <v>#REF!</v>
      </c>
      <c r="E113" s="85"/>
      <c r="F113" s="85" t="e">
        <f ca="1">+#REF!</f>
        <v>#REF!</v>
      </c>
      <c r="G113" s="20"/>
      <c r="H113" s="97" t="e">
        <f ca="1">ROUND(#REF!/1000,0)</f>
        <v>#REF!</v>
      </c>
      <c r="I113" s="97"/>
      <c r="J113" s="97" t="e">
        <f ca="1">ROUND(#REF!/1000,0)</f>
        <v>#REF!</v>
      </c>
      <c r="K113" s="97"/>
      <c r="L113" s="97" t="e">
        <f ca="1">-ROUND((#REF!-#REF!)/1000,0)</f>
        <v>#REF!</v>
      </c>
      <c r="M113" s="97"/>
      <c r="N113" s="97" t="e">
        <f>SUM(H113:L113)</f>
        <v>#REF!</v>
      </c>
      <c r="O113" s="97"/>
      <c r="P113" s="97">
        <f>ROUND(456+4*29,0)</f>
        <v>572</v>
      </c>
      <c r="Q113" s="97"/>
      <c r="R113" s="97">
        <v>0</v>
      </c>
      <c r="S113" s="97"/>
      <c r="T113" s="97">
        <v>-677</v>
      </c>
      <c r="U113" s="97"/>
      <c r="V113" s="97">
        <f>SUM(P113:T113)</f>
        <v>-105</v>
      </c>
      <c r="W113" s="97"/>
      <c r="X113" s="97">
        <v>993</v>
      </c>
      <c r="Y113" s="97"/>
      <c r="Z113" s="97">
        <v>0</v>
      </c>
      <c r="AA113" s="97"/>
      <c r="AB113" s="97">
        <v>-677</v>
      </c>
      <c r="AC113" s="97"/>
      <c r="AD113" s="97">
        <f>SUM(X113:AB113)</f>
        <v>316</v>
      </c>
      <c r="AE113" s="21"/>
      <c r="AF113" s="19" t="s">
        <v>19</v>
      </c>
    </row>
    <row r="114" spans="1:32" s="120" customFormat="1" x14ac:dyDescent="0.2">
      <c r="A114" s="96">
        <v>11</v>
      </c>
      <c r="B114" s="36"/>
      <c r="C114" s="176" t="e">
        <f ca="1">+#REF!</f>
        <v>#REF!</v>
      </c>
      <c r="D114" s="176" t="e">
        <f ca="1">+#REF!</f>
        <v>#REF!</v>
      </c>
      <c r="E114" s="85"/>
      <c r="F114" s="85" t="e">
        <f ca="1">+#REF!</f>
        <v>#REF!</v>
      </c>
      <c r="G114" s="20"/>
      <c r="H114" s="97" t="e">
        <f ca="1">ROUND(#REF!/1000,0)</f>
        <v>#REF!</v>
      </c>
      <c r="I114" s="97"/>
      <c r="J114" s="97" t="e">
        <f ca="1">ROUND(#REF!/1000,0)</f>
        <v>#REF!</v>
      </c>
      <c r="K114" s="97"/>
      <c r="L114" s="97" t="e">
        <f ca="1">-ROUND((#REF!-#REF!)/1000,0)</f>
        <v>#REF!</v>
      </c>
      <c r="M114" s="97"/>
      <c r="N114" s="97" t="e">
        <f>SUM(H114:L114)</f>
        <v>#REF!</v>
      </c>
      <c r="O114" s="97"/>
      <c r="P114" s="97">
        <f>2990-572+1</f>
        <v>2419</v>
      </c>
      <c r="Q114" s="97"/>
      <c r="R114" s="97">
        <v>0</v>
      </c>
      <c r="S114" s="97"/>
      <c r="T114" s="97">
        <v>-1306</v>
      </c>
      <c r="U114" s="97"/>
      <c r="V114" s="97">
        <f>SUM(P114:T114)</f>
        <v>1113</v>
      </c>
      <c r="W114" s="97"/>
      <c r="X114" s="97">
        <v>1978</v>
      </c>
      <c r="Y114" s="97"/>
      <c r="Z114" s="97">
        <v>0</v>
      </c>
      <c r="AA114" s="97"/>
      <c r="AB114" s="97">
        <v>-1306</v>
      </c>
      <c r="AC114" s="97"/>
      <c r="AD114" s="97">
        <f>SUM(X114:AB114)</f>
        <v>672</v>
      </c>
      <c r="AE114" s="21"/>
      <c r="AF114" s="19" t="s">
        <v>19</v>
      </c>
    </row>
    <row r="115" spans="1:32" s="120" customFormat="1" x14ac:dyDescent="0.2">
      <c r="A115" s="98" t="s">
        <v>103</v>
      </c>
      <c r="B115" s="36"/>
      <c r="C115" s="178" t="e">
        <f ca="1">+#REF!</f>
        <v>#REF!</v>
      </c>
      <c r="D115" s="178" t="e">
        <f ca="1">+#REF!</f>
        <v>#REF!</v>
      </c>
      <c r="E115" s="86"/>
      <c r="F115" s="86" t="e">
        <f ca="1">+#REF!</f>
        <v>#REF!</v>
      </c>
      <c r="G115" s="23"/>
      <c r="H115" s="97" t="e">
        <f ca="1">ROUND(#REF!/1000,0)</f>
        <v>#REF!</v>
      </c>
      <c r="I115" s="97"/>
      <c r="J115" s="97" t="e">
        <f ca="1">ROUND(#REF!/1000,0)</f>
        <v>#REF!</v>
      </c>
      <c r="K115" s="97"/>
      <c r="L115" s="97" t="e">
        <f ca="1">-ROUND((#REF!-#REF!)/1000,0)</f>
        <v>#REF!</v>
      </c>
      <c r="M115" s="97"/>
      <c r="N115" s="97" t="e">
        <f>SUM(H115:L115)</f>
        <v>#REF!</v>
      </c>
      <c r="O115" s="97"/>
      <c r="P115" s="97">
        <v>0</v>
      </c>
      <c r="Q115" s="97"/>
      <c r="R115" s="97">
        <v>0</v>
      </c>
      <c r="S115" s="97"/>
      <c r="T115" s="97">
        <v>0</v>
      </c>
      <c r="U115" s="97"/>
      <c r="V115" s="97">
        <f>SUM(P115:T115)</f>
        <v>0</v>
      </c>
      <c r="W115" s="97"/>
      <c r="X115" s="97">
        <v>302</v>
      </c>
      <c r="Y115" s="97"/>
      <c r="Z115" s="97">
        <v>-302</v>
      </c>
      <c r="AA115" s="97"/>
      <c r="AB115" s="97">
        <v>0</v>
      </c>
      <c r="AC115" s="97"/>
      <c r="AD115" s="97">
        <f>SUM(X115:AB115)</f>
        <v>0</v>
      </c>
      <c r="AE115" s="21"/>
      <c r="AF115" s="19" t="s">
        <v>88</v>
      </c>
    </row>
    <row r="116" spans="1:32" s="120" customFormat="1" x14ac:dyDescent="0.2">
      <c r="A116" s="98" t="s">
        <v>103</v>
      </c>
      <c r="B116" s="36"/>
      <c r="C116" s="178" t="e">
        <f ca="1">+#REF!</f>
        <v>#REF!</v>
      </c>
      <c r="D116" s="178" t="e">
        <f ca="1">+#REF!</f>
        <v>#REF!</v>
      </c>
      <c r="E116" s="86"/>
      <c r="F116" s="86" t="e">
        <f ca="1">+#REF!</f>
        <v>#REF!</v>
      </c>
      <c r="G116" s="20"/>
      <c r="H116" s="97" t="e">
        <f ca="1">ROUND(#REF!/1000,0)</f>
        <v>#REF!</v>
      </c>
      <c r="I116" s="97"/>
      <c r="J116" s="97" t="e">
        <f ca="1">ROUND(#REF!/1000,0)</f>
        <v>#REF!</v>
      </c>
      <c r="K116" s="97"/>
      <c r="L116" s="97" t="e">
        <f ca="1">-ROUND((#REF!-#REF!)/1000,0)</f>
        <v>#REF!</v>
      </c>
      <c r="M116" s="97"/>
      <c r="N116" s="97" t="e">
        <f>SUM(H116:L116)</f>
        <v>#REF!</v>
      </c>
      <c r="O116" s="97"/>
      <c r="P116" s="97">
        <v>10138</v>
      </c>
      <c r="Q116" s="97"/>
      <c r="R116" s="97">
        <v>-8734</v>
      </c>
      <c r="S116" s="97"/>
      <c r="T116" s="97">
        <v>-159</v>
      </c>
      <c r="U116" s="97"/>
      <c r="V116" s="97">
        <f>SUM(P116:T116)</f>
        <v>1245</v>
      </c>
      <c r="W116" s="97"/>
      <c r="X116" s="97">
        <v>8867</v>
      </c>
      <c r="Y116" s="97"/>
      <c r="Z116" s="97">
        <v>-8432</v>
      </c>
      <c r="AA116" s="97"/>
      <c r="AB116" s="97">
        <v>-159</v>
      </c>
      <c r="AC116" s="97"/>
      <c r="AD116" s="97">
        <f>SUM(X116:AB116)</f>
        <v>276</v>
      </c>
      <c r="AE116" s="21"/>
      <c r="AF116" s="19" t="s">
        <v>86</v>
      </c>
    </row>
    <row r="117" spans="1:32" s="120" customFormat="1" x14ac:dyDescent="0.2">
      <c r="A117" s="96"/>
      <c r="B117" s="36"/>
      <c r="C117" s="29"/>
      <c r="D117" s="19"/>
      <c r="E117" s="19"/>
      <c r="F117" s="86"/>
      <c r="G117" s="20"/>
      <c r="H117" s="99"/>
      <c r="I117" s="97"/>
      <c r="J117" s="99"/>
      <c r="K117" s="97"/>
      <c r="L117" s="99"/>
      <c r="M117" s="97"/>
      <c r="N117" s="99"/>
      <c r="O117" s="97"/>
      <c r="P117" s="99"/>
      <c r="Q117" s="97"/>
      <c r="R117" s="99"/>
      <c r="S117" s="97"/>
      <c r="T117" s="99"/>
      <c r="U117" s="97"/>
      <c r="V117" s="99"/>
      <c r="W117" s="97"/>
      <c r="X117" s="99"/>
      <c r="Y117" s="97"/>
      <c r="Z117" s="99"/>
      <c r="AA117" s="97"/>
      <c r="AB117" s="99"/>
      <c r="AC117" s="97"/>
      <c r="AD117" s="99"/>
      <c r="AE117" s="21"/>
      <c r="AF117" s="19"/>
    </row>
    <row r="118" spans="1:32" s="120" customFormat="1" x14ac:dyDescent="0.2">
      <c r="A118" s="96"/>
      <c r="B118" s="36"/>
      <c r="C118" s="29"/>
      <c r="D118" s="19"/>
      <c r="E118" s="19"/>
      <c r="F118" s="86"/>
      <c r="G118" s="20"/>
      <c r="H118" s="100" t="e">
        <f>SUM(H113:H117)</f>
        <v>#REF!</v>
      </c>
      <c r="I118" s="97"/>
      <c r="J118" s="100" t="e">
        <f>SUM(J113:J117)</f>
        <v>#REF!</v>
      </c>
      <c r="K118" s="97"/>
      <c r="L118" s="100" t="e">
        <f>SUM(L113:L117)</f>
        <v>#REF!</v>
      </c>
      <c r="M118" s="97"/>
      <c r="N118" s="100" t="e">
        <f>SUM(N113:N117)</f>
        <v>#REF!</v>
      </c>
      <c r="O118" s="97"/>
      <c r="P118" s="100">
        <f>SUM(P113:P117)</f>
        <v>13129</v>
      </c>
      <c r="Q118" s="97"/>
      <c r="R118" s="100">
        <f>SUM(R113:R117)</f>
        <v>-8734</v>
      </c>
      <c r="S118" s="97"/>
      <c r="T118" s="100">
        <f>SUM(T113:T117)</f>
        <v>-2142</v>
      </c>
      <c r="U118" s="97"/>
      <c r="V118" s="100">
        <f>SUM(V113:V117)</f>
        <v>2253</v>
      </c>
      <c r="W118" s="97"/>
      <c r="X118" s="100">
        <f>SUM(X113:X117)</f>
        <v>12140</v>
      </c>
      <c r="Y118" s="97"/>
      <c r="Z118" s="100">
        <f>SUM(Z113:Z117)</f>
        <v>-8734</v>
      </c>
      <c r="AA118" s="97"/>
      <c r="AB118" s="100">
        <f>SUM(AB113:AB117)</f>
        <v>-2142</v>
      </c>
      <c r="AC118" s="97"/>
      <c r="AD118" s="100">
        <f>SUM(AD113:AD117)</f>
        <v>1264</v>
      </c>
      <c r="AE118" s="21"/>
      <c r="AF118" s="19"/>
    </row>
    <row r="119" spans="1:32" s="120" customFormat="1" x14ac:dyDescent="0.2">
      <c r="A119" s="96"/>
      <c r="B119" s="36"/>
      <c r="C119" s="29"/>
      <c r="D119" s="19"/>
      <c r="E119" s="19"/>
      <c r="F119" s="86"/>
      <c r="G119" s="20"/>
      <c r="H119" s="97"/>
      <c r="I119" s="97"/>
      <c r="J119" s="97"/>
      <c r="K119" s="97"/>
      <c r="L119" s="97"/>
      <c r="M119" s="97"/>
      <c r="N119" s="97"/>
      <c r="O119" s="97"/>
      <c r="P119" s="97"/>
      <c r="Q119" s="97"/>
      <c r="R119" s="97"/>
      <c r="S119" s="97"/>
      <c r="T119" s="97"/>
      <c r="U119" s="97"/>
      <c r="V119" s="97"/>
      <c r="W119" s="97"/>
      <c r="X119" s="97"/>
      <c r="Y119" s="97"/>
      <c r="Z119" s="97"/>
      <c r="AA119" s="97"/>
      <c r="AB119" s="97"/>
      <c r="AC119" s="97"/>
      <c r="AD119" s="97"/>
      <c r="AE119" s="21"/>
      <c r="AF119" s="19"/>
    </row>
    <row r="120" spans="1:32" x14ac:dyDescent="0.2">
      <c r="A120" s="98" t="s">
        <v>103</v>
      </c>
      <c r="B120" s="36"/>
      <c r="C120" s="178" t="e">
        <f ca="1">+#REF!</f>
        <v>#REF!</v>
      </c>
      <c r="D120" s="178" t="e">
        <f ca="1">+#REF!</f>
        <v>#REF!</v>
      </c>
      <c r="E120" s="86"/>
      <c r="F120" s="86" t="e">
        <f ca="1">+#REF!</f>
        <v>#REF!</v>
      </c>
      <c r="G120" s="23"/>
      <c r="H120" s="97" t="e">
        <f ca="1">ROUND(#REF!/1000,0)</f>
        <v>#REF!</v>
      </c>
      <c r="I120" s="97"/>
      <c r="J120" s="97" t="e">
        <f ca="1">ROUND(#REF!/1000,0)</f>
        <v>#REF!</v>
      </c>
      <c r="K120" s="97"/>
      <c r="L120" s="97" t="e">
        <f ca="1">-ROUND((#REF!-#REF!)/1000,0)</f>
        <v>#REF!</v>
      </c>
      <c r="M120" s="97"/>
      <c r="N120" s="97" t="e">
        <f>SUM(H120:L120)</f>
        <v>#REF!</v>
      </c>
      <c r="O120" s="103"/>
      <c r="P120" s="97">
        <v>372</v>
      </c>
      <c r="Q120" s="97"/>
      <c r="R120" s="97">
        <v>-373</v>
      </c>
      <c r="S120" s="97"/>
      <c r="T120" s="97">
        <v>0</v>
      </c>
      <c r="U120" s="97"/>
      <c r="V120" s="97">
        <f>SUM(P120:T120)</f>
        <v>-1</v>
      </c>
      <c r="W120" s="97"/>
      <c r="X120" s="97">
        <v>372</v>
      </c>
      <c r="Y120" s="97"/>
      <c r="Z120" s="97">
        <v>-373</v>
      </c>
      <c r="AA120" s="97"/>
      <c r="AB120" s="97">
        <v>0</v>
      </c>
      <c r="AC120" s="97"/>
      <c r="AD120" s="97">
        <f>SUM(X120:AB120)</f>
        <v>-1</v>
      </c>
      <c r="AE120" s="21"/>
      <c r="AF120" s="19"/>
    </row>
    <row r="121" spans="1:32" x14ac:dyDescent="0.2">
      <c r="A121" s="96">
        <v>11</v>
      </c>
      <c r="B121" s="36"/>
      <c r="C121" s="176" t="e">
        <f ca="1">+#REF!</f>
        <v>#REF!</v>
      </c>
      <c r="D121" s="176" t="e">
        <f ca="1">+#REF!</f>
        <v>#REF!</v>
      </c>
      <c r="E121" s="85"/>
      <c r="F121" s="85" t="e">
        <f ca="1">+#REF!</f>
        <v>#REF!</v>
      </c>
      <c r="G121" s="20"/>
      <c r="H121" s="97" t="e">
        <f ca="1">ROUND(#REF!/1000,0)</f>
        <v>#REF!</v>
      </c>
      <c r="I121" s="97"/>
      <c r="J121" s="97" t="e">
        <f ca="1">ROUND(#REF!/1000,0)</f>
        <v>#REF!</v>
      </c>
      <c r="K121" s="97"/>
      <c r="L121" s="97" t="e">
        <f ca="1">-ROUND((#REF!-#REF!)/1000,0)</f>
        <v>#REF!</v>
      </c>
      <c r="M121" s="97"/>
      <c r="N121" s="97" t="e">
        <f>SUM(H121:L121)</f>
        <v>#REF!</v>
      </c>
      <c r="O121" s="97"/>
      <c r="P121" s="97">
        <v>4683</v>
      </c>
      <c r="Q121" s="97"/>
      <c r="R121" s="97">
        <v>-125</v>
      </c>
      <c r="S121" s="97"/>
      <c r="T121" s="97">
        <v>-1366</v>
      </c>
      <c r="U121" s="97"/>
      <c r="V121" s="97">
        <f>SUM(P121:T121)</f>
        <v>3192</v>
      </c>
      <c r="W121" s="97"/>
      <c r="X121" s="97">
        <v>3214</v>
      </c>
      <c r="Y121" s="97"/>
      <c r="Z121" s="97">
        <v>-125</v>
      </c>
      <c r="AA121" s="97"/>
      <c r="AB121" s="97">
        <v>-1366</v>
      </c>
      <c r="AC121" s="97"/>
      <c r="AD121" s="97">
        <f>SUM(X121:AB121)</f>
        <v>1723</v>
      </c>
      <c r="AE121" s="21"/>
      <c r="AF121" s="19" t="s">
        <v>89</v>
      </c>
    </row>
    <row r="122" spans="1:32" x14ac:dyDescent="0.2">
      <c r="A122" s="98" t="s">
        <v>103</v>
      </c>
      <c r="B122" s="36"/>
      <c r="C122" s="178" t="e">
        <f ca="1">+#REF!</f>
        <v>#REF!</v>
      </c>
      <c r="D122" s="178" t="e">
        <f ca="1">+#REF!</f>
        <v>#REF!</v>
      </c>
      <c r="E122" s="86"/>
      <c r="F122" s="86" t="e">
        <f ca="1">+#REF!</f>
        <v>#REF!</v>
      </c>
      <c r="G122" s="23"/>
      <c r="H122" s="97" t="e">
        <f ca="1">ROUND(#REF!/1000,0)</f>
        <v>#REF!</v>
      </c>
      <c r="I122" s="97"/>
      <c r="J122" s="97" t="e">
        <f ca="1">ROUND(#REF!/1000,0)</f>
        <v>#REF!</v>
      </c>
      <c r="K122" s="97"/>
      <c r="L122" s="97" t="e">
        <f ca="1">-ROUND((#REF!-#REF!)/1000,0)</f>
        <v>#REF!</v>
      </c>
      <c r="M122" s="97"/>
      <c r="N122" s="97" t="e">
        <f>SUM(H122:L122)</f>
        <v>#REF!</v>
      </c>
      <c r="O122" s="97"/>
      <c r="P122" s="97">
        <v>1053</v>
      </c>
      <c r="Q122" s="97"/>
      <c r="R122" s="97">
        <v>-939</v>
      </c>
      <c r="S122" s="97"/>
      <c r="T122" s="97">
        <v>-100</v>
      </c>
      <c r="U122" s="97"/>
      <c r="V122" s="97">
        <f>SUM(P122:T122)</f>
        <v>14</v>
      </c>
      <c r="W122" s="97"/>
      <c r="X122" s="97">
        <v>1091</v>
      </c>
      <c r="Y122" s="97"/>
      <c r="Z122" s="97">
        <v>-939</v>
      </c>
      <c r="AA122" s="97"/>
      <c r="AB122" s="97">
        <v>-100</v>
      </c>
      <c r="AC122" s="97"/>
      <c r="AD122" s="97">
        <f>SUM(X122:AB122)</f>
        <v>52</v>
      </c>
      <c r="AE122" s="21"/>
      <c r="AF122" s="19" t="s">
        <v>73</v>
      </c>
    </row>
    <row r="123" spans="1:32" x14ac:dyDescent="0.2">
      <c r="A123" s="98" t="s">
        <v>103</v>
      </c>
      <c r="B123" s="36"/>
      <c r="C123" s="178" t="e">
        <f ca="1">+#REF!</f>
        <v>#REF!</v>
      </c>
      <c r="D123" s="178" t="e">
        <f ca="1">+#REF!</f>
        <v>#REF!</v>
      </c>
      <c r="E123" s="86"/>
      <c r="F123" s="86" t="e">
        <f ca="1">+#REF!</f>
        <v>#REF!</v>
      </c>
      <c r="G123" s="23"/>
      <c r="H123" s="97" t="e">
        <f ca="1">ROUND(#REF!/1000,0)</f>
        <v>#REF!</v>
      </c>
      <c r="I123" s="97"/>
      <c r="J123" s="97" t="e">
        <f ca="1">ROUND(#REF!/1000,0)</f>
        <v>#REF!</v>
      </c>
      <c r="K123" s="97"/>
      <c r="L123" s="97" t="e">
        <f ca="1">-ROUND((#REF!-#REF!)/1000,0)</f>
        <v>#REF!</v>
      </c>
      <c r="M123" s="97"/>
      <c r="N123" s="97" t="e">
        <f>SUM(H123:L123)</f>
        <v>#REF!</v>
      </c>
      <c r="O123" s="97"/>
      <c r="P123" s="97">
        <v>0</v>
      </c>
      <c r="Q123" s="97"/>
      <c r="R123" s="97">
        <v>0</v>
      </c>
      <c r="S123" s="97"/>
      <c r="T123" s="97">
        <v>0</v>
      </c>
      <c r="U123" s="97"/>
      <c r="V123" s="97">
        <f>SUM(P123:T123)</f>
        <v>0</v>
      </c>
      <c r="W123" s="97"/>
      <c r="X123" s="97">
        <v>0</v>
      </c>
      <c r="Y123" s="97"/>
      <c r="Z123" s="97">
        <v>0</v>
      </c>
      <c r="AA123" s="97"/>
      <c r="AB123" s="97">
        <v>0</v>
      </c>
      <c r="AC123" s="97"/>
      <c r="AD123" s="97">
        <f>SUM(X123:AB123)</f>
        <v>0</v>
      </c>
      <c r="AE123" s="21"/>
      <c r="AF123" s="19"/>
    </row>
    <row r="124" spans="1:32" x14ac:dyDescent="0.2">
      <c r="A124" s="96"/>
      <c r="B124" s="82"/>
      <c r="C124" s="29"/>
      <c r="D124" s="2"/>
      <c r="E124" s="2"/>
      <c r="F124" s="86"/>
      <c r="G124" s="23"/>
      <c r="H124" s="99"/>
      <c r="I124" s="97"/>
      <c r="J124" s="99"/>
      <c r="K124" s="97"/>
      <c r="L124" s="99"/>
      <c r="M124" s="97"/>
      <c r="N124" s="99"/>
      <c r="O124" s="97"/>
      <c r="P124" s="99"/>
      <c r="Q124" s="97"/>
      <c r="R124" s="99"/>
      <c r="S124" s="97"/>
      <c r="T124" s="99"/>
      <c r="U124" s="97"/>
      <c r="V124" s="99"/>
      <c r="W124" s="97"/>
      <c r="X124" s="99"/>
      <c r="Y124" s="97"/>
      <c r="Z124" s="99"/>
      <c r="AA124" s="97"/>
      <c r="AB124" s="99"/>
      <c r="AC124" s="97"/>
      <c r="AD124" s="99"/>
      <c r="AE124" s="21"/>
      <c r="AF124" s="19"/>
    </row>
    <row r="125" spans="1:32" x14ac:dyDescent="0.2">
      <c r="A125" s="96"/>
      <c r="B125" s="82"/>
      <c r="C125" s="29"/>
      <c r="D125" s="2"/>
      <c r="E125" s="2"/>
      <c r="F125" s="86"/>
      <c r="G125" s="23"/>
      <c r="H125" s="100" t="e">
        <f>SUM(H120:H124)</f>
        <v>#REF!</v>
      </c>
      <c r="I125" s="97"/>
      <c r="J125" s="100" t="e">
        <f>SUM(J120:J124)</f>
        <v>#REF!</v>
      </c>
      <c r="K125" s="97"/>
      <c r="L125" s="100" t="e">
        <f>SUM(L120:L124)</f>
        <v>#REF!</v>
      </c>
      <c r="M125" s="97"/>
      <c r="N125" s="100" t="e">
        <f>SUM(N120:N124)</f>
        <v>#REF!</v>
      </c>
      <c r="O125" s="97"/>
      <c r="P125" s="100">
        <f>SUM(P120:P124)</f>
        <v>6108</v>
      </c>
      <c r="Q125" s="97"/>
      <c r="R125" s="100">
        <f>SUM(R120:R124)</f>
        <v>-1437</v>
      </c>
      <c r="S125" s="97"/>
      <c r="T125" s="100">
        <f>SUM(T120:T124)</f>
        <v>-1466</v>
      </c>
      <c r="U125" s="97"/>
      <c r="V125" s="100">
        <f>SUM(V120:V124)</f>
        <v>3205</v>
      </c>
      <c r="W125" s="97"/>
      <c r="X125" s="100">
        <f>SUM(X120:X124)</f>
        <v>4677</v>
      </c>
      <c r="Y125" s="97"/>
      <c r="Z125" s="100">
        <f>SUM(Z120:Z124)</f>
        <v>-1437</v>
      </c>
      <c r="AA125" s="97"/>
      <c r="AB125" s="100">
        <f>SUM(AB120:AB124)</f>
        <v>-1466</v>
      </c>
      <c r="AC125" s="97"/>
      <c r="AD125" s="100">
        <f>SUM(AD120:AD124)</f>
        <v>1774</v>
      </c>
      <c r="AE125" s="21"/>
      <c r="AF125" s="19"/>
    </row>
    <row r="126" spans="1:32" x14ac:dyDescent="0.2">
      <c r="A126" s="96"/>
      <c r="B126" s="82"/>
      <c r="C126" s="29"/>
      <c r="D126" s="2"/>
      <c r="E126" s="2"/>
      <c r="F126" s="86"/>
      <c r="G126" s="23"/>
      <c r="H126" s="97"/>
      <c r="I126" s="97"/>
      <c r="J126" s="97"/>
      <c r="K126" s="97"/>
      <c r="L126" s="97"/>
      <c r="M126" s="97"/>
      <c r="N126" s="97"/>
      <c r="O126" s="97"/>
      <c r="P126" s="97"/>
      <c r="Q126" s="97"/>
      <c r="R126" s="97"/>
      <c r="S126" s="97"/>
      <c r="T126" s="97"/>
      <c r="U126" s="97"/>
      <c r="V126" s="97"/>
      <c r="W126" s="97"/>
      <c r="X126" s="97"/>
      <c r="Y126" s="97"/>
      <c r="Z126" s="97"/>
      <c r="AA126" s="97"/>
      <c r="AB126" s="97"/>
      <c r="AC126" s="97"/>
      <c r="AD126" s="97"/>
      <c r="AE126" s="21"/>
      <c r="AF126" s="19"/>
    </row>
    <row r="127" spans="1:32" x14ac:dyDescent="0.2">
      <c r="A127" s="98" t="s">
        <v>103</v>
      </c>
      <c r="B127" s="36"/>
      <c r="C127" s="178" t="e">
        <f ca="1">+#REF!</f>
        <v>#REF!</v>
      </c>
      <c r="D127" s="178" t="e">
        <f ca="1">+#REF!</f>
        <v>#REF!</v>
      </c>
      <c r="E127" s="86"/>
      <c r="F127" s="86" t="e">
        <f ca="1">+#REF!</f>
        <v>#REF!</v>
      </c>
      <c r="G127" s="20"/>
      <c r="H127" s="97" t="e">
        <f ca="1">ROUND(#REF!/1000,0)</f>
        <v>#REF!</v>
      </c>
      <c r="I127" s="97"/>
      <c r="J127" s="97" t="e">
        <f ca="1">ROUND(#REF!/1000,0)</f>
        <v>#REF!</v>
      </c>
      <c r="K127" s="97"/>
      <c r="L127" s="97" t="e">
        <f ca="1">-ROUND((#REF!-#REF!)/1000,0)</f>
        <v>#REF!</v>
      </c>
      <c r="M127" s="97"/>
      <c r="N127" s="97" t="e">
        <f t="shared" ref="N127:N137" si="16">SUM(H127:L127)</f>
        <v>#REF!</v>
      </c>
      <c r="O127" s="97"/>
      <c r="P127" s="97">
        <v>1450</v>
      </c>
      <c r="Q127" s="97"/>
      <c r="R127" s="97">
        <v>-1450</v>
      </c>
      <c r="S127" s="97"/>
      <c r="T127" s="97">
        <v>0</v>
      </c>
      <c r="U127" s="97"/>
      <c r="V127" s="97">
        <f t="shared" ref="V127:V137" si="17">SUM(P127:T127)</f>
        <v>0</v>
      </c>
      <c r="W127" s="97"/>
      <c r="X127" s="97">
        <f>1366+58</f>
        <v>1424</v>
      </c>
      <c r="Y127" s="97"/>
      <c r="Z127" s="97">
        <v>-1424</v>
      </c>
      <c r="AA127" s="97"/>
      <c r="AB127" s="97">
        <v>0</v>
      </c>
      <c r="AC127" s="97"/>
      <c r="AD127" s="97">
        <f t="shared" ref="AD127:AD137" si="18">SUM(X127:AB127)</f>
        <v>0</v>
      </c>
      <c r="AE127" s="21"/>
      <c r="AF127" s="19" t="s">
        <v>98</v>
      </c>
    </row>
    <row r="128" spans="1:32" x14ac:dyDescent="0.2">
      <c r="A128" s="96">
        <v>11</v>
      </c>
      <c r="B128" s="36"/>
      <c r="C128" s="178" t="e">
        <f ca="1">+#REF!</f>
        <v>#REF!</v>
      </c>
      <c r="D128" s="178" t="e">
        <f ca="1">+#REF!</f>
        <v>#REF!</v>
      </c>
      <c r="E128" s="86"/>
      <c r="F128" s="86" t="e">
        <f ca="1">+#REF!</f>
        <v>#REF!</v>
      </c>
      <c r="G128" s="20"/>
      <c r="H128" s="97" t="e">
        <f ca="1">ROUND(#REF!/1000,0)</f>
        <v>#REF!</v>
      </c>
      <c r="I128" s="97"/>
      <c r="J128" s="97" t="e">
        <f ca="1">ROUND(#REF!/1000,0)</f>
        <v>#REF!</v>
      </c>
      <c r="K128" s="97"/>
      <c r="L128" s="97" t="e">
        <f ca="1">-ROUND((#REF!-#REF!)/1000,0)</f>
        <v>#REF!</v>
      </c>
      <c r="M128" s="97"/>
      <c r="N128" s="97" t="e">
        <f t="shared" si="16"/>
        <v>#REF!</v>
      </c>
      <c r="O128" s="97"/>
      <c r="P128" s="97">
        <v>1430</v>
      </c>
      <c r="Q128" s="97"/>
      <c r="R128" s="97">
        <v>0</v>
      </c>
      <c r="S128" s="97"/>
      <c r="T128" s="97">
        <v>0</v>
      </c>
      <c r="U128" s="97"/>
      <c r="V128" s="97">
        <f t="shared" si="17"/>
        <v>1430</v>
      </c>
      <c r="W128" s="97"/>
      <c r="X128" s="97">
        <v>1830</v>
      </c>
      <c r="Y128" s="97"/>
      <c r="Z128" s="97">
        <v>0</v>
      </c>
      <c r="AA128" s="97"/>
      <c r="AB128" s="97">
        <v>0</v>
      </c>
      <c r="AC128" s="97"/>
      <c r="AD128" s="97">
        <f t="shared" si="18"/>
        <v>1830</v>
      </c>
      <c r="AE128" s="21"/>
      <c r="AF128" s="19" t="s">
        <v>82</v>
      </c>
    </row>
    <row r="129" spans="1:32" x14ac:dyDescent="0.2">
      <c r="A129" s="98" t="s">
        <v>103</v>
      </c>
      <c r="B129" s="36"/>
      <c r="C129" s="178" t="e">
        <f ca="1">+#REF!</f>
        <v>#REF!</v>
      </c>
      <c r="D129" s="178" t="e">
        <f ca="1">+#REF!</f>
        <v>#REF!</v>
      </c>
      <c r="E129" s="86"/>
      <c r="F129" s="86" t="e">
        <f ca="1">+#REF!</f>
        <v>#REF!</v>
      </c>
      <c r="G129" s="23"/>
      <c r="H129" s="97" t="e">
        <f ca="1">ROUND(#REF!/1000,0)</f>
        <v>#REF!</v>
      </c>
      <c r="I129" s="97"/>
      <c r="J129" s="97" t="e">
        <f ca="1">ROUND(#REF!/1000,0)</f>
        <v>#REF!</v>
      </c>
      <c r="K129" s="97"/>
      <c r="L129" s="97" t="e">
        <f ca="1">-ROUND((#REF!-#REF!)/1000,0)</f>
        <v>#REF!</v>
      </c>
      <c r="M129" s="97"/>
      <c r="N129" s="97" t="e">
        <f t="shared" si="16"/>
        <v>#REF!</v>
      </c>
      <c r="O129" s="97"/>
      <c r="P129" s="97">
        <v>455</v>
      </c>
      <c r="Q129" s="97"/>
      <c r="R129" s="97">
        <v>-455</v>
      </c>
      <c r="S129" s="97"/>
      <c r="T129" s="97">
        <v>0</v>
      </c>
      <c r="U129" s="97"/>
      <c r="V129" s="97">
        <f t="shared" si="17"/>
        <v>0</v>
      </c>
      <c r="W129" s="97"/>
      <c r="X129" s="97">
        <v>0</v>
      </c>
      <c r="Y129" s="97"/>
      <c r="Z129" s="97">
        <v>0</v>
      </c>
      <c r="AA129" s="97"/>
      <c r="AB129" s="97">
        <v>0</v>
      </c>
      <c r="AC129" s="97"/>
      <c r="AD129" s="97">
        <f t="shared" si="18"/>
        <v>0</v>
      </c>
      <c r="AE129" s="21"/>
      <c r="AF129" s="19" t="s">
        <v>69</v>
      </c>
    </row>
    <row r="130" spans="1:32" x14ac:dyDescent="0.2">
      <c r="A130" s="98" t="s">
        <v>103</v>
      </c>
      <c r="B130" s="36"/>
      <c r="C130" s="178" t="e">
        <f ca="1">+#REF!</f>
        <v>#REF!</v>
      </c>
      <c r="D130" s="178" t="e">
        <f ca="1">+#REF!</f>
        <v>#REF!</v>
      </c>
      <c r="E130" s="86"/>
      <c r="F130" s="86" t="e">
        <f ca="1">+#REF!</f>
        <v>#REF!</v>
      </c>
      <c r="G130" s="23"/>
      <c r="H130" s="97" t="e">
        <f ca="1">ROUND(#REF!/1000,0)</f>
        <v>#REF!</v>
      </c>
      <c r="I130" s="97"/>
      <c r="J130" s="97" t="e">
        <f ca="1">ROUND(#REF!/1000,0)</f>
        <v>#REF!</v>
      </c>
      <c r="K130" s="97"/>
      <c r="L130" s="97" t="e">
        <f ca="1">-ROUND((#REF!-#REF!)/1000,0)</f>
        <v>#REF!</v>
      </c>
      <c r="M130" s="97"/>
      <c r="N130" s="97" t="e">
        <f>SUM(H130:L130)</f>
        <v>#REF!</v>
      </c>
      <c r="O130" s="97"/>
      <c r="P130" s="97">
        <v>1329</v>
      </c>
      <c r="Q130" s="97"/>
      <c r="R130" s="97">
        <v>-1329</v>
      </c>
      <c r="S130" s="97"/>
      <c r="T130" s="97">
        <v>0</v>
      </c>
      <c r="U130" s="97"/>
      <c r="V130" s="97">
        <f>SUM(P130:T130)</f>
        <v>0</v>
      </c>
      <c r="W130" s="97"/>
      <c r="X130" s="97">
        <f>1116+302</f>
        <v>1418</v>
      </c>
      <c r="Y130" s="97"/>
      <c r="Z130" s="97">
        <v>-1418</v>
      </c>
      <c r="AA130" s="97"/>
      <c r="AB130" s="97">
        <v>0</v>
      </c>
      <c r="AC130" s="97"/>
      <c r="AD130" s="97">
        <f>SUM(X130:AB130)</f>
        <v>0</v>
      </c>
      <c r="AE130" s="21"/>
      <c r="AF130" s="19" t="s">
        <v>95</v>
      </c>
    </row>
    <row r="131" spans="1:32" x14ac:dyDescent="0.2">
      <c r="A131" s="98" t="s">
        <v>103</v>
      </c>
      <c r="B131" s="36"/>
      <c r="C131" s="178" t="e">
        <f ca="1">+#REF!</f>
        <v>#REF!</v>
      </c>
      <c r="D131" s="178" t="e">
        <f ca="1">+#REF!</f>
        <v>#REF!</v>
      </c>
      <c r="E131" s="86"/>
      <c r="F131" s="86" t="e">
        <f ca="1">+#REF!</f>
        <v>#REF!</v>
      </c>
      <c r="G131" s="23"/>
      <c r="H131" s="97" t="e">
        <f ca="1">ROUND(#REF!/1000,0)</f>
        <v>#REF!</v>
      </c>
      <c r="I131" s="97"/>
      <c r="J131" s="97" t="e">
        <f ca="1">ROUND(#REF!/1000,0)</f>
        <v>#REF!</v>
      </c>
      <c r="K131" s="97"/>
      <c r="L131" s="97" t="e">
        <f ca="1">-ROUND((#REF!-#REF!)/1000,0)</f>
        <v>#REF!</v>
      </c>
      <c r="M131" s="97"/>
      <c r="N131" s="97" t="e">
        <f t="shared" si="16"/>
        <v>#REF!</v>
      </c>
      <c r="O131" s="97"/>
      <c r="P131" s="97">
        <v>1382</v>
      </c>
      <c r="Q131" s="97"/>
      <c r="R131" s="97">
        <v>-1382</v>
      </c>
      <c r="S131" s="97"/>
      <c r="T131" s="97">
        <v>0</v>
      </c>
      <c r="U131" s="97"/>
      <c r="V131" s="97">
        <f t="shared" si="17"/>
        <v>0</v>
      </c>
      <c r="W131" s="97"/>
      <c r="X131" s="97">
        <f>1399+135</f>
        <v>1534</v>
      </c>
      <c r="Y131" s="97"/>
      <c r="Z131" s="97">
        <v>-1534</v>
      </c>
      <c r="AA131" s="97"/>
      <c r="AB131" s="97">
        <v>0</v>
      </c>
      <c r="AC131" s="97"/>
      <c r="AD131" s="97">
        <f t="shared" si="18"/>
        <v>0</v>
      </c>
      <c r="AE131" s="21"/>
      <c r="AF131" s="19" t="s">
        <v>95</v>
      </c>
    </row>
    <row r="132" spans="1:32" s="120" customFormat="1" x14ac:dyDescent="0.2">
      <c r="A132" s="98" t="s">
        <v>103</v>
      </c>
      <c r="B132" s="36"/>
      <c r="C132" s="178" t="e">
        <f ca="1">+#REF!</f>
        <v>#REF!</v>
      </c>
      <c r="D132" s="178" t="e">
        <f ca="1">+#REF!</f>
        <v>#REF!</v>
      </c>
      <c r="E132" s="86"/>
      <c r="F132" s="86" t="e">
        <f ca="1">+#REF!</f>
        <v>#REF!</v>
      </c>
      <c r="G132" s="23"/>
      <c r="H132" s="97" t="e">
        <f ca="1">ROUND(#REF!/1000,0)</f>
        <v>#REF!</v>
      </c>
      <c r="I132" s="97"/>
      <c r="J132" s="97" t="e">
        <f ca="1">ROUND(#REF!/1000,0)</f>
        <v>#REF!</v>
      </c>
      <c r="K132" s="97"/>
      <c r="L132" s="97" t="e">
        <f ca="1">-ROUND((#REF!-#REF!)/1000,0)</f>
        <v>#REF!</v>
      </c>
      <c r="M132" s="97"/>
      <c r="N132" s="97" t="e">
        <f t="shared" si="16"/>
        <v>#REF!</v>
      </c>
      <c r="O132" s="97"/>
      <c r="P132" s="97">
        <v>532</v>
      </c>
      <c r="Q132" s="97"/>
      <c r="R132" s="97">
        <v>-532</v>
      </c>
      <c r="S132" s="97"/>
      <c r="T132" s="97">
        <v>0</v>
      </c>
      <c r="U132" s="97"/>
      <c r="V132" s="97">
        <f t="shared" si="17"/>
        <v>0</v>
      </c>
      <c r="W132" s="97"/>
      <c r="X132" s="97">
        <v>0</v>
      </c>
      <c r="Y132" s="97"/>
      <c r="Z132" s="97">
        <v>0</v>
      </c>
      <c r="AA132" s="97"/>
      <c r="AB132" s="97">
        <v>0</v>
      </c>
      <c r="AC132" s="97"/>
      <c r="AD132" s="97">
        <f t="shared" si="18"/>
        <v>0</v>
      </c>
      <c r="AE132" s="21"/>
      <c r="AF132" s="19" t="s">
        <v>95</v>
      </c>
    </row>
    <row r="133" spans="1:32" s="120" customFormat="1" x14ac:dyDescent="0.2">
      <c r="A133" s="98" t="s">
        <v>103</v>
      </c>
      <c r="B133" s="36"/>
      <c r="C133" s="178" t="e">
        <f ca="1">+#REF!</f>
        <v>#REF!</v>
      </c>
      <c r="D133" s="178" t="e">
        <f ca="1">+#REF!</f>
        <v>#REF!</v>
      </c>
      <c r="E133" s="86"/>
      <c r="F133" s="86" t="e">
        <f ca="1">+#REF!</f>
        <v>#REF!</v>
      </c>
      <c r="G133" s="23"/>
      <c r="H133" s="97" t="e">
        <f ca="1">ROUND(#REF!/1000,0)</f>
        <v>#REF!</v>
      </c>
      <c r="I133" s="97"/>
      <c r="J133" s="97" t="e">
        <f ca="1">ROUND(#REF!/1000,0)</f>
        <v>#REF!</v>
      </c>
      <c r="K133" s="97"/>
      <c r="L133" s="97" t="e">
        <f ca="1">-ROUND((#REF!-#REF!)/1000,0)</f>
        <v>#REF!</v>
      </c>
      <c r="M133" s="97"/>
      <c r="N133" s="97" t="e">
        <f t="shared" si="16"/>
        <v>#REF!</v>
      </c>
      <c r="O133" s="97"/>
      <c r="P133" s="97">
        <v>834</v>
      </c>
      <c r="Q133" s="97"/>
      <c r="R133" s="97">
        <v>-834</v>
      </c>
      <c r="S133" s="97"/>
      <c r="T133" s="97">
        <v>0</v>
      </c>
      <c r="U133" s="97"/>
      <c r="V133" s="97">
        <f t="shared" si="17"/>
        <v>0</v>
      </c>
      <c r="W133" s="97"/>
      <c r="X133" s="97">
        <f>132+704</f>
        <v>836</v>
      </c>
      <c r="Y133" s="97"/>
      <c r="Z133" s="97">
        <v>-836</v>
      </c>
      <c r="AA133" s="97"/>
      <c r="AB133" s="97">
        <v>0</v>
      </c>
      <c r="AC133" s="97"/>
      <c r="AD133" s="97">
        <f t="shared" si="18"/>
        <v>0</v>
      </c>
      <c r="AE133" s="21"/>
      <c r="AF133" s="19" t="s">
        <v>95</v>
      </c>
    </row>
    <row r="134" spans="1:32" s="120" customFormat="1" x14ac:dyDescent="0.2">
      <c r="A134" s="98" t="s">
        <v>103</v>
      </c>
      <c r="B134" s="36"/>
      <c r="C134" s="178" t="e">
        <f ca="1">+#REF!</f>
        <v>#REF!</v>
      </c>
      <c r="D134" s="178" t="e">
        <f ca="1">+#REF!</f>
        <v>#REF!</v>
      </c>
      <c r="E134" s="86"/>
      <c r="F134" s="86" t="e">
        <f ca="1">+#REF!</f>
        <v>#REF!</v>
      </c>
      <c r="G134" s="23"/>
      <c r="H134" s="97" t="e">
        <f ca="1">ROUND(#REF!/1000,0)</f>
        <v>#REF!</v>
      </c>
      <c r="I134" s="97"/>
      <c r="J134" s="97" t="e">
        <f ca="1">ROUND(#REF!/1000,0)</f>
        <v>#REF!</v>
      </c>
      <c r="K134" s="97"/>
      <c r="L134" s="97" t="e">
        <f ca="1">-ROUND((#REF!-#REF!)/1000,0)</f>
        <v>#REF!</v>
      </c>
      <c r="M134" s="97"/>
      <c r="N134" s="97" t="e">
        <f t="shared" si="16"/>
        <v>#REF!</v>
      </c>
      <c r="O134" s="97"/>
      <c r="P134" s="97">
        <v>527</v>
      </c>
      <c r="Q134" s="97"/>
      <c r="R134" s="97">
        <v>-527</v>
      </c>
      <c r="S134" s="97"/>
      <c r="T134" s="97">
        <v>0</v>
      </c>
      <c r="U134" s="97"/>
      <c r="V134" s="97">
        <f t="shared" si="17"/>
        <v>0</v>
      </c>
      <c r="W134" s="97"/>
      <c r="X134" s="97">
        <f>133+305</f>
        <v>438</v>
      </c>
      <c r="Y134" s="97"/>
      <c r="Z134" s="97">
        <v>-438</v>
      </c>
      <c r="AA134" s="97"/>
      <c r="AB134" s="97">
        <v>0</v>
      </c>
      <c r="AC134" s="97"/>
      <c r="AD134" s="97">
        <f t="shared" si="18"/>
        <v>0</v>
      </c>
      <c r="AE134" s="21"/>
      <c r="AF134" s="19" t="s">
        <v>95</v>
      </c>
    </row>
    <row r="135" spans="1:32" s="120" customFormat="1" x14ac:dyDescent="0.2">
      <c r="A135" s="98" t="s">
        <v>103</v>
      </c>
      <c r="B135" s="36"/>
      <c r="C135" s="178" t="e">
        <f ca="1">+#REF!</f>
        <v>#REF!</v>
      </c>
      <c r="D135" s="178" t="e">
        <f ca="1">+#REF!</f>
        <v>#REF!</v>
      </c>
      <c r="E135" s="86"/>
      <c r="F135" s="86" t="e">
        <f ca="1">+#REF!</f>
        <v>#REF!</v>
      </c>
      <c r="G135" s="23"/>
      <c r="H135" s="97" t="e">
        <f ca="1">ROUND(#REF!/1000,0)</f>
        <v>#REF!</v>
      </c>
      <c r="I135" s="97"/>
      <c r="J135" s="97" t="e">
        <f ca="1">ROUND(#REF!/1000,0)</f>
        <v>#REF!</v>
      </c>
      <c r="K135" s="97"/>
      <c r="L135" s="97" t="e">
        <f ca="1">-ROUND((#REF!-#REF!)/1000,0)</f>
        <v>#REF!</v>
      </c>
      <c r="M135" s="97"/>
      <c r="N135" s="97" t="e">
        <f>SUM(H135:L135)</f>
        <v>#REF!</v>
      </c>
      <c r="O135" s="97"/>
      <c r="P135" s="97">
        <v>969</v>
      </c>
      <c r="Q135" s="97"/>
      <c r="R135" s="97">
        <v>-969</v>
      </c>
      <c r="S135" s="97"/>
      <c r="T135" s="97">
        <v>0</v>
      </c>
      <c r="U135" s="97"/>
      <c r="V135" s="97">
        <f>SUM(P135:T135)</f>
        <v>0</v>
      </c>
      <c r="W135" s="97"/>
      <c r="X135" s="97">
        <f>33+863</f>
        <v>896</v>
      </c>
      <c r="Y135" s="97"/>
      <c r="Z135" s="97">
        <v>-896</v>
      </c>
      <c r="AA135" s="97"/>
      <c r="AB135" s="97">
        <v>0</v>
      </c>
      <c r="AC135" s="97"/>
      <c r="AD135" s="97">
        <f>SUM(X135:AB135)</f>
        <v>0</v>
      </c>
      <c r="AE135" s="21"/>
      <c r="AF135" s="19" t="s">
        <v>95</v>
      </c>
    </row>
    <row r="136" spans="1:32" s="120" customFormat="1" x14ac:dyDescent="0.2">
      <c r="A136" s="98" t="s">
        <v>103</v>
      </c>
      <c r="B136" s="36"/>
      <c r="C136" s="178" t="e">
        <f ca="1">+#REF!</f>
        <v>#REF!</v>
      </c>
      <c r="D136" s="178" t="e">
        <f ca="1">+#REF!</f>
        <v>#REF!</v>
      </c>
      <c r="E136" s="86"/>
      <c r="F136" s="86" t="e">
        <f ca="1">+#REF!</f>
        <v>#REF!</v>
      </c>
      <c r="G136" s="23"/>
      <c r="H136" s="97" t="e">
        <f ca="1">ROUND(#REF!/1000,0)</f>
        <v>#REF!</v>
      </c>
      <c r="I136" s="97"/>
      <c r="J136" s="97" t="e">
        <f ca="1">ROUND(#REF!/1000,0)</f>
        <v>#REF!</v>
      </c>
      <c r="K136" s="97"/>
      <c r="L136" s="97" t="e">
        <f ca="1">-ROUND((#REF!-#REF!)/1000,0)</f>
        <v>#REF!</v>
      </c>
      <c r="M136" s="97"/>
      <c r="N136" s="97" t="e">
        <f>SUM(H136:L136)</f>
        <v>#REF!</v>
      </c>
      <c r="O136" s="97"/>
      <c r="P136" s="97">
        <v>0</v>
      </c>
      <c r="Q136" s="97"/>
      <c r="R136" s="97">
        <v>0</v>
      </c>
      <c r="S136" s="97"/>
      <c r="T136" s="97">
        <v>0</v>
      </c>
      <c r="U136" s="97"/>
      <c r="V136" s="97">
        <f>SUM(P136:T136)</f>
        <v>0</v>
      </c>
      <c r="W136" s="97"/>
      <c r="X136" s="97">
        <v>0</v>
      </c>
      <c r="Y136" s="97"/>
      <c r="Z136" s="97">
        <v>0</v>
      </c>
      <c r="AA136" s="97"/>
      <c r="AB136" s="97">
        <v>0</v>
      </c>
      <c r="AC136" s="97"/>
      <c r="AD136" s="97">
        <f>SUM(X136:AB136)</f>
        <v>0</v>
      </c>
      <c r="AE136" s="21"/>
      <c r="AF136" s="19" t="s">
        <v>95</v>
      </c>
    </row>
    <row r="137" spans="1:32" x14ac:dyDescent="0.2">
      <c r="A137" s="98" t="s">
        <v>103</v>
      </c>
      <c r="B137" s="36"/>
      <c r="C137" s="178" t="e">
        <f ca="1">+#REF!</f>
        <v>#REF!</v>
      </c>
      <c r="D137" s="178" t="e">
        <f ca="1">+#REF!</f>
        <v>#REF!</v>
      </c>
      <c r="E137" s="86"/>
      <c r="F137" s="86" t="e">
        <f ca="1">+#REF!</f>
        <v>#REF!</v>
      </c>
      <c r="G137" s="23"/>
      <c r="H137" s="97" t="e">
        <f ca="1">ROUND(#REF!/1000,0)</f>
        <v>#REF!</v>
      </c>
      <c r="I137" s="97"/>
      <c r="J137" s="97" t="e">
        <f ca="1">ROUND(#REF!/1000,0)</f>
        <v>#REF!</v>
      </c>
      <c r="K137" s="97"/>
      <c r="L137" s="97" t="e">
        <f ca="1">-ROUND((#REF!-#REF!)/1000,0)</f>
        <v>#REF!</v>
      </c>
      <c r="M137" s="97"/>
      <c r="N137" s="97" t="e">
        <f t="shared" si="16"/>
        <v>#REF!</v>
      </c>
      <c r="O137" s="97"/>
      <c r="P137" s="97">
        <v>13240</v>
      </c>
      <c r="Q137" s="97"/>
      <c r="R137" s="97">
        <v>-13240</v>
      </c>
      <c r="S137" s="97"/>
      <c r="T137" s="97">
        <v>0</v>
      </c>
      <c r="U137" s="97"/>
      <c r="V137" s="97">
        <f t="shared" si="17"/>
        <v>0</v>
      </c>
      <c r="W137" s="97"/>
      <c r="X137" s="97">
        <f>9499+249</f>
        <v>9748</v>
      </c>
      <c r="Y137" s="97"/>
      <c r="Z137" s="97">
        <v>-9748</v>
      </c>
      <c r="AA137" s="97"/>
      <c r="AB137" s="97">
        <v>0</v>
      </c>
      <c r="AC137" s="97"/>
      <c r="AD137" s="97">
        <f t="shared" si="18"/>
        <v>0</v>
      </c>
      <c r="AE137" s="21"/>
      <c r="AF137" s="19" t="s">
        <v>95</v>
      </c>
    </row>
    <row r="138" spans="1:32" x14ac:dyDescent="0.2">
      <c r="A138" s="98" t="s">
        <v>103</v>
      </c>
      <c r="B138" s="36"/>
      <c r="C138" s="178" t="e">
        <f ca="1">+#REF!</f>
        <v>#REF!</v>
      </c>
      <c r="D138" s="178" t="e">
        <f ca="1">+#REF!</f>
        <v>#REF!</v>
      </c>
      <c r="E138" s="86"/>
      <c r="F138" s="86" t="e">
        <f ca="1">+#REF!</f>
        <v>#REF!</v>
      </c>
      <c r="G138" s="23"/>
      <c r="H138" s="97" t="e">
        <f ca="1">ROUND(#REF!/1000,0)</f>
        <v>#REF!</v>
      </c>
      <c r="I138" s="97"/>
      <c r="J138" s="97" t="e">
        <f ca="1">ROUND(#REF!/1000,0)</f>
        <v>#REF!</v>
      </c>
      <c r="K138" s="97"/>
      <c r="L138" s="97" t="e">
        <f ca="1">-ROUND((#REF!-#REF!)/1000,0)</f>
        <v>#REF!</v>
      </c>
      <c r="M138" s="97"/>
      <c r="N138" s="97" t="e">
        <f>SUM(H138:L138)</f>
        <v>#REF!</v>
      </c>
      <c r="O138" s="97"/>
      <c r="P138" s="97">
        <v>3350</v>
      </c>
      <c r="Q138" s="97"/>
      <c r="R138" s="97">
        <v>-3350</v>
      </c>
      <c r="S138" s="97"/>
      <c r="T138" s="97">
        <v>0</v>
      </c>
      <c r="U138" s="97"/>
      <c r="V138" s="97">
        <f>SUM(P138:T138)</f>
        <v>0</v>
      </c>
      <c r="W138" s="97"/>
      <c r="X138" s="97">
        <f>1424+5</f>
        <v>1429</v>
      </c>
      <c r="Y138" s="97"/>
      <c r="Z138" s="97">
        <v>-1429</v>
      </c>
      <c r="AA138" s="97"/>
      <c r="AB138" s="97">
        <v>0</v>
      </c>
      <c r="AC138" s="97"/>
      <c r="AD138" s="97">
        <f>SUM(X138:AB138)</f>
        <v>0</v>
      </c>
      <c r="AE138" s="21"/>
      <c r="AF138" s="19" t="s">
        <v>96</v>
      </c>
    </row>
    <row r="139" spans="1:32" x14ac:dyDescent="0.2">
      <c r="A139" s="98" t="s">
        <v>103</v>
      </c>
      <c r="B139" s="36"/>
      <c r="C139" s="178" t="e">
        <f ca="1">+#REF!</f>
        <v>#REF!</v>
      </c>
      <c r="D139" s="178" t="e">
        <f ca="1">+#REF!</f>
        <v>#REF!</v>
      </c>
      <c r="E139" s="86"/>
      <c r="F139" s="86" t="e">
        <f ca="1">+#REF!</f>
        <v>#REF!</v>
      </c>
      <c r="G139" s="23"/>
      <c r="H139" s="97" t="e">
        <f ca="1">ROUND(#REF!/1000,0)</f>
        <v>#REF!</v>
      </c>
      <c r="I139" s="97"/>
      <c r="J139" s="97" t="e">
        <f ca="1">ROUND(#REF!/1000,0)</f>
        <v>#REF!</v>
      </c>
      <c r="K139" s="97"/>
      <c r="L139" s="97" t="e">
        <f ca="1">-ROUND((#REF!-#REF!)/1000,0)</f>
        <v>#REF!</v>
      </c>
      <c r="M139" s="97"/>
      <c r="N139" s="97" t="e">
        <f>SUM(H139:L139)</f>
        <v>#REF!</v>
      </c>
      <c r="O139" s="97"/>
      <c r="P139" s="97">
        <v>7565</v>
      </c>
      <c r="Q139" s="97"/>
      <c r="R139" s="97">
        <v>-7565</v>
      </c>
      <c r="S139" s="97"/>
      <c r="T139" s="97">
        <v>0</v>
      </c>
      <c r="U139" s="97"/>
      <c r="V139" s="97">
        <f>SUM(P139:T139)</f>
        <v>0</v>
      </c>
      <c r="W139" s="97"/>
      <c r="X139" s="97">
        <f>8017+60</f>
        <v>8077</v>
      </c>
      <c r="Y139" s="97"/>
      <c r="Z139" s="97">
        <v>-8077</v>
      </c>
      <c r="AA139" s="97"/>
      <c r="AB139" s="97">
        <v>0</v>
      </c>
      <c r="AC139" s="97"/>
      <c r="AD139" s="97">
        <f>SUM(X139:AB139)</f>
        <v>0</v>
      </c>
      <c r="AE139" s="21"/>
      <c r="AF139" s="19" t="s">
        <v>97</v>
      </c>
    </row>
    <row r="140" spans="1:32" x14ac:dyDescent="0.2">
      <c r="A140" s="96"/>
      <c r="B140" s="36"/>
      <c r="C140" s="20" t="s">
        <v>252</v>
      </c>
      <c r="D140" s="2"/>
      <c r="E140" s="2"/>
      <c r="F140" s="86"/>
      <c r="G140" s="23"/>
      <c r="H140" s="97">
        <f>-2477-102</f>
        <v>-2579</v>
      </c>
      <c r="I140" s="97"/>
      <c r="J140" s="97">
        <v>0</v>
      </c>
      <c r="K140" s="97"/>
      <c r="L140" s="97">
        <v>0</v>
      </c>
      <c r="M140" s="97"/>
      <c r="N140" s="97">
        <f>SUM(H140:L140)</f>
        <v>-2579</v>
      </c>
      <c r="O140" s="97"/>
      <c r="P140" s="97"/>
      <c r="Q140" s="97"/>
      <c r="R140" s="97"/>
      <c r="S140" s="97"/>
      <c r="T140" s="97"/>
      <c r="U140" s="97"/>
      <c r="V140" s="97"/>
      <c r="W140" s="97"/>
      <c r="X140" s="97">
        <v>0</v>
      </c>
      <c r="Y140" s="97"/>
      <c r="Z140" s="97">
        <v>0</v>
      </c>
      <c r="AA140" s="97"/>
      <c r="AB140" s="97">
        <v>0</v>
      </c>
      <c r="AC140" s="97"/>
      <c r="AD140" s="97">
        <f>SUM(X140:AB140)</f>
        <v>0</v>
      </c>
      <c r="AE140" s="21"/>
      <c r="AF140" s="19"/>
    </row>
    <row r="141" spans="1:32" x14ac:dyDescent="0.2">
      <c r="A141" s="96"/>
      <c r="B141" s="82"/>
      <c r="C141" s="29"/>
      <c r="D141" s="2"/>
      <c r="E141" s="2"/>
      <c r="F141" s="86"/>
      <c r="G141" s="23"/>
      <c r="H141" s="99"/>
      <c r="I141" s="97"/>
      <c r="J141" s="99"/>
      <c r="K141" s="97"/>
      <c r="L141" s="99"/>
      <c r="M141" s="97"/>
      <c r="N141" s="99"/>
      <c r="O141" s="97"/>
      <c r="P141" s="99"/>
      <c r="Q141" s="97"/>
      <c r="R141" s="99"/>
      <c r="S141" s="97"/>
      <c r="T141" s="99"/>
      <c r="U141" s="97"/>
      <c r="V141" s="99"/>
      <c r="W141" s="97"/>
      <c r="X141" s="99"/>
      <c r="Y141" s="97"/>
      <c r="Z141" s="99"/>
      <c r="AA141" s="97"/>
      <c r="AB141" s="99"/>
      <c r="AC141" s="97"/>
      <c r="AD141" s="99"/>
      <c r="AE141" s="21"/>
      <c r="AF141" s="19"/>
    </row>
    <row r="142" spans="1:32" x14ac:dyDescent="0.2">
      <c r="A142" s="96"/>
      <c r="B142" s="82"/>
      <c r="C142" s="29"/>
      <c r="D142" s="2"/>
      <c r="E142" s="2"/>
      <c r="F142" s="86"/>
      <c r="G142" s="23"/>
      <c r="H142" s="100" t="e">
        <f>SUM(H127:H141)</f>
        <v>#REF!</v>
      </c>
      <c r="I142" s="97"/>
      <c r="J142" s="100" t="e">
        <f>SUM(J127:J141)</f>
        <v>#REF!</v>
      </c>
      <c r="K142" s="97"/>
      <c r="L142" s="100" t="e">
        <f>SUM(L127:L141)</f>
        <v>#REF!</v>
      </c>
      <c r="M142" s="97"/>
      <c r="N142" s="100" t="e">
        <f>SUM(N127:N141)</f>
        <v>#REF!</v>
      </c>
      <c r="O142" s="97"/>
      <c r="P142" s="100">
        <f>SUM(P127:P141)</f>
        <v>33063</v>
      </c>
      <c r="Q142" s="97"/>
      <c r="R142" s="100">
        <f>SUM(R127:R141)</f>
        <v>-31633</v>
      </c>
      <c r="S142" s="97"/>
      <c r="T142" s="100">
        <f>SUM(T127:T141)</f>
        <v>0</v>
      </c>
      <c r="U142" s="97"/>
      <c r="V142" s="100">
        <f>SUM(V127:V141)</f>
        <v>1430</v>
      </c>
      <c r="W142" s="97"/>
      <c r="X142" s="100">
        <f>SUM(X127:X141)</f>
        <v>27630</v>
      </c>
      <c r="Y142" s="97"/>
      <c r="Z142" s="100">
        <f>SUM(Z127:Z141)</f>
        <v>-25800</v>
      </c>
      <c r="AA142" s="97"/>
      <c r="AB142" s="100">
        <f>SUM(AB127:AB141)</f>
        <v>0</v>
      </c>
      <c r="AC142" s="97"/>
      <c r="AD142" s="100">
        <f>SUM(AD127:AD141)</f>
        <v>1830</v>
      </c>
      <c r="AE142" s="21"/>
      <c r="AF142" s="19"/>
    </row>
    <row r="143" spans="1:32" x14ac:dyDescent="0.2">
      <c r="A143" s="96"/>
      <c r="B143" s="82"/>
      <c r="C143" s="29"/>
      <c r="D143" s="2"/>
      <c r="E143" s="2"/>
      <c r="F143" s="86"/>
      <c r="G143" s="23"/>
      <c r="H143" s="97"/>
      <c r="I143" s="97"/>
      <c r="J143" s="97"/>
      <c r="K143" s="97"/>
      <c r="L143" s="97"/>
      <c r="M143" s="97"/>
      <c r="N143" s="97"/>
      <c r="O143" s="97"/>
      <c r="P143" s="97"/>
      <c r="Q143" s="97"/>
      <c r="R143" s="97"/>
      <c r="S143" s="97"/>
      <c r="T143" s="97"/>
      <c r="U143" s="97"/>
      <c r="V143" s="97"/>
      <c r="W143" s="97"/>
      <c r="X143" s="97"/>
      <c r="Y143" s="97"/>
      <c r="Z143" s="97"/>
      <c r="AA143" s="97"/>
      <c r="AB143" s="97"/>
      <c r="AC143" s="97"/>
      <c r="AD143" s="97"/>
      <c r="AE143" s="21"/>
      <c r="AF143" s="19"/>
    </row>
    <row r="144" spans="1:32" x14ac:dyDescent="0.2">
      <c r="A144" s="96">
        <v>1</v>
      </c>
      <c r="B144" s="36"/>
      <c r="C144" s="178" t="e">
        <f ca="1">+#REF!</f>
        <v>#REF!</v>
      </c>
      <c r="D144" s="178" t="e">
        <f ca="1">+#REF!</f>
        <v>#REF!</v>
      </c>
      <c r="E144" s="86"/>
      <c r="F144" s="86" t="e">
        <f ca="1">+#REF!</f>
        <v>#REF!</v>
      </c>
      <c r="G144" s="20"/>
      <c r="H144" s="97" t="e">
        <f ca="1">ROUND(#REF!/1000,0)</f>
        <v>#REF!</v>
      </c>
      <c r="I144" s="97"/>
      <c r="J144" s="97" t="e">
        <f ca="1">ROUND(#REF!/1000,0)</f>
        <v>#REF!</v>
      </c>
      <c r="K144" s="97"/>
      <c r="L144" s="97" t="e">
        <f ca="1">-ROUND((#REF!-#REF!)/1000,0)</f>
        <v>#REF!</v>
      </c>
      <c r="M144" s="97"/>
      <c r="N144" s="97" t="e">
        <f t="shared" ref="N144:N155" si="19">SUM(H144:L144)</f>
        <v>#REF!</v>
      </c>
      <c r="O144" s="97"/>
      <c r="P144" s="97">
        <f>3080-2538</f>
        <v>542</v>
      </c>
      <c r="Q144" s="97"/>
      <c r="R144" s="97">
        <v>-542</v>
      </c>
      <c r="S144" s="97"/>
      <c r="T144" s="97">
        <v>0</v>
      </c>
      <c r="U144" s="97"/>
      <c r="V144" s="97">
        <f t="shared" ref="V144:V155" si="20">SUM(P144:T144)</f>
        <v>0</v>
      </c>
      <c r="W144" s="97"/>
      <c r="X144" s="97">
        <v>740</v>
      </c>
      <c r="Y144" s="97"/>
      <c r="Z144" s="97">
        <v>-740</v>
      </c>
      <c r="AA144" s="97"/>
      <c r="AB144" s="97">
        <v>0</v>
      </c>
      <c r="AC144" s="97"/>
      <c r="AD144" s="97">
        <f t="shared" ref="AD144:AD155" si="21">SUM(X144:AB144)</f>
        <v>0</v>
      </c>
      <c r="AE144" s="21"/>
      <c r="AF144" s="19" t="s">
        <v>24</v>
      </c>
    </row>
    <row r="145" spans="1:32" x14ac:dyDescent="0.2">
      <c r="A145" s="98" t="s">
        <v>103</v>
      </c>
      <c r="B145" s="36"/>
      <c r="C145" s="178" t="e">
        <f ca="1">+#REF!</f>
        <v>#REF!</v>
      </c>
      <c r="D145" s="178" t="e">
        <f ca="1">+#REF!</f>
        <v>#REF!</v>
      </c>
      <c r="E145" s="86"/>
      <c r="F145" s="86" t="e">
        <f ca="1">+#REF!</f>
        <v>#REF!</v>
      </c>
      <c r="G145" s="20"/>
      <c r="H145" s="97" t="e">
        <f ca="1">ROUND(#REF!/1000,0)</f>
        <v>#REF!</v>
      </c>
      <c r="I145" s="97"/>
      <c r="J145" s="97" t="e">
        <f ca="1">ROUND(#REF!/1000,0)</f>
        <v>#REF!</v>
      </c>
      <c r="K145" s="97"/>
      <c r="L145" s="97" t="e">
        <f ca="1">-ROUND((#REF!-#REF!)/1000,0)</f>
        <v>#REF!</v>
      </c>
      <c r="M145" s="97"/>
      <c r="N145" s="97" t="e">
        <f t="shared" si="19"/>
        <v>#REF!</v>
      </c>
      <c r="O145" s="97"/>
      <c r="P145" s="97">
        <f>1400+3898</f>
        <v>5298</v>
      </c>
      <c r="Q145" s="97"/>
      <c r="R145" s="97">
        <v>-5298</v>
      </c>
      <c r="S145" s="97"/>
      <c r="T145" s="97">
        <v>0</v>
      </c>
      <c r="U145" s="97"/>
      <c r="V145" s="97">
        <f t="shared" si="20"/>
        <v>0</v>
      </c>
      <c r="W145" s="97"/>
      <c r="X145" s="97">
        <v>3436</v>
      </c>
      <c r="Y145" s="97"/>
      <c r="Z145" s="97">
        <v>-3386</v>
      </c>
      <c r="AA145" s="97"/>
      <c r="AB145" s="97">
        <v>0</v>
      </c>
      <c r="AC145" s="97"/>
      <c r="AD145" s="97">
        <f t="shared" si="21"/>
        <v>50</v>
      </c>
      <c r="AE145" s="21"/>
      <c r="AF145" s="19" t="s">
        <v>24</v>
      </c>
    </row>
    <row r="146" spans="1:32" x14ac:dyDescent="0.2">
      <c r="A146" s="96">
        <v>11</v>
      </c>
      <c r="B146" s="36"/>
      <c r="C146" s="176" t="e">
        <f ca="1">+#REF!</f>
        <v>#REF!</v>
      </c>
      <c r="D146" s="176" t="e">
        <f ca="1">+#REF!</f>
        <v>#REF!</v>
      </c>
      <c r="E146" s="85"/>
      <c r="F146" s="85" t="e">
        <f ca="1">+#REF!</f>
        <v>#REF!</v>
      </c>
      <c r="G146" s="20"/>
      <c r="H146" s="97" t="e">
        <f ca="1">ROUND(#REF!/1000,0)</f>
        <v>#REF!</v>
      </c>
      <c r="I146" s="97"/>
      <c r="J146" s="97" t="e">
        <f ca="1">ROUND(#REF!/1000,0)</f>
        <v>#REF!</v>
      </c>
      <c r="K146" s="97"/>
      <c r="L146" s="97" t="e">
        <f ca="1">-ROUND((#REF!-#REF!)/1000,0)</f>
        <v>#REF!</v>
      </c>
      <c r="M146" s="97"/>
      <c r="N146" s="97" t="e">
        <f t="shared" si="19"/>
        <v>#REF!</v>
      </c>
      <c r="O146" s="97"/>
      <c r="P146" s="97">
        <v>511</v>
      </c>
      <c r="Q146" s="97"/>
      <c r="R146" s="97">
        <v>-495</v>
      </c>
      <c r="S146" s="97"/>
      <c r="T146" s="97"/>
      <c r="U146" s="97"/>
      <c r="V146" s="97">
        <f t="shared" si="20"/>
        <v>16</v>
      </c>
      <c r="W146" s="97"/>
      <c r="X146" s="97">
        <v>512</v>
      </c>
      <c r="Y146" s="97"/>
      <c r="Z146" s="97">
        <v>-495</v>
      </c>
      <c r="AA146" s="97"/>
      <c r="AB146" s="97"/>
      <c r="AC146" s="97"/>
      <c r="AD146" s="97">
        <f t="shared" si="21"/>
        <v>17</v>
      </c>
      <c r="AE146" s="21"/>
      <c r="AF146" s="19" t="s">
        <v>19</v>
      </c>
    </row>
    <row r="147" spans="1:32" x14ac:dyDescent="0.2">
      <c r="A147" s="98" t="s">
        <v>103</v>
      </c>
      <c r="B147" s="36"/>
      <c r="C147" s="178" t="e">
        <f ca="1">+#REF!</f>
        <v>#REF!</v>
      </c>
      <c r="D147" s="178" t="e">
        <f ca="1">+#REF!</f>
        <v>#REF!</v>
      </c>
      <c r="E147" s="86"/>
      <c r="F147" s="86" t="e">
        <f ca="1">+#REF!</f>
        <v>#REF!</v>
      </c>
      <c r="G147" s="23"/>
      <c r="H147" s="97" t="e">
        <f ca="1">ROUND(#REF!/1000,0)</f>
        <v>#REF!</v>
      </c>
      <c r="I147" s="97"/>
      <c r="J147" s="97" t="e">
        <f ca="1">ROUND(#REF!/1000,0)</f>
        <v>#REF!</v>
      </c>
      <c r="K147" s="97"/>
      <c r="L147" s="97" t="e">
        <f ca="1">-ROUND((#REF!-#REF!)/1000,0)</f>
        <v>#REF!</v>
      </c>
      <c r="M147" s="97"/>
      <c r="N147" s="97" t="e">
        <f t="shared" si="19"/>
        <v>#REF!</v>
      </c>
      <c r="O147" s="97"/>
      <c r="P147" s="97">
        <v>0</v>
      </c>
      <c r="Q147" s="97"/>
      <c r="R147" s="97">
        <v>0</v>
      </c>
      <c r="S147" s="97"/>
      <c r="T147" s="97">
        <v>0</v>
      </c>
      <c r="U147" s="97"/>
      <c r="V147" s="97">
        <f t="shared" si="20"/>
        <v>0</v>
      </c>
      <c r="W147" s="97"/>
      <c r="X147" s="97">
        <v>0</v>
      </c>
      <c r="Y147" s="97"/>
      <c r="Z147" s="97">
        <v>0</v>
      </c>
      <c r="AA147" s="97"/>
      <c r="AB147" s="97">
        <v>0</v>
      </c>
      <c r="AC147" s="97"/>
      <c r="AD147" s="97">
        <f t="shared" si="21"/>
        <v>0</v>
      </c>
      <c r="AE147" s="21"/>
      <c r="AF147" s="19" t="s">
        <v>66</v>
      </c>
    </row>
    <row r="148" spans="1:32" x14ac:dyDescent="0.2">
      <c r="A148" s="98" t="s">
        <v>103</v>
      </c>
      <c r="B148" s="36"/>
      <c r="C148" s="178" t="e">
        <f ca="1">+#REF!</f>
        <v>#REF!</v>
      </c>
      <c r="D148" s="178" t="e">
        <f ca="1">+#REF!</f>
        <v>#REF!</v>
      </c>
      <c r="E148" s="86"/>
      <c r="F148" s="86" t="e">
        <f ca="1">+#REF!</f>
        <v>#REF!</v>
      </c>
      <c r="G148" s="20"/>
      <c r="H148" s="97" t="e">
        <f ca="1">ROUND(#REF!/1000,0)</f>
        <v>#REF!</v>
      </c>
      <c r="I148" s="97"/>
      <c r="J148" s="97" t="e">
        <f ca="1">ROUND(#REF!/1000,0)</f>
        <v>#REF!</v>
      </c>
      <c r="K148" s="97"/>
      <c r="L148" s="97" t="e">
        <f ca="1">-ROUND((#REF!-#REF!)/1000,0)</f>
        <v>#REF!</v>
      </c>
      <c r="M148" s="97"/>
      <c r="N148" s="97" t="e">
        <f t="shared" si="19"/>
        <v>#REF!</v>
      </c>
      <c r="O148" s="97"/>
      <c r="P148" s="97">
        <v>648</v>
      </c>
      <c r="Q148" s="97"/>
      <c r="R148" s="97">
        <v>-647</v>
      </c>
      <c r="S148" s="97"/>
      <c r="T148" s="97">
        <v>0</v>
      </c>
      <c r="U148" s="97"/>
      <c r="V148" s="97">
        <f t="shared" si="20"/>
        <v>1</v>
      </c>
      <c r="W148" s="97"/>
      <c r="X148" s="97">
        <v>648</v>
      </c>
      <c r="Y148" s="97"/>
      <c r="Z148" s="97">
        <v>-648</v>
      </c>
      <c r="AA148" s="97"/>
      <c r="AB148" s="97">
        <v>0</v>
      </c>
      <c r="AC148" s="97"/>
      <c r="AD148" s="97">
        <f t="shared" si="21"/>
        <v>0</v>
      </c>
      <c r="AE148" s="21"/>
      <c r="AF148" s="19" t="s">
        <v>37</v>
      </c>
    </row>
    <row r="149" spans="1:32" x14ac:dyDescent="0.2">
      <c r="A149" s="96">
        <v>1</v>
      </c>
      <c r="B149" s="36"/>
      <c r="C149" s="178" t="e">
        <f ca="1">+#REF!</f>
        <v>#REF!</v>
      </c>
      <c r="D149" s="178" t="e">
        <f ca="1">+#REF!</f>
        <v>#REF!</v>
      </c>
      <c r="E149" s="86"/>
      <c r="F149" s="86" t="e">
        <f ca="1">+#REF!</f>
        <v>#REF!</v>
      </c>
      <c r="G149" s="20"/>
      <c r="H149" s="97" t="e">
        <f ca="1">ROUND(#REF!/1000,0)</f>
        <v>#REF!</v>
      </c>
      <c r="I149" s="97"/>
      <c r="J149" s="97" t="e">
        <f ca="1">ROUND(#REF!/1000,0)</f>
        <v>#REF!</v>
      </c>
      <c r="K149" s="97"/>
      <c r="L149" s="97" t="e">
        <f ca="1">-ROUND((#REF!-#REF!)/1000,0)</f>
        <v>#REF!</v>
      </c>
      <c r="M149" s="97"/>
      <c r="N149" s="97" t="e">
        <f t="shared" si="19"/>
        <v>#REF!</v>
      </c>
      <c r="O149" s="97"/>
      <c r="P149" s="97">
        <v>2538</v>
      </c>
      <c r="Q149" s="97"/>
      <c r="R149" s="97">
        <v>-2538</v>
      </c>
      <c r="S149" s="97"/>
      <c r="T149" s="97">
        <v>0</v>
      </c>
      <c r="U149" s="97"/>
      <c r="V149" s="97">
        <f t="shared" si="20"/>
        <v>0</v>
      </c>
      <c r="W149" s="97"/>
      <c r="X149" s="97">
        <v>3411</v>
      </c>
      <c r="Y149" s="97"/>
      <c r="Z149" s="97">
        <v>-3361</v>
      </c>
      <c r="AA149" s="97"/>
      <c r="AB149" s="97">
        <v>0</v>
      </c>
      <c r="AC149" s="97"/>
      <c r="AD149" s="97">
        <f t="shared" si="21"/>
        <v>50</v>
      </c>
      <c r="AE149" s="21"/>
      <c r="AF149" s="19" t="s">
        <v>24</v>
      </c>
    </row>
    <row r="150" spans="1:32" x14ac:dyDescent="0.2">
      <c r="A150" s="98" t="s">
        <v>103</v>
      </c>
      <c r="B150" s="36"/>
      <c r="C150" s="178" t="e">
        <f ca="1">+#REF!</f>
        <v>#REF!</v>
      </c>
      <c r="D150" s="178" t="e">
        <f ca="1">+#REF!</f>
        <v>#REF!</v>
      </c>
      <c r="E150" s="86"/>
      <c r="F150" s="86" t="e">
        <f ca="1">+#REF!</f>
        <v>#REF!</v>
      </c>
      <c r="G150" s="23"/>
      <c r="H150" s="97" t="e">
        <f ca="1">ROUND(#REF!/1000,0)</f>
        <v>#REF!</v>
      </c>
      <c r="I150" s="97"/>
      <c r="J150" s="97" t="e">
        <f ca="1">ROUND(#REF!/1000,0)</f>
        <v>#REF!</v>
      </c>
      <c r="K150" s="97"/>
      <c r="L150" s="97" t="e">
        <f ca="1">-ROUND((#REF!-#REF!)/1000,0)</f>
        <v>#REF!</v>
      </c>
      <c r="M150" s="97"/>
      <c r="N150" s="97" t="e">
        <f t="shared" si="19"/>
        <v>#REF!</v>
      </c>
      <c r="O150" s="97"/>
      <c r="P150" s="97">
        <v>0</v>
      </c>
      <c r="Q150" s="97"/>
      <c r="R150" s="97"/>
      <c r="S150" s="97"/>
      <c r="T150" s="97"/>
      <c r="U150" s="97"/>
      <c r="V150" s="97">
        <f t="shared" si="20"/>
        <v>0</v>
      </c>
      <c r="W150" s="97"/>
      <c r="X150" s="97">
        <v>0</v>
      </c>
      <c r="Y150" s="97"/>
      <c r="Z150" s="97">
        <v>0</v>
      </c>
      <c r="AA150" s="97"/>
      <c r="AB150" s="97">
        <v>0</v>
      </c>
      <c r="AC150" s="97"/>
      <c r="AD150" s="97">
        <f t="shared" si="21"/>
        <v>0</v>
      </c>
      <c r="AE150" s="21"/>
      <c r="AF150" s="19" t="s">
        <v>66</v>
      </c>
    </row>
    <row r="151" spans="1:32" x14ac:dyDescent="0.2">
      <c r="A151" s="98" t="s">
        <v>103</v>
      </c>
      <c r="B151" s="36"/>
      <c r="C151" s="178" t="e">
        <f ca="1">+#REF!</f>
        <v>#REF!</v>
      </c>
      <c r="D151" s="178" t="e">
        <f ca="1">+#REF!</f>
        <v>#REF!</v>
      </c>
      <c r="E151" s="86"/>
      <c r="F151" s="86" t="e">
        <f ca="1">+#REF!</f>
        <v>#REF!</v>
      </c>
      <c r="G151" s="23"/>
      <c r="H151" s="97" t="e">
        <f ca="1">ROUND(#REF!/1000,0)</f>
        <v>#REF!</v>
      </c>
      <c r="I151" s="97"/>
      <c r="J151" s="97" t="e">
        <f ca="1">ROUND(#REF!/1000,0)</f>
        <v>#REF!</v>
      </c>
      <c r="K151" s="97"/>
      <c r="L151" s="97" t="e">
        <f ca="1">-ROUND((#REF!-#REF!)/1000,0)</f>
        <v>#REF!</v>
      </c>
      <c r="M151" s="97"/>
      <c r="N151" s="97" t="e">
        <f t="shared" si="19"/>
        <v>#REF!</v>
      </c>
      <c r="O151" s="97"/>
      <c r="P151" s="97">
        <v>1400</v>
      </c>
      <c r="Q151" s="97"/>
      <c r="R151" s="97">
        <v>-1400</v>
      </c>
      <c r="S151" s="97"/>
      <c r="T151" s="97">
        <v>0</v>
      </c>
      <c r="U151" s="97"/>
      <c r="V151" s="97">
        <f t="shared" si="20"/>
        <v>0</v>
      </c>
      <c r="W151" s="97"/>
      <c r="X151" s="97">
        <v>1400</v>
      </c>
      <c r="Y151" s="97"/>
      <c r="Z151" s="97">
        <v>-1400</v>
      </c>
      <c r="AA151" s="97"/>
      <c r="AB151" s="97">
        <v>0</v>
      </c>
      <c r="AC151" s="97"/>
      <c r="AD151" s="97">
        <f t="shared" si="21"/>
        <v>0</v>
      </c>
      <c r="AE151" s="21"/>
      <c r="AF151" s="19" t="s">
        <v>24</v>
      </c>
    </row>
    <row r="152" spans="1:32" x14ac:dyDescent="0.2">
      <c r="A152" s="98" t="s">
        <v>103</v>
      </c>
      <c r="B152" s="36"/>
      <c r="C152" s="178" t="e">
        <f ca="1">+#REF!</f>
        <v>#REF!</v>
      </c>
      <c r="D152" s="178" t="e">
        <f ca="1">+#REF!</f>
        <v>#REF!</v>
      </c>
      <c r="E152" s="86"/>
      <c r="F152" s="86" t="e">
        <f ca="1">+#REF!</f>
        <v>#REF!</v>
      </c>
      <c r="G152" s="23"/>
      <c r="H152" s="97" t="e">
        <f ca="1">ROUND(#REF!/1000,0)</f>
        <v>#REF!</v>
      </c>
      <c r="I152" s="97"/>
      <c r="J152" s="97" t="e">
        <f ca="1">ROUND(#REF!/1000,0)</f>
        <v>#REF!</v>
      </c>
      <c r="K152" s="97"/>
      <c r="L152" s="97" t="e">
        <f ca="1">-ROUND((#REF!-#REF!)/1000,0)</f>
        <v>#REF!</v>
      </c>
      <c r="M152" s="97"/>
      <c r="N152" s="97" t="e">
        <f t="shared" si="19"/>
        <v>#REF!</v>
      </c>
      <c r="O152" s="97"/>
      <c r="P152" s="97">
        <v>3889</v>
      </c>
      <c r="Q152" s="97"/>
      <c r="R152" s="97">
        <v>-3889</v>
      </c>
      <c r="S152" s="97"/>
      <c r="T152" s="97">
        <v>0</v>
      </c>
      <c r="U152" s="97"/>
      <c r="V152" s="97">
        <f t="shared" si="20"/>
        <v>0</v>
      </c>
      <c r="W152" s="97"/>
      <c r="X152" s="97">
        <v>3889</v>
      </c>
      <c r="Y152" s="97"/>
      <c r="Z152" s="97">
        <v>-3889</v>
      </c>
      <c r="AA152" s="97"/>
      <c r="AB152" s="97">
        <v>0</v>
      </c>
      <c r="AC152" s="97"/>
      <c r="AD152" s="97">
        <f t="shared" si="21"/>
        <v>0</v>
      </c>
      <c r="AE152" s="21"/>
      <c r="AF152" s="19" t="s">
        <v>24</v>
      </c>
    </row>
    <row r="153" spans="1:32" x14ac:dyDescent="0.2">
      <c r="A153" s="96">
        <v>1</v>
      </c>
      <c r="B153" s="36"/>
      <c r="C153" s="178" t="e">
        <f ca="1">+#REF!</f>
        <v>#REF!</v>
      </c>
      <c r="D153" s="178" t="e">
        <f ca="1">+#REF!</f>
        <v>#REF!</v>
      </c>
      <c r="E153" s="86"/>
      <c r="F153" s="86" t="e">
        <f ca="1">+#REF!</f>
        <v>#REF!</v>
      </c>
      <c r="G153" s="20"/>
      <c r="H153" s="97" t="e">
        <f ca="1">ROUND(#REF!/1000,0)</f>
        <v>#REF!</v>
      </c>
      <c r="I153" s="97"/>
      <c r="J153" s="97" t="e">
        <f ca="1">ROUND(#REF!/1000,0)</f>
        <v>#REF!</v>
      </c>
      <c r="K153" s="97"/>
      <c r="L153" s="97" t="e">
        <f ca="1">-ROUND((#REF!-#REF!)/1000,0)</f>
        <v>#REF!</v>
      </c>
      <c r="M153" s="97"/>
      <c r="N153" s="97" t="e">
        <f t="shared" si="19"/>
        <v>#REF!</v>
      </c>
      <c r="O153" s="97"/>
      <c r="P153" s="97">
        <v>211</v>
      </c>
      <c r="Q153" s="97"/>
      <c r="R153" s="97">
        <v>0</v>
      </c>
      <c r="S153" s="97"/>
      <c r="T153" s="97">
        <v>0</v>
      </c>
      <c r="U153" s="97"/>
      <c r="V153" s="97">
        <f t="shared" si="20"/>
        <v>211</v>
      </c>
      <c r="W153" s="97"/>
      <c r="X153" s="97">
        <v>0</v>
      </c>
      <c r="Y153" s="97"/>
      <c r="Z153" s="97">
        <v>0</v>
      </c>
      <c r="AA153" s="97"/>
      <c r="AB153" s="97">
        <v>0</v>
      </c>
      <c r="AC153" s="97"/>
      <c r="AD153" s="97">
        <f t="shared" si="21"/>
        <v>0</v>
      </c>
      <c r="AE153" s="21"/>
      <c r="AF153" s="19" t="s">
        <v>19</v>
      </c>
    </row>
    <row r="154" spans="1:32" x14ac:dyDescent="0.2">
      <c r="A154" s="98" t="s">
        <v>103</v>
      </c>
      <c r="B154" s="36"/>
      <c r="C154" s="178" t="e">
        <f ca="1">+#REF!</f>
        <v>#REF!</v>
      </c>
      <c r="D154" s="178" t="e">
        <f ca="1">+#REF!</f>
        <v>#REF!</v>
      </c>
      <c r="E154" s="86"/>
      <c r="F154" s="86" t="e">
        <f ca="1">+#REF!</f>
        <v>#REF!</v>
      </c>
      <c r="G154" s="20"/>
      <c r="H154" s="97" t="e">
        <f ca="1">ROUND(#REF!/1000,0)</f>
        <v>#REF!</v>
      </c>
      <c r="I154" s="97"/>
      <c r="J154" s="97" t="e">
        <f ca="1">ROUND(#REF!/1000,0)</f>
        <v>#REF!</v>
      </c>
      <c r="K154" s="97"/>
      <c r="L154" s="97" t="e">
        <f ca="1">-ROUND((#REF!-#REF!)/1000,0)</f>
        <v>#REF!</v>
      </c>
      <c r="M154" s="97"/>
      <c r="N154" s="97" t="e">
        <f t="shared" si="19"/>
        <v>#REF!</v>
      </c>
      <c r="O154" s="97"/>
      <c r="P154" s="97">
        <v>0</v>
      </c>
      <c r="Q154" s="97"/>
      <c r="R154" s="97">
        <v>0</v>
      </c>
      <c r="S154" s="97"/>
      <c r="T154" s="97">
        <v>0</v>
      </c>
      <c r="U154" s="97"/>
      <c r="V154" s="97">
        <f t="shared" si="20"/>
        <v>0</v>
      </c>
      <c r="W154" s="97"/>
      <c r="X154" s="97">
        <v>0</v>
      </c>
      <c r="Y154" s="97"/>
      <c r="Z154" s="97">
        <v>0</v>
      </c>
      <c r="AA154" s="97"/>
      <c r="AB154" s="97">
        <v>0</v>
      </c>
      <c r="AC154" s="97"/>
      <c r="AD154" s="97">
        <f t="shared" si="21"/>
        <v>0</v>
      </c>
      <c r="AE154" s="21"/>
      <c r="AF154" s="19" t="s">
        <v>66</v>
      </c>
    </row>
    <row r="155" spans="1:32" x14ac:dyDescent="0.2">
      <c r="A155" s="96">
        <v>11</v>
      </c>
      <c r="B155" s="36"/>
      <c r="C155" s="176" t="e">
        <f ca="1">+#REF!</f>
        <v>#REF!</v>
      </c>
      <c r="D155" s="176" t="e">
        <f ca="1">+#REF!</f>
        <v>#REF!</v>
      </c>
      <c r="E155" s="85"/>
      <c r="F155" s="85" t="e">
        <f ca="1">+#REF!</f>
        <v>#REF!</v>
      </c>
      <c r="G155" s="20"/>
      <c r="H155" s="97" t="e">
        <f ca="1">ROUND(#REF!/1000,0)</f>
        <v>#REF!</v>
      </c>
      <c r="I155" s="97"/>
      <c r="J155" s="97" t="e">
        <f ca="1">ROUND(#REF!/1000,0)</f>
        <v>#REF!</v>
      </c>
      <c r="K155" s="97"/>
      <c r="L155" s="97" t="e">
        <f ca="1">-ROUND((#REF!-#REF!)/1000,0)</f>
        <v>#REF!</v>
      </c>
      <c r="M155" s="97"/>
      <c r="N155" s="97" t="e">
        <f t="shared" si="19"/>
        <v>#REF!</v>
      </c>
      <c r="O155" s="97"/>
      <c r="P155" s="97">
        <v>166</v>
      </c>
      <c r="Q155" s="97"/>
      <c r="R155" s="97">
        <v>-166</v>
      </c>
      <c r="S155" s="97"/>
      <c r="T155" s="97"/>
      <c r="U155" s="97"/>
      <c r="V155" s="97">
        <f t="shared" si="20"/>
        <v>0</v>
      </c>
      <c r="W155" s="97"/>
      <c r="X155" s="97">
        <v>166</v>
      </c>
      <c r="Y155" s="97"/>
      <c r="Z155" s="97">
        <v>-166</v>
      </c>
      <c r="AA155" s="97"/>
      <c r="AB155" s="97"/>
      <c r="AC155" s="97"/>
      <c r="AD155" s="97">
        <f t="shared" si="21"/>
        <v>0</v>
      </c>
      <c r="AE155" s="21"/>
      <c r="AF155" s="19" t="s">
        <v>36</v>
      </c>
    </row>
    <row r="156" spans="1:32" x14ac:dyDescent="0.2">
      <c r="A156" s="96">
        <v>11</v>
      </c>
      <c r="B156" s="36"/>
      <c r="C156" s="176" t="e">
        <f ca="1">+#REF!</f>
        <v>#REF!</v>
      </c>
      <c r="D156" s="176" t="e">
        <f ca="1">+#REF!</f>
        <v>#REF!</v>
      </c>
      <c r="E156" s="85"/>
      <c r="F156" s="85" t="e">
        <f ca="1">+#REF!</f>
        <v>#REF!</v>
      </c>
      <c r="G156" s="20"/>
      <c r="H156" s="97" t="e">
        <f ca="1">ROUND(#REF!/1000,0)</f>
        <v>#REF!</v>
      </c>
      <c r="I156" s="97"/>
      <c r="J156" s="97" t="e">
        <f ca="1">ROUND(#REF!/1000,0)</f>
        <v>#REF!</v>
      </c>
      <c r="K156" s="97"/>
      <c r="L156" s="97" t="e">
        <f ca="1">-ROUND((#REF!-#REF!)/1000,0)</f>
        <v>#REF!</v>
      </c>
      <c r="M156" s="97"/>
      <c r="N156" s="97" t="e">
        <f>SUM(H156:L156)</f>
        <v>#REF!</v>
      </c>
      <c r="O156" s="97"/>
      <c r="P156" s="97">
        <v>0</v>
      </c>
      <c r="Q156" s="97"/>
      <c r="R156" s="97">
        <v>0</v>
      </c>
      <c r="S156" s="97"/>
      <c r="T156" s="97">
        <v>0</v>
      </c>
      <c r="U156" s="97"/>
      <c r="V156" s="97">
        <f>SUM(P156:T156)</f>
        <v>0</v>
      </c>
      <c r="W156" s="97"/>
      <c r="X156" s="97">
        <v>0</v>
      </c>
      <c r="Y156" s="97"/>
      <c r="Z156" s="97">
        <v>0</v>
      </c>
      <c r="AA156" s="97"/>
      <c r="AB156" s="97">
        <v>0</v>
      </c>
      <c r="AC156" s="97"/>
      <c r="AD156" s="97">
        <f>SUM(X156:AB156)</f>
        <v>0</v>
      </c>
      <c r="AE156" s="21"/>
      <c r="AF156" s="19" t="s">
        <v>36</v>
      </c>
    </row>
    <row r="157" spans="1:32" x14ac:dyDescent="0.2">
      <c r="A157" s="98" t="s">
        <v>103</v>
      </c>
      <c r="B157" s="36"/>
      <c r="C157" s="176" t="e">
        <f ca="1">+#REF!</f>
        <v>#REF!</v>
      </c>
      <c r="D157" s="176" t="e">
        <f ca="1">+#REF!</f>
        <v>#REF!</v>
      </c>
      <c r="E157" s="85"/>
      <c r="F157" s="85" t="e">
        <f ca="1">+#REF!</f>
        <v>#REF!</v>
      </c>
      <c r="G157" s="23"/>
      <c r="H157" s="97" t="e">
        <f ca="1">ROUND(#REF!/1000,0)</f>
        <v>#REF!</v>
      </c>
      <c r="I157" s="97"/>
      <c r="J157" s="97" t="e">
        <f ca="1">ROUND(#REF!/1000,0)</f>
        <v>#REF!</v>
      </c>
      <c r="K157" s="97"/>
      <c r="L157" s="97" t="e">
        <f ca="1">-ROUND((#REF!-#REF!)/1000,0)</f>
        <v>#REF!</v>
      </c>
      <c r="M157" s="97"/>
      <c r="N157" s="97" t="e">
        <f>SUM(H157:L157)</f>
        <v>#REF!</v>
      </c>
      <c r="O157" s="97"/>
      <c r="P157" s="97">
        <v>27081</v>
      </c>
      <c r="Q157" s="97"/>
      <c r="R157" s="97">
        <v>-27081</v>
      </c>
      <c r="S157" s="97"/>
      <c r="T157" s="97">
        <v>0</v>
      </c>
      <c r="U157" s="97"/>
      <c r="V157" s="97">
        <f>SUM(P157:T157)</f>
        <v>0</v>
      </c>
      <c r="W157" s="97"/>
      <c r="X157" s="97">
        <v>21170</v>
      </c>
      <c r="Y157" s="97"/>
      <c r="Z157" s="97">
        <v>-21170</v>
      </c>
      <c r="AA157" s="97"/>
      <c r="AB157" s="97">
        <v>0</v>
      </c>
      <c r="AC157" s="97"/>
      <c r="AD157" s="97">
        <f>SUM(X157:AB157)</f>
        <v>0</v>
      </c>
      <c r="AE157" s="21"/>
      <c r="AF157" s="19" t="s">
        <v>94</v>
      </c>
    </row>
    <row r="158" spans="1:32" s="120" customFormat="1" x14ac:dyDescent="0.2">
      <c r="A158" s="96"/>
      <c r="B158" s="36"/>
      <c r="C158" s="181" t="s">
        <v>231</v>
      </c>
      <c r="D158" s="182"/>
      <c r="E158" s="2"/>
      <c r="F158" s="86"/>
      <c r="G158" s="23"/>
      <c r="H158" s="97">
        <v>0</v>
      </c>
      <c r="I158" s="97"/>
      <c r="J158" s="97">
        <v>-28340</v>
      </c>
      <c r="K158" s="97"/>
      <c r="L158" s="97">
        <v>0</v>
      </c>
      <c r="M158" s="97"/>
      <c r="N158" s="97">
        <f>SUM(H158:L158)</f>
        <v>-28340</v>
      </c>
      <c r="O158" s="97"/>
      <c r="P158" s="97">
        <v>0</v>
      </c>
      <c r="Q158" s="97"/>
      <c r="R158" s="97">
        <v>-24600</v>
      </c>
      <c r="S158" s="97"/>
      <c r="T158" s="97">
        <v>0</v>
      </c>
      <c r="U158" s="97"/>
      <c r="V158" s="97">
        <f>SUM(P158:T158)</f>
        <v>-24600</v>
      </c>
      <c r="W158" s="97"/>
      <c r="X158" s="97">
        <v>0</v>
      </c>
      <c r="Y158" s="97"/>
      <c r="Z158" s="97">
        <v>-18700</v>
      </c>
      <c r="AA158" s="97"/>
      <c r="AB158" s="97">
        <v>0</v>
      </c>
      <c r="AC158" s="97"/>
      <c r="AD158" s="97">
        <f>SUM(X158:AB158)</f>
        <v>-18700</v>
      </c>
      <c r="AE158" s="21"/>
      <c r="AF158" s="19"/>
    </row>
    <row r="159" spans="1:32" x14ac:dyDescent="0.2">
      <c r="A159" s="98" t="s">
        <v>103</v>
      </c>
      <c r="B159" s="36"/>
      <c r="C159" s="178" t="e">
        <f ca="1">+#REF!</f>
        <v>#REF!</v>
      </c>
      <c r="D159" s="178" t="e">
        <f ca="1">+#REF!</f>
        <v>#REF!</v>
      </c>
      <c r="E159" s="86"/>
      <c r="F159" s="86" t="e">
        <f ca="1">+#REF!</f>
        <v>#REF!</v>
      </c>
      <c r="G159" s="23"/>
      <c r="H159" s="97" t="e">
        <f ca="1">ROUND(#REF!/1000,0)</f>
        <v>#REF!</v>
      </c>
      <c r="I159" s="97"/>
      <c r="J159" s="97" t="e">
        <f ca="1">ROUND(#REF!/1000,0)</f>
        <v>#REF!</v>
      </c>
      <c r="K159" s="97"/>
      <c r="L159" s="97" t="e">
        <f ca="1">-ROUND((#REF!-#REF!)/1000,0)</f>
        <v>#REF!</v>
      </c>
      <c r="M159" s="97"/>
      <c r="N159" s="97" t="e">
        <f>SUM(H159:L159)</f>
        <v>#REF!</v>
      </c>
      <c r="O159" s="97"/>
      <c r="P159" s="97">
        <v>17820</v>
      </c>
      <c r="Q159" s="97"/>
      <c r="R159" s="97">
        <v>-17820</v>
      </c>
      <c r="S159" s="97"/>
      <c r="T159" s="97">
        <v>0</v>
      </c>
      <c r="U159" s="97"/>
      <c r="V159" s="97">
        <f>SUM(P159:T159)</f>
        <v>0</v>
      </c>
      <c r="W159" s="97"/>
      <c r="X159" s="97">
        <v>17820</v>
      </c>
      <c r="Y159" s="97"/>
      <c r="Z159" s="97">
        <v>-17820</v>
      </c>
      <c r="AA159" s="97"/>
      <c r="AB159" s="97">
        <v>0</v>
      </c>
      <c r="AC159" s="97"/>
      <c r="AD159" s="97">
        <f>SUM(X159:AB159)</f>
        <v>0</v>
      </c>
      <c r="AE159" s="21"/>
      <c r="AF159" s="19" t="s">
        <v>59</v>
      </c>
    </row>
    <row r="160" spans="1:32" x14ac:dyDescent="0.2">
      <c r="A160" s="98" t="s">
        <v>103</v>
      </c>
      <c r="B160" s="36"/>
      <c r="C160" s="178" t="e">
        <f ca="1">+#REF!</f>
        <v>#REF!</v>
      </c>
      <c r="D160" s="178" t="e">
        <f ca="1">+#REF!</f>
        <v>#REF!</v>
      </c>
      <c r="E160" s="86"/>
      <c r="F160" s="86" t="e">
        <f ca="1">+#REF!</f>
        <v>#REF!</v>
      </c>
      <c r="G160" s="23"/>
      <c r="H160" s="97" t="e">
        <f ca="1">ROUND(#REF!/1000,0)</f>
        <v>#REF!</v>
      </c>
      <c r="I160" s="97"/>
      <c r="J160" s="97" t="e">
        <f ca="1">ROUND(#REF!/1000,0)</f>
        <v>#REF!</v>
      </c>
      <c r="K160" s="97"/>
      <c r="L160" s="97" t="e">
        <f ca="1">-ROUND((#REF!-#REF!)/1000,0)</f>
        <v>#REF!</v>
      </c>
      <c r="M160" s="97"/>
      <c r="N160" s="97" t="e">
        <f>SUM(H160:L160)</f>
        <v>#REF!</v>
      </c>
      <c r="O160" s="97"/>
      <c r="P160" s="97">
        <v>2762</v>
      </c>
      <c r="Q160" s="97"/>
      <c r="R160" s="97">
        <v>-2762</v>
      </c>
      <c r="S160" s="97"/>
      <c r="T160" s="97">
        <v>0</v>
      </c>
      <c r="U160" s="97"/>
      <c r="V160" s="97">
        <f>SUM(P160:T160)</f>
        <v>0</v>
      </c>
      <c r="W160" s="97"/>
      <c r="X160" s="97">
        <v>2762</v>
      </c>
      <c r="Y160" s="97"/>
      <c r="Z160" s="97">
        <v>-2762</v>
      </c>
      <c r="AA160" s="97"/>
      <c r="AB160" s="97">
        <v>0</v>
      </c>
      <c r="AC160" s="97"/>
      <c r="AD160" s="97">
        <f>SUM(X160:AB160)</f>
        <v>0</v>
      </c>
      <c r="AE160" s="21"/>
      <c r="AF160" s="19" t="s">
        <v>24</v>
      </c>
    </row>
    <row r="161" spans="1:32" x14ac:dyDescent="0.2">
      <c r="A161" s="98" t="s">
        <v>103</v>
      </c>
      <c r="B161" s="36"/>
      <c r="C161" s="178" t="e">
        <f ca="1">+#REF!</f>
        <v>#REF!</v>
      </c>
      <c r="D161" s="178" t="e">
        <f ca="1">+#REF!</f>
        <v>#REF!</v>
      </c>
      <c r="E161" s="86"/>
      <c r="F161" s="86" t="e">
        <f ca="1">+#REF!</f>
        <v>#REF!</v>
      </c>
      <c r="G161" s="23"/>
      <c r="H161" s="97" t="e">
        <f ca="1">ROUND(#REF!/1000,0)</f>
        <v>#REF!</v>
      </c>
      <c r="I161" s="97"/>
      <c r="J161" s="97" t="e">
        <f ca="1">ROUND(#REF!/1000,0)</f>
        <v>#REF!</v>
      </c>
      <c r="K161" s="97"/>
      <c r="L161" s="97" t="e">
        <f ca="1">-ROUND((#REF!-#REF!)/1000,0)</f>
        <v>#REF!</v>
      </c>
      <c r="M161" s="97"/>
      <c r="N161" s="97" t="e">
        <f t="shared" ref="N161:N169" si="22">SUM(H161:L161)</f>
        <v>#REF!</v>
      </c>
      <c r="O161" s="97"/>
      <c r="P161" s="97">
        <v>1726</v>
      </c>
      <c r="Q161" s="97"/>
      <c r="R161" s="97">
        <v>-1726</v>
      </c>
      <c r="S161" s="97"/>
      <c r="T161" s="97">
        <v>0</v>
      </c>
      <c r="U161" s="97"/>
      <c r="V161" s="97">
        <f t="shared" ref="V161:V168" si="23">SUM(P161:T161)</f>
        <v>0</v>
      </c>
      <c r="W161" s="97"/>
      <c r="X161" s="97">
        <v>1726</v>
      </c>
      <c r="Y161" s="97"/>
      <c r="Z161" s="97">
        <v>-1726</v>
      </c>
      <c r="AA161" s="97"/>
      <c r="AB161" s="97">
        <v>0</v>
      </c>
      <c r="AC161" s="97"/>
      <c r="AD161" s="97">
        <f t="shared" ref="AD161:AD169" si="24">SUM(X161:AB161)</f>
        <v>0</v>
      </c>
      <c r="AE161" s="21"/>
      <c r="AF161" s="19" t="s">
        <v>24</v>
      </c>
    </row>
    <row r="162" spans="1:32" x14ac:dyDescent="0.2">
      <c r="A162" s="98" t="s">
        <v>103</v>
      </c>
      <c r="B162" s="36"/>
      <c r="C162" s="178" t="e">
        <f ca="1">+#REF!</f>
        <v>#REF!</v>
      </c>
      <c r="D162" s="178" t="e">
        <f ca="1">+#REF!</f>
        <v>#REF!</v>
      </c>
      <c r="E162" s="86"/>
      <c r="F162" s="86" t="e">
        <f ca="1">+#REF!</f>
        <v>#REF!</v>
      </c>
      <c r="G162" s="23"/>
      <c r="H162" s="97" t="e">
        <f ca="1">ROUND(#REF!/1000,0)</f>
        <v>#REF!</v>
      </c>
      <c r="I162" s="97"/>
      <c r="J162" s="97" t="e">
        <f ca="1">ROUND(#REF!/1000,0)</f>
        <v>#REF!</v>
      </c>
      <c r="K162" s="97"/>
      <c r="L162" s="97" t="e">
        <f ca="1">-ROUND((#REF!-#REF!)/1000,0)</f>
        <v>#REF!</v>
      </c>
      <c r="M162" s="97"/>
      <c r="N162" s="97" t="e">
        <f t="shared" si="22"/>
        <v>#REF!</v>
      </c>
      <c r="O162" s="97"/>
      <c r="P162" s="97">
        <v>235</v>
      </c>
      <c r="Q162" s="97"/>
      <c r="R162" s="97">
        <v>-235</v>
      </c>
      <c r="S162" s="97"/>
      <c r="T162" s="97">
        <v>0</v>
      </c>
      <c r="U162" s="97"/>
      <c r="V162" s="97">
        <f t="shared" si="23"/>
        <v>0</v>
      </c>
      <c r="W162" s="97"/>
      <c r="X162" s="97">
        <v>235</v>
      </c>
      <c r="Y162" s="97"/>
      <c r="Z162" s="97">
        <v>-235</v>
      </c>
      <c r="AA162" s="97"/>
      <c r="AB162" s="97">
        <v>0</v>
      </c>
      <c r="AC162" s="97"/>
      <c r="AD162" s="97">
        <f t="shared" si="24"/>
        <v>0</v>
      </c>
      <c r="AE162" s="21"/>
      <c r="AF162" s="19" t="s">
        <v>24</v>
      </c>
    </row>
    <row r="163" spans="1:32" x14ac:dyDescent="0.2">
      <c r="A163" s="98" t="s">
        <v>103</v>
      </c>
      <c r="B163" s="36"/>
      <c r="C163" s="178" t="e">
        <f ca="1">+#REF!</f>
        <v>#REF!</v>
      </c>
      <c r="D163" s="178" t="e">
        <f ca="1">+#REF!</f>
        <v>#REF!</v>
      </c>
      <c r="E163" s="86"/>
      <c r="F163" s="86" t="e">
        <f ca="1">+#REF!</f>
        <v>#REF!</v>
      </c>
      <c r="G163" s="23"/>
      <c r="H163" s="97" t="e">
        <f ca="1">ROUND(#REF!/1000,0)</f>
        <v>#REF!</v>
      </c>
      <c r="I163" s="97"/>
      <c r="J163" s="97" t="e">
        <f ca="1">ROUND(#REF!/1000,0)</f>
        <v>#REF!</v>
      </c>
      <c r="K163" s="97"/>
      <c r="L163" s="97" t="e">
        <f ca="1">-ROUND((#REF!-#REF!)/1000,0)</f>
        <v>#REF!</v>
      </c>
      <c r="M163" s="97"/>
      <c r="N163" s="97" t="e">
        <f t="shared" si="22"/>
        <v>#REF!</v>
      </c>
      <c r="O163" s="97"/>
      <c r="P163" s="97">
        <v>18802</v>
      </c>
      <c r="Q163" s="97"/>
      <c r="R163" s="97">
        <v>-18802</v>
      </c>
      <c r="S163" s="97"/>
      <c r="T163" s="97">
        <v>0</v>
      </c>
      <c r="U163" s="97"/>
      <c r="V163" s="97">
        <f t="shared" si="23"/>
        <v>0</v>
      </c>
      <c r="W163" s="97"/>
      <c r="X163" s="97">
        <v>18802</v>
      </c>
      <c r="Y163" s="97"/>
      <c r="Z163" s="97">
        <v>-18802</v>
      </c>
      <c r="AA163" s="97"/>
      <c r="AB163" s="97">
        <v>0</v>
      </c>
      <c r="AC163" s="97"/>
      <c r="AD163" s="97">
        <f t="shared" si="24"/>
        <v>0</v>
      </c>
      <c r="AE163" s="21"/>
      <c r="AF163" s="19" t="s">
        <v>59</v>
      </c>
    </row>
    <row r="164" spans="1:32" x14ac:dyDescent="0.2">
      <c r="A164" s="98" t="s">
        <v>103</v>
      </c>
      <c r="B164" s="36"/>
      <c r="C164" s="178" t="e">
        <f ca="1">+#REF!</f>
        <v>#REF!</v>
      </c>
      <c r="D164" s="178" t="e">
        <f ca="1">+#REF!</f>
        <v>#REF!</v>
      </c>
      <c r="E164" s="86"/>
      <c r="F164" s="86" t="e">
        <f ca="1">+#REF!</f>
        <v>#REF!</v>
      </c>
      <c r="G164" s="23"/>
      <c r="H164" s="97" t="e">
        <f ca="1">ROUND(#REF!/1000,0)</f>
        <v>#REF!</v>
      </c>
      <c r="I164" s="97"/>
      <c r="J164" s="97" t="e">
        <f ca="1">ROUND(#REF!/1000,0)</f>
        <v>#REF!</v>
      </c>
      <c r="K164" s="97"/>
      <c r="L164" s="97" t="e">
        <f ca="1">-ROUND((#REF!-#REF!)/1000,0)</f>
        <v>#REF!</v>
      </c>
      <c r="M164" s="97"/>
      <c r="N164" s="97" t="e">
        <f t="shared" si="22"/>
        <v>#REF!</v>
      </c>
      <c r="O164" s="97"/>
      <c r="P164" s="97">
        <v>30040</v>
      </c>
      <c r="Q164" s="97"/>
      <c r="R164" s="97">
        <v>-30040</v>
      </c>
      <c r="S164" s="97"/>
      <c r="T164" s="97">
        <v>0</v>
      </c>
      <c r="U164" s="97"/>
      <c r="V164" s="97">
        <f t="shared" si="23"/>
        <v>0</v>
      </c>
      <c r="W164" s="97"/>
      <c r="X164" s="97">
        <v>30040</v>
      </c>
      <c r="Y164" s="97"/>
      <c r="Z164" s="97">
        <v>-30040</v>
      </c>
      <c r="AA164" s="97"/>
      <c r="AB164" s="97">
        <v>0</v>
      </c>
      <c r="AC164" s="97"/>
      <c r="AD164" s="97">
        <f t="shared" si="24"/>
        <v>0</v>
      </c>
      <c r="AE164" s="21"/>
      <c r="AF164" s="19" t="s">
        <v>24</v>
      </c>
    </row>
    <row r="165" spans="1:32" x14ac:dyDescent="0.2">
      <c r="A165" s="98" t="s">
        <v>103</v>
      </c>
      <c r="B165" s="36"/>
      <c r="C165" s="178" t="e">
        <f ca="1">+#REF!</f>
        <v>#REF!</v>
      </c>
      <c r="D165" s="178" t="e">
        <f ca="1">+#REF!</f>
        <v>#REF!</v>
      </c>
      <c r="E165" s="86"/>
      <c r="F165" s="86" t="e">
        <f ca="1">+#REF!</f>
        <v>#REF!</v>
      </c>
      <c r="G165" s="23"/>
      <c r="H165" s="97" t="e">
        <f ca="1">ROUND(#REF!/1000,0)</f>
        <v>#REF!</v>
      </c>
      <c r="I165" s="97"/>
      <c r="J165" s="97" t="e">
        <f ca="1">ROUND(#REF!/1000,0)</f>
        <v>#REF!</v>
      </c>
      <c r="K165" s="97"/>
      <c r="L165" s="97" t="e">
        <f ca="1">-ROUND((#REF!-#REF!)/1000,0)</f>
        <v>#REF!</v>
      </c>
      <c r="M165" s="97"/>
      <c r="N165" s="97" t="e">
        <f t="shared" si="22"/>
        <v>#REF!</v>
      </c>
      <c r="O165" s="97"/>
      <c r="P165" s="97">
        <v>758</v>
      </c>
      <c r="Q165" s="97"/>
      <c r="R165" s="97">
        <v>-758</v>
      </c>
      <c r="S165" s="97"/>
      <c r="T165" s="97">
        <v>0</v>
      </c>
      <c r="U165" s="97"/>
      <c r="V165" s="97">
        <f t="shared" si="23"/>
        <v>0</v>
      </c>
      <c r="W165" s="97"/>
      <c r="X165" s="97">
        <v>758</v>
      </c>
      <c r="Y165" s="97"/>
      <c r="Z165" s="97">
        <v>-758</v>
      </c>
      <c r="AA165" s="97"/>
      <c r="AB165" s="97">
        <v>0</v>
      </c>
      <c r="AC165" s="97"/>
      <c r="AD165" s="97">
        <f t="shared" si="24"/>
        <v>0</v>
      </c>
      <c r="AE165" s="21"/>
      <c r="AF165" s="19" t="s">
        <v>24</v>
      </c>
    </row>
    <row r="166" spans="1:32" x14ac:dyDescent="0.2">
      <c r="A166" s="98" t="s">
        <v>103</v>
      </c>
      <c r="B166" s="36"/>
      <c r="C166" s="178" t="e">
        <f ca="1">+#REF!</f>
        <v>#REF!</v>
      </c>
      <c r="D166" s="178" t="e">
        <f ca="1">+#REF!</f>
        <v>#REF!</v>
      </c>
      <c r="E166" s="86"/>
      <c r="F166" s="86" t="e">
        <f ca="1">+#REF!</f>
        <v>#REF!</v>
      </c>
      <c r="G166" s="23"/>
      <c r="H166" s="97" t="e">
        <f ca="1">ROUND(#REF!/1000,0)</f>
        <v>#REF!</v>
      </c>
      <c r="I166" s="97"/>
      <c r="J166" s="97" t="e">
        <f ca="1">ROUND(#REF!/1000,0)</f>
        <v>#REF!</v>
      </c>
      <c r="K166" s="97"/>
      <c r="L166" s="97" t="e">
        <f ca="1">-ROUND((#REF!-#REF!)/1000,0)</f>
        <v>#REF!</v>
      </c>
      <c r="M166" s="97"/>
      <c r="N166" s="97" t="e">
        <f t="shared" si="22"/>
        <v>#REF!</v>
      </c>
      <c r="O166" s="97"/>
      <c r="P166" s="97">
        <v>3754</v>
      </c>
      <c r="Q166" s="97"/>
      <c r="R166" s="97">
        <v>-3754</v>
      </c>
      <c r="S166" s="97"/>
      <c r="T166" s="97">
        <v>0</v>
      </c>
      <c r="U166" s="97"/>
      <c r="V166" s="97">
        <f t="shared" si="23"/>
        <v>0</v>
      </c>
      <c r="W166" s="97"/>
      <c r="X166" s="97">
        <v>3754</v>
      </c>
      <c r="Y166" s="97"/>
      <c r="Z166" s="97">
        <v>-3754</v>
      </c>
      <c r="AA166" s="97"/>
      <c r="AB166" s="97">
        <v>0</v>
      </c>
      <c r="AC166" s="97"/>
      <c r="AD166" s="97">
        <f t="shared" si="24"/>
        <v>0</v>
      </c>
      <c r="AE166" s="21"/>
      <c r="AF166" s="19" t="s">
        <v>24</v>
      </c>
    </row>
    <row r="167" spans="1:32" x14ac:dyDescent="0.2">
      <c r="A167" s="98" t="s">
        <v>103</v>
      </c>
      <c r="B167" s="36"/>
      <c r="C167" s="178" t="e">
        <f ca="1">+#REF!</f>
        <v>#REF!</v>
      </c>
      <c r="D167" s="178" t="e">
        <f ca="1">+#REF!</f>
        <v>#REF!</v>
      </c>
      <c r="E167" s="86"/>
      <c r="F167" s="86" t="e">
        <f ca="1">+#REF!</f>
        <v>#REF!</v>
      </c>
      <c r="G167" s="20"/>
      <c r="H167" s="97" t="e">
        <f ca="1">ROUND(#REF!/1000,0)</f>
        <v>#REF!</v>
      </c>
      <c r="I167" s="97"/>
      <c r="J167" s="97" t="e">
        <f ca="1">ROUND(#REF!/1000,0)</f>
        <v>#REF!</v>
      </c>
      <c r="K167" s="97"/>
      <c r="L167" s="97" t="e">
        <f ca="1">-ROUND((#REF!-#REF!)/1000,0)</f>
        <v>#REF!</v>
      </c>
      <c r="M167" s="97"/>
      <c r="N167" s="97" t="e">
        <f t="shared" si="22"/>
        <v>#REF!</v>
      </c>
      <c r="O167" s="97"/>
      <c r="P167" s="97">
        <v>863</v>
      </c>
      <c r="Q167" s="97"/>
      <c r="R167" s="97">
        <v>-863</v>
      </c>
      <c r="S167" s="97"/>
      <c r="T167" s="97">
        <v>0</v>
      </c>
      <c r="U167" s="97"/>
      <c r="V167" s="97">
        <f t="shared" si="23"/>
        <v>0</v>
      </c>
      <c r="W167" s="97"/>
      <c r="X167" s="97">
        <v>863</v>
      </c>
      <c r="Y167" s="97"/>
      <c r="Z167" s="97">
        <v>-863</v>
      </c>
      <c r="AA167" s="97"/>
      <c r="AB167" s="97">
        <v>0</v>
      </c>
      <c r="AC167" s="97"/>
      <c r="AD167" s="97">
        <f t="shared" si="24"/>
        <v>0</v>
      </c>
      <c r="AE167" s="21"/>
      <c r="AF167" s="19" t="s">
        <v>37</v>
      </c>
    </row>
    <row r="168" spans="1:32" x14ac:dyDescent="0.2">
      <c r="A168" s="98" t="s">
        <v>103</v>
      </c>
      <c r="B168" s="36"/>
      <c r="C168" s="178" t="e">
        <f ca="1">+#REF!</f>
        <v>#REF!</v>
      </c>
      <c r="D168" s="178" t="e">
        <f ca="1">+#REF!</f>
        <v>#REF!</v>
      </c>
      <c r="E168" s="86"/>
      <c r="F168" s="86" t="e">
        <f ca="1">+#REF!</f>
        <v>#REF!</v>
      </c>
      <c r="G168" s="20"/>
      <c r="H168" s="97" t="e">
        <f ca="1">ROUND(#REF!/1000,0)</f>
        <v>#REF!</v>
      </c>
      <c r="I168" s="97"/>
      <c r="J168" s="97" t="e">
        <f ca="1">ROUND(#REF!/1000,0)</f>
        <v>#REF!</v>
      </c>
      <c r="K168" s="97"/>
      <c r="L168" s="97" t="e">
        <f ca="1">-ROUND((#REF!-#REF!)/1000,0)</f>
        <v>#REF!</v>
      </c>
      <c r="M168" s="97"/>
      <c r="N168" s="97" t="e">
        <f t="shared" si="22"/>
        <v>#REF!</v>
      </c>
      <c r="O168" s="97"/>
      <c r="P168" s="97">
        <v>127</v>
      </c>
      <c r="Q168" s="97"/>
      <c r="R168" s="97">
        <v>-128</v>
      </c>
      <c r="S168" s="97"/>
      <c r="T168" s="97">
        <v>0</v>
      </c>
      <c r="U168" s="97"/>
      <c r="V168" s="97">
        <f t="shared" si="23"/>
        <v>-1</v>
      </c>
      <c r="W168" s="97"/>
      <c r="X168" s="97">
        <v>127</v>
      </c>
      <c r="Y168" s="97"/>
      <c r="Z168" s="97">
        <v>-127</v>
      </c>
      <c r="AA168" s="97"/>
      <c r="AB168" s="97">
        <v>0</v>
      </c>
      <c r="AC168" s="97"/>
      <c r="AD168" s="97">
        <f t="shared" si="24"/>
        <v>0</v>
      </c>
      <c r="AE168" s="21"/>
      <c r="AF168" s="19" t="s">
        <v>37</v>
      </c>
    </row>
    <row r="169" spans="1:32" x14ac:dyDescent="0.2">
      <c r="A169" s="96"/>
      <c r="B169" s="36"/>
      <c r="C169" s="20" t="s">
        <v>232</v>
      </c>
      <c r="D169" s="19"/>
      <c r="E169" s="19"/>
      <c r="F169" s="86"/>
      <c r="G169" s="20"/>
      <c r="H169" s="97">
        <f>-902-253-159-1759-2756-1825-173-64-337</f>
        <v>-8228</v>
      </c>
      <c r="I169" s="97"/>
      <c r="J169" s="97">
        <v>0</v>
      </c>
      <c r="K169" s="97"/>
      <c r="L169" s="97">
        <v>0</v>
      </c>
      <c r="M169" s="97"/>
      <c r="N169" s="97">
        <f t="shared" si="22"/>
        <v>-8228</v>
      </c>
      <c r="O169" s="97"/>
      <c r="P169" s="97"/>
      <c r="Q169" s="97"/>
      <c r="R169" s="97"/>
      <c r="S169" s="97"/>
      <c r="T169" s="97"/>
      <c r="U169" s="97"/>
      <c r="V169" s="97"/>
      <c r="W169" s="97"/>
      <c r="X169" s="97">
        <v>0</v>
      </c>
      <c r="Y169" s="97"/>
      <c r="Z169" s="97">
        <v>0</v>
      </c>
      <c r="AA169" s="97"/>
      <c r="AB169" s="97">
        <v>0</v>
      </c>
      <c r="AC169" s="97"/>
      <c r="AD169" s="97">
        <f t="shared" si="24"/>
        <v>0</v>
      </c>
      <c r="AE169" s="21"/>
      <c r="AF169" s="19"/>
    </row>
    <row r="170" spans="1:32" x14ac:dyDescent="0.2">
      <c r="A170" s="96"/>
      <c r="B170" s="82"/>
      <c r="C170" s="29"/>
      <c r="D170" s="2"/>
      <c r="E170" s="2"/>
      <c r="F170" s="86"/>
      <c r="G170" s="23"/>
      <c r="H170" s="99"/>
      <c r="I170" s="97"/>
      <c r="J170" s="99"/>
      <c r="K170" s="97"/>
      <c r="L170" s="99"/>
      <c r="M170" s="97"/>
      <c r="N170" s="99"/>
      <c r="O170" s="97"/>
      <c r="P170" s="99"/>
      <c r="Q170" s="97"/>
      <c r="R170" s="99"/>
      <c r="S170" s="97"/>
      <c r="T170" s="99"/>
      <c r="U170" s="97"/>
      <c r="V170" s="99"/>
      <c r="W170" s="97"/>
      <c r="X170" s="99"/>
      <c r="Y170" s="97"/>
      <c r="Z170" s="99"/>
      <c r="AA170" s="97"/>
      <c r="AB170" s="99"/>
      <c r="AC170" s="97"/>
      <c r="AD170" s="99"/>
      <c r="AE170" s="21"/>
      <c r="AF170" s="19"/>
    </row>
    <row r="171" spans="1:32" x14ac:dyDescent="0.2">
      <c r="A171" s="96"/>
      <c r="B171" s="82"/>
      <c r="C171" s="29"/>
      <c r="D171" s="2"/>
      <c r="E171" s="2"/>
      <c r="F171" s="86"/>
      <c r="G171" s="23"/>
      <c r="H171" s="100" t="e">
        <f>SUM(H144:H170)</f>
        <v>#REF!</v>
      </c>
      <c r="I171" s="97"/>
      <c r="J171" s="100" t="e">
        <f>SUM(J144:J170)</f>
        <v>#REF!</v>
      </c>
      <c r="K171" s="97"/>
      <c r="L171" s="100" t="e">
        <f>SUM(L144:L170)</f>
        <v>#REF!</v>
      </c>
      <c r="M171" s="97"/>
      <c r="N171" s="100" t="e">
        <f>SUM(N144:N170)</f>
        <v>#REF!</v>
      </c>
      <c r="O171" s="97"/>
      <c r="P171" s="100">
        <f>SUM(P144:P170)</f>
        <v>119171</v>
      </c>
      <c r="Q171" s="97"/>
      <c r="R171" s="100">
        <f>SUM(R144:R170)</f>
        <v>-143544</v>
      </c>
      <c r="S171" s="97"/>
      <c r="T171" s="100">
        <f>SUM(T144:T170)</f>
        <v>0</v>
      </c>
      <c r="U171" s="97"/>
      <c r="V171" s="100">
        <f>SUM(V144:V170)</f>
        <v>-24373</v>
      </c>
      <c r="W171" s="97"/>
      <c r="X171" s="100">
        <f>SUM(X144:X170)</f>
        <v>112259</v>
      </c>
      <c r="Y171" s="97"/>
      <c r="Z171" s="100">
        <f>SUM(Z144:Z170)</f>
        <v>-130842</v>
      </c>
      <c r="AA171" s="97"/>
      <c r="AB171" s="100">
        <f>SUM(AB144:AB170)</f>
        <v>0</v>
      </c>
      <c r="AC171" s="97"/>
      <c r="AD171" s="100">
        <f>SUM(AD144:AD170)</f>
        <v>-18583</v>
      </c>
      <c r="AE171" s="21"/>
      <c r="AF171" s="19"/>
    </row>
    <row r="172" spans="1:32" x14ac:dyDescent="0.2">
      <c r="A172" s="96"/>
      <c r="B172" s="82"/>
      <c r="C172" s="29"/>
      <c r="D172" s="2"/>
      <c r="E172" s="2"/>
      <c r="F172" s="86"/>
      <c r="G172" s="23"/>
      <c r="H172" s="97"/>
      <c r="I172" s="97"/>
      <c r="J172" s="97"/>
      <c r="K172" s="97"/>
      <c r="L172" s="97"/>
      <c r="M172" s="97"/>
      <c r="N172" s="97"/>
      <c r="O172" s="97"/>
      <c r="P172" s="97"/>
      <c r="Q172" s="97"/>
      <c r="R172" s="97"/>
      <c r="S172" s="97"/>
      <c r="T172" s="97"/>
      <c r="U172" s="97"/>
      <c r="V172" s="97"/>
      <c r="W172" s="97"/>
      <c r="X172" s="97"/>
      <c r="Y172" s="97"/>
      <c r="Z172" s="97"/>
      <c r="AA172" s="97"/>
      <c r="AB172" s="97"/>
      <c r="AC172" s="97"/>
      <c r="AD172" s="97"/>
      <c r="AE172" s="21"/>
      <c r="AF172" s="19"/>
    </row>
    <row r="173" spans="1:32" x14ac:dyDescent="0.2">
      <c r="A173" s="96"/>
      <c r="B173" s="36"/>
      <c r="C173" s="30" t="s">
        <v>193</v>
      </c>
      <c r="D173" s="19"/>
      <c r="E173" s="19"/>
      <c r="F173" s="85"/>
      <c r="G173" s="20"/>
      <c r="H173" s="97"/>
      <c r="I173" s="97"/>
      <c r="J173" s="97"/>
      <c r="K173" s="97"/>
      <c r="L173" s="97"/>
      <c r="M173" s="97"/>
      <c r="N173" s="97"/>
      <c r="O173" s="97"/>
      <c r="P173" s="97"/>
      <c r="Q173" s="97"/>
      <c r="R173" s="97"/>
      <c r="S173" s="97"/>
      <c r="T173" s="97"/>
      <c r="U173" s="97"/>
      <c r="V173" s="97"/>
      <c r="W173" s="97"/>
      <c r="X173" s="97"/>
      <c r="Y173" s="97"/>
      <c r="Z173" s="97"/>
      <c r="AA173" s="97"/>
      <c r="AB173" s="97"/>
      <c r="AC173" s="97"/>
      <c r="AD173" s="97"/>
      <c r="AE173" s="21"/>
      <c r="AF173" s="19"/>
    </row>
    <row r="174" spans="1:32" x14ac:dyDescent="0.2">
      <c r="A174" s="98" t="s">
        <v>103</v>
      </c>
      <c r="B174" s="36"/>
      <c r="C174" s="178" t="e">
        <f ca="1">+#REF!</f>
        <v>#REF!</v>
      </c>
      <c r="D174" s="178" t="e">
        <f ca="1">+#REF!</f>
        <v>#REF!</v>
      </c>
      <c r="E174" s="86"/>
      <c r="F174" s="86" t="e">
        <f ca="1">+#REF!</f>
        <v>#REF!</v>
      </c>
      <c r="G174" s="20"/>
      <c r="H174" s="97" t="e">
        <f ca="1">ROUND(#REF!/1000,0)</f>
        <v>#REF!</v>
      </c>
      <c r="I174" s="97"/>
      <c r="J174" s="97" t="e">
        <f ca="1">ROUND(#REF!/1000,0)</f>
        <v>#REF!</v>
      </c>
      <c r="K174" s="97"/>
      <c r="L174" s="97" t="e">
        <f ca="1">ROUND((#REF!-#REF!)/1000,0)</f>
        <v>#REF!</v>
      </c>
      <c r="M174" s="97"/>
      <c r="N174" s="97" t="e">
        <f t="shared" ref="N174:N184" si="25">SUM(H174:L174)</f>
        <v>#REF!</v>
      </c>
      <c r="O174" s="97"/>
      <c r="P174" s="97">
        <v>508</v>
      </c>
      <c r="Q174" s="97"/>
      <c r="R174" s="97">
        <v>-415</v>
      </c>
      <c r="S174" s="97"/>
      <c r="T174" s="97">
        <v>0</v>
      </c>
      <c r="U174" s="97"/>
      <c r="V174" s="97">
        <f t="shared" ref="V174:V184" si="26">SUM(P174:T174)</f>
        <v>93</v>
      </c>
      <c r="W174" s="97"/>
      <c r="X174" s="97">
        <v>415</v>
      </c>
      <c r="Y174" s="97"/>
      <c r="Z174" s="97">
        <v>-415</v>
      </c>
      <c r="AA174" s="97"/>
      <c r="AB174" s="97">
        <v>0</v>
      </c>
      <c r="AC174" s="97"/>
      <c r="AD174" s="97">
        <f t="shared" ref="AD174:AD184" si="27">SUM(X174:AB174)</f>
        <v>0</v>
      </c>
      <c r="AE174" s="21"/>
      <c r="AF174" s="19" t="s">
        <v>77</v>
      </c>
    </row>
    <row r="175" spans="1:32" x14ac:dyDescent="0.2">
      <c r="A175" s="96">
        <v>11</v>
      </c>
      <c r="B175" s="36"/>
      <c r="C175" s="176" t="e">
        <f ca="1">+#REF!</f>
        <v>#REF!</v>
      </c>
      <c r="D175" s="176" t="e">
        <f ca="1">+#REF!</f>
        <v>#REF!</v>
      </c>
      <c r="E175" s="85"/>
      <c r="F175" s="85" t="e">
        <f ca="1">+#REF!</f>
        <v>#REF!</v>
      </c>
      <c r="G175" s="20"/>
      <c r="H175" s="97" t="e">
        <f ca="1">ROUND(#REF!/1000,0)</f>
        <v>#REF!</v>
      </c>
      <c r="I175" s="97"/>
      <c r="J175" s="97" t="e">
        <f ca="1">ROUND(#REF!/1000,0)</f>
        <v>#REF!</v>
      </c>
      <c r="K175" s="97"/>
      <c r="L175" s="97" t="e">
        <f ca="1">-ROUND((#REF!-#REF!)/1000,0)</f>
        <v>#REF!</v>
      </c>
      <c r="M175" s="97"/>
      <c r="N175" s="97" t="e">
        <f t="shared" si="25"/>
        <v>#REF!</v>
      </c>
      <c r="O175" s="97"/>
      <c r="P175" s="97">
        <v>1057</v>
      </c>
      <c r="Q175" s="97"/>
      <c r="R175" s="97">
        <v>-1057</v>
      </c>
      <c r="S175" s="97"/>
      <c r="T175" s="97">
        <v>0</v>
      </c>
      <c r="U175" s="97"/>
      <c r="V175" s="97">
        <f t="shared" si="26"/>
        <v>0</v>
      </c>
      <c r="W175" s="97"/>
      <c r="X175" s="97">
        <v>1115</v>
      </c>
      <c r="Y175" s="97"/>
      <c r="Z175" s="97">
        <v>-1007</v>
      </c>
      <c r="AA175" s="97"/>
      <c r="AB175" s="97">
        <v>0</v>
      </c>
      <c r="AC175" s="97"/>
      <c r="AD175" s="97">
        <f t="shared" si="27"/>
        <v>108</v>
      </c>
      <c r="AE175" s="21"/>
      <c r="AF175" s="19" t="s">
        <v>24</v>
      </c>
    </row>
    <row r="176" spans="1:32" x14ac:dyDescent="0.2">
      <c r="A176" s="96">
        <v>11</v>
      </c>
      <c r="B176" s="36"/>
      <c r="C176" s="176" t="e">
        <f ca="1">+#REF!</f>
        <v>#REF!</v>
      </c>
      <c r="D176" s="176" t="e">
        <f ca="1">+#REF!</f>
        <v>#REF!</v>
      </c>
      <c r="E176" s="85"/>
      <c r="F176" s="85" t="e">
        <f ca="1">+#REF!</f>
        <v>#REF!</v>
      </c>
      <c r="G176" s="20"/>
      <c r="H176" s="97" t="e">
        <f ca="1">ROUND(#REF!/1000,0)</f>
        <v>#REF!</v>
      </c>
      <c r="I176" s="97"/>
      <c r="J176" s="97" t="e">
        <f ca="1">ROUND(#REF!/1000,0)</f>
        <v>#REF!</v>
      </c>
      <c r="K176" s="97"/>
      <c r="L176" s="97" t="e">
        <f ca="1">-ROUND((#REF!-#REF!)/1000,0)</f>
        <v>#REF!</v>
      </c>
      <c r="M176" s="97"/>
      <c r="N176" s="97" t="e">
        <f t="shared" si="25"/>
        <v>#REF!</v>
      </c>
      <c r="O176" s="97"/>
      <c r="P176" s="97">
        <v>551</v>
      </c>
      <c r="Q176" s="97"/>
      <c r="R176" s="97">
        <v>0</v>
      </c>
      <c r="S176" s="97"/>
      <c r="T176" s="97">
        <v>-235</v>
      </c>
      <c r="U176" s="97"/>
      <c r="V176" s="97">
        <f t="shared" si="26"/>
        <v>316</v>
      </c>
      <c r="W176" s="97"/>
      <c r="X176" s="97">
        <v>453</v>
      </c>
      <c r="Y176" s="97"/>
      <c r="Z176" s="97">
        <v>0</v>
      </c>
      <c r="AA176" s="97"/>
      <c r="AB176" s="97">
        <v>-235</v>
      </c>
      <c r="AC176" s="97"/>
      <c r="AD176" s="97">
        <f t="shared" si="27"/>
        <v>218</v>
      </c>
      <c r="AE176" s="21"/>
      <c r="AF176" s="19" t="s">
        <v>22</v>
      </c>
    </row>
    <row r="177" spans="1:32" x14ac:dyDescent="0.2">
      <c r="A177" s="96">
        <v>11</v>
      </c>
      <c r="B177" s="36"/>
      <c r="C177" s="176" t="e">
        <f ca="1">+#REF!</f>
        <v>#REF!</v>
      </c>
      <c r="D177" s="176" t="e">
        <f ca="1">+#REF!</f>
        <v>#REF!</v>
      </c>
      <c r="E177" s="85"/>
      <c r="F177" s="85" t="e">
        <f ca="1">+#REF!</f>
        <v>#REF!</v>
      </c>
      <c r="G177" s="20"/>
      <c r="H177" s="97" t="e">
        <f ca="1">ROUND(#REF!/1000,0)</f>
        <v>#REF!</v>
      </c>
      <c r="I177" s="97"/>
      <c r="J177" s="97" t="e">
        <f ca="1">ROUND(#REF!/1000,0)</f>
        <v>#REF!</v>
      </c>
      <c r="K177" s="97"/>
      <c r="L177" s="97" t="e">
        <f ca="1">-ROUND((#REF!-#REF!)/1000,0)</f>
        <v>#REF!</v>
      </c>
      <c r="M177" s="97"/>
      <c r="N177" s="97" t="e">
        <f t="shared" si="25"/>
        <v>#REF!</v>
      </c>
      <c r="O177" s="97"/>
      <c r="P177" s="97">
        <v>638</v>
      </c>
      <c r="Q177" s="97"/>
      <c r="R177" s="97">
        <v>-70</v>
      </c>
      <c r="S177" s="97"/>
      <c r="T177" s="97">
        <v>-306</v>
      </c>
      <c r="U177" s="97"/>
      <c r="V177" s="97">
        <f t="shared" si="26"/>
        <v>262</v>
      </c>
      <c r="W177" s="97"/>
      <c r="X177" s="97">
        <v>400</v>
      </c>
      <c r="Y177" s="97"/>
      <c r="Z177" s="97">
        <v>-70</v>
      </c>
      <c r="AA177" s="97"/>
      <c r="AB177" s="97">
        <v>-306</v>
      </c>
      <c r="AC177" s="97"/>
      <c r="AD177" s="97">
        <f t="shared" si="27"/>
        <v>24</v>
      </c>
      <c r="AE177" s="21"/>
      <c r="AF177" s="19" t="s">
        <v>168</v>
      </c>
    </row>
    <row r="178" spans="1:32" x14ac:dyDescent="0.2">
      <c r="A178" s="96"/>
      <c r="B178" s="36"/>
      <c r="C178" s="176" t="e">
        <f ca="1">+#REF!</f>
        <v>#REF!</v>
      </c>
      <c r="D178" s="176" t="e">
        <f ca="1">+#REF!</f>
        <v>#REF!</v>
      </c>
      <c r="E178" s="85"/>
      <c r="F178" s="85" t="e">
        <f ca="1">+#REF!</f>
        <v>#REF!</v>
      </c>
      <c r="G178" s="20"/>
      <c r="H178" s="97" t="e">
        <f ca="1">ROUND(#REF!/1000,0)</f>
        <v>#REF!</v>
      </c>
      <c r="I178" s="97"/>
      <c r="J178" s="97" t="e">
        <f ca="1">ROUND(#REF!/1000,0)</f>
        <v>#REF!</v>
      </c>
      <c r="K178" s="97"/>
      <c r="L178" s="97" t="e">
        <f ca="1">-ROUND((#REF!-#REF!)/1000,0)</f>
        <v>#REF!</v>
      </c>
      <c r="M178" s="97"/>
      <c r="N178" s="97" t="e">
        <f t="shared" si="25"/>
        <v>#REF!</v>
      </c>
      <c r="O178" s="97"/>
      <c r="P178" s="97">
        <v>0</v>
      </c>
      <c r="Q178" s="97"/>
      <c r="R178" s="97">
        <v>0</v>
      </c>
      <c r="S178" s="97"/>
      <c r="T178" s="97">
        <v>0</v>
      </c>
      <c r="U178" s="97"/>
      <c r="V178" s="97">
        <f t="shared" si="26"/>
        <v>0</v>
      </c>
      <c r="W178" s="97"/>
      <c r="X178" s="97">
        <v>0</v>
      </c>
      <c r="Y178" s="97"/>
      <c r="Z178" s="97">
        <v>0</v>
      </c>
      <c r="AA178" s="97"/>
      <c r="AB178" s="97">
        <v>-295</v>
      </c>
      <c r="AC178" s="97"/>
      <c r="AD178" s="97">
        <f t="shared" si="27"/>
        <v>-295</v>
      </c>
      <c r="AE178" s="21"/>
      <c r="AF178" s="19"/>
    </row>
    <row r="179" spans="1:32" x14ac:dyDescent="0.2">
      <c r="A179" s="96">
        <v>11</v>
      </c>
      <c r="B179" s="36"/>
      <c r="C179" s="176" t="e">
        <f ca="1">+#REF!</f>
        <v>#REF!</v>
      </c>
      <c r="D179" s="176" t="e">
        <f ca="1">+#REF!</f>
        <v>#REF!</v>
      </c>
      <c r="E179" s="85"/>
      <c r="F179" s="85" t="e">
        <f ca="1">+#REF!</f>
        <v>#REF!</v>
      </c>
      <c r="G179" s="20"/>
      <c r="H179" s="97" t="e">
        <f ca="1">ROUND(#REF!/1000,0)</f>
        <v>#REF!</v>
      </c>
      <c r="I179" s="97"/>
      <c r="J179" s="97" t="e">
        <f ca="1">ROUND(#REF!/1000,0)</f>
        <v>#REF!</v>
      </c>
      <c r="K179" s="97"/>
      <c r="L179" s="97" t="e">
        <f ca="1">-ROUND((#REF!-#REF!)/1000,0)</f>
        <v>#REF!</v>
      </c>
      <c r="M179" s="97"/>
      <c r="N179" s="97" t="e">
        <f t="shared" si="25"/>
        <v>#REF!</v>
      </c>
      <c r="O179" s="97"/>
      <c r="P179" s="97">
        <v>241</v>
      </c>
      <c r="Q179" s="97"/>
      <c r="R179" s="97">
        <v>0</v>
      </c>
      <c r="S179" s="97"/>
      <c r="T179" s="97">
        <v>0</v>
      </c>
      <c r="U179" s="97"/>
      <c r="V179" s="97">
        <f t="shared" si="26"/>
        <v>241</v>
      </c>
      <c r="W179" s="97"/>
      <c r="X179" s="97">
        <v>240</v>
      </c>
      <c r="Y179" s="97"/>
      <c r="Z179" s="97">
        <v>0</v>
      </c>
      <c r="AA179" s="97"/>
      <c r="AB179" s="97">
        <v>0</v>
      </c>
      <c r="AC179" s="97"/>
      <c r="AD179" s="97">
        <f t="shared" si="27"/>
        <v>240</v>
      </c>
      <c r="AE179" s="21"/>
      <c r="AF179" s="19" t="s">
        <v>19</v>
      </c>
    </row>
    <row r="180" spans="1:32" x14ac:dyDescent="0.2">
      <c r="A180" s="96">
        <v>11</v>
      </c>
      <c r="B180" s="36"/>
      <c r="C180" s="176" t="e">
        <f ca="1">+#REF!</f>
        <v>#REF!</v>
      </c>
      <c r="D180" s="176" t="e">
        <f ca="1">+#REF!</f>
        <v>#REF!</v>
      </c>
      <c r="E180" s="85"/>
      <c r="F180" s="85" t="e">
        <f ca="1">+#REF!</f>
        <v>#REF!</v>
      </c>
      <c r="G180" s="20"/>
      <c r="H180" s="97" t="e">
        <f ca="1">ROUND(#REF!/1000,0)</f>
        <v>#REF!</v>
      </c>
      <c r="I180" s="97"/>
      <c r="J180" s="97" t="e">
        <f ca="1">ROUND(#REF!/1000,0)</f>
        <v>#REF!</v>
      </c>
      <c r="K180" s="97"/>
      <c r="L180" s="97" t="e">
        <f ca="1">-ROUND((#REF!-#REF!)/1000,0)</f>
        <v>#REF!</v>
      </c>
      <c r="M180" s="97"/>
      <c r="N180" s="97" t="e">
        <f t="shared" si="25"/>
        <v>#REF!</v>
      </c>
      <c r="O180" s="97"/>
      <c r="P180" s="97">
        <v>209</v>
      </c>
      <c r="Q180" s="97"/>
      <c r="R180" s="97">
        <v>0</v>
      </c>
      <c r="S180" s="97"/>
      <c r="T180" s="97">
        <v>0</v>
      </c>
      <c r="U180" s="97"/>
      <c r="V180" s="97">
        <f t="shared" si="26"/>
        <v>209</v>
      </c>
      <c r="W180" s="97"/>
      <c r="X180" s="97">
        <v>65</v>
      </c>
      <c r="Y180" s="97"/>
      <c r="Z180" s="97">
        <v>0</v>
      </c>
      <c r="AA180" s="97"/>
      <c r="AB180" s="97">
        <v>0</v>
      </c>
      <c r="AC180" s="97"/>
      <c r="AD180" s="97">
        <f t="shared" si="27"/>
        <v>65</v>
      </c>
      <c r="AE180" s="21"/>
      <c r="AF180" s="19" t="s">
        <v>19</v>
      </c>
    </row>
    <row r="181" spans="1:32" x14ac:dyDescent="0.2">
      <c r="A181" s="96">
        <v>11</v>
      </c>
      <c r="B181" s="36"/>
      <c r="C181" s="176" t="e">
        <f ca="1">+#REF!</f>
        <v>#REF!</v>
      </c>
      <c r="D181" s="176" t="e">
        <f ca="1">+#REF!</f>
        <v>#REF!</v>
      </c>
      <c r="E181" s="85"/>
      <c r="F181" s="85" t="e">
        <f ca="1">+#REF!</f>
        <v>#REF!</v>
      </c>
      <c r="G181" s="20"/>
      <c r="H181" s="97" t="e">
        <f ca="1">ROUND(#REF!/1000,0)</f>
        <v>#REF!</v>
      </c>
      <c r="I181" s="97"/>
      <c r="J181" s="97" t="e">
        <f ca="1">ROUND(#REF!/1000,0)</f>
        <v>#REF!</v>
      </c>
      <c r="K181" s="97"/>
      <c r="L181" s="97" t="e">
        <f ca="1">-ROUND((#REF!-#REF!)/1000,0)</f>
        <v>#REF!</v>
      </c>
      <c r="M181" s="97"/>
      <c r="N181" s="97" t="e">
        <f t="shared" si="25"/>
        <v>#REF!</v>
      </c>
      <c r="O181" s="97"/>
      <c r="P181" s="97">
        <v>234</v>
      </c>
      <c r="Q181" s="97"/>
      <c r="R181" s="97">
        <v>0</v>
      </c>
      <c r="S181" s="97"/>
      <c r="T181" s="97">
        <v>0</v>
      </c>
      <c r="U181" s="97"/>
      <c r="V181" s="97">
        <f t="shared" si="26"/>
        <v>234</v>
      </c>
      <c r="W181" s="97"/>
      <c r="X181" s="97">
        <v>161</v>
      </c>
      <c r="Y181" s="97"/>
      <c r="Z181" s="97">
        <v>0</v>
      </c>
      <c r="AA181" s="97"/>
      <c r="AB181" s="97">
        <v>0</v>
      </c>
      <c r="AC181" s="97"/>
      <c r="AD181" s="97">
        <f t="shared" si="27"/>
        <v>161</v>
      </c>
      <c r="AE181" s="21"/>
      <c r="AF181" s="19" t="s">
        <v>90</v>
      </c>
    </row>
    <row r="182" spans="1:32" x14ac:dyDescent="0.2">
      <c r="A182" s="98" t="s">
        <v>103</v>
      </c>
      <c r="B182" s="36"/>
      <c r="C182" s="176" t="e">
        <f ca="1">+#REF!</f>
        <v>#REF!</v>
      </c>
      <c r="D182" s="176" t="e">
        <f ca="1">+#REF!</f>
        <v>#REF!</v>
      </c>
      <c r="E182" s="85"/>
      <c r="F182" s="85" t="e">
        <f ca="1">+#REF!</f>
        <v>#REF!</v>
      </c>
      <c r="G182" s="20"/>
      <c r="H182" s="97" t="e">
        <f ca="1">ROUND(#REF!/1000,0)</f>
        <v>#REF!</v>
      </c>
      <c r="I182" s="97"/>
      <c r="J182" s="97" t="e">
        <f ca="1">ROUND(#REF!/1000,0)</f>
        <v>#REF!</v>
      </c>
      <c r="K182" s="97"/>
      <c r="L182" s="97" t="e">
        <f ca="1">-ROUND((#REF!-#REF!)/1000,0)</f>
        <v>#REF!</v>
      </c>
      <c r="M182" s="97"/>
      <c r="N182" s="97" t="e">
        <f t="shared" si="25"/>
        <v>#REF!</v>
      </c>
      <c r="O182" s="97"/>
      <c r="P182" s="97">
        <v>0</v>
      </c>
      <c r="Q182" s="97"/>
      <c r="R182" s="97">
        <v>0</v>
      </c>
      <c r="S182" s="97"/>
      <c r="T182" s="97">
        <v>0</v>
      </c>
      <c r="U182" s="97"/>
      <c r="V182" s="97">
        <f t="shared" si="26"/>
        <v>0</v>
      </c>
      <c r="W182" s="97"/>
      <c r="X182" s="97">
        <v>0</v>
      </c>
      <c r="Y182" s="97"/>
      <c r="Z182" s="97">
        <v>0</v>
      </c>
      <c r="AA182" s="97"/>
      <c r="AB182" s="97">
        <v>0</v>
      </c>
      <c r="AC182" s="97"/>
      <c r="AD182" s="97">
        <f t="shared" si="27"/>
        <v>0</v>
      </c>
      <c r="AE182" s="21"/>
      <c r="AF182" s="19" t="s">
        <v>90</v>
      </c>
    </row>
    <row r="183" spans="1:32" x14ac:dyDescent="0.2">
      <c r="A183" s="96">
        <v>11</v>
      </c>
      <c r="B183" s="36"/>
      <c r="C183" s="176" t="e">
        <f ca="1">+#REF!</f>
        <v>#REF!</v>
      </c>
      <c r="D183" s="176" t="e">
        <f ca="1">+#REF!</f>
        <v>#REF!</v>
      </c>
      <c r="E183" s="85"/>
      <c r="F183" s="85" t="e">
        <f ca="1">+#REF!</f>
        <v>#REF!</v>
      </c>
      <c r="G183" s="20"/>
      <c r="H183" s="97" t="e">
        <f ca="1">ROUND(#REF!/1000,0)</f>
        <v>#REF!</v>
      </c>
      <c r="I183" s="97"/>
      <c r="J183" s="97" t="e">
        <f ca="1">ROUND(#REF!/1000,0)</f>
        <v>#REF!</v>
      </c>
      <c r="K183" s="97"/>
      <c r="L183" s="97" t="e">
        <f ca="1">-ROUND((#REF!-#REF!)/1000,0)</f>
        <v>#REF!</v>
      </c>
      <c r="M183" s="97"/>
      <c r="N183" s="97" t="e">
        <f t="shared" si="25"/>
        <v>#REF!</v>
      </c>
      <c r="O183" s="97"/>
      <c r="P183" s="97">
        <v>200</v>
      </c>
      <c r="Q183" s="97"/>
      <c r="R183" s="97">
        <v>0</v>
      </c>
      <c r="S183" s="97"/>
      <c r="T183" s="97">
        <v>0</v>
      </c>
      <c r="U183" s="97"/>
      <c r="V183" s="97">
        <f t="shared" si="26"/>
        <v>200</v>
      </c>
      <c r="W183" s="97"/>
      <c r="X183" s="97">
        <v>188</v>
      </c>
      <c r="Y183" s="97"/>
      <c r="Z183" s="97">
        <v>0</v>
      </c>
      <c r="AA183" s="97"/>
      <c r="AB183" s="97">
        <v>0</v>
      </c>
      <c r="AC183" s="97"/>
      <c r="AD183" s="97">
        <f t="shared" si="27"/>
        <v>188</v>
      </c>
      <c r="AE183" s="21"/>
      <c r="AF183" s="19" t="s">
        <v>69</v>
      </c>
    </row>
    <row r="184" spans="1:32" x14ac:dyDescent="0.2">
      <c r="A184" s="98" t="s">
        <v>103</v>
      </c>
      <c r="B184" s="36"/>
      <c r="C184" s="178" t="e">
        <f ca="1">+#REF!</f>
        <v>#REF!</v>
      </c>
      <c r="D184" s="178" t="e">
        <f ca="1">+#REF!</f>
        <v>#REF!</v>
      </c>
      <c r="E184" s="86"/>
      <c r="F184" s="86" t="e">
        <f ca="1">+#REF!</f>
        <v>#REF!</v>
      </c>
      <c r="G184" s="23"/>
      <c r="H184" s="97" t="e">
        <f ca="1">ROUND(#REF!/1000,0)</f>
        <v>#REF!</v>
      </c>
      <c r="I184" s="97"/>
      <c r="J184" s="97" t="e">
        <f ca="1">ROUND(#REF!/1000,0)</f>
        <v>#REF!</v>
      </c>
      <c r="K184" s="97"/>
      <c r="L184" s="97" t="e">
        <f ca="1">-ROUND((#REF!-#REF!)/1000,0)</f>
        <v>#REF!</v>
      </c>
      <c r="M184" s="97"/>
      <c r="N184" s="97" t="e">
        <f t="shared" si="25"/>
        <v>#REF!</v>
      </c>
      <c r="O184" s="97"/>
      <c r="P184" s="97">
        <v>528</v>
      </c>
      <c r="Q184" s="97"/>
      <c r="R184" s="97">
        <v>-448</v>
      </c>
      <c r="S184" s="97"/>
      <c r="T184" s="97">
        <v>0</v>
      </c>
      <c r="U184" s="97"/>
      <c r="V184" s="97">
        <f t="shared" si="26"/>
        <v>80</v>
      </c>
      <c r="W184" s="97"/>
      <c r="X184" s="97">
        <v>557</v>
      </c>
      <c r="Y184" s="97"/>
      <c r="Z184" s="97">
        <v>-555</v>
      </c>
      <c r="AA184" s="97"/>
      <c r="AB184" s="97">
        <v>0</v>
      </c>
      <c r="AC184" s="97"/>
      <c r="AD184" s="97">
        <f t="shared" si="27"/>
        <v>2</v>
      </c>
      <c r="AE184" s="21"/>
      <c r="AF184" s="19" t="s">
        <v>24</v>
      </c>
    </row>
    <row r="185" spans="1:32" x14ac:dyDescent="0.2">
      <c r="A185" s="96"/>
      <c r="B185" s="36"/>
      <c r="C185" s="19"/>
      <c r="D185" s="19"/>
      <c r="E185" s="19"/>
      <c r="F185" s="85"/>
      <c r="G185" s="20"/>
      <c r="H185" s="99"/>
      <c r="I185" s="97"/>
      <c r="J185" s="99"/>
      <c r="K185" s="97"/>
      <c r="L185" s="99"/>
      <c r="M185" s="97"/>
      <c r="N185" s="99"/>
      <c r="O185" s="97"/>
      <c r="P185" s="99"/>
      <c r="Q185" s="97"/>
      <c r="R185" s="99"/>
      <c r="S185" s="97"/>
      <c r="T185" s="99"/>
      <c r="U185" s="97"/>
      <c r="V185" s="99"/>
      <c r="W185" s="97"/>
      <c r="X185" s="99"/>
      <c r="Y185" s="97"/>
      <c r="Z185" s="99"/>
      <c r="AA185" s="97"/>
      <c r="AB185" s="99"/>
      <c r="AC185" s="97"/>
      <c r="AD185" s="99"/>
      <c r="AE185" s="21"/>
      <c r="AF185" s="19"/>
    </row>
    <row r="186" spans="1:32" x14ac:dyDescent="0.2">
      <c r="A186" s="96"/>
      <c r="B186" s="36"/>
      <c r="C186" s="19"/>
      <c r="D186" s="19"/>
      <c r="E186" s="19"/>
      <c r="F186" s="85"/>
      <c r="G186" s="20"/>
      <c r="H186" s="100" t="e">
        <f>SUM(H174:H185)</f>
        <v>#REF!</v>
      </c>
      <c r="I186" s="97"/>
      <c r="J186" s="100" t="e">
        <f>SUM(J174:J185)</f>
        <v>#REF!</v>
      </c>
      <c r="K186" s="97"/>
      <c r="L186" s="100" t="e">
        <f>SUM(L174:L185)</f>
        <v>#REF!</v>
      </c>
      <c r="M186" s="97"/>
      <c r="N186" s="100" t="e">
        <f>SUM(N174:N185)</f>
        <v>#REF!</v>
      </c>
      <c r="O186" s="97"/>
      <c r="P186" s="100">
        <f>SUM(P174:P185)</f>
        <v>4166</v>
      </c>
      <c r="Q186" s="97"/>
      <c r="R186" s="100">
        <f>SUM(R174:R185)</f>
        <v>-1990</v>
      </c>
      <c r="S186" s="97"/>
      <c r="T186" s="100">
        <f>SUM(T174:T185)</f>
        <v>-541</v>
      </c>
      <c r="U186" s="97"/>
      <c r="V186" s="100">
        <f>SUM(V174:V185)</f>
        <v>1635</v>
      </c>
      <c r="W186" s="97"/>
      <c r="X186" s="100">
        <f>SUM(X174:X185)</f>
        <v>3594</v>
      </c>
      <c r="Y186" s="97"/>
      <c r="Z186" s="100">
        <f>SUM(Z174:Z185)</f>
        <v>-2047</v>
      </c>
      <c r="AA186" s="97"/>
      <c r="AB186" s="100">
        <f>SUM(AB174:AB185)</f>
        <v>-836</v>
      </c>
      <c r="AC186" s="97"/>
      <c r="AD186" s="100">
        <f>SUM(AD174:AD185)</f>
        <v>711</v>
      </c>
      <c r="AE186" s="21"/>
      <c r="AF186" s="19"/>
    </row>
    <row r="187" spans="1:32" x14ac:dyDescent="0.2">
      <c r="A187" s="96"/>
      <c r="B187" s="82"/>
      <c r="C187" s="29"/>
      <c r="D187" s="2"/>
      <c r="E187" s="2"/>
      <c r="F187" s="86"/>
      <c r="G187" s="23"/>
      <c r="H187" s="97"/>
      <c r="I187" s="97"/>
      <c r="J187" s="97"/>
      <c r="K187" s="97"/>
      <c r="L187" s="97"/>
      <c r="M187" s="97"/>
      <c r="N187" s="97"/>
      <c r="O187" s="97"/>
      <c r="P187" s="97"/>
      <c r="Q187" s="97"/>
      <c r="R187" s="97"/>
      <c r="S187" s="97"/>
      <c r="T187" s="97"/>
      <c r="U187" s="97"/>
      <c r="V187" s="97"/>
      <c r="W187" s="97"/>
      <c r="X187" s="97"/>
      <c r="Y187" s="97"/>
      <c r="Z187" s="97"/>
      <c r="AA187" s="97"/>
      <c r="AB187" s="97"/>
      <c r="AC187" s="97"/>
      <c r="AD187" s="97"/>
      <c r="AE187" s="21"/>
      <c r="AF187" s="19"/>
    </row>
    <row r="188" spans="1:32" s="124" customFormat="1" ht="11.25" x14ac:dyDescent="0.2">
      <c r="A188" s="101">
        <v>901</v>
      </c>
      <c r="B188" s="36"/>
      <c r="C188" s="20" t="s">
        <v>220</v>
      </c>
      <c r="D188" s="2"/>
      <c r="E188" s="86"/>
      <c r="F188" s="86"/>
      <c r="G188" s="21"/>
      <c r="H188" s="21"/>
      <c r="I188" s="21"/>
      <c r="J188" s="21"/>
      <c r="K188" s="21"/>
      <c r="L188" s="21"/>
      <c r="M188" s="21"/>
      <c r="N188" s="97"/>
      <c r="O188" s="122"/>
      <c r="P188" s="2">
        <v>70429</v>
      </c>
      <c r="Q188" s="123"/>
      <c r="R188" s="2">
        <v>-70429</v>
      </c>
      <c r="S188" s="123"/>
      <c r="T188" s="2">
        <v>0</v>
      </c>
      <c r="U188" s="123"/>
      <c r="V188" s="97">
        <f>SUM(P188:T188)</f>
        <v>0</v>
      </c>
      <c r="W188" s="27"/>
      <c r="X188" s="2">
        <v>68734</v>
      </c>
      <c r="Y188" s="122"/>
      <c r="Z188" s="123">
        <v>-68734</v>
      </c>
      <c r="AB188" s="124">
        <v>0</v>
      </c>
      <c r="AD188" s="97">
        <f>SUM(X188:AB188)</f>
        <v>0</v>
      </c>
    </row>
    <row r="189" spans="1:32" s="124" customFormat="1" ht="11.25" x14ac:dyDescent="0.2">
      <c r="A189" s="101">
        <v>901</v>
      </c>
      <c r="B189" s="36"/>
      <c r="C189" s="178" t="e">
        <f ca="1">+#REF!</f>
        <v>#REF!</v>
      </c>
      <c r="D189" s="178" t="e">
        <f ca="1">+#REF!</f>
        <v>#REF!</v>
      </c>
      <c r="E189" s="86"/>
      <c r="F189" s="86" t="e">
        <f ca="1">+#REF!</f>
        <v>#REF!</v>
      </c>
      <c r="G189" s="21"/>
      <c r="H189" s="21" t="e">
        <f ca="1">ROUND(#REF!/1000,0)</f>
        <v>#REF!</v>
      </c>
      <c r="I189" s="21"/>
      <c r="J189" s="21" t="e">
        <f ca="1">ROUND(#REF!/1000,0)</f>
        <v>#REF!</v>
      </c>
      <c r="K189" s="21"/>
      <c r="L189" s="21" t="e">
        <f ca="1">-ROUND((#REF!-#REF!)/1000,0)</f>
        <v>#REF!</v>
      </c>
      <c r="M189" s="21"/>
      <c r="N189" s="97" t="e">
        <f>SUM(H189:L189)</f>
        <v>#REF!</v>
      </c>
      <c r="O189" s="122"/>
      <c r="P189" s="2"/>
      <c r="Q189" s="123"/>
      <c r="R189" s="2"/>
      <c r="S189" s="123"/>
      <c r="T189" s="2"/>
      <c r="U189" s="123"/>
      <c r="V189" s="97">
        <f>SUM(P189:T189)</f>
        <v>0</v>
      </c>
      <c r="W189" s="27"/>
      <c r="X189" s="2"/>
      <c r="Y189" s="122"/>
      <c r="AD189" s="97">
        <f>SUM(X189:AB189)</f>
        <v>0</v>
      </c>
    </row>
    <row r="190" spans="1:32" s="124" customFormat="1" ht="11.25" x14ac:dyDescent="0.2">
      <c r="A190" s="101">
        <v>901</v>
      </c>
      <c r="B190" s="36"/>
      <c r="C190" s="178" t="e">
        <f ca="1">+#REF!</f>
        <v>#REF!</v>
      </c>
      <c r="D190" s="178" t="e">
        <f ca="1">+#REF!</f>
        <v>#REF!</v>
      </c>
      <c r="E190" s="86"/>
      <c r="F190" s="86" t="e">
        <f ca="1">+#REF!</f>
        <v>#REF!</v>
      </c>
      <c r="G190" s="21"/>
      <c r="H190" s="21" t="e">
        <f ca="1">ROUND(#REF!/1000,0)</f>
        <v>#REF!</v>
      </c>
      <c r="I190" s="21"/>
      <c r="J190" s="21" t="e">
        <f ca="1">ROUND(#REF!/1000,0)</f>
        <v>#REF!</v>
      </c>
      <c r="K190" s="21"/>
      <c r="L190" s="21" t="e">
        <f ca="1">-ROUND((#REF!-#REF!)/1000,0)</f>
        <v>#REF!</v>
      </c>
      <c r="M190" s="21"/>
      <c r="N190" s="97" t="e">
        <f t="shared" ref="N190:N239" si="28">SUM(H190:L190)</f>
        <v>#REF!</v>
      </c>
      <c r="O190" s="122"/>
      <c r="P190" s="2"/>
      <c r="Q190" s="123"/>
      <c r="R190" s="2"/>
      <c r="S190" s="123"/>
      <c r="T190" s="2"/>
      <c r="U190" s="123"/>
      <c r="V190" s="97">
        <f t="shared" ref="V190:V239" si="29">SUM(P190:T190)</f>
        <v>0</v>
      </c>
      <c r="W190" s="27"/>
      <c r="X190" s="2"/>
      <c r="Y190" s="122"/>
      <c r="AD190" s="97">
        <f t="shared" ref="AD190:AD239" si="30">SUM(X190:AB190)</f>
        <v>0</v>
      </c>
    </row>
    <row r="191" spans="1:32" s="124" customFormat="1" ht="11.25" x14ac:dyDescent="0.2">
      <c r="A191" s="101">
        <v>901</v>
      </c>
      <c r="B191" s="36"/>
      <c r="C191" s="178" t="e">
        <f ca="1">+#REF!</f>
        <v>#REF!</v>
      </c>
      <c r="D191" s="178" t="e">
        <f ca="1">+#REF!</f>
        <v>#REF!</v>
      </c>
      <c r="E191" s="86"/>
      <c r="F191" s="86" t="e">
        <f ca="1">+#REF!</f>
        <v>#REF!</v>
      </c>
      <c r="G191" s="21"/>
      <c r="H191" s="21" t="e">
        <f ca="1">ROUND(#REF!/1000,0)</f>
        <v>#REF!</v>
      </c>
      <c r="I191" s="21"/>
      <c r="J191" s="21" t="e">
        <f ca="1">ROUND(#REF!/1000,0)</f>
        <v>#REF!</v>
      </c>
      <c r="K191" s="21"/>
      <c r="L191" s="21" t="e">
        <f ca="1">-ROUND((#REF!-#REF!)/1000,0)</f>
        <v>#REF!</v>
      </c>
      <c r="M191" s="21"/>
      <c r="N191" s="97" t="e">
        <f t="shared" si="28"/>
        <v>#REF!</v>
      </c>
      <c r="O191" s="122"/>
      <c r="P191" s="2"/>
      <c r="Q191" s="123"/>
      <c r="R191" s="2"/>
      <c r="S191" s="123"/>
      <c r="T191" s="2"/>
      <c r="U191" s="123"/>
      <c r="V191" s="97">
        <f t="shared" si="29"/>
        <v>0</v>
      </c>
      <c r="W191" s="27"/>
      <c r="X191" s="2"/>
      <c r="Y191" s="122"/>
      <c r="AD191" s="97">
        <f t="shared" si="30"/>
        <v>0</v>
      </c>
    </row>
    <row r="192" spans="1:32" s="124" customFormat="1" ht="11.25" x14ac:dyDescent="0.2">
      <c r="A192" s="101">
        <v>901</v>
      </c>
      <c r="B192" s="36"/>
      <c r="C192" s="178" t="e">
        <f ca="1">+#REF!</f>
        <v>#REF!</v>
      </c>
      <c r="D192" s="178" t="e">
        <f ca="1">+#REF!</f>
        <v>#REF!</v>
      </c>
      <c r="E192" s="86"/>
      <c r="F192" s="86" t="e">
        <f ca="1">+#REF!</f>
        <v>#REF!</v>
      </c>
      <c r="G192" s="21"/>
      <c r="H192" s="21" t="e">
        <f ca="1">ROUND(#REF!/1000,0)</f>
        <v>#REF!</v>
      </c>
      <c r="I192" s="21"/>
      <c r="J192" s="21" t="e">
        <f ca="1">ROUND(#REF!/1000,0)</f>
        <v>#REF!</v>
      </c>
      <c r="K192" s="21"/>
      <c r="L192" s="21" t="e">
        <f ca="1">-ROUND((#REF!-#REF!)/1000,0)</f>
        <v>#REF!</v>
      </c>
      <c r="M192" s="21"/>
      <c r="N192" s="97" t="e">
        <f t="shared" si="28"/>
        <v>#REF!</v>
      </c>
      <c r="O192" s="122"/>
      <c r="P192" s="2"/>
      <c r="Q192" s="123"/>
      <c r="R192" s="2"/>
      <c r="S192" s="123"/>
      <c r="T192" s="2"/>
      <c r="U192" s="123"/>
      <c r="V192" s="97">
        <f t="shared" si="29"/>
        <v>0</v>
      </c>
      <c r="W192" s="27"/>
      <c r="X192" s="2"/>
      <c r="Y192" s="122"/>
      <c r="AD192" s="97">
        <f t="shared" si="30"/>
        <v>0</v>
      </c>
    </row>
    <row r="193" spans="1:30" s="124" customFormat="1" ht="11.25" x14ac:dyDescent="0.2">
      <c r="A193" s="101">
        <v>901</v>
      </c>
      <c r="B193" s="36"/>
      <c r="C193" s="178" t="s">
        <v>249</v>
      </c>
      <c r="D193" s="178" t="s">
        <v>155</v>
      </c>
      <c r="E193" s="86"/>
      <c r="F193" s="86">
        <v>92</v>
      </c>
      <c r="G193" s="21"/>
      <c r="H193" s="21">
        <v>0</v>
      </c>
      <c r="I193" s="21"/>
      <c r="J193" s="21">
        <v>0</v>
      </c>
      <c r="K193" s="21"/>
      <c r="L193" s="21">
        <v>0</v>
      </c>
      <c r="M193" s="21"/>
      <c r="N193" s="97">
        <f t="shared" si="28"/>
        <v>0</v>
      </c>
      <c r="O193" s="122"/>
      <c r="P193" s="2"/>
      <c r="Q193" s="123"/>
      <c r="R193" s="2"/>
      <c r="S193" s="123"/>
      <c r="T193" s="2"/>
      <c r="U193" s="123"/>
      <c r="V193" s="97">
        <f t="shared" si="29"/>
        <v>0</v>
      </c>
      <c r="W193" s="27"/>
      <c r="X193" s="2"/>
      <c r="Y193" s="122"/>
      <c r="AD193" s="97">
        <f t="shared" si="30"/>
        <v>0</v>
      </c>
    </row>
    <row r="194" spans="1:30" s="125" customFormat="1" ht="11.25" x14ac:dyDescent="0.2">
      <c r="A194" s="101">
        <v>901</v>
      </c>
      <c r="B194" s="36"/>
      <c r="C194" s="178" t="e">
        <f ca="1">+#REF!</f>
        <v>#REF!</v>
      </c>
      <c r="D194" s="178" t="e">
        <f ca="1">+#REF!</f>
        <v>#REF!</v>
      </c>
      <c r="E194" s="86"/>
      <c r="F194" s="86" t="e">
        <f ca="1">+#REF!</f>
        <v>#REF!</v>
      </c>
      <c r="G194" s="21"/>
      <c r="H194" s="21" t="e">
        <f ca="1">ROUND(#REF!/1000,0)</f>
        <v>#REF!</v>
      </c>
      <c r="I194" s="21"/>
      <c r="J194" s="21" t="e">
        <f ca="1">ROUND(#REF!/1000,0)</f>
        <v>#REF!</v>
      </c>
      <c r="K194" s="21"/>
      <c r="L194" s="21" t="e">
        <f ca="1">ROUND((#REF!-#REF!)/1000,0)</f>
        <v>#REF!</v>
      </c>
      <c r="M194" s="21"/>
      <c r="N194" s="97" t="e">
        <f t="shared" si="28"/>
        <v>#REF!</v>
      </c>
      <c r="O194" s="24"/>
      <c r="P194" s="2"/>
      <c r="Q194" s="2"/>
      <c r="R194" s="2"/>
      <c r="S194" s="2"/>
      <c r="T194" s="2"/>
      <c r="U194" s="2"/>
      <c r="V194" s="97">
        <f t="shared" si="29"/>
        <v>0</v>
      </c>
      <c r="W194" s="27"/>
      <c r="X194" s="2"/>
      <c r="Y194" s="24"/>
      <c r="AD194" s="97">
        <f t="shared" si="30"/>
        <v>0</v>
      </c>
    </row>
    <row r="195" spans="1:30" s="125" customFormat="1" ht="11.25" x14ac:dyDescent="0.2">
      <c r="A195" s="101">
        <v>901</v>
      </c>
      <c r="B195" s="36"/>
      <c r="C195" s="178" t="e">
        <f ca="1">+#REF!</f>
        <v>#REF!</v>
      </c>
      <c r="D195" s="178" t="e">
        <f ca="1">+#REF!</f>
        <v>#REF!</v>
      </c>
      <c r="E195" s="86"/>
      <c r="F195" s="86" t="e">
        <f ca="1">+#REF!</f>
        <v>#REF!</v>
      </c>
      <c r="G195" s="21"/>
      <c r="H195" s="21" t="e">
        <f ca="1">ROUND(#REF!/1000,0)</f>
        <v>#REF!</v>
      </c>
      <c r="I195" s="21"/>
      <c r="J195" s="21" t="e">
        <f ca="1">ROUND(#REF!/1000,0)</f>
        <v>#REF!</v>
      </c>
      <c r="K195" s="21"/>
      <c r="L195" s="21" t="e">
        <f ca="1">-ROUND((#REF!-#REF!)/1000,0)</f>
        <v>#REF!</v>
      </c>
      <c r="M195" s="21"/>
      <c r="N195" s="97" t="e">
        <f t="shared" si="28"/>
        <v>#REF!</v>
      </c>
      <c r="O195" s="24"/>
      <c r="P195" s="2"/>
      <c r="Q195" s="2"/>
      <c r="R195" s="2"/>
      <c r="S195" s="2"/>
      <c r="T195" s="2"/>
      <c r="U195" s="2"/>
      <c r="V195" s="97">
        <f t="shared" si="29"/>
        <v>0</v>
      </c>
      <c r="W195" s="27"/>
      <c r="X195" s="2"/>
      <c r="Y195" s="24"/>
      <c r="AD195" s="97">
        <f t="shared" si="30"/>
        <v>0</v>
      </c>
    </row>
    <row r="196" spans="1:30" s="125" customFormat="1" ht="11.25" x14ac:dyDescent="0.2">
      <c r="A196" s="101">
        <v>901</v>
      </c>
      <c r="B196" s="36"/>
      <c r="C196" s="178" t="s">
        <v>208</v>
      </c>
      <c r="D196" s="178" t="s">
        <v>155</v>
      </c>
      <c r="E196" s="86"/>
      <c r="F196" s="86">
        <v>224</v>
      </c>
      <c r="G196" s="21"/>
      <c r="H196" s="21"/>
      <c r="I196" s="21"/>
      <c r="J196" s="21"/>
      <c r="K196" s="21"/>
      <c r="L196" s="21"/>
      <c r="M196" s="21"/>
      <c r="N196" s="97">
        <f t="shared" si="28"/>
        <v>0</v>
      </c>
      <c r="O196" s="24"/>
      <c r="P196" s="2"/>
      <c r="Q196" s="2"/>
      <c r="R196" s="2"/>
      <c r="S196" s="2"/>
      <c r="T196" s="2"/>
      <c r="U196" s="2"/>
      <c r="V196" s="97">
        <f t="shared" si="29"/>
        <v>0</v>
      </c>
      <c r="W196" s="27"/>
      <c r="X196" s="2"/>
      <c r="Y196" s="24"/>
      <c r="AD196" s="97">
        <f t="shared" si="30"/>
        <v>0</v>
      </c>
    </row>
    <row r="197" spans="1:30" s="125" customFormat="1" ht="11.25" x14ac:dyDescent="0.2">
      <c r="A197" s="101">
        <v>901</v>
      </c>
      <c r="B197" s="36"/>
      <c r="C197" s="178" t="e">
        <f ca="1">+#REF!</f>
        <v>#REF!</v>
      </c>
      <c r="D197" s="178" t="e">
        <f ca="1">+#REF!</f>
        <v>#REF!</v>
      </c>
      <c r="E197" s="86"/>
      <c r="F197" s="86" t="e">
        <f ca="1">+#REF!</f>
        <v>#REF!</v>
      </c>
      <c r="G197" s="21"/>
      <c r="H197" s="21" t="e">
        <f ca="1">ROUND(#REF!/1000,0)</f>
        <v>#REF!</v>
      </c>
      <c r="I197" s="21"/>
      <c r="J197" s="21" t="e">
        <f ca="1">ROUND(#REF!/1000,0)</f>
        <v>#REF!</v>
      </c>
      <c r="K197" s="21"/>
      <c r="L197" s="21" t="e">
        <f ca="1">-ROUND((#REF!-#REF!)/1000,0)</f>
        <v>#REF!</v>
      </c>
      <c r="M197" s="21"/>
      <c r="N197" s="97" t="e">
        <f t="shared" si="28"/>
        <v>#REF!</v>
      </c>
      <c r="O197" s="24"/>
      <c r="P197" s="2"/>
      <c r="Q197" s="2"/>
      <c r="R197" s="2"/>
      <c r="S197" s="2"/>
      <c r="T197" s="2"/>
      <c r="U197" s="2"/>
      <c r="V197" s="97">
        <f t="shared" si="29"/>
        <v>0</v>
      </c>
      <c r="W197" s="27"/>
      <c r="X197" s="2"/>
      <c r="Y197" s="24"/>
      <c r="AD197" s="97">
        <f t="shared" si="30"/>
        <v>0</v>
      </c>
    </row>
    <row r="198" spans="1:30" s="125" customFormat="1" ht="11.25" x14ac:dyDescent="0.2">
      <c r="A198" s="101">
        <v>901</v>
      </c>
      <c r="B198" s="36"/>
      <c r="C198" s="178" t="s">
        <v>209</v>
      </c>
      <c r="D198" s="178" t="s">
        <v>155</v>
      </c>
      <c r="E198" s="86"/>
      <c r="F198" s="86">
        <v>339</v>
      </c>
      <c r="G198" s="21"/>
      <c r="H198" s="21"/>
      <c r="I198" s="21"/>
      <c r="J198" s="21"/>
      <c r="K198" s="21"/>
      <c r="L198" s="21"/>
      <c r="M198" s="21"/>
      <c r="N198" s="97">
        <f t="shared" si="28"/>
        <v>0</v>
      </c>
      <c r="O198" s="24"/>
      <c r="P198" s="2"/>
      <c r="Q198" s="2"/>
      <c r="R198" s="2"/>
      <c r="S198" s="2"/>
      <c r="T198" s="2"/>
      <c r="U198" s="2"/>
      <c r="V198" s="97">
        <f t="shared" si="29"/>
        <v>0</v>
      </c>
      <c r="W198" s="27"/>
      <c r="X198" s="2"/>
      <c r="Y198" s="24"/>
      <c r="AD198" s="97">
        <f t="shared" si="30"/>
        <v>0</v>
      </c>
    </row>
    <row r="199" spans="1:30" s="125" customFormat="1" ht="11.25" x14ac:dyDescent="0.2">
      <c r="A199" s="101">
        <v>901</v>
      </c>
      <c r="B199" s="36"/>
      <c r="C199" s="178" t="e">
        <f ca="1">+#REF!</f>
        <v>#REF!</v>
      </c>
      <c r="D199" s="178" t="e">
        <f ca="1">+#REF!</f>
        <v>#REF!</v>
      </c>
      <c r="E199" s="86"/>
      <c r="F199" s="86" t="e">
        <f ca="1">+#REF!</f>
        <v>#REF!</v>
      </c>
      <c r="G199" s="21"/>
      <c r="H199" s="21" t="e">
        <f ca="1">ROUND(#REF!/1000,0)</f>
        <v>#REF!</v>
      </c>
      <c r="I199" s="21"/>
      <c r="J199" s="21" t="e">
        <f ca="1">ROUND(#REF!/1000,0)</f>
        <v>#REF!</v>
      </c>
      <c r="K199" s="21"/>
      <c r="L199" s="21" t="e">
        <f ca="1">-ROUND((#REF!-#REF!)/1000,0)</f>
        <v>#REF!</v>
      </c>
      <c r="M199" s="21"/>
      <c r="N199" s="97" t="e">
        <f t="shared" si="28"/>
        <v>#REF!</v>
      </c>
      <c r="O199" s="24"/>
      <c r="P199" s="2"/>
      <c r="Q199" s="2"/>
      <c r="R199" s="2"/>
      <c r="S199" s="2"/>
      <c r="T199" s="2"/>
      <c r="U199" s="2"/>
      <c r="V199" s="97">
        <f t="shared" si="29"/>
        <v>0</v>
      </c>
      <c r="W199" s="27"/>
      <c r="X199" s="2"/>
      <c r="Y199" s="24"/>
      <c r="AD199" s="97">
        <f t="shared" si="30"/>
        <v>0</v>
      </c>
    </row>
    <row r="200" spans="1:30" s="125" customFormat="1" ht="11.25" x14ac:dyDescent="0.2">
      <c r="A200" s="101">
        <v>901</v>
      </c>
      <c r="B200" s="36"/>
      <c r="C200" s="178" t="e">
        <f ca="1">+#REF!</f>
        <v>#REF!</v>
      </c>
      <c r="D200" s="178" t="e">
        <f ca="1">+#REF!</f>
        <v>#REF!</v>
      </c>
      <c r="E200" s="86"/>
      <c r="F200" s="86" t="e">
        <f ca="1">+#REF!</f>
        <v>#REF!</v>
      </c>
      <c r="G200" s="21"/>
      <c r="H200" s="21" t="e">
        <f ca="1">ROUND(#REF!/1000,0)</f>
        <v>#REF!</v>
      </c>
      <c r="I200" s="21"/>
      <c r="J200" s="21" t="e">
        <f ca="1">ROUND(#REF!/1000,0)</f>
        <v>#REF!</v>
      </c>
      <c r="K200" s="21"/>
      <c r="L200" s="21" t="e">
        <f ca="1">-ROUND((#REF!-#REF!)/1000,0)</f>
        <v>#REF!</v>
      </c>
      <c r="M200" s="21"/>
      <c r="N200" s="97" t="e">
        <f>SUM(H200:L200)</f>
        <v>#REF!</v>
      </c>
      <c r="O200" s="24"/>
      <c r="P200" s="2"/>
      <c r="Q200" s="2"/>
      <c r="R200" s="2"/>
      <c r="S200" s="2"/>
      <c r="T200" s="2"/>
      <c r="U200" s="2"/>
      <c r="V200" s="97">
        <f>SUM(P200:T200)</f>
        <v>0</v>
      </c>
      <c r="W200" s="27"/>
      <c r="X200" s="2"/>
      <c r="Y200" s="24"/>
      <c r="AD200" s="97">
        <f>SUM(X200:AB200)</f>
        <v>0</v>
      </c>
    </row>
    <row r="201" spans="1:30" s="125" customFormat="1" ht="11.25" x14ac:dyDescent="0.2">
      <c r="A201" s="101">
        <v>901</v>
      </c>
      <c r="B201" s="36"/>
      <c r="C201" s="178" t="e">
        <f ca="1">+#REF!</f>
        <v>#REF!</v>
      </c>
      <c r="D201" s="178" t="e">
        <f ca="1">+#REF!</f>
        <v>#REF!</v>
      </c>
      <c r="E201" s="86"/>
      <c r="F201" s="86" t="e">
        <f ca="1">+#REF!</f>
        <v>#REF!</v>
      </c>
      <c r="G201" s="21"/>
      <c r="H201" s="21" t="e">
        <f ca="1">ROUND(#REF!/1000,0)</f>
        <v>#REF!</v>
      </c>
      <c r="I201" s="21"/>
      <c r="J201" s="21" t="e">
        <f ca="1">ROUND(#REF!/1000,0)</f>
        <v>#REF!</v>
      </c>
      <c r="K201" s="21"/>
      <c r="L201" s="21" t="e">
        <f ca="1">-ROUND((#REF!-#REF!)/1000,0)</f>
        <v>#REF!</v>
      </c>
      <c r="M201" s="21"/>
      <c r="N201" s="97" t="e">
        <f>SUM(H201:L201)</f>
        <v>#REF!</v>
      </c>
      <c r="O201" s="24"/>
      <c r="P201" s="2"/>
      <c r="Q201" s="2"/>
      <c r="R201" s="2"/>
      <c r="S201" s="2"/>
      <c r="T201" s="2"/>
      <c r="U201" s="2"/>
      <c r="V201" s="97">
        <f>SUM(P201:T201)</f>
        <v>0</v>
      </c>
      <c r="W201" s="27"/>
      <c r="X201" s="2"/>
      <c r="Y201" s="24"/>
      <c r="AD201" s="97">
        <f>SUM(X201:AB201)</f>
        <v>0</v>
      </c>
    </row>
    <row r="202" spans="1:30" s="125" customFormat="1" ht="11.25" x14ac:dyDescent="0.2">
      <c r="A202" s="101">
        <v>901</v>
      </c>
      <c r="B202" s="36"/>
      <c r="C202" s="178" t="e">
        <f ca="1">+#REF!</f>
        <v>#REF!</v>
      </c>
      <c r="D202" s="178" t="e">
        <f ca="1">+#REF!</f>
        <v>#REF!</v>
      </c>
      <c r="E202" s="86"/>
      <c r="F202" s="86" t="e">
        <f ca="1">+#REF!</f>
        <v>#REF!</v>
      </c>
      <c r="G202" s="21"/>
      <c r="H202" s="21" t="e">
        <f ca="1">ROUND(#REF!/1000,0)</f>
        <v>#REF!</v>
      </c>
      <c r="I202" s="21"/>
      <c r="J202" s="21" t="e">
        <f ca="1">ROUND(#REF!/1000,0)</f>
        <v>#REF!</v>
      </c>
      <c r="K202" s="21"/>
      <c r="L202" s="21" t="e">
        <f ca="1">-ROUND((#REF!-#REF!)/1000,0)</f>
        <v>#REF!</v>
      </c>
      <c r="M202" s="21"/>
      <c r="N202" s="97" t="e">
        <f>SUM(H202:L202)</f>
        <v>#REF!</v>
      </c>
      <c r="O202" s="24"/>
      <c r="P202" s="2"/>
      <c r="Q202" s="2"/>
      <c r="R202" s="2"/>
      <c r="S202" s="2"/>
      <c r="T202" s="2"/>
      <c r="U202" s="2"/>
      <c r="V202" s="97">
        <f>SUM(P202:T202)</f>
        <v>0</v>
      </c>
      <c r="W202" s="27"/>
      <c r="X202" s="2"/>
      <c r="Y202" s="24"/>
      <c r="AD202" s="97">
        <f>SUM(X202:AB202)</f>
        <v>0</v>
      </c>
    </row>
    <row r="203" spans="1:30" s="125" customFormat="1" ht="11.25" x14ac:dyDescent="0.2">
      <c r="A203" s="101">
        <v>901</v>
      </c>
      <c r="B203" s="36"/>
      <c r="C203" s="178" t="e">
        <f ca="1">+#REF!</f>
        <v>#REF!</v>
      </c>
      <c r="D203" s="178" t="e">
        <f ca="1">+#REF!</f>
        <v>#REF!</v>
      </c>
      <c r="E203" s="86"/>
      <c r="F203" s="86" t="e">
        <f ca="1">+#REF!</f>
        <v>#REF!</v>
      </c>
      <c r="G203" s="21"/>
      <c r="H203" s="21" t="e">
        <f ca="1">ROUND(#REF!/1000,0)</f>
        <v>#REF!</v>
      </c>
      <c r="I203" s="21"/>
      <c r="J203" s="21" t="e">
        <f ca="1">ROUND(#REF!/1000,0)</f>
        <v>#REF!</v>
      </c>
      <c r="K203" s="21"/>
      <c r="L203" s="21" t="e">
        <f ca="1">-ROUND((#REF!-#REF!)/1000,0)</f>
        <v>#REF!</v>
      </c>
      <c r="M203" s="21"/>
      <c r="N203" s="97" t="e">
        <f>SUM(H203:L203)</f>
        <v>#REF!</v>
      </c>
      <c r="O203" s="24"/>
      <c r="P203" s="2"/>
      <c r="Q203" s="2"/>
      <c r="R203" s="2"/>
      <c r="S203" s="2"/>
      <c r="T203" s="2"/>
      <c r="U203" s="2"/>
      <c r="V203" s="97">
        <f>SUM(P203:T203)</f>
        <v>0</v>
      </c>
      <c r="W203" s="27"/>
      <c r="X203" s="2"/>
      <c r="Y203" s="24"/>
      <c r="AD203" s="97">
        <f>SUM(X203:AB203)</f>
        <v>0</v>
      </c>
    </row>
    <row r="204" spans="1:30" s="125" customFormat="1" ht="11.25" x14ac:dyDescent="0.2">
      <c r="A204" s="101">
        <v>901</v>
      </c>
      <c r="B204" s="36"/>
      <c r="C204" s="178" t="e">
        <f ca="1">+#REF!</f>
        <v>#REF!</v>
      </c>
      <c r="D204" s="178" t="e">
        <f ca="1">+#REF!</f>
        <v>#REF!</v>
      </c>
      <c r="E204" s="86"/>
      <c r="F204" s="86" t="e">
        <f ca="1">+#REF!</f>
        <v>#REF!</v>
      </c>
      <c r="G204" s="21"/>
      <c r="H204" s="21" t="e">
        <f ca="1">ROUND(#REF!/1000,0)</f>
        <v>#REF!</v>
      </c>
      <c r="I204" s="21"/>
      <c r="J204" s="21" t="e">
        <f ca="1">ROUND(#REF!/1000,0)</f>
        <v>#REF!</v>
      </c>
      <c r="K204" s="21"/>
      <c r="L204" s="21" t="e">
        <f ca="1">-ROUND((#REF!-#REF!)/1000,0)</f>
        <v>#REF!</v>
      </c>
      <c r="M204" s="21"/>
      <c r="N204" s="97" t="e">
        <f t="shared" si="28"/>
        <v>#REF!</v>
      </c>
      <c r="O204" s="24"/>
      <c r="P204" s="2"/>
      <c r="Q204" s="2"/>
      <c r="R204" s="2"/>
      <c r="S204" s="2"/>
      <c r="T204" s="2"/>
      <c r="U204" s="2"/>
      <c r="V204" s="97">
        <f t="shared" si="29"/>
        <v>0</v>
      </c>
      <c r="W204" s="27"/>
      <c r="X204" s="2"/>
      <c r="Y204" s="24"/>
      <c r="AD204" s="97">
        <f t="shared" si="30"/>
        <v>0</v>
      </c>
    </row>
    <row r="205" spans="1:30" s="125" customFormat="1" ht="11.25" x14ac:dyDescent="0.2">
      <c r="A205" s="96">
        <v>901</v>
      </c>
      <c r="B205" s="36"/>
      <c r="C205" s="178" t="e">
        <f ca="1">+#REF!</f>
        <v>#REF!</v>
      </c>
      <c r="D205" s="178" t="e">
        <f ca="1">+#REF!</f>
        <v>#REF!</v>
      </c>
      <c r="E205" s="86"/>
      <c r="F205" s="86" t="e">
        <f ca="1">+#REF!</f>
        <v>#REF!</v>
      </c>
      <c r="G205" s="21"/>
      <c r="H205" s="21" t="e">
        <f ca="1">ROUND(#REF!/1000,0)</f>
        <v>#REF!</v>
      </c>
      <c r="I205" s="21"/>
      <c r="J205" s="21" t="e">
        <f ca="1">ROUND(#REF!/1000,0)</f>
        <v>#REF!</v>
      </c>
      <c r="K205" s="21"/>
      <c r="L205" s="21" t="e">
        <f ca="1">-ROUND((#REF!-#REF!)/1000,0)</f>
        <v>#REF!</v>
      </c>
      <c r="M205" s="21"/>
      <c r="N205" s="97" t="e">
        <f>SUM(H205:L205)</f>
        <v>#REF!</v>
      </c>
      <c r="O205" s="24"/>
      <c r="P205" s="2"/>
      <c r="Q205" s="2"/>
      <c r="R205" s="2"/>
      <c r="S205" s="2"/>
      <c r="T205" s="2"/>
      <c r="U205" s="2"/>
      <c r="V205" s="97">
        <f>SUM(P205:T205)</f>
        <v>0</v>
      </c>
      <c r="W205" s="27"/>
      <c r="X205" s="2"/>
      <c r="Y205" s="24"/>
      <c r="AD205" s="97">
        <f>SUM(X205:AB205)</f>
        <v>0</v>
      </c>
    </row>
    <row r="206" spans="1:30" s="125" customFormat="1" ht="11.25" x14ac:dyDescent="0.2">
      <c r="A206" s="101">
        <v>901</v>
      </c>
      <c r="B206" s="36"/>
      <c r="C206" s="178" t="e">
        <f ca="1">+#REF!</f>
        <v>#REF!</v>
      </c>
      <c r="D206" s="178" t="e">
        <f ca="1">+#REF!</f>
        <v>#REF!</v>
      </c>
      <c r="E206" s="86"/>
      <c r="F206" s="86" t="e">
        <f ca="1">+#REF!</f>
        <v>#REF!</v>
      </c>
      <c r="G206" s="21"/>
      <c r="H206" s="21" t="e">
        <f ca="1">ROUND(#REF!/1000,0)</f>
        <v>#REF!</v>
      </c>
      <c r="I206" s="21"/>
      <c r="J206" s="21" t="e">
        <f ca="1">ROUND(#REF!/1000,0)</f>
        <v>#REF!</v>
      </c>
      <c r="K206" s="21"/>
      <c r="L206" s="21" t="e">
        <f ca="1">-ROUND((#REF!-#REF!)/1000,0)</f>
        <v>#REF!</v>
      </c>
      <c r="M206" s="21"/>
      <c r="N206" s="97" t="e">
        <f>SUM(H206:L206)</f>
        <v>#REF!</v>
      </c>
      <c r="O206" s="24"/>
      <c r="P206" s="2"/>
      <c r="Q206" s="2"/>
      <c r="R206" s="2"/>
      <c r="S206" s="2"/>
      <c r="T206" s="2"/>
      <c r="U206" s="2"/>
      <c r="V206" s="97">
        <f>SUM(P206:T206)</f>
        <v>0</v>
      </c>
      <c r="W206" s="27"/>
      <c r="X206" s="2"/>
      <c r="Y206" s="24"/>
      <c r="AD206" s="97">
        <f>SUM(X206:AB206)</f>
        <v>0</v>
      </c>
    </row>
    <row r="207" spans="1:30" s="125" customFormat="1" ht="11.25" x14ac:dyDescent="0.2">
      <c r="A207" s="101">
        <v>901</v>
      </c>
      <c r="B207" s="36"/>
      <c r="C207" s="178" t="e">
        <f ca="1">+#REF!</f>
        <v>#REF!</v>
      </c>
      <c r="D207" s="178" t="e">
        <f ca="1">+#REF!</f>
        <v>#REF!</v>
      </c>
      <c r="E207" s="86"/>
      <c r="F207" s="86" t="e">
        <f ca="1">+#REF!</f>
        <v>#REF!</v>
      </c>
      <c r="G207" s="21"/>
      <c r="H207" s="21" t="e">
        <f ca="1">ROUND(#REF!/1000,0)</f>
        <v>#REF!</v>
      </c>
      <c r="I207" s="21"/>
      <c r="J207" s="21" t="e">
        <f ca="1">ROUND(#REF!/1000,0)</f>
        <v>#REF!</v>
      </c>
      <c r="K207" s="21"/>
      <c r="L207" s="21" t="e">
        <f ca="1">-ROUND((#REF!-#REF!)/1000,0)</f>
        <v>#REF!</v>
      </c>
      <c r="M207" s="21"/>
      <c r="N207" s="97" t="e">
        <f>SUM(H207:L207)</f>
        <v>#REF!</v>
      </c>
      <c r="O207" s="24"/>
      <c r="P207" s="2"/>
      <c r="Q207" s="2"/>
      <c r="R207" s="2"/>
      <c r="S207" s="2"/>
      <c r="T207" s="2"/>
      <c r="U207" s="2"/>
      <c r="V207" s="97">
        <f>SUM(P207:T207)</f>
        <v>0</v>
      </c>
      <c r="W207" s="27"/>
      <c r="X207" s="2"/>
      <c r="Y207" s="24"/>
      <c r="AD207" s="97">
        <f>SUM(X207:AB207)</f>
        <v>0</v>
      </c>
    </row>
    <row r="208" spans="1:30" s="125" customFormat="1" ht="11.25" x14ac:dyDescent="0.2">
      <c r="A208" s="101">
        <v>901</v>
      </c>
      <c r="B208" s="36"/>
      <c r="C208" s="178" t="s">
        <v>210</v>
      </c>
      <c r="D208" s="178" t="s">
        <v>155</v>
      </c>
      <c r="E208" s="86"/>
      <c r="F208" s="86">
        <v>612</v>
      </c>
      <c r="G208" s="21"/>
      <c r="H208" s="21"/>
      <c r="I208" s="21"/>
      <c r="J208" s="21"/>
      <c r="K208" s="21"/>
      <c r="L208" s="21"/>
      <c r="M208" s="21"/>
      <c r="N208" s="97">
        <f t="shared" si="28"/>
        <v>0</v>
      </c>
      <c r="O208" s="24"/>
      <c r="P208" s="2"/>
      <c r="Q208" s="2"/>
      <c r="R208" s="2"/>
      <c r="S208" s="2"/>
      <c r="T208" s="2"/>
      <c r="U208" s="2"/>
      <c r="V208" s="97">
        <f t="shared" si="29"/>
        <v>0</v>
      </c>
      <c r="W208" s="27"/>
      <c r="X208" s="2"/>
      <c r="Y208" s="24"/>
      <c r="AD208" s="97">
        <f t="shared" si="30"/>
        <v>0</v>
      </c>
    </row>
    <row r="209" spans="1:30" s="125" customFormat="1" ht="11.25" x14ac:dyDescent="0.2">
      <c r="A209" s="101">
        <v>901</v>
      </c>
      <c r="B209" s="36"/>
      <c r="C209" s="178" t="e">
        <f ca="1">+#REF!</f>
        <v>#REF!</v>
      </c>
      <c r="D209" s="178" t="e">
        <f ca="1">+#REF!</f>
        <v>#REF!</v>
      </c>
      <c r="E209" s="86"/>
      <c r="F209" s="86" t="e">
        <f ca="1">+#REF!</f>
        <v>#REF!</v>
      </c>
      <c r="G209" s="21"/>
      <c r="H209" s="21" t="e">
        <f ca="1">ROUND(#REF!/1000,0)</f>
        <v>#REF!</v>
      </c>
      <c r="I209" s="21"/>
      <c r="J209" s="21" t="e">
        <f ca="1">ROUND(#REF!/1000,0)</f>
        <v>#REF!</v>
      </c>
      <c r="K209" s="21"/>
      <c r="L209" s="21" t="e">
        <f ca="1">-ROUND((#REF!-#REF!)/1000,0)</f>
        <v>#REF!</v>
      </c>
      <c r="M209" s="21"/>
      <c r="N209" s="97" t="e">
        <f t="shared" si="28"/>
        <v>#REF!</v>
      </c>
      <c r="O209" s="24"/>
      <c r="P209" s="2"/>
      <c r="Q209" s="2"/>
      <c r="R209" s="2"/>
      <c r="S209" s="2"/>
      <c r="T209" s="2"/>
      <c r="U209" s="2"/>
      <c r="V209" s="97">
        <f t="shared" si="29"/>
        <v>0</v>
      </c>
      <c r="W209" s="27"/>
      <c r="X209" s="2"/>
      <c r="Y209" s="24"/>
      <c r="AD209" s="97">
        <f t="shared" si="30"/>
        <v>0</v>
      </c>
    </row>
    <row r="210" spans="1:30" s="125" customFormat="1" ht="11.25" x14ac:dyDescent="0.2">
      <c r="A210" s="101">
        <v>901</v>
      </c>
      <c r="B210" s="36"/>
      <c r="C210" s="178" t="e">
        <f ca="1">+#REF!</f>
        <v>#REF!</v>
      </c>
      <c r="D210" s="178" t="e">
        <f ca="1">+#REF!</f>
        <v>#REF!</v>
      </c>
      <c r="E210" s="86"/>
      <c r="F210" s="86" t="e">
        <f ca="1">+#REF!</f>
        <v>#REF!</v>
      </c>
      <c r="G210" s="21"/>
      <c r="H210" s="21" t="e">
        <f ca="1">ROUND(#REF!/1000,0)</f>
        <v>#REF!</v>
      </c>
      <c r="I210" s="21"/>
      <c r="J210" s="21" t="e">
        <f ca="1">ROUND(#REF!/1000,0)</f>
        <v>#REF!</v>
      </c>
      <c r="K210" s="21"/>
      <c r="L210" s="21" t="e">
        <f ca="1">-ROUND((#REF!-#REF!)/1000,0)</f>
        <v>#REF!</v>
      </c>
      <c r="M210" s="21"/>
      <c r="N210" s="97" t="e">
        <f t="shared" si="28"/>
        <v>#REF!</v>
      </c>
      <c r="O210" s="24"/>
      <c r="P210" s="2"/>
      <c r="Q210" s="2"/>
      <c r="R210" s="2"/>
      <c r="S210" s="2"/>
      <c r="T210" s="2"/>
      <c r="U210" s="2"/>
      <c r="V210" s="97">
        <f t="shared" si="29"/>
        <v>0</v>
      </c>
      <c r="W210" s="27"/>
      <c r="X210" s="2"/>
      <c r="Y210" s="24"/>
      <c r="AD210" s="97">
        <f t="shared" si="30"/>
        <v>0</v>
      </c>
    </row>
    <row r="211" spans="1:30" s="125" customFormat="1" ht="11.25" x14ac:dyDescent="0.2">
      <c r="A211" s="101">
        <v>901</v>
      </c>
      <c r="B211" s="36"/>
      <c r="C211" s="178" t="e">
        <f ca="1">+#REF!</f>
        <v>#REF!</v>
      </c>
      <c r="D211" s="178" t="e">
        <f ca="1">+#REF!</f>
        <v>#REF!</v>
      </c>
      <c r="E211" s="86"/>
      <c r="F211" s="86" t="e">
        <f ca="1">+#REF!</f>
        <v>#REF!</v>
      </c>
      <c r="G211" s="21"/>
      <c r="H211" s="21" t="e">
        <f ca="1">ROUND(#REF!/1000,0)</f>
        <v>#REF!</v>
      </c>
      <c r="I211" s="21"/>
      <c r="J211" s="21" t="e">
        <f ca="1">ROUND(#REF!/1000,0)</f>
        <v>#REF!</v>
      </c>
      <c r="K211" s="21"/>
      <c r="L211" s="21" t="e">
        <f ca="1">ROUND((#REF!-#REF!)/1000,0)</f>
        <v>#REF!</v>
      </c>
      <c r="M211" s="21"/>
      <c r="N211" s="97" t="e">
        <f t="shared" si="28"/>
        <v>#REF!</v>
      </c>
      <c r="O211" s="24"/>
      <c r="P211" s="2"/>
      <c r="Q211" s="2"/>
      <c r="R211" s="2"/>
      <c r="S211" s="2"/>
      <c r="T211" s="2"/>
      <c r="U211" s="2"/>
      <c r="V211" s="97">
        <f t="shared" si="29"/>
        <v>0</v>
      </c>
      <c r="W211" s="27"/>
      <c r="X211" s="2"/>
      <c r="Y211" s="24"/>
      <c r="AD211" s="97">
        <f t="shared" si="30"/>
        <v>0</v>
      </c>
    </row>
    <row r="212" spans="1:30" s="125" customFormat="1" ht="11.25" x14ac:dyDescent="0.2">
      <c r="A212" s="101">
        <v>901</v>
      </c>
      <c r="B212" s="36"/>
      <c r="C212" s="178" t="e">
        <f ca="1">+#REF!</f>
        <v>#REF!</v>
      </c>
      <c r="D212" s="178" t="e">
        <f ca="1">+#REF!</f>
        <v>#REF!</v>
      </c>
      <c r="E212" s="86"/>
      <c r="F212" s="86" t="e">
        <f ca="1">+#REF!</f>
        <v>#REF!</v>
      </c>
      <c r="G212" s="21"/>
      <c r="H212" s="21" t="e">
        <f ca="1">ROUND(#REF!/1000,0)</f>
        <v>#REF!</v>
      </c>
      <c r="I212" s="21"/>
      <c r="J212" s="21" t="e">
        <f ca="1">ROUND(#REF!/1000,0)</f>
        <v>#REF!</v>
      </c>
      <c r="K212" s="21"/>
      <c r="L212" s="21" t="e">
        <f ca="1">ROUND((#REF!-#REF!)/1000,0)</f>
        <v>#REF!</v>
      </c>
      <c r="M212" s="21"/>
      <c r="N212" s="97" t="e">
        <f>SUM(H212:L212)</f>
        <v>#REF!</v>
      </c>
      <c r="O212" s="24"/>
      <c r="P212" s="2"/>
      <c r="Q212" s="2"/>
      <c r="R212" s="2"/>
      <c r="S212" s="2"/>
      <c r="T212" s="2"/>
      <c r="U212" s="2"/>
      <c r="V212" s="97">
        <f>SUM(P212:T212)</f>
        <v>0</v>
      </c>
      <c r="W212" s="27"/>
      <c r="X212" s="2"/>
      <c r="Y212" s="24"/>
      <c r="AD212" s="97">
        <f>SUM(X212:AB212)</f>
        <v>0</v>
      </c>
    </row>
    <row r="213" spans="1:30" s="125" customFormat="1" ht="11.25" x14ac:dyDescent="0.2">
      <c r="A213" s="101">
        <v>901</v>
      </c>
      <c r="B213" s="36"/>
      <c r="C213" s="178" t="e">
        <f ca="1">+#REF!</f>
        <v>#REF!</v>
      </c>
      <c r="D213" s="178" t="e">
        <f ca="1">+#REF!</f>
        <v>#REF!</v>
      </c>
      <c r="E213" s="86"/>
      <c r="F213" s="86" t="e">
        <f ca="1">+#REF!</f>
        <v>#REF!</v>
      </c>
      <c r="G213" s="21"/>
      <c r="H213" s="21" t="e">
        <f ca="1">ROUND(#REF!/1000,0)</f>
        <v>#REF!</v>
      </c>
      <c r="I213" s="21"/>
      <c r="J213" s="21" t="e">
        <f ca="1">ROUND(#REF!/1000,0)</f>
        <v>#REF!</v>
      </c>
      <c r="K213" s="21"/>
      <c r="L213" s="21" t="e">
        <f ca="1">ROUND((#REF!-#REF!)/1000,0)</f>
        <v>#REF!</v>
      </c>
      <c r="M213" s="21"/>
      <c r="N213" s="97" t="e">
        <f>SUM(H213:L213)</f>
        <v>#REF!</v>
      </c>
      <c r="O213" s="24"/>
      <c r="P213" s="2"/>
      <c r="Q213" s="2"/>
      <c r="R213" s="2"/>
      <c r="S213" s="2"/>
      <c r="T213" s="2"/>
      <c r="U213" s="2"/>
      <c r="V213" s="97">
        <f>SUM(P213:T213)</f>
        <v>0</v>
      </c>
      <c r="W213" s="27"/>
      <c r="X213" s="2"/>
      <c r="Y213" s="24"/>
      <c r="AD213" s="97">
        <f>SUM(X213:AB213)</f>
        <v>0</v>
      </c>
    </row>
    <row r="214" spans="1:30" s="125" customFormat="1" ht="11.25" x14ac:dyDescent="0.2">
      <c r="A214" s="101">
        <v>901</v>
      </c>
      <c r="B214" s="36"/>
      <c r="C214" s="178" t="e">
        <f ca="1">+#REF!</f>
        <v>#REF!</v>
      </c>
      <c r="D214" s="178" t="e">
        <f ca="1">+#REF!</f>
        <v>#REF!</v>
      </c>
      <c r="E214" s="86"/>
      <c r="F214" s="86" t="e">
        <f ca="1">+#REF!</f>
        <v>#REF!</v>
      </c>
      <c r="G214" s="21"/>
      <c r="H214" s="21" t="e">
        <f ca="1">ROUND(#REF!/1000,0)</f>
        <v>#REF!</v>
      </c>
      <c r="I214" s="21"/>
      <c r="J214" s="21" t="e">
        <f ca="1">ROUND(#REF!/1000,0)</f>
        <v>#REF!</v>
      </c>
      <c r="K214" s="21"/>
      <c r="L214" s="21" t="e">
        <f ca="1">-ROUND((#REF!-#REF!)/1000,0)</f>
        <v>#REF!</v>
      </c>
      <c r="M214" s="21"/>
      <c r="N214" s="97" t="e">
        <f t="shared" si="28"/>
        <v>#REF!</v>
      </c>
      <c r="O214" s="24"/>
      <c r="P214" s="2"/>
      <c r="Q214" s="2"/>
      <c r="R214" s="2"/>
      <c r="S214" s="2"/>
      <c r="T214" s="2"/>
      <c r="U214" s="2"/>
      <c r="V214" s="97">
        <f t="shared" si="29"/>
        <v>0</v>
      </c>
      <c r="W214" s="27"/>
      <c r="X214" s="2"/>
      <c r="Y214" s="24"/>
      <c r="AD214" s="97">
        <f t="shared" si="30"/>
        <v>0</v>
      </c>
    </row>
    <row r="215" spans="1:30" s="125" customFormat="1" ht="11.25" x14ac:dyDescent="0.2">
      <c r="A215" s="101">
        <v>901</v>
      </c>
      <c r="B215" s="36"/>
      <c r="C215" s="178" t="e">
        <f ca="1">+#REF!</f>
        <v>#REF!</v>
      </c>
      <c r="D215" s="178" t="e">
        <f ca="1">+#REF!</f>
        <v>#REF!</v>
      </c>
      <c r="E215" s="86"/>
      <c r="F215" s="86" t="e">
        <f ca="1">+#REF!</f>
        <v>#REF!</v>
      </c>
      <c r="G215" s="21"/>
      <c r="H215" s="21" t="e">
        <f ca="1">ROUND(#REF!/1000,0)</f>
        <v>#REF!</v>
      </c>
      <c r="I215" s="21"/>
      <c r="J215" s="21" t="e">
        <f ca="1">ROUND(#REF!/1000,0)</f>
        <v>#REF!</v>
      </c>
      <c r="K215" s="21"/>
      <c r="L215" s="21" t="e">
        <f ca="1">-ROUND((#REF!-#REF!)/1000,0)</f>
        <v>#REF!</v>
      </c>
      <c r="M215" s="21"/>
      <c r="N215" s="97" t="e">
        <f t="shared" ref="N215:N220" si="31">SUM(H215:L215)</f>
        <v>#REF!</v>
      </c>
      <c r="O215" s="24"/>
      <c r="P215" s="2"/>
      <c r="Q215" s="2"/>
      <c r="R215" s="2"/>
      <c r="S215" s="2"/>
      <c r="T215" s="2"/>
      <c r="U215" s="2"/>
      <c r="V215" s="97">
        <f t="shared" si="29"/>
        <v>0</v>
      </c>
      <c r="W215" s="27"/>
      <c r="X215" s="2"/>
      <c r="Y215" s="24"/>
      <c r="AD215" s="97">
        <f t="shared" si="30"/>
        <v>0</v>
      </c>
    </row>
    <row r="216" spans="1:30" s="125" customFormat="1" ht="11.25" x14ac:dyDescent="0.2">
      <c r="A216" s="101">
        <v>901</v>
      </c>
      <c r="B216" s="36"/>
      <c r="C216" s="178" t="e">
        <f ca="1">+#REF!</f>
        <v>#REF!</v>
      </c>
      <c r="D216" s="178" t="e">
        <f ca="1">+#REF!</f>
        <v>#REF!</v>
      </c>
      <c r="E216" s="86"/>
      <c r="F216" s="86" t="e">
        <f ca="1">+#REF!</f>
        <v>#REF!</v>
      </c>
      <c r="G216" s="21"/>
      <c r="H216" s="21" t="e">
        <f ca="1">ROUND(#REF!/1000,0)</f>
        <v>#REF!</v>
      </c>
      <c r="I216" s="21"/>
      <c r="J216" s="21" t="e">
        <f ca="1">ROUND(#REF!/1000,0)</f>
        <v>#REF!</v>
      </c>
      <c r="K216" s="21"/>
      <c r="L216" s="21" t="e">
        <f ca="1">-ROUND((#REF!-#REF!)/1000,0)</f>
        <v>#REF!</v>
      </c>
      <c r="M216" s="21"/>
      <c r="N216" s="97" t="e">
        <f t="shared" si="31"/>
        <v>#REF!</v>
      </c>
      <c r="O216" s="24"/>
      <c r="P216" s="2"/>
      <c r="Q216" s="2"/>
      <c r="R216" s="2"/>
      <c r="S216" s="2"/>
      <c r="T216" s="2"/>
      <c r="U216" s="2"/>
      <c r="V216" s="97">
        <f t="shared" si="29"/>
        <v>0</v>
      </c>
      <c r="W216" s="27"/>
      <c r="X216" s="2"/>
      <c r="Y216" s="24"/>
      <c r="AD216" s="97">
        <f t="shared" si="30"/>
        <v>0</v>
      </c>
    </row>
    <row r="217" spans="1:30" s="125" customFormat="1" ht="11.25" x14ac:dyDescent="0.2">
      <c r="A217" s="101">
        <v>901</v>
      </c>
      <c r="B217" s="36"/>
      <c r="C217" s="178" t="e">
        <f ca="1">+#REF!</f>
        <v>#REF!</v>
      </c>
      <c r="D217" s="178" t="e">
        <f ca="1">+#REF!</f>
        <v>#REF!</v>
      </c>
      <c r="E217" s="86"/>
      <c r="F217" s="86" t="e">
        <f ca="1">+#REF!</f>
        <v>#REF!</v>
      </c>
      <c r="G217" s="21"/>
      <c r="H217" s="21" t="e">
        <f ca="1">ROUND(#REF!/1000,0)</f>
        <v>#REF!</v>
      </c>
      <c r="I217" s="21"/>
      <c r="J217" s="21" t="e">
        <f ca="1">ROUND(#REF!/1000,0)</f>
        <v>#REF!</v>
      </c>
      <c r="K217" s="21"/>
      <c r="L217" s="21" t="e">
        <f ca="1">-ROUND((#REF!-#REF!)/1000,0)</f>
        <v>#REF!</v>
      </c>
      <c r="M217" s="21"/>
      <c r="N217" s="97" t="e">
        <f t="shared" si="31"/>
        <v>#REF!</v>
      </c>
      <c r="O217" s="24"/>
      <c r="P217" s="2"/>
      <c r="Q217" s="2"/>
      <c r="R217" s="2"/>
      <c r="S217" s="2"/>
      <c r="T217" s="2"/>
      <c r="U217" s="2"/>
      <c r="V217" s="97">
        <f t="shared" si="29"/>
        <v>0</v>
      </c>
      <c r="W217" s="27"/>
      <c r="X217" s="2"/>
      <c r="Y217" s="24"/>
      <c r="AD217" s="97">
        <f t="shared" si="30"/>
        <v>0</v>
      </c>
    </row>
    <row r="218" spans="1:30" s="125" customFormat="1" ht="11.25" x14ac:dyDescent="0.2">
      <c r="A218" s="101">
        <v>901</v>
      </c>
      <c r="B218" s="36"/>
      <c r="C218" s="178" t="e">
        <f ca="1">+#REF!</f>
        <v>#REF!</v>
      </c>
      <c r="D218" s="178" t="e">
        <f ca="1">+#REF!</f>
        <v>#REF!</v>
      </c>
      <c r="E218" s="86"/>
      <c r="F218" s="86" t="e">
        <f ca="1">+#REF!</f>
        <v>#REF!</v>
      </c>
      <c r="G218" s="21"/>
      <c r="H218" s="21" t="e">
        <f ca="1">ROUND(#REF!/1000,0)</f>
        <v>#REF!</v>
      </c>
      <c r="I218" s="21"/>
      <c r="J218" s="21" t="e">
        <f ca="1">ROUND(#REF!/1000,0)</f>
        <v>#REF!</v>
      </c>
      <c r="K218" s="21"/>
      <c r="L218" s="21" t="e">
        <f ca="1">-ROUND((#REF!-#REF!)/1000,0)</f>
        <v>#REF!</v>
      </c>
      <c r="M218" s="21"/>
      <c r="N218" s="97" t="e">
        <f t="shared" si="31"/>
        <v>#REF!</v>
      </c>
      <c r="O218" s="24"/>
      <c r="P218" s="2"/>
      <c r="Q218" s="2"/>
      <c r="R218" s="2"/>
      <c r="S218" s="2"/>
      <c r="T218" s="2"/>
      <c r="U218" s="2"/>
      <c r="V218" s="97">
        <f t="shared" si="29"/>
        <v>0</v>
      </c>
      <c r="W218" s="27"/>
      <c r="X218" s="2"/>
      <c r="Y218" s="24"/>
      <c r="AD218" s="97">
        <f t="shared" si="30"/>
        <v>0</v>
      </c>
    </row>
    <row r="219" spans="1:30" s="125" customFormat="1" ht="11.25" x14ac:dyDescent="0.2">
      <c r="A219" s="101">
        <v>901</v>
      </c>
      <c r="B219" s="36"/>
      <c r="C219" s="178" t="e">
        <f ca="1">+#REF!</f>
        <v>#REF!</v>
      </c>
      <c r="D219" s="178" t="e">
        <f ca="1">+#REF!</f>
        <v>#REF!</v>
      </c>
      <c r="E219" s="86"/>
      <c r="F219" s="86" t="e">
        <f ca="1">+#REF!</f>
        <v>#REF!</v>
      </c>
      <c r="G219" s="21"/>
      <c r="H219" s="21" t="e">
        <f ca="1">ROUND(#REF!/1000,0)</f>
        <v>#REF!</v>
      </c>
      <c r="I219" s="21"/>
      <c r="J219" s="21" t="e">
        <f ca="1">ROUND(#REF!/1000,0)</f>
        <v>#REF!</v>
      </c>
      <c r="K219" s="21"/>
      <c r="L219" s="21" t="e">
        <f ca="1">-ROUND((#REF!-#REF!)/1000,0)</f>
        <v>#REF!</v>
      </c>
      <c r="M219" s="21"/>
      <c r="N219" s="97" t="e">
        <f t="shared" si="31"/>
        <v>#REF!</v>
      </c>
      <c r="O219" s="24"/>
      <c r="P219" s="2"/>
      <c r="Q219" s="2"/>
      <c r="R219" s="2"/>
      <c r="S219" s="2"/>
      <c r="T219" s="2"/>
      <c r="U219" s="2"/>
      <c r="V219" s="97">
        <f t="shared" si="29"/>
        <v>0</v>
      </c>
      <c r="W219" s="27"/>
      <c r="X219" s="2"/>
      <c r="Y219" s="24"/>
      <c r="AD219" s="97">
        <f t="shared" si="30"/>
        <v>0</v>
      </c>
    </row>
    <row r="220" spans="1:30" s="125" customFormat="1" ht="11.25" x14ac:dyDescent="0.2">
      <c r="A220" s="101">
        <v>901</v>
      </c>
      <c r="B220" s="36"/>
      <c r="C220" s="178" t="e">
        <f ca="1">+#REF!</f>
        <v>#REF!</v>
      </c>
      <c r="D220" s="178" t="e">
        <f ca="1">+#REF!</f>
        <v>#REF!</v>
      </c>
      <c r="E220" s="86"/>
      <c r="F220" s="86" t="e">
        <f ca="1">+#REF!</f>
        <v>#REF!</v>
      </c>
      <c r="G220" s="21"/>
      <c r="H220" s="21" t="e">
        <f ca="1">ROUND(#REF!/1000,0)</f>
        <v>#REF!</v>
      </c>
      <c r="I220" s="21"/>
      <c r="J220" s="21" t="e">
        <f ca="1">ROUND(#REF!/1000,0)</f>
        <v>#REF!</v>
      </c>
      <c r="K220" s="21"/>
      <c r="L220" s="21" t="e">
        <f ca="1">-ROUND((#REF!-#REF!)/1000,0)</f>
        <v>#REF!</v>
      </c>
      <c r="M220" s="21"/>
      <c r="N220" s="97" t="e">
        <f t="shared" si="31"/>
        <v>#REF!</v>
      </c>
      <c r="O220" s="24"/>
      <c r="P220" s="2"/>
      <c r="Q220" s="2"/>
      <c r="R220" s="2"/>
      <c r="S220" s="2"/>
      <c r="T220" s="2"/>
      <c r="U220" s="2"/>
      <c r="V220" s="97">
        <f t="shared" si="29"/>
        <v>0</v>
      </c>
      <c r="W220" s="27"/>
      <c r="X220" s="2"/>
      <c r="Y220" s="24"/>
      <c r="AD220" s="97">
        <f t="shared" si="30"/>
        <v>0</v>
      </c>
    </row>
    <row r="221" spans="1:30" s="125" customFormat="1" ht="11.25" x14ac:dyDescent="0.2">
      <c r="A221" s="101">
        <v>901</v>
      </c>
      <c r="B221" s="36"/>
      <c r="C221" s="178" t="s">
        <v>250</v>
      </c>
      <c r="D221" s="178" t="s">
        <v>155</v>
      </c>
      <c r="E221" s="86"/>
      <c r="F221" s="86">
        <v>746</v>
      </c>
      <c r="G221" s="21"/>
      <c r="H221" s="21"/>
      <c r="I221" s="21"/>
      <c r="J221" s="21"/>
      <c r="K221" s="21"/>
      <c r="L221" s="21"/>
      <c r="M221" s="21"/>
      <c r="N221" s="97">
        <f t="shared" si="28"/>
        <v>0</v>
      </c>
      <c r="O221" s="24"/>
      <c r="P221" s="2"/>
      <c r="Q221" s="2"/>
      <c r="R221" s="2"/>
      <c r="S221" s="2"/>
      <c r="T221" s="2"/>
      <c r="U221" s="2"/>
      <c r="V221" s="97">
        <f t="shared" si="29"/>
        <v>0</v>
      </c>
      <c r="W221" s="27"/>
      <c r="X221" s="2"/>
      <c r="Y221" s="24"/>
      <c r="AD221" s="97">
        <f t="shared" si="30"/>
        <v>0</v>
      </c>
    </row>
    <row r="222" spans="1:30" s="125" customFormat="1" ht="11.25" x14ac:dyDescent="0.2">
      <c r="A222" s="101">
        <v>901</v>
      </c>
      <c r="B222" s="36"/>
      <c r="C222" s="178" t="e">
        <f ca="1">+#REF!</f>
        <v>#REF!</v>
      </c>
      <c r="D222" s="178" t="e">
        <f ca="1">+#REF!</f>
        <v>#REF!</v>
      </c>
      <c r="E222" s="86"/>
      <c r="F222" s="86" t="e">
        <f ca="1">+#REF!</f>
        <v>#REF!</v>
      </c>
      <c r="G222" s="21"/>
      <c r="H222" s="21" t="e">
        <f ca="1">ROUND(#REF!/1000,0)</f>
        <v>#REF!</v>
      </c>
      <c r="I222" s="21"/>
      <c r="J222" s="21" t="e">
        <f ca="1">ROUND(#REF!/1000,0)</f>
        <v>#REF!</v>
      </c>
      <c r="K222" s="21"/>
      <c r="L222" s="21" t="e">
        <f ca="1">-ROUND((#REF!-#REF!)/1000,0)</f>
        <v>#REF!</v>
      </c>
      <c r="M222" s="21"/>
      <c r="N222" s="97" t="e">
        <f t="shared" si="28"/>
        <v>#REF!</v>
      </c>
      <c r="O222" s="24"/>
      <c r="P222" s="2"/>
      <c r="Q222" s="2"/>
      <c r="R222" s="2"/>
      <c r="S222" s="2"/>
      <c r="T222" s="2"/>
      <c r="U222" s="2"/>
      <c r="V222" s="97">
        <f t="shared" si="29"/>
        <v>0</v>
      </c>
      <c r="W222" s="27"/>
      <c r="X222" s="2"/>
      <c r="Y222" s="24"/>
      <c r="AD222" s="97">
        <f t="shared" si="30"/>
        <v>0</v>
      </c>
    </row>
    <row r="223" spans="1:30" s="125" customFormat="1" ht="11.25" x14ac:dyDescent="0.2">
      <c r="A223" s="101">
        <v>901</v>
      </c>
      <c r="B223" s="36"/>
      <c r="C223" s="178" t="e">
        <f ca="1">+#REF!</f>
        <v>#REF!</v>
      </c>
      <c r="D223" s="178" t="e">
        <f ca="1">+#REF!</f>
        <v>#REF!</v>
      </c>
      <c r="E223" s="86"/>
      <c r="F223" s="86" t="e">
        <f ca="1">+#REF!</f>
        <v>#REF!</v>
      </c>
      <c r="G223" s="21"/>
      <c r="H223" s="21" t="e">
        <f ca="1">ROUND(#REF!/1000,0)</f>
        <v>#REF!</v>
      </c>
      <c r="I223" s="21"/>
      <c r="J223" s="21" t="e">
        <f ca="1">ROUND(#REF!/1000,0)</f>
        <v>#REF!</v>
      </c>
      <c r="K223" s="21"/>
      <c r="L223" s="21" t="e">
        <f ca="1">-ROUND((#REF!-#REF!)/1000,0)</f>
        <v>#REF!</v>
      </c>
      <c r="M223" s="21"/>
      <c r="N223" s="97" t="e">
        <f>SUM(H223:L223)</f>
        <v>#REF!</v>
      </c>
      <c r="O223" s="24"/>
      <c r="P223" s="2"/>
      <c r="Q223" s="2"/>
      <c r="R223" s="2"/>
      <c r="S223" s="2"/>
      <c r="T223" s="2"/>
      <c r="U223" s="2"/>
      <c r="V223" s="97">
        <f>SUM(P223:T223)</f>
        <v>0</v>
      </c>
      <c r="W223" s="27"/>
      <c r="X223" s="2"/>
      <c r="Y223" s="24"/>
      <c r="AD223" s="97">
        <f>SUM(X223:AB223)</f>
        <v>0</v>
      </c>
    </row>
    <row r="224" spans="1:30" s="125" customFormat="1" ht="11.25" x14ac:dyDescent="0.2">
      <c r="A224" s="101">
        <v>901</v>
      </c>
      <c r="B224" s="36"/>
      <c r="C224" s="178" t="e">
        <f ca="1">+#REF!</f>
        <v>#REF!</v>
      </c>
      <c r="D224" s="178" t="e">
        <f ca="1">+#REF!</f>
        <v>#REF!</v>
      </c>
      <c r="E224" s="86"/>
      <c r="F224" s="86" t="e">
        <f ca="1">+#REF!</f>
        <v>#REF!</v>
      </c>
      <c r="G224" s="21"/>
      <c r="H224" s="21" t="e">
        <f ca="1">ROUND(#REF!/1000,0)</f>
        <v>#REF!</v>
      </c>
      <c r="I224" s="21"/>
      <c r="J224" s="21" t="e">
        <f ca="1">ROUND(#REF!/1000,0)</f>
        <v>#REF!</v>
      </c>
      <c r="K224" s="21"/>
      <c r="L224" s="21" t="e">
        <f ca="1">-ROUND((#REF!-#REF!)/1000,0)</f>
        <v>#REF!</v>
      </c>
      <c r="M224" s="21"/>
      <c r="N224" s="97" t="e">
        <f t="shared" si="28"/>
        <v>#REF!</v>
      </c>
      <c r="O224" s="24"/>
      <c r="P224" s="2"/>
      <c r="Q224" s="2"/>
      <c r="R224" s="2"/>
      <c r="S224" s="2"/>
      <c r="T224" s="2"/>
      <c r="U224" s="2"/>
      <c r="V224" s="97">
        <f t="shared" si="29"/>
        <v>0</v>
      </c>
      <c r="W224" s="27"/>
      <c r="X224" s="2"/>
      <c r="Y224" s="24"/>
      <c r="AD224" s="97">
        <f t="shared" si="30"/>
        <v>0</v>
      </c>
    </row>
    <row r="225" spans="1:32" s="125" customFormat="1" ht="11.25" x14ac:dyDescent="0.2">
      <c r="A225" s="101">
        <v>901</v>
      </c>
      <c r="B225" s="36"/>
      <c r="C225" s="178" t="e">
        <f ca="1">+#REF!</f>
        <v>#REF!</v>
      </c>
      <c r="D225" s="178" t="e">
        <f ca="1">+#REF!</f>
        <v>#REF!</v>
      </c>
      <c r="E225" s="86"/>
      <c r="F225" s="86" t="e">
        <f ca="1">+#REF!</f>
        <v>#REF!</v>
      </c>
      <c r="G225" s="21"/>
      <c r="H225" s="21" t="e">
        <f ca="1">ROUND(#REF!/1000,0)</f>
        <v>#REF!</v>
      </c>
      <c r="I225" s="21"/>
      <c r="J225" s="21" t="e">
        <f ca="1">ROUND(#REF!/1000,0)</f>
        <v>#REF!</v>
      </c>
      <c r="K225" s="21"/>
      <c r="L225" s="21" t="e">
        <f ca="1">-ROUND((#REF!-#REF!)/1000,0)</f>
        <v>#REF!</v>
      </c>
      <c r="M225" s="21"/>
      <c r="N225" s="97" t="e">
        <f t="shared" si="28"/>
        <v>#REF!</v>
      </c>
      <c r="O225" s="24"/>
      <c r="P225" s="2"/>
      <c r="Q225" s="2"/>
      <c r="R225" s="2"/>
      <c r="S225" s="2"/>
      <c r="T225" s="2"/>
      <c r="U225" s="2"/>
      <c r="V225" s="97">
        <f t="shared" si="29"/>
        <v>0</v>
      </c>
      <c r="W225" s="27"/>
      <c r="X225" s="2"/>
      <c r="Y225" s="24"/>
      <c r="AD225" s="97">
        <f t="shared" si="30"/>
        <v>0</v>
      </c>
    </row>
    <row r="226" spans="1:32" s="125" customFormat="1" ht="11.25" x14ac:dyDescent="0.2">
      <c r="A226" s="96">
        <v>901</v>
      </c>
      <c r="B226" s="36"/>
      <c r="C226" s="178" t="e">
        <f ca="1">+#REF!</f>
        <v>#REF!</v>
      </c>
      <c r="D226" s="178" t="e">
        <f ca="1">+#REF!</f>
        <v>#REF!</v>
      </c>
      <c r="E226" s="86"/>
      <c r="F226" s="86" t="e">
        <f ca="1">+#REF!</f>
        <v>#REF!</v>
      </c>
      <c r="G226" s="21"/>
      <c r="H226" s="21" t="e">
        <f ca="1">ROUND(#REF!/1000,0)</f>
        <v>#REF!</v>
      </c>
      <c r="I226" s="21"/>
      <c r="J226" s="21" t="e">
        <f ca="1">ROUND(#REF!/1000,0)</f>
        <v>#REF!</v>
      </c>
      <c r="K226" s="21"/>
      <c r="L226" s="21" t="e">
        <f ca="1">-ROUND((#REF!-#REF!)/1000,0)</f>
        <v>#REF!</v>
      </c>
      <c r="M226" s="21"/>
      <c r="N226" s="97" t="e">
        <f>SUM(H226:L226)</f>
        <v>#REF!</v>
      </c>
      <c r="O226" s="24"/>
      <c r="P226" s="2"/>
      <c r="Q226" s="2"/>
      <c r="R226" s="2"/>
      <c r="S226" s="2"/>
      <c r="T226" s="2"/>
      <c r="U226" s="2"/>
      <c r="V226" s="97">
        <f>SUM(P226:T226)</f>
        <v>0</v>
      </c>
      <c r="W226" s="27"/>
      <c r="X226" s="2"/>
      <c r="Y226" s="24"/>
      <c r="AD226" s="97">
        <f>SUM(X226:AB226)</f>
        <v>0</v>
      </c>
    </row>
    <row r="227" spans="1:32" s="125" customFormat="1" ht="11.25" x14ac:dyDescent="0.2">
      <c r="A227" s="96">
        <v>901</v>
      </c>
      <c r="B227" s="36"/>
      <c r="C227" s="178" t="e">
        <f ca="1">+#REF!</f>
        <v>#REF!</v>
      </c>
      <c r="D227" s="178" t="e">
        <f ca="1">+#REF!</f>
        <v>#REF!</v>
      </c>
      <c r="E227" s="86"/>
      <c r="F227" s="86" t="e">
        <f ca="1">+#REF!</f>
        <v>#REF!</v>
      </c>
      <c r="G227" s="21"/>
      <c r="H227" s="21" t="e">
        <f ca="1">ROUND(#REF!/1000,0)</f>
        <v>#REF!</v>
      </c>
      <c r="I227" s="21"/>
      <c r="J227" s="21" t="e">
        <f ca="1">ROUND(#REF!/1000,0)</f>
        <v>#REF!</v>
      </c>
      <c r="K227" s="21"/>
      <c r="L227" s="21" t="e">
        <f ca="1">-ROUND((#REF!-#REF!)/1000,0)</f>
        <v>#REF!</v>
      </c>
      <c r="M227" s="21"/>
      <c r="N227" s="97" t="e">
        <f t="shared" si="28"/>
        <v>#REF!</v>
      </c>
      <c r="O227" s="24"/>
      <c r="P227" s="2"/>
      <c r="Q227" s="2"/>
      <c r="R227" s="2"/>
      <c r="S227" s="2"/>
      <c r="T227" s="2"/>
      <c r="U227" s="2"/>
      <c r="V227" s="97">
        <f t="shared" si="29"/>
        <v>0</v>
      </c>
      <c r="W227" s="27"/>
      <c r="X227" s="2"/>
      <c r="Y227" s="24"/>
      <c r="AD227" s="97">
        <f t="shared" si="30"/>
        <v>0</v>
      </c>
    </row>
    <row r="228" spans="1:32" s="125" customFormat="1" ht="11.25" x14ac:dyDescent="0.2">
      <c r="A228" s="101">
        <v>901</v>
      </c>
      <c r="B228" s="36"/>
      <c r="C228" s="178" t="e">
        <f ca="1">+#REF!</f>
        <v>#REF!</v>
      </c>
      <c r="D228" s="178" t="e">
        <f ca="1">+#REF!</f>
        <v>#REF!</v>
      </c>
      <c r="E228" s="86"/>
      <c r="F228" s="86" t="e">
        <f ca="1">+#REF!</f>
        <v>#REF!</v>
      </c>
      <c r="G228" s="21"/>
      <c r="H228" s="21" t="e">
        <f ca="1">ROUND(#REF!/1000,0)</f>
        <v>#REF!</v>
      </c>
      <c r="I228" s="21"/>
      <c r="J228" s="21" t="e">
        <f ca="1">ROUND(#REF!/1000,0)</f>
        <v>#REF!</v>
      </c>
      <c r="K228" s="21"/>
      <c r="L228" s="21" t="e">
        <f ca="1">-ROUND((#REF!-#REF!)/1000,0)</f>
        <v>#REF!</v>
      </c>
      <c r="M228" s="21"/>
      <c r="N228" s="97" t="e">
        <f>SUM(H228:L228)</f>
        <v>#REF!</v>
      </c>
      <c r="O228" s="24"/>
      <c r="P228" s="2"/>
      <c r="Q228" s="2"/>
      <c r="R228" s="2"/>
      <c r="S228" s="2"/>
      <c r="T228" s="2"/>
      <c r="U228" s="2"/>
      <c r="V228" s="97">
        <f t="shared" si="29"/>
        <v>0</v>
      </c>
      <c r="W228" s="27"/>
      <c r="X228" s="2"/>
      <c r="Y228" s="24"/>
      <c r="AD228" s="97">
        <f t="shared" si="30"/>
        <v>0</v>
      </c>
    </row>
    <row r="229" spans="1:32" s="125" customFormat="1" ht="11.25" x14ac:dyDescent="0.2">
      <c r="A229" s="101">
        <v>901</v>
      </c>
      <c r="B229" s="36"/>
      <c r="C229" s="178" t="e">
        <f ca="1">+#REF!</f>
        <v>#REF!</v>
      </c>
      <c r="D229" s="178" t="e">
        <f ca="1">+#REF!</f>
        <v>#REF!</v>
      </c>
      <c r="E229" s="86"/>
      <c r="F229" s="86" t="e">
        <f ca="1">+#REF!</f>
        <v>#REF!</v>
      </c>
      <c r="G229" s="21"/>
      <c r="H229" s="21" t="e">
        <f ca="1">ROUND(#REF!/1000,0)</f>
        <v>#REF!</v>
      </c>
      <c r="I229" s="21"/>
      <c r="J229" s="21" t="e">
        <f ca="1">ROUND(#REF!/1000,0)</f>
        <v>#REF!</v>
      </c>
      <c r="K229" s="21"/>
      <c r="L229" s="21" t="e">
        <f ca="1">-ROUND((#REF!-#REF!)/1000,0)</f>
        <v>#REF!</v>
      </c>
      <c r="M229" s="21"/>
      <c r="N229" s="97" t="e">
        <f t="shared" si="28"/>
        <v>#REF!</v>
      </c>
      <c r="O229" s="24"/>
      <c r="P229" s="2"/>
      <c r="Q229" s="2"/>
      <c r="R229" s="2"/>
      <c r="S229" s="2"/>
      <c r="T229" s="2"/>
      <c r="U229" s="2"/>
      <c r="V229" s="97">
        <f t="shared" si="29"/>
        <v>0</v>
      </c>
      <c r="W229" s="27"/>
      <c r="X229" s="2"/>
      <c r="Y229" s="24"/>
      <c r="AD229" s="97">
        <f t="shared" si="30"/>
        <v>0</v>
      </c>
    </row>
    <row r="230" spans="1:32" s="125" customFormat="1" ht="11.25" x14ac:dyDescent="0.2">
      <c r="A230" s="101">
        <v>901</v>
      </c>
      <c r="B230" s="36"/>
      <c r="C230" s="178" t="e">
        <f ca="1">+#REF!</f>
        <v>#REF!</v>
      </c>
      <c r="D230" s="178" t="e">
        <f ca="1">+#REF!</f>
        <v>#REF!</v>
      </c>
      <c r="E230" s="86"/>
      <c r="F230" s="86" t="e">
        <f ca="1">+#REF!</f>
        <v>#REF!</v>
      </c>
      <c r="G230" s="21"/>
      <c r="H230" s="21" t="e">
        <f ca="1">ROUND(#REF!/1000,0)</f>
        <v>#REF!</v>
      </c>
      <c r="I230" s="21"/>
      <c r="J230" s="21" t="e">
        <f ca="1">ROUND(#REF!/1000,0)</f>
        <v>#REF!</v>
      </c>
      <c r="K230" s="21"/>
      <c r="L230" s="21" t="e">
        <f ca="1">-ROUND((#REF!-#REF!)/1000,0)</f>
        <v>#REF!</v>
      </c>
      <c r="M230" s="21"/>
      <c r="N230" s="97" t="e">
        <f t="shared" si="28"/>
        <v>#REF!</v>
      </c>
      <c r="O230" s="24"/>
      <c r="P230" s="2"/>
      <c r="Q230" s="2"/>
      <c r="R230" s="2"/>
      <c r="S230" s="2"/>
      <c r="T230" s="2"/>
      <c r="U230" s="2"/>
      <c r="V230" s="97">
        <f t="shared" si="29"/>
        <v>0</v>
      </c>
      <c r="W230" s="27"/>
      <c r="X230" s="2"/>
      <c r="Y230" s="24"/>
      <c r="AD230" s="97">
        <f t="shared" si="30"/>
        <v>0</v>
      </c>
    </row>
    <row r="231" spans="1:32" s="125" customFormat="1" ht="11.25" x14ac:dyDescent="0.2">
      <c r="A231" s="101">
        <v>901</v>
      </c>
      <c r="B231" s="36"/>
      <c r="C231" s="178" t="e">
        <f ca="1">+#REF!</f>
        <v>#REF!</v>
      </c>
      <c r="D231" s="178" t="e">
        <f ca="1">+#REF!</f>
        <v>#REF!</v>
      </c>
      <c r="E231" s="86"/>
      <c r="F231" s="86" t="e">
        <f ca="1">+#REF!</f>
        <v>#REF!</v>
      </c>
      <c r="G231" s="21"/>
      <c r="H231" s="21" t="e">
        <f ca="1">ROUND(#REF!/1000,0)</f>
        <v>#REF!</v>
      </c>
      <c r="I231" s="21"/>
      <c r="J231" s="21" t="e">
        <f ca="1">ROUND(#REF!/1000,0)</f>
        <v>#REF!</v>
      </c>
      <c r="K231" s="21"/>
      <c r="L231" s="21" t="e">
        <f ca="1">ROUND((#REF!-#REF!)/1000,0)</f>
        <v>#REF!</v>
      </c>
      <c r="M231" s="21"/>
      <c r="N231" s="97" t="e">
        <f t="shared" si="28"/>
        <v>#REF!</v>
      </c>
      <c r="O231" s="24"/>
      <c r="P231" s="2"/>
      <c r="Q231" s="2"/>
      <c r="R231" s="2"/>
      <c r="S231" s="2"/>
      <c r="T231" s="2"/>
      <c r="U231" s="2"/>
      <c r="V231" s="97">
        <f t="shared" si="29"/>
        <v>0</v>
      </c>
      <c r="W231" s="27"/>
      <c r="X231" s="2"/>
      <c r="Y231" s="24"/>
      <c r="AD231" s="97">
        <f t="shared" si="30"/>
        <v>0</v>
      </c>
    </row>
    <row r="232" spans="1:32" s="125" customFormat="1" ht="11.25" x14ac:dyDescent="0.2">
      <c r="A232" s="101">
        <v>901</v>
      </c>
      <c r="B232" s="36"/>
      <c r="C232" s="178" t="e">
        <f ca="1">+#REF!</f>
        <v>#REF!</v>
      </c>
      <c r="D232" s="178" t="e">
        <f ca="1">+#REF!</f>
        <v>#REF!</v>
      </c>
      <c r="E232" s="86"/>
      <c r="F232" s="86" t="e">
        <f ca="1">+#REF!</f>
        <v>#REF!</v>
      </c>
      <c r="G232" s="21"/>
      <c r="H232" s="21" t="e">
        <f ca="1">ROUND(#REF!/1000,0)</f>
        <v>#REF!</v>
      </c>
      <c r="I232" s="21"/>
      <c r="J232" s="21" t="e">
        <f ca="1">ROUND(#REF!/1000,0)</f>
        <v>#REF!</v>
      </c>
      <c r="K232" s="21"/>
      <c r="L232" s="21" t="e">
        <f ca="1">-ROUND((#REF!-#REF!)/1000,0)</f>
        <v>#REF!</v>
      </c>
      <c r="M232" s="21"/>
      <c r="N232" s="97" t="e">
        <f t="shared" si="28"/>
        <v>#REF!</v>
      </c>
      <c r="O232" s="24"/>
      <c r="P232" s="2"/>
      <c r="Q232" s="2"/>
      <c r="R232" s="2"/>
      <c r="S232" s="2"/>
      <c r="T232" s="2"/>
      <c r="U232" s="2"/>
      <c r="V232" s="97">
        <f t="shared" si="29"/>
        <v>0</v>
      </c>
      <c r="W232" s="27"/>
      <c r="X232" s="2"/>
      <c r="Y232" s="24"/>
      <c r="AD232" s="97">
        <f t="shared" si="30"/>
        <v>0</v>
      </c>
    </row>
    <row r="233" spans="1:32" s="125" customFormat="1" ht="11.25" x14ac:dyDescent="0.2">
      <c r="A233" s="101">
        <v>901</v>
      </c>
      <c r="B233" s="36"/>
      <c r="C233" s="178" t="s">
        <v>251</v>
      </c>
      <c r="D233" s="178" t="s">
        <v>155</v>
      </c>
      <c r="E233" s="86"/>
      <c r="F233" s="86">
        <v>2420</v>
      </c>
      <c r="G233" s="21"/>
      <c r="H233" s="21"/>
      <c r="I233" s="21"/>
      <c r="J233" s="21"/>
      <c r="K233" s="21"/>
      <c r="L233" s="21"/>
      <c r="M233" s="21"/>
      <c r="N233" s="97">
        <f t="shared" si="28"/>
        <v>0</v>
      </c>
      <c r="O233" s="24"/>
      <c r="P233" s="2"/>
      <c r="Q233" s="2"/>
      <c r="R233" s="2"/>
      <c r="S233" s="2"/>
      <c r="T233" s="2"/>
      <c r="U233" s="2"/>
      <c r="V233" s="97">
        <f t="shared" si="29"/>
        <v>0</v>
      </c>
      <c r="W233" s="27"/>
      <c r="X233" s="2"/>
      <c r="Y233" s="24"/>
      <c r="AD233" s="97">
        <f t="shared" si="30"/>
        <v>0</v>
      </c>
    </row>
    <row r="234" spans="1:32" s="125" customFormat="1" ht="11.25" x14ac:dyDescent="0.2">
      <c r="A234" s="101">
        <v>901</v>
      </c>
      <c r="B234" s="36"/>
      <c r="C234" s="178" t="s">
        <v>211</v>
      </c>
      <c r="D234" s="178" t="s">
        <v>155</v>
      </c>
      <c r="E234" s="86"/>
      <c r="F234" s="86">
        <v>2434</v>
      </c>
      <c r="G234" s="21"/>
      <c r="H234" s="21"/>
      <c r="I234" s="21"/>
      <c r="J234" s="21"/>
      <c r="K234" s="21"/>
      <c r="L234" s="21"/>
      <c r="M234" s="21"/>
      <c r="N234" s="97">
        <f t="shared" si="28"/>
        <v>0</v>
      </c>
      <c r="O234" s="24"/>
      <c r="P234" s="2"/>
      <c r="Q234" s="2"/>
      <c r="R234" s="2"/>
      <c r="S234" s="2"/>
      <c r="T234" s="2"/>
      <c r="U234" s="2"/>
      <c r="V234" s="97">
        <f t="shared" si="29"/>
        <v>0</v>
      </c>
      <c r="W234" s="27"/>
      <c r="X234" s="2"/>
      <c r="Y234" s="24"/>
      <c r="AD234" s="97">
        <f t="shared" si="30"/>
        <v>0</v>
      </c>
    </row>
    <row r="235" spans="1:32" s="125" customFormat="1" ht="11.25" x14ac:dyDescent="0.2">
      <c r="A235" s="101">
        <v>901</v>
      </c>
      <c r="B235" s="36"/>
      <c r="C235" s="178" t="e">
        <f ca="1">+#REF!</f>
        <v>#REF!</v>
      </c>
      <c r="D235" s="178" t="e">
        <f ca="1">+#REF!</f>
        <v>#REF!</v>
      </c>
      <c r="E235" s="86"/>
      <c r="F235" s="86" t="e">
        <f ca="1">+#REF!</f>
        <v>#REF!</v>
      </c>
      <c r="G235" s="21"/>
      <c r="H235" s="21" t="e">
        <f ca="1">ROUND(#REF!/1000,0)</f>
        <v>#REF!</v>
      </c>
      <c r="I235" s="21"/>
      <c r="J235" s="21" t="e">
        <f ca="1">ROUND(#REF!/1000,0)</f>
        <v>#REF!</v>
      </c>
      <c r="K235" s="21"/>
      <c r="L235" s="21" t="e">
        <f ca="1">-ROUND((#REF!-#REF!)/1000,0)</f>
        <v>#REF!</v>
      </c>
      <c r="M235" s="21"/>
      <c r="N235" s="97" t="e">
        <f t="shared" si="28"/>
        <v>#REF!</v>
      </c>
      <c r="O235" s="24"/>
      <c r="P235" s="2"/>
      <c r="Q235" s="2"/>
      <c r="R235" s="2"/>
      <c r="S235" s="2"/>
      <c r="T235" s="2"/>
      <c r="U235" s="2"/>
      <c r="V235" s="97">
        <f t="shared" si="29"/>
        <v>0</v>
      </c>
      <c r="W235" s="27"/>
      <c r="X235" s="2"/>
      <c r="Y235" s="24"/>
      <c r="AD235" s="97">
        <f t="shared" si="30"/>
        <v>0</v>
      </c>
    </row>
    <row r="236" spans="1:32" s="126" customFormat="1" ht="10.5" customHeight="1" x14ac:dyDescent="0.2">
      <c r="A236" s="98" t="s">
        <v>103</v>
      </c>
      <c r="B236" s="36"/>
      <c r="C236" s="178" t="e">
        <f ca="1">+#REF!</f>
        <v>#REF!</v>
      </c>
      <c r="D236" s="178" t="e">
        <f ca="1">+#REF!</f>
        <v>#REF!</v>
      </c>
      <c r="E236" s="86"/>
      <c r="F236" s="86" t="e">
        <f ca="1">+#REF!</f>
        <v>#REF!</v>
      </c>
      <c r="G236" s="20"/>
      <c r="H236" s="21" t="e">
        <f ca="1">ROUND(#REF!/1000,0)</f>
        <v>#REF!</v>
      </c>
      <c r="I236" s="21"/>
      <c r="J236" s="21" t="e">
        <f ca="1">ROUND(#REF!/1000,0)</f>
        <v>#REF!</v>
      </c>
      <c r="K236" s="21"/>
      <c r="L236" s="21" t="e">
        <f ca="1">-ROUND((#REF!-#REF!)/1000,0)</f>
        <v>#REF!</v>
      </c>
      <c r="M236" s="97"/>
      <c r="N236" s="97" t="e">
        <f>SUM(H236:L236)</f>
        <v>#REF!</v>
      </c>
      <c r="O236" s="97"/>
      <c r="P236" s="97"/>
      <c r="Q236" s="97"/>
      <c r="R236" s="97"/>
      <c r="S236" s="97"/>
      <c r="T236" s="97"/>
      <c r="U236" s="97"/>
      <c r="V236" s="97">
        <f>SUM(P236:T236)</f>
        <v>0</v>
      </c>
      <c r="W236" s="97"/>
      <c r="X236" s="97"/>
      <c r="Y236" s="97"/>
      <c r="Z236" s="97"/>
      <c r="AA236" s="97"/>
      <c r="AB236" s="97"/>
      <c r="AC236" s="97"/>
      <c r="AD236" s="97">
        <f>SUM(X236:AB236)</f>
        <v>0</v>
      </c>
      <c r="AE236" s="21"/>
      <c r="AF236" s="19"/>
    </row>
    <row r="237" spans="1:32" s="125" customFormat="1" ht="11.25" x14ac:dyDescent="0.2">
      <c r="A237" s="101">
        <v>901</v>
      </c>
      <c r="B237" s="36"/>
      <c r="C237" s="178" t="e">
        <f ca="1">+#REF!</f>
        <v>#REF!</v>
      </c>
      <c r="D237" s="178" t="e">
        <f ca="1">+#REF!</f>
        <v>#REF!</v>
      </c>
      <c r="E237" s="86"/>
      <c r="F237" s="86" t="e">
        <f ca="1">+#REF!</f>
        <v>#REF!</v>
      </c>
      <c r="G237" s="21"/>
      <c r="H237" s="21" t="e">
        <f ca="1">ROUND(#REF!/1000,0)</f>
        <v>#REF!</v>
      </c>
      <c r="I237" s="21"/>
      <c r="J237" s="21" t="e">
        <f ca="1">ROUND(#REF!/1000,0)</f>
        <v>#REF!</v>
      </c>
      <c r="K237" s="21"/>
      <c r="L237" s="21" t="e">
        <f ca="1">-ROUND((#REF!-#REF!)/1000,0)</f>
        <v>#REF!</v>
      </c>
      <c r="M237" s="21"/>
      <c r="N237" s="97" t="e">
        <f t="shared" si="28"/>
        <v>#REF!</v>
      </c>
      <c r="O237" s="24"/>
      <c r="P237" s="2"/>
      <c r="Q237" s="2"/>
      <c r="R237" s="2"/>
      <c r="S237" s="2"/>
      <c r="T237" s="2"/>
      <c r="U237" s="2"/>
      <c r="V237" s="97">
        <f t="shared" si="29"/>
        <v>0</v>
      </c>
      <c r="W237" s="27"/>
      <c r="X237" s="2"/>
      <c r="Y237" s="24"/>
      <c r="AD237" s="97">
        <f t="shared" si="30"/>
        <v>0</v>
      </c>
    </row>
    <row r="238" spans="1:32" s="125" customFormat="1" ht="11.25" x14ac:dyDescent="0.2">
      <c r="A238" s="101">
        <v>901</v>
      </c>
      <c r="B238" s="36"/>
      <c r="C238" s="178" t="s">
        <v>212</v>
      </c>
      <c r="D238" s="178" t="s">
        <v>155</v>
      </c>
      <c r="E238" s="86"/>
      <c r="F238" s="86">
        <v>2462</v>
      </c>
      <c r="G238" s="21"/>
      <c r="H238" s="21"/>
      <c r="I238" s="21"/>
      <c r="J238" s="21"/>
      <c r="K238" s="21"/>
      <c r="L238" s="21"/>
      <c r="M238" s="21"/>
      <c r="N238" s="97">
        <f t="shared" si="28"/>
        <v>0</v>
      </c>
      <c r="O238" s="24"/>
      <c r="P238" s="2"/>
      <c r="Q238" s="2"/>
      <c r="R238" s="2"/>
      <c r="S238" s="2"/>
      <c r="T238" s="2"/>
      <c r="U238" s="2"/>
      <c r="V238" s="97">
        <f t="shared" si="29"/>
        <v>0</v>
      </c>
      <c r="W238" s="27"/>
      <c r="X238" s="2"/>
      <c r="Y238" s="24"/>
      <c r="AD238" s="97">
        <f t="shared" si="30"/>
        <v>0</v>
      </c>
    </row>
    <row r="239" spans="1:32" s="125" customFormat="1" ht="11.25" x14ac:dyDescent="0.2">
      <c r="A239" s="101">
        <v>901</v>
      </c>
      <c r="B239" s="36"/>
      <c r="C239" s="178" t="e">
        <f ca="1">+#REF!</f>
        <v>#REF!</v>
      </c>
      <c r="D239" s="178" t="e">
        <f ca="1">+#REF!</f>
        <v>#REF!</v>
      </c>
      <c r="E239" s="86"/>
      <c r="F239" s="86" t="e">
        <f ca="1">+#REF!</f>
        <v>#REF!</v>
      </c>
      <c r="G239" s="21"/>
      <c r="H239" s="21" t="e">
        <f ca="1">ROUND(#REF!/1000,0)</f>
        <v>#REF!</v>
      </c>
      <c r="I239" s="21"/>
      <c r="J239" s="21" t="e">
        <f ca="1">ROUND(#REF!/1000,0)</f>
        <v>#REF!</v>
      </c>
      <c r="K239" s="21"/>
      <c r="L239" s="21" t="e">
        <f ca="1">-ROUND((#REF!-#REF!)/1000,0)</f>
        <v>#REF!</v>
      </c>
      <c r="M239" s="21"/>
      <c r="N239" s="97" t="e">
        <f t="shared" si="28"/>
        <v>#REF!</v>
      </c>
      <c r="O239" s="24"/>
      <c r="P239" s="2"/>
      <c r="Q239" s="2"/>
      <c r="R239" s="2"/>
      <c r="S239" s="2"/>
      <c r="T239" s="2"/>
      <c r="U239" s="2"/>
      <c r="V239" s="97">
        <f t="shared" si="29"/>
        <v>0</v>
      </c>
      <c r="W239" s="27"/>
      <c r="X239" s="2"/>
      <c r="Y239" s="24"/>
      <c r="AD239" s="97">
        <f t="shared" si="30"/>
        <v>0</v>
      </c>
    </row>
    <row r="240" spans="1:32" s="125" customFormat="1" ht="11.25" x14ac:dyDescent="0.2">
      <c r="A240" s="101">
        <v>901</v>
      </c>
      <c r="B240" s="36"/>
      <c r="C240" s="178" t="e">
        <f ca="1">+#REF!</f>
        <v>#REF!</v>
      </c>
      <c r="D240" s="178" t="e">
        <f ca="1">+#REF!</f>
        <v>#REF!</v>
      </c>
      <c r="E240" s="86"/>
      <c r="F240" s="86" t="e">
        <f ca="1">+#REF!</f>
        <v>#REF!</v>
      </c>
      <c r="G240" s="21"/>
      <c r="H240" s="21" t="e">
        <f ca="1">ROUND(#REF!/1000,0)</f>
        <v>#REF!</v>
      </c>
      <c r="I240" s="21"/>
      <c r="J240" s="21" t="e">
        <f ca="1">ROUND(#REF!/1000,0)</f>
        <v>#REF!</v>
      </c>
      <c r="K240" s="21"/>
      <c r="L240" s="21" t="e">
        <f ca="1">-ROUND((#REF!-#REF!)/1000,0)</f>
        <v>#REF!</v>
      </c>
      <c r="M240" s="21"/>
      <c r="N240" s="97" t="e">
        <f>SUM(H240:L240)</f>
        <v>#REF!</v>
      </c>
      <c r="O240" s="24"/>
      <c r="P240" s="2"/>
      <c r="Q240" s="2"/>
      <c r="R240" s="2"/>
      <c r="S240" s="2"/>
      <c r="T240" s="2"/>
      <c r="U240" s="2"/>
      <c r="V240" s="97">
        <f>SUM(P240:T240)</f>
        <v>0</v>
      </c>
      <c r="W240" s="27"/>
      <c r="X240" s="2"/>
      <c r="Y240" s="24"/>
      <c r="AD240" s="97">
        <f>SUM(X240:AB240)</f>
        <v>0</v>
      </c>
    </row>
    <row r="241" spans="1:32" s="124" customFormat="1" ht="11.25" x14ac:dyDescent="0.2">
      <c r="A241" s="96"/>
      <c r="B241" s="36"/>
      <c r="C241" s="20" t="s">
        <v>232</v>
      </c>
      <c r="D241" s="19" t="s">
        <v>155</v>
      </c>
      <c r="E241" s="86"/>
      <c r="F241" s="86"/>
      <c r="G241" s="21"/>
      <c r="H241" s="21">
        <f ca="1">-24193-745-3536-742</f>
        <v>-29216</v>
      </c>
      <c r="I241" s="21"/>
      <c r="J241" s="21">
        <v>0</v>
      </c>
      <c r="K241" s="21"/>
      <c r="L241" s="21" t="e">
        <f ca="1">-ROUND((#REF!-#REF!)/1000,0)</f>
        <v>#REF!</v>
      </c>
      <c r="M241" s="21"/>
      <c r="N241" s="97" t="e">
        <f>SUM(H241:L241)</f>
        <v>#REF!</v>
      </c>
      <c r="O241" s="122"/>
      <c r="P241" s="2"/>
      <c r="Q241" s="123"/>
      <c r="R241" s="2"/>
      <c r="S241" s="123"/>
      <c r="T241" s="2"/>
      <c r="U241" s="123"/>
      <c r="V241" s="97">
        <f>SUM(P241:T241)</f>
        <v>0</v>
      </c>
      <c r="W241" s="27"/>
      <c r="X241" s="2"/>
      <c r="Y241" s="122"/>
      <c r="AD241" s="97">
        <f>SUM(X241:AB241)</f>
        <v>0</v>
      </c>
    </row>
    <row r="242" spans="1:32" s="126" customFormat="1" x14ac:dyDescent="0.2">
      <c r="A242" s="96"/>
      <c r="B242" s="36"/>
      <c r="C242" s="29" t="s">
        <v>213</v>
      </c>
      <c r="D242" s="19"/>
      <c r="E242" s="19"/>
      <c r="F242" s="86"/>
      <c r="G242" s="20"/>
      <c r="H242" s="127" t="e">
        <f t="shared" ref="H242:N242" si="32">SUM(H188:H241)</f>
        <v>#REF!</v>
      </c>
      <c r="I242" s="127">
        <f t="shared" si="32"/>
        <v>0</v>
      </c>
      <c r="J242" s="127" t="e">
        <f t="shared" si="32"/>
        <v>#REF!</v>
      </c>
      <c r="K242" s="127">
        <f t="shared" si="32"/>
        <v>0</v>
      </c>
      <c r="L242" s="127" t="e">
        <f t="shared" si="32"/>
        <v>#REF!</v>
      </c>
      <c r="M242" s="127">
        <f t="shared" si="32"/>
        <v>0</v>
      </c>
      <c r="N242" s="127" t="e">
        <f t="shared" si="32"/>
        <v>#REF!</v>
      </c>
      <c r="O242" s="97"/>
      <c r="P242" s="127">
        <f>SUM(P188:P241)</f>
        <v>70429</v>
      </c>
      <c r="Q242" s="97"/>
      <c r="R242" s="127">
        <f>SUM(R188:R241)</f>
        <v>-70429</v>
      </c>
      <c r="S242" s="97"/>
      <c r="T242" s="127">
        <f>SUM(T188:T241)</f>
        <v>0</v>
      </c>
      <c r="U242" s="97"/>
      <c r="V242" s="127">
        <f>SUM(V188:V241)</f>
        <v>0</v>
      </c>
      <c r="W242" s="97"/>
      <c r="X242" s="127">
        <f>SUM(X188:X241)</f>
        <v>68734</v>
      </c>
      <c r="Y242" s="97"/>
      <c r="Z242" s="127">
        <f>SUM(Z188:Z241)</f>
        <v>-68734</v>
      </c>
      <c r="AA242" s="97"/>
      <c r="AB242" s="127">
        <f>SUM(AB188:AB241)</f>
        <v>0</v>
      </c>
      <c r="AC242" s="97"/>
      <c r="AD242" s="127">
        <f>SUM(AD188:AD241)</f>
        <v>0</v>
      </c>
      <c r="AE242" s="21"/>
      <c r="AF242" s="19"/>
    </row>
    <row r="243" spans="1:32" s="126" customFormat="1" x14ac:dyDescent="0.2">
      <c r="A243" s="96"/>
      <c r="B243" s="36"/>
      <c r="C243" s="20"/>
      <c r="D243" s="2"/>
      <c r="E243" s="2"/>
      <c r="F243" s="86"/>
      <c r="G243" s="23"/>
      <c r="H243" s="97"/>
      <c r="I243" s="97"/>
      <c r="J243" s="97"/>
      <c r="K243" s="97"/>
      <c r="L243" s="97"/>
      <c r="M243" s="97"/>
      <c r="N243" s="97"/>
      <c r="O243" s="97"/>
      <c r="P243" s="97"/>
      <c r="Q243" s="97"/>
      <c r="R243" s="97"/>
      <c r="S243" s="97"/>
      <c r="T243" s="97"/>
      <c r="U243" s="97"/>
      <c r="V243" s="97"/>
      <c r="W243" s="97"/>
      <c r="X243" s="97"/>
      <c r="Y243" s="97"/>
      <c r="Z243" s="97"/>
      <c r="AA243" s="97"/>
      <c r="AB243" s="97"/>
      <c r="AC243" s="97"/>
      <c r="AD243" s="97"/>
      <c r="AE243" s="21"/>
      <c r="AF243" s="19"/>
    </row>
    <row r="244" spans="1:32" s="126" customFormat="1" x14ac:dyDescent="0.2">
      <c r="A244" s="96"/>
      <c r="B244" s="36"/>
      <c r="C244" s="19" t="s">
        <v>197</v>
      </c>
      <c r="D244" s="19"/>
      <c r="E244" s="19"/>
      <c r="F244" s="85"/>
      <c r="G244" s="20"/>
      <c r="H244" s="97"/>
      <c r="I244" s="97"/>
      <c r="J244" s="97"/>
      <c r="K244" s="97"/>
      <c r="L244" s="97"/>
      <c r="M244" s="97"/>
      <c r="N244" s="97"/>
      <c r="O244" s="97"/>
      <c r="P244" s="97">
        <v>16232</v>
      </c>
      <c r="Q244" s="97"/>
      <c r="R244" s="97">
        <v>-16232</v>
      </c>
      <c r="S244" s="97"/>
      <c r="T244" s="97">
        <v>0</v>
      </c>
      <c r="U244" s="97"/>
      <c r="V244" s="97">
        <f t="shared" ref="V244:V253" si="33">SUM(P244:T244)</f>
        <v>0</v>
      </c>
      <c r="W244" s="97"/>
      <c r="X244" s="97">
        <v>17093</v>
      </c>
      <c r="Y244" s="97"/>
      <c r="Z244" s="97">
        <v>-17093</v>
      </c>
      <c r="AA244" s="97"/>
      <c r="AB244" s="97">
        <v>0</v>
      </c>
      <c r="AC244" s="97"/>
      <c r="AD244" s="97">
        <f t="shared" ref="AD244:AD253" si="34">SUM(X244:AB244)</f>
        <v>0</v>
      </c>
      <c r="AE244" s="21"/>
      <c r="AF244" s="19"/>
    </row>
    <row r="245" spans="1:32" s="125" customFormat="1" ht="11.25" x14ac:dyDescent="0.2">
      <c r="A245" s="96">
        <v>11</v>
      </c>
      <c r="B245" s="36"/>
      <c r="C245" s="178" t="e">
        <f ca="1">+#REF!</f>
        <v>#REF!</v>
      </c>
      <c r="D245" s="178" t="e">
        <f ca="1">+#REF!</f>
        <v>#REF!</v>
      </c>
      <c r="E245" s="86"/>
      <c r="F245" s="86" t="e">
        <f ca="1">+#REF!</f>
        <v>#REF!</v>
      </c>
      <c r="G245" s="21"/>
      <c r="H245" s="21" t="e">
        <f ca="1">ROUND(#REF!/1000,0)</f>
        <v>#REF!</v>
      </c>
      <c r="I245" s="21"/>
      <c r="J245" s="21" t="e">
        <f ca="1">ROUND(#REF!/1000,0)</f>
        <v>#REF!</v>
      </c>
      <c r="K245" s="21"/>
      <c r="L245" s="21" t="e">
        <f ca="1">-ROUND((#REF!-#REF!)/1000,0)</f>
        <v>#REF!</v>
      </c>
      <c r="M245" s="21"/>
      <c r="N245" s="97" t="e">
        <f t="shared" ref="N245:N253" si="35">SUM(H245:L245)</f>
        <v>#REF!</v>
      </c>
      <c r="O245" s="24"/>
      <c r="P245" s="2"/>
      <c r="Q245" s="2"/>
      <c r="R245" s="2"/>
      <c r="S245" s="2"/>
      <c r="T245" s="2"/>
      <c r="U245" s="2"/>
      <c r="V245" s="97">
        <f t="shared" si="33"/>
        <v>0</v>
      </c>
      <c r="W245" s="27"/>
      <c r="X245" s="2"/>
      <c r="Y245" s="24"/>
      <c r="AD245" s="97">
        <f t="shared" si="34"/>
        <v>0</v>
      </c>
    </row>
    <row r="246" spans="1:32" s="125" customFormat="1" ht="11.25" x14ac:dyDescent="0.2">
      <c r="A246" s="96">
        <v>11</v>
      </c>
      <c r="B246" s="36"/>
      <c r="C246" s="178" t="e">
        <f ca="1">+#REF!</f>
        <v>#REF!</v>
      </c>
      <c r="D246" s="178" t="e">
        <f ca="1">+#REF!</f>
        <v>#REF!</v>
      </c>
      <c r="E246" s="86"/>
      <c r="F246" s="86" t="e">
        <f ca="1">+#REF!</f>
        <v>#REF!</v>
      </c>
      <c r="G246" s="21"/>
      <c r="H246" s="21" t="e">
        <f ca="1">ROUND(#REF!/1000,0)</f>
        <v>#REF!</v>
      </c>
      <c r="I246" s="21"/>
      <c r="J246" s="21" t="e">
        <f ca="1">ROUND(#REF!/1000,0)</f>
        <v>#REF!</v>
      </c>
      <c r="K246" s="21"/>
      <c r="L246" s="21" t="e">
        <f ca="1">-ROUND((#REF!-#REF!)/1000,0)</f>
        <v>#REF!</v>
      </c>
      <c r="M246" s="21"/>
      <c r="N246" s="97" t="e">
        <f t="shared" si="35"/>
        <v>#REF!</v>
      </c>
      <c r="O246" s="24"/>
      <c r="P246" s="2"/>
      <c r="Q246" s="2"/>
      <c r="R246" s="2"/>
      <c r="S246" s="2"/>
      <c r="T246" s="2"/>
      <c r="U246" s="2"/>
      <c r="V246" s="97">
        <f t="shared" si="33"/>
        <v>0</v>
      </c>
      <c r="W246" s="27"/>
      <c r="X246" s="2"/>
      <c r="Y246" s="24"/>
      <c r="AD246" s="97">
        <f t="shared" si="34"/>
        <v>0</v>
      </c>
    </row>
    <row r="247" spans="1:32" s="125" customFormat="1" ht="11.25" x14ac:dyDescent="0.2">
      <c r="A247" s="96">
        <v>11</v>
      </c>
      <c r="B247" s="36"/>
      <c r="C247" s="178" t="e">
        <f ca="1">+#REF!</f>
        <v>#REF!</v>
      </c>
      <c r="D247" s="178" t="e">
        <f ca="1">+#REF!</f>
        <v>#REF!</v>
      </c>
      <c r="E247" s="86"/>
      <c r="F247" s="86" t="e">
        <f ca="1">+#REF!</f>
        <v>#REF!</v>
      </c>
      <c r="G247" s="21"/>
      <c r="H247" s="21" t="e">
        <f ca="1">ROUND(#REF!/1000,0)</f>
        <v>#REF!</v>
      </c>
      <c r="I247" s="21"/>
      <c r="J247" s="21" t="e">
        <f ca="1">ROUND(#REF!/1000,0)</f>
        <v>#REF!</v>
      </c>
      <c r="K247" s="21"/>
      <c r="L247" s="21" t="e">
        <f ca="1">-ROUND((#REF!-#REF!)/1000,0)</f>
        <v>#REF!</v>
      </c>
      <c r="M247" s="21"/>
      <c r="N247" s="97" t="e">
        <f t="shared" si="35"/>
        <v>#REF!</v>
      </c>
      <c r="O247" s="24"/>
      <c r="P247" s="2"/>
      <c r="Q247" s="2"/>
      <c r="R247" s="2"/>
      <c r="S247" s="2"/>
      <c r="T247" s="2"/>
      <c r="U247" s="2"/>
      <c r="V247" s="97">
        <f t="shared" si="33"/>
        <v>0</v>
      </c>
      <c r="W247" s="27"/>
      <c r="X247" s="2"/>
      <c r="Y247" s="24"/>
      <c r="AD247" s="97">
        <f t="shared" si="34"/>
        <v>0</v>
      </c>
    </row>
    <row r="248" spans="1:32" s="125" customFormat="1" ht="11.25" x14ac:dyDescent="0.2">
      <c r="A248" s="96">
        <v>11</v>
      </c>
      <c r="B248" s="36"/>
      <c r="C248" s="178" t="e">
        <f ca="1">+#REF!</f>
        <v>#REF!</v>
      </c>
      <c r="D248" s="178" t="e">
        <f ca="1">+#REF!</f>
        <v>#REF!</v>
      </c>
      <c r="E248" s="86"/>
      <c r="F248" s="86" t="e">
        <f ca="1">+#REF!</f>
        <v>#REF!</v>
      </c>
      <c r="G248" s="21"/>
      <c r="H248" s="21" t="e">
        <f ca="1">ROUND(#REF!/1000,0)</f>
        <v>#REF!</v>
      </c>
      <c r="I248" s="21"/>
      <c r="J248" s="21" t="e">
        <f ca="1">ROUND(#REF!/1000,0)</f>
        <v>#REF!</v>
      </c>
      <c r="K248" s="21"/>
      <c r="L248" s="21" t="e">
        <f ca="1">-ROUND((#REF!-#REF!)/1000,0)</f>
        <v>#REF!</v>
      </c>
      <c r="M248" s="21"/>
      <c r="N248" s="97" t="e">
        <f t="shared" si="35"/>
        <v>#REF!</v>
      </c>
      <c r="O248" s="24"/>
      <c r="P248" s="2"/>
      <c r="Q248" s="2"/>
      <c r="R248" s="2"/>
      <c r="S248" s="2"/>
      <c r="T248" s="2"/>
      <c r="U248" s="2"/>
      <c r="V248" s="97">
        <f t="shared" si="33"/>
        <v>0</v>
      </c>
      <c r="W248" s="27"/>
      <c r="X248" s="2"/>
      <c r="Y248" s="24"/>
      <c r="AD248" s="97">
        <f t="shared" si="34"/>
        <v>0</v>
      </c>
    </row>
    <row r="249" spans="1:32" s="125" customFormat="1" ht="11.25" x14ac:dyDescent="0.2">
      <c r="A249" s="96">
        <v>11</v>
      </c>
      <c r="B249" s="36"/>
      <c r="C249" s="178" t="e">
        <f ca="1">+#REF!</f>
        <v>#REF!</v>
      </c>
      <c r="D249" s="178" t="e">
        <f ca="1">+#REF!</f>
        <v>#REF!</v>
      </c>
      <c r="E249" s="86"/>
      <c r="F249" s="86" t="e">
        <f ca="1">+#REF!</f>
        <v>#REF!</v>
      </c>
      <c r="G249" s="21"/>
      <c r="H249" s="21" t="e">
        <f ca="1">ROUND(#REF!/1000,0)</f>
        <v>#REF!</v>
      </c>
      <c r="I249" s="21"/>
      <c r="J249" s="21" t="e">
        <f ca="1">ROUND(#REF!/1000,0)</f>
        <v>#REF!</v>
      </c>
      <c r="K249" s="21"/>
      <c r="L249" s="21" t="e">
        <f ca="1">-ROUND((#REF!-#REF!)/1000,0)</f>
        <v>#REF!</v>
      </c>
      <c r="M249" s="21"/>
      <c r="N249" s="97" t="e">
        <f>SUM(H249:L249)</f>
        <v>#REF!</v>
      </c>
      <c r="O249" s="24"/>
      <c r="P249" s="2"/>
      <c r="Q249" s="2"/>
      <c r="R249" s="2"/>
      <c r="S249" s="2"/>
      <c r="T249" s="2"/>
      <c r="U249" s="2"/>
      <c r="V249" s="97">
        <f>SUM(P249:T249)</f>
        <v>0</v>
      </c>
      <c r="W249" s="27"/>
      <c r="X249" s="2"/>
      <c r="Y249" s="24"/>
      <c r="AD249" s="97">
        <f>SUM(X249:AB249)</f>
        <v>0</v>
      </c>
    </row>
    <row r="250" spans="1:32" s="125" customFormat="1" ht="11.25" x14ac:dyDescent="0.2">
      <c r="A250" s="96">
        <v>11</v>
      </c>
      <c r="B250" s="36"/>
      <c r="C250" s="178" t="e">
        <f ca="1">+#REF!</f>
        <v>#REF!</v>
      </c>
      <c r="D250" s="178" t="e">
        <f ca="1">+#REF!</f>
        <v>#REF!</v>
      </c>
      <c r="E250" s="86"/>
      <c r="F250" s="86" t="e">
        <f ca="1">+#REF!</f>
        <v>#REF!</v>
      </c>
      <c r="G250" s="21"/>
      <c r="H250" s="21" t="e">
        <f ca="1">ROUND(#REF!/1000,0)</f>
        <v>#REF!</v>
      </c>
      <c r="I250" s="21"/>
      <c r="J250" s="21" t="e">
        <f ca="1">ROUND(#REF!/1000,0)</f>
        <v>#REF!</v>
      </c>
      <c r="K250" s="21"/>
      <c r="L250" s="21" t="e">
        <f ca="1">-ROUND((#REF!-#REF!)/1000,0)</f>
        <v>#REF!</v>
      </c>
      <c r="M250" s="21"/>
      <c r="N250" s="97" t="e">
        <f t="shared" si="35"/>
        <v>#REF!</v>
      </c>
      <c r="O250" s="24"/>
      <c r="P250" s="2"/>
      <c r="Q250" s="2"/>
      <c r="R250" s="2"/>
      <c r="S250" s="2"/>
      <c r="T250" s="2"/>
      <c r="U250" s="2"/>
      <c r="V250" s="97">
        <f t="shared" si="33"/>
        <v>0</v>
      </c>
      <c r="W250" s="27"/>
      <c r="X250" s="2"/>
      <c r="Y250" s="24"/>
      <c r="AD250" s="97">
        <f t="shared" si="34"/>
        <v>0</v>
      </c>
    </row>
    <row r="251" spans="1:32" s="125" customFormat="1" ht="11.25" x14ac:dyDescent="0.2">
      <c r="A251" s="96">
        <v>11</v>
      </c>
      <c r="B251" s="36"/>
      <c r="C251" s="178" t="e">
        <f ca="1">+#REF!</f>
        <v>#REF!</v>
      </c>
      <c r="D251" s="178" t="e">
        <f ca="1">+#REF!</f>
        <v>#REF!</v>
      </c>
      <c r="E251" s="86"/>
      <c r="F251" s="86" t="e">
        <f ca="1">+#REF!</f>
        <v>#REF!</v>
      </c>
      <c r="G251" s="21"/>
      <c r="H251" s="21" t="e">
        <f ca="1">ROUND(#REF!/1000,0)</f>
        <v>#REF!</v>
      </c>
      <c r="I251" s="21"/>
      <c r="J251" s="21" t="e">
        <f ca="1">ROUND(#REF!/1000,0)</f>
        <v>#REF!</v>
      </c>
      <c r="K251" s="21"/>
      <c r="L251" s="21" t="e">
        <f ca="1">-ROUND((#REF!-#REF!)/1000,0)</f>
        <v>#REF!</v>
      </c>
      <c r="M251" s="21"/>
      <c r="N251" s="97" t="e">
        <f>SUM(H251:L251)</f>
        <v>#REF!</v>
      </c>
      <c r="O251" s="24"/>
      <c r="P251" s="2"/>
      <c r="Q251" s="2"/>
      <c r="R251" s="2"/>
      <c r="S251" s="2"/>
      <c r="T251" s="2"/>
      <c r="U251" s="2"/>
      <c r="V251" s="97">
        <f>SUM(P251:T251)</f>
        <v>0</v>
      </c>
      <c r="W251" s="27"/>
      <c r="X251" s="2"/>
      <c r="Y251" s="24"/>
      <c r="AD251" s="97">
        <f>SUM(X251:AB251)</f>
        <v>0</v>
      </c>
    </row>
    <row r="252" spans="1:32" s="124" customFormat="1" ht="11.25" x14ac:dyDescent="0.2">
      <c r="A252" s="96">
        <v>11</v>
      </c>
      <c r="B252" s="36"/>
      <c r="C252" s="178" t="e">
        <f ca="1">+#REF!</f>
        <v>#REF!</v>
      </c>
      <c r="D252" s="178" t="e">
        <f ca="1">+#REF!</f>
        <v>#REF!</v>
      </c>
      <c r="E252" s="86"/>
      <c r="F252" s="86" t="e">
        <f ca="1">+#REF!</f>
        <v>#REF!</v>
      </c>
      <c r="G252" s="21"/>
      <c r="H252" s="21" t="e">
        <f ca="1">ROUND(#REF!/1000,0)</f>
        <v>#REF!</v>
      </c>
      <c r="I252" s="21"/>
      <c r="J252" s="21" t="e">
        <f ca="1">ROUND(#REF!/1000,0)</f>
        <v>#REF!</v>
      </c>
      <c r="K252" s="21"/>
      <c r="L252" s="21" t="e">
        <f ca="1">-ROUND((#REF!-#REF!)/1000,0)</f>
        <v>#REF!</v>
      </c>
      <c r="M252" s="21"/>
      <c r="N252" s="97" t="e">
        <f t="shared" si="35"/>
        <v>#REF!</v>
      </c>
      <c r="O252" s="122"/>
      <c r="P252" s="2"/>
      <c r="Q252" s="123"/>
      <c r="R252" s="2"/>
      <c r="S252" s="123"/>
      <c r="T252" s="2"/>
      <c r="U252" s="123"/>
      <c r="V252" s="97">
        <f t="shared" si="33"/>
        <v>0</v>
      </c>
      <c r="W252" s="27"/>
      <c r="X252" s="2"/>
      <c r="Y252" s="122"/>
      <c r="AD252" s="97">
        <f t="shared" si="34"/>
        <v>0</v>
      </c>
    </row>
    <row r="253" spans="1:32" s="124" customFormat="1" ht="11.25" x14ac:dyDescent="0.2">
      <c r="A253" s="96">
        <v>11</v>
      </c>
      <c r="B253" s="36"/>
      <c r="C253" s="178" t="e">
        <f ca="1">+#REF!</f>
        <v>#REF!</v>
      </c>
      <c r="D253" s="178" t="e">
        <f ca="1">+#REF!</f>
        <v>#REF!</v>
      </c>
      <c r="E253" s="86"/>
      <c r="F253" s="86" t="e">
        <f ca="1">+#REF!</f>
        <v>#REF!</v>
      </c>
      <c r="G253" s="21"/>
      <c r="H253" s="21" t="e">
        <f ca="1">ROUND(#REF!/1000,0)</f>
        <v>#REF!</v>
      </c>
      <c r="I253" s="21"/>
      <c r="J253" s="21" t="e">
        <f ca="1">ROUND(#REF!/1000,0)</f>
        <v>#REF!</v>
      </c>
      <c r="K253" s="21"/>
      <c r="L253" s="21" t="e">
        <f ca="1">-ROUND((#REF!-#REF!)/1000,0)</f>
        <v>#REF!</v>
      </c>
      <c r="M253" s="21"/>
      <c r="N253" s="97" t="e">
        <f t="shared" si="35"/>
        <v>#REF!</v>
      </c>
      <c r="O253" s="122"/>
      <c r="P253" s="2"/>
      <c r="Q253" s="123"/>
      <c r="R253" s="2"/>
      <c r="S253" s="123"/>
      <c r="T253" s="2"/>
      <c r="U253" s="123"/>
      <c r="V253" s="97">
        <f t="shared" si="33"/>
        <v>0</v>
      </c>
      <c r="W253" s="27"/>
      <c r="X253" s="2"/>
      <c r="Y253" s="122"/>
      <c r="AD253" s="97">
        <f t="shared" si="34"/>
        <v>0</v>
      </c>
    </row>
    <row r="254" spans="1:32" s="124" customFormat="1" ht="11.25" x14ac:dyDescent="0.2">
      <c r="A254" s="96">
        <v>11</v>
      </c>
      <c r="B254" s="36"/>
      <c r="C254" s="178" t="e">
        <f ca="1">+#REF!</f>
        <v>#REF!</v>
      </c>
      <c r="D254" s="178" t="e">
        <f ca="1">+#REF!</f>
        <v>#REF!</v>
      </c>
      <c r="E254" s="86"/>
      <c r="F254" s="86" t="e">
        <f ca="1">+#REF!</f>
        <v>#REF!</v>
      </c>
      <c r="G254" s="21"/>
      <c r="H254" s="21" t="e">
        <f ca="1">ROUND(#REF!/1000,0)</f>
        <v>#REF!</v>
      </c>
      <c r="I254" s="21"/>
      <c r="J254" s="21" t="e">
        <f ca="1">ROUND(#REF!/1000,0)</f>
        <v>#REF!</v>
      </c>
      <c r="K254" s="21"/>
      <c r="L254" s="21" t="e">
        <f ca="1">-ROUND((#REF!-#REF!)/1000,0)</f>
        <v>#REF!</v>
      </c>
      <c r="M254" s="21"/>
      <c r="N254" s="97" t="e">
        <f>SUM(H254:L254)</f>
        <v>#REF!</v>
      </c>
      <c r="O254" s="122"/>
      <c r="P254" s="2"/>
      <c r="Q254" s="123"/>
      <c r="R254" s="2"/>
      <c r="S254" s="123"/>
      <c r="T254" s="2"/>
      <c r="U254" s="123"/>
      <c r="V254" s="97">
        <f>SUM(P254:T254)</f>
        <v>0</v>
      </c>
      <c r="W254" s="27"/>
      <c r="X254" s="2"/>
      <c r="Y254" s="122"/>
      <c r="AD254" s="97">
        <f>SUM(X254:AB254)</f>
        <v>0</v>
      </c>
    </row>
    <row r="255" spans="1:32" s="124" customFormat="1" ht="11.25" x14ac:dyDescent="0.2">
      <c r="A255" s="96">
        <v>11</v>
      </c>
      <c r="B255" s="36"/>
      <c r="C255" s="178" t="e">
        <f ca="1">+#REF!</f>
        <v>#REF!</v>
      </c>
      <c r="D255" s="178" t="e">
        <f ca="1">+#REF!</f>
        <v>#REF!</v>
      </c>
      <c r="E255" s="86"/>
      <c r="F255" s="86" t="e">
        <f ca="1">+#REF!</f>
        <v>#REF!</v>
      </c>
      <c r="G255" s="21"/>
      <c r="H255" s="21" t="e">
        <f ca="1">ROUND(#REF!/1000,0)</f>
        <v>#REF!</v>
      </c>
      <c r="I255" s="21"/>
      <c r="J255" s="21" t="e">
        <f ca="1">ROUND(#REF!/1000,0)</f>
        <v>#REF!</v>
      </c>
      <c r="K255" s="21"/>
      <c r="L255" s="21" t="e">
        <f ca="1">-ROUND((#REF!-#REF!)/1000,0)</f>
        <v>#REF!</v>
      </c>
      <c r="M255" s="21"/>
      <c r="N255" s="97" t="e">
        <f>SUM(H255:L255)</f>
        <v>#REF!</v>
      </c>
      <c r="O255" s="122"/>
      <c r="P255" s="2"/>
      <c r="Q255" s="123"/>
      <c r="R255" s="2"/>
      <c r="S255" s="123"/>
      <c r="T255" s="2"/>
      <c r="U255" s="123"/>
      <c r="V255" s="97">
        <f>SUM(P255:T255)</f>
        <v>0</v>
      </c>
      <c r="W255" s="27"/>
      <c r="X255" s="2"/>
      <c r="Y255" s="122"/>
      <c r="AD255" s="97">
        <f>SUM(X255:AB255)</f>
        <v>0</v>
      </c>
    </row>
    <row r="256" spans="1:32" s="124" customFormat="1" ht="11.25" x14ac:dyDescent="0.2">
      <c r="A256" s="96"/>
      <c r="B256" s="36"/>
      <c r="C256" s="20" t="s">
        <v>221</v>
      </c>
      <c r="D256" s="19" t="s">
        <v>155</v>
      </c>
      <c r="E256" s="86"/>
      <c r="F256" s="86"/>
      <c r="G256" s="21"/>
      <c r="H256" s="21">
        <f>-ROUND((4530000+1527600+377500+127300)/1000,0)</f>
        <v>-6562</v>
      </c>
      <c r="I256" s="21"/>
      <c r="J256" s="21">
        <v>0</v>
      </c>
      <c r="K256" s="21"/>
      <c r="L256" s="21">
        <v>0</v>
      </c>
      <c r="M256" s="21"/>
      <c r="N256" s="97">
        <f>SUM(H256:L256)</f>
        <v>-6562</v>
      </c>
      <c r="O256" s="122"/>
      <c r="P256" s="2"/>
      <c r="Q256" s="123"/>
      <c r="R256" s="2"/>
      <c r="S256" s="123"/>
      <c r="T256" s="2"/>
      <c r="U256" s="123"/>
      <c r="V256" s="97">
        <f>SUM(P256:T256)</f>
        <v>0</v>
      </c>
      <c r="W256" s="27"/>
      <c r="X256" s="2"/>
      <c r="Y256" s="122"/>
      <c r="AD256" s="97">
        <f>SUM(X256:AB256)</f>
        <v>0</v>
      </c>
    </row>
    <row r="257" spans="1:32" s="120" customFormat="1" x14ac:dyDescent="0.2">
      <c r="A257" s="96"/>
      <c r="B257" s="36"/>
      <c r="C257" s="19" t="s">
        <v>214</v>
      </c>
      <c r="D257" s="19"/>
      <c r="E257" s="19"/>
      <c r="F257" s="85"/>
      <c r="G257" s="20"/>
      <c r="H257" s="127" t="e">
        <f>SUM(H245:H256)</f>
        <v>#REF!</v>
      </c>
      <c r="I257" s="97"/>
      <c r="J257" s="127" t="e">
        <f>SUM(J245:J256)</f>
        <v>#REF!</v>
      </c>
      <c r="K257" s="97"/>
      <c r="L257" s="127" t="e">
        <f>SUM(L245:L256)</f>
        <v>#REF!</v>
      </c>
      <c r="M257" s="97"/>
      <c r="N257" s="127" t="e">
        <f>SUM(N245:N256)</f>
        <v>#REF!</v>
      </c>
      <c r="O257" s="97"/>
      <c r="P257" s="127">
        <f>SUM(P244:P256)</f>
        <v>16232</v>
      </c>
      <c r="Q257" s="123"/>
      <c r="R257" s="127">
        <f>SUM(R244:R256)</f>
        <v>-16232</v>
      </c>
      <c r="S257" s="123"/>
      <c r="T257" s="127">
        <f>SUM(T244:T256)</f>
        <v>0</v>
      </c>
      <c r="U257" s="123"/>
      <c r="V257" s="127">
        <f>SUM(V245:V256)</f>
        <v>0</v>
      </c>
      <c r="W257" s="97"/>
      <c r="X257" s="127">
        <f>SUM(X244:X256)</f>
        <v>17093</v>
      </c>
      <c r="Y257" s="123"/>
      <c r="Z257" s="127">
        <f>SUM(Z244:Z256)</f>
        <v>-17093</v>
      </c>
      <c r="AA257" s="123"/>
      <c r="AB257" s="127">
        <f>SUM(AB244:AB256)</f>
        <v>0</v>
      </c>
      <c r="AC257" s="123"/>
      <c r="AD257" s="127">
        <f>SUM(AD245:AD256)</f>
        <v>0</v>
      </c>
      <c r="AE257" s="21"/>
      <c r="AF257" s="19"/>
    </row>
    <row r="258" spans="1:32" s="132" customFormat="1" x14ac:dyDescent="0.2">
      <c r="A258" s="101"/>
      <c r="B258" s="81"/>
      <c r="C258" s="19"/>
      <c r="D258" s="19"/>
      <c r="E258" s="19"/>
      <c r="F258" s="85"/>
      <c r="G258" s="20"/>
      <c r="H258" s="99"/>
      <c r="I258" s="97"/>
      <c r="J258" s="99"/>
      <c r="K258" s="97"/>
      <c r="L258" s="99"/>
      <c r="M258" s="97"/>
      <c r="N258" s="99"/>
      <c r="O258" s="97"/>
      <c r="P258" s="99"/>
      <c r="Q258" s="131"/>
      <c r="R258" s="99"/>
      <c r="S258" s="131"/>
      <c r="T258" s="99"/>
      <c r="U258" s="131"/>
      <c r="V258" s="99"/>
      <c r="W258" s="97"/>
      <c r="X258" s="99"/>
      <c r="Y258" s="131"/>
      <c r="Z258" s="99"/>
      <c r="AA258" s="131"/>
      <c r="AB258" s="99"/>
      <c r="AC258" s="131"/>
      <c r="AD258" s="99"/>
      <c r="AE258" s="21"/>
      <c r="AF258" s="19"/>
    </row>
    <row r="259" spans="1:32" s="157" customFormat="1" x14ac:dyDescent="0.2">
      <c r="A259" s="154"/>
      <c r="B259" s="155"/>
      <c r="C259" s="142" t="s">
        <v>219</v>
      </c>
      <c r="D259" s="142"/>
      <c r="E259" s="142"/>
      <c r="F259" s="147"/>
      <c r="G259" s="148"/>
      <c r="H259" s="152">
        <v>-5000</v>
      </c>
      <c r="I259" s="152"/>
      <c r="J259" s="152">
        <v>2500</v>
      </c>
      <c r="K259" s="152"/>
      <c r="L259" s="152">
        <v>0</v>
      </c>
      <c r="M259" s="152"/>
      <c r="N259" s="152">
        <f>SUM(H259:L259)</f>
        <v>-2500</v>
      </c>
      <c r="O259" s="152"/>
      <c r="P259" s="152"/>
      <c r="Q259" s="156"/>
      <c r="R259" s="152"/>
      <c r="S259" s="156"/>
      <c r="T259" s="152"/>
      <c r="U259" s="156"/>
      <c r="V259" s="152">
        <f>SUM(P259:T259)</f>
        <v>0</v>
      </c>
      <c r="W259" s="152"/>
      <c r="X259" s="152"/>
      <c r="Y259" s="156"/>
      <c r="Z259" s="152"/>
      <c r="AA259" s="156"/>
      <c r="AB259" s="152"/>
      <c r="AC259" s="156"/>
      <c r="AD259" s="152">
        <f>SUM(X259:AB259)</f>
        <v>0</v>
      </c>
      <c r="AE259" s="141"/>
      <c r="AF259" s="142"/>
    </row>
    <row r="260" spans="1:32" x14ac:dyDescent="0.2">
      <c r="A260" s="96"/>
      <c r="B260" s="82"/>
      <c r="C260" s="29"/>
      <c r="D260" s="2"/>
      <c r="E260" s="2"/>
      <c r="F260" s="86"/>
      <c r="G260" s="23"/>
      <c r="H260" s="97"/>
      <c r="I260" s="97"/>
      <c r="J260" s="97"/>
      <c r="K260" s="97"/>
      <c r="L260" s="97"/>
      <c r="M260" s="97"/>
      <c r="N260" s="97"/>
      <c r="O260" s="97"/>
      <c r="P260" s="97"/>
      <c r="Q260" s="123"/>
      <c r="R260" s="97"/>
      <c r="S260" s="123"/>
      <c r="T260" s="97"/>
      <c r="U260" s="123"/>
      <c r="V260" s="97"/>
      <c r="W260" s="97"/>
      <c r="X260" s="97"/>
      <c r="Y260" s="97"/>
      <c r="Z260" s="97"/>
      <c r="AA260" s="97"/>
      <c r="AB260" s="97"/>
      <c r="AC260" s="97"/>
      <c r="AD260" s="97"/>
      <c r="AE260" s="21"/>
      <c r="AF260" s="19"/>
    </row>
    <row r="261" spans="1:32" s="114" customFormat="1" x14ac:dyDescent="0.2">
      <c r="A261" s="104"/>
      <c r="B261" s="119"/>
      <c r="C261" s="115" t="s">
        <v>206</v>
      </c>
      <c r="D261" s="72"/>
      <c r="E261" s="72"/>
      <c r="F261" s="107"/>
      <c r="G261" s="108"/>
      <c r="H261" s="113" t="e">
        <f>+H111+H118+H125+H142+H171+H186+H242+H257+H259</f>
        <v>#REF!</v>
      </c>
      <c r="I261" s="105"/>
      <c r="J261" s="113" t="e">
        <f>+J111+J118+J125+J142+J171+J186+J242+J257+J259</f>
        <v>#REF!</v>
      </c>
      <c r="K261" s="105"/>
      <c r="L261" s="113" t="e">
        <f>+L111+L118+L125+L142+L171+L186+L242+L257+L259</f>
        <v>#REF!</v>
      </c>
      <c r="M261" s="105"/>
      <c r="N261" s="113" t="e">
        <f>+N111+N118+N125+N142+N171+N186+N242+N257+N259</f>
        <v>#REF!</v>
      </c>
      <c r="O261" s="105"/>
      <c r="P261" s="113">
        <f>+P111+P118+P125+P142+P171+P186+P242+P257+P259</f>
        <v>265698</v>
      </c>
      <c r="Q261" s="105"/>
      <c r="R261" s="113">
        <f>+R111+R118+R125+R142+R171+R186+R242+R257+R259</f>
        <v>-273999</v>
      </c>
      <c r="S261" s="105"/>
      <c r="T261" s="113">
        <f>+T111+T118+T125+T142+T171+T186+T242+T257+T259</f>
        <v>-4674</v>
      </c>
      <c r="U261" s="105"/>
      <c r="V261" s="113">
        <f>+V111+V118+V125+V142+V171+V186+V242+V257+V259</f>
        <v>-12975</v>
      </c>
      <c r="W261" s="105"/>
      <c r="X261" s="113">
        <f>+X111+X118+X125+X142+X171+X186+X242+X257+X259</f>
        <v>247148</v>
      </c>
      <c r="Y261" s="105"/>
      <c r="Z261" s="113">
        <f>+Z111+Z118+Z125+Z142+Z171+Z186+Z242+Z257+Z259</f>
        <v>-254687</v>
      </c>
      <c r="AA261" s="105"/>
      <c r="AB261" s="113">
        <f>+AB111+AB118+AB125+AB142+AB171+AB186+AB242+AB257+AB259</f>
        <v>-4969</v>
      </c>
      <c r="AC261" s="105"/>
      <c r="AD261" s="113">
        <f>+AD111+AD118+AD125+AD142+AD171+AD186+AD242+AD257+AD259</f>
        <v>-12508</v>
      </c>
      <c r="AE261" s="71"/>
      <c r="AF261" s="69"/>
    </row>
    <row r="262" spans="1:32" x14ac:dyDescent="0.2">
      <c r="A262" s="96"/>
      <c r="B262" s="82"/>
      <c r="C262" s="29"/>
      <c r="D262" s="2"/>
      <c r="E262" s="2"/>
      <c r="F262" s="86"/>
      <c r="G262" s="23"/>
      <c r="H262" s="97"/>
      <c r="I262" s="97"/>
      <c r="J262" s="97"/>
      <c r="K262" s="97"/>
      <c r="L262" s="97"/>
      <c r="M262" s="97"/>
      <c r="N262" s="97"/>
      <c r="O262" s="97"/>
      <c r="P262" s="97"/>
      <c r="Q262" s="97"/>
      <c r="R262" s="97"/>
      <c r="S262" s="97"/>
      <c r="T262" s="97"/>
      <c r="U262" s="97"/>
      <c r="V262" s="97"/>
      <c r="W262" s="97"/>
      <c r="X262" s="97"/>
      <c r="Y262" s="97"/>
      <c r="Z262" s="97"/>
      <c r="AA262" s="97"/>
      <c r="AB262" s="97"/>
      <c r="AC262" s="97"/>
      <c r="AD262" s="97"/>
      <c r="AE262" s="21"/>
      <c r="AF262" s="19"/>
    </row>
    <row r="263" spans="1:32" x14ac:dyDescent="0.2">
      <c r="A263" s="96"/>
      <c r="B263" s="82"/>
      <c r="C263" s="102" t="s">
        <v>2</v>
      </c>
      <c r="D263" s="2"/>
      <c r="E263" s="2"/>
      <c r="F263" s="86"/>
      <c r="G263" s="23"/>
      <c r="H263" s="97"/>
      <c r="I263" s="97"/>
      <c r="J263" s="97"/>
      <c r="K263" s="97"/>
      <c r="L263" s="97"/>
      <c r="M263" s="97"/>
      <c r="N263" s="97"/>
      <c r="O263" s="97"/>
      <c r="P263" s="97"/>
      <c r="Q263" s="97"/>
      <c r="R263" s="97"/>
      <c r="S263" s="97"/>
      <c r="T263" s="97"/>
      <c r="U263" s="97"/>
      <c r="V263" s="97"/>
      <c r="W263" s="97"/>
      <c r="X263" s="97"/>
      <c r="Y263" s="97"/>
      <c r="Z263" s="97"/>
      <c r="AA263" s="97"/>
      <c r="AB263" s="97"/>
      <c r="AC263" s="97"/>
      <c r="AD263" s="97"/>
      <c r="AE263" s="21"/>
      <c r="AF263" s="19"/>
    </row>
    <row r="264" spans="1:32" x14ac:dyDescent="0.2">
      <c r="A264" s="98" t="s">
        <v>103</v>
      </c>
      <c r="B264" s="36"/>
      <c r="C264" s="177" t="s">
        <v>25</v>
      </c>
      <c r="D264" s="183" t="s">
        <v>153</v>
      </c>
      <c r="E264" s="177"/>
      <c r="F264" s="85">
        <v>305</v>
      </c>
      <c r="G264" s="20"/>
      <c r="H264" s="97">
        <v>0</v>
      </c>
      <c r="I264" s="97"/>
      <c r="J264" s="97">
        <v>0</v>
      </c>
      <c r="K264" s="97"/>
      <c r="L264" s="97">
        <v>0</v>
      </c>
      <c r="M264" s="97"/>
      <c r="N264" s="97">
        <f t="shared" ref="N264:N286" si="36">SUM(H264:L264)</f>
        <v>0</v>
      </c>
      <c r="O264" s="97"/>
      <c r="P264" s="97">
        <v>0</v>
      </c>
      <c r="Q264" s="97"/>
      <c r="R264" s="97">
        <v>0</v>
      </c>
      <c r="S264" s="97"/>
      <c r="T264" s="97">
        <v>-227</v>
      </c>
      <c r="U264" s="97"/>
      <c r="V264" s="97">
        <f t="shared" ref="V264:V286" si="37">SUM(P264:T264)</f>
        <v>-227</v>
      </c>
      <c r="W264" s="97"/>
      <c r="X264" s="97">
        <v>333</v>
      </c>
      <c r="Y264" s="97"/>
      <c r="Z264" s="97">
        <v>0</v>
      </c>
      <c r="AA264" s="97"/>
      <c r="AB264" s="97">
        <v>-227</v>
      </c>
      <c r="AC264" s="97"/>
      <c r="AD264" s="97">
        <f t="shared" ref="AD264:AD286" si="38">SUM(X264:AB264)</f>
        <v>106</v>
      </c>
      <c r="AE264" s="21"/>
      <c r="AF264" s="19"/>
    </row>
    <row r="265" spans="1:32" x14ac:dyDescent="0.2">
      <c r="A265" s="98" t="s">
        <v>103</v>
      </c>
      <c r="B265" s="36"/>
      <c r="C265" s="176" t="e">
        <f ca="1">+#REF!</f>
        <v>#REF!</v>
      </c>
      <c r="D265" s="176" t="e">
        <f ca="1">+#REF!</f>
        <v>#REF!</v>
      </c>
      <c r="E265" s="176"/>
      <c r="F265" s="85" t="e">
        <f ca="1">+#REF!</f>
        <v>#REF!</v>
      </c>
      <c r="G265" s="20"/>
      <c r="H265" s="97" t="e">
        <f ca="1">ROUND(#REF!/1000,0)</f>
        <v>#REF!</v>
      </c>
      <c r="I265" s="97"/>
      <c r="J265" s="97" t="e">
        <f ca="1">ROUND(#REF!/1000,0)</f>
        <v>#REF!</v>
      </c>
      <c r="K265" s="97"/>
      <c r="L265" s="97" t="e">
        <f ca="1">-ROUND((#REF!-#REF!)/1000,0)</f>
        <v>#REF!</v>
      </c>
      <c r="M265" s="97"/>
      <c r="N265" s="97" t="e">
        <f t="shared" si="36"/>
        <v>#REF!</v>
      </c>
      <c r="O265" s="97"/>
      <c r="P265" s="97">
        <v>0</v>
      </c>
      <c r="Q265" s="97"/>
      <c r="R265" s="97">
        <v>0</v>
      </c>
      <c r="S265" s="97"/>
      <c r="T265" s="97">
        <v>0</v>
      </c>
      <c r="U265" s="97"/>
      <c r="V265" s="97">
        <f t="shared" si="37"/>
        <v>0</v>
      </c>
      <c r="W265" s="97"/>
      <c r="X265" s="97">
        <v>0</v>
      </c>
      <c r="Y265" s="97"/>
      <c r="Z265" s="97">
        <v>0</v>
      </c>
      <c r="AA265" s="97"/>
      <c r="AB265" s="97">
        <v>0</v>
      </c>
      <c r="AC265" s="97"/>
      <c r="AD265" s="97">
        <f t="shared" si="38"/>
        <v>0</v>
      </c>
      <c r="AE265" s="21"/>
      <c r="AF265" s="19"/>
    </row>
    <row r="266" spans="1:32" x14ac:dyDescent="0.2">
      <c r="A266" s="96">
        <v>11</v>
      </c>
      <c r="B266" s="36"/>
      <c r="C266" s="176" t="e">
        <f ca="1">+#REF!</f>
        <v>#REF!</v>
      </c>
      <c r="D266" s="183" t="e">
        <f ca="1">+#REF!</f>
        <v>#REF!</v>
      </c>
      <c r="E266" s="176"/>
      <c r="F266" s="85" t="e">
        <f ca="1">+#REF!</f>
        <v>#REF!</v>
      </c>
      <c r="G266" s="20"/>
      <c r="H266" s="97" t="e">
        <f ca="1">ROUND(#REF!/1000,0)</f>
        <v>#REF!</v>
      </c>
      <c r="I266" s="97"/>
      <c r="J266" s="97" t="e">
        <f ca="1">ROUND(#REF!/1000,0)</f>
        <v>#REF!</v>
      </c>
      <c r="K266" s="97"/>
      <c r="L266" s="97" t="e">
        <f ca="1">-ROUND((#REF!-#REF!)/1000,0)</f>
        <v>#REF!</v>
      </c>
      <c r="M266" s="97"/>
      <c r="N266" s="97" t="e">
        <f>SUM(H266:L266)</f>
        <v>#REF!</v>
      </c>
      <c r="O266" s="97"/>
      <c r="P266" s="97">
        <v>0</v>
      </c>
      <c r="Q266" s="97"/>
      <c r="R266" s="97">
        <v>0</v>
      </c>
      <c r="S266" s="97"/>
      <c r="T266" s="97">
        <v>0</v>
      </c>
      <c r="U266" s="97"/>
      <c r="V266" s="97">
        <f>SUM(P266:T266)</f>
        <v>0</v>
      </c>
      <c r="W266" s="97"/>
      <c r="X266" s="97">
        <v>0</v>
      </c>
      <c r="Y266" s="97"/>
      <c r="Z266" s="97">
        <v>0</v>
      </c>
      <c r="AA266" s="97"/>
      <c r="AB266" s="97">
        <v>0</v>
      </c>
      <c r="AC266" s="97"/>
      <c r="AD266" s="97">
        <f>SUM(X266:AB266)</f>
        <v>0</v>
      </c>
      <c r="AE266" s="21"/>
      <c r="AF266" s="19" t="s">
        <v>82</v>
      </c>
    </row>
    <row r="267" spans="1:32" x14ac:dyDescent="0.2">
      <c r="A267" s="96">
        <v>11</v>
      </c>
      <c r="B267" s="36"/>
      <c r="C267" s="176" t="e">
        <f ca="1">+#REF!</f>
        <v>#REF!</v>
      </c>
      <c r="D267" s="176" t="e">
        <f ca="1">+#REF!</f>
        <v>#REF!</v>
      </c>
      <c r="E267" s="176"/>
      <c r="F267" s="85" t="e">
        <f ca="1">+#REF!</f>
        <v>#REF!</v>
      </c>
      <c r="G267" s="20"/>
      <c r="H267" s="97" t="e">
        <f ca="1">ROUND(#REF!/1000,0)</f>
        <v>#REF!</v>
      </c>
      <c r="I267" s="97"/>
      <c r="J267" s="97" t="e">
        <f ca="1">ROUND(#REF!/1000,0)</f>
        <v>#REF!</v>
      </c>
      <c r="K267" s="97"/>
      <c r="L267" s="97" t="e">
        <f ca="1">-ROUND((#REF!-#REF!)/1000,0)</f>
        <v>#REF!</v>
      </c>
      <c r="M267" s="97"/>
      <c r="N267" s="97" t="e">
        <f t="shared" si="36"/>
        <v>#REF!</v>
      </c>
      <c r="O267" s="97"/>
      <c r="P267" s="97">
        <v>0</v>
      </c>
      <c r="Q267" s="97"/>
      <c r="R267" s="97">
        <v>900</v>
      </c>
      <c r="S267" s="97"/>
      <c r="T267" s="97">
        <v>0</v>
      </c>
      <c r="U267" s="97"/>
      <c r="V267" s="97">
        <f t="shared" si="37"/>
        <v>900</v>
      </c>
      <c r="W267" s="97"/>
      <c r="X267" s="97">
        <v>0</v>
      </c>
      <c r="Y267" s="97"/>
      <c r="Z267" s="97">
        <v>900</v>
      </c>
      <c r="AA267" s="97"/>
      <c r="AB267" s="97">
        <v>0</v>
      </c>
      <c r="AC267" s="97"/>
      <c r="AD267" s="97">
        <f t="shared" si="38"/>
        <v>900</v>
      </c>
      <c r="AE267" s="21"/>
      <c r="AF267" s="19" t="s">
        <v>82</v>
      </c>
    </row>
    <row r="268" spans="1:32" x14ac:dyDescent="0.2">
      <c r="A268" s="98" t="s">
        <v>103</v>
      </c>
      <c r="B268" s="36"/>
      <c r="C268" s="178" t="e">
        <f ca="1">+#REF!</f>
        <v>#REF!</v>
      </c>
      <c r="D268" s="178" t="e">
        <f ca="1">+#REF!</f>
        <v>#REF!</v>
      </c>
      <c r="E268" s="178"/>
      <c r="F268" s="86" t="e">
        <f ca="1">+#REF!</f>
        <v>#REF!</v>
      </c>
      <c r="G268" s="23"/>
      <c r="H268" s="97" t="e">
        <f ca="1">ROUND(#REF!/1000,0)</f>
        <v>#REF!</v>
      </c>
      <c r="I268" s="97"/>
      <c r="J268" s="97" t="e">
        <f ca="1">ROUND(#REF!/1000,0)</f>
        <v>#REF!</v>
      </c>
      <c r="K268" s="97"/>
      <c r="L268" s="97" t="e">
        <f ca="1">-ROUND((#REF!-#REF!)/1000,0)</f>
        <v>#REF!</v>
      </c>
      <c r="M268" s="97"/>
      <c r="N268" s="97" t="e">
        <f t="shared" si="36"/>
        <v>#REF!</v>
      </c>
      <c r="O268" s="97"/>
      <c r="P268" s="97">
        <v>0</v>
      </c>
      <c r="Q268" s="97"/>
      <c r="R268" s="97">
        <v>0</v>
      </c>
      <c r="S268" s="97"/>
      <c r="T268" s="97">
        <v>0</v>
      </c>
      <c r="U268" s="97"/>
      <c r="V268" s="97">
        <f t="shared" si="37"/>
        <v>0</v>
      </c>
      <c r="W268" s="97"/>
      <c r="X268" s="97">
        <v>0</v>
      </c>
      <c r="Y268" s="97"/>
      <c r="Z268" s="97">
        <v>0</v>
      </c>
      <c r="AA268" s="97"/>
      <c r="AB268" s="97">
        <v>0</v>
      </c>
      <c r="AC268" s="97"/>
      <c r="AD268" s="97">
        <f t="shared" si="38"/>
        <v>0</v>
      </c>
      <c r="AE268" s="21"/>
      <c r="AF268" s="19"/>
    </row>
    <row r="269" spans="1:32" x14ac:dyDescent="0.2">
      <c r="A269" s="96"/>
      <c r="B269" s="36"/>
      <c r="C269" s="177" t="s">
        <v>198</v>
      </c>
      <c r="D269" s="183" t="s">
        <v>153</v>
      </c>
      <c r="E269" s="177"/>
      <c r="F269" s="85">
        <v>1280</v>
      </c>
      <c r="G269" s="20"/>
      <c r="H269" s="97">
        <v>0</v>
      </c>
      <c r="I269" s="97"/>
      <c r="J269" s="97">
        <v>0</v>
      </c>
      <c r="K269" s="97"/>
      <c r="L269" s="97">
        <v>0</v>
      </c>
      <c r="M269" s="97"/>
      <c r="N269" s="97">
        <f t="shared" si="36"/>
        <v>0</v>
      </c>
      <c r="O269" s="97"/>
      <c r="P269" s="97">
        <v>0</v>
      </c>
      <c r="Q269" s="97"/>
      <c r="R269" s="97">
        <v>0</v>
      </c>
      <c r="S269" s="97"/>
      <c r="T269" s="97">
        <v>0</v>
      </c>
      <c r="U269" s="97"/>
      <c r="V269" s="97">
        <f t="shared" si="37"/>
        <v>0</v>
      </c>
      <c r="W269" s="97"/>
      <c r="X269" s="97">
        <v>325</v>
      </c>
      <c r="Y269" s="97"/>
      <c r="Z269" s="97">
        <v>0</v>
      </c>
      <c r="AA269" s="97"/>
      <c r="AB269" s="97">
        <v>0</v>
      </c>
      <c r="AC269" s="97"/>
      <c r="AD269" s="97">
        <f t="shared" si="38"/>
        <v>325</v>
      </c>
      <c r="AE269" s="21"/>
      <c r="AF269" s="19"/>
    </row>
    <row r="270" spans="1:32" x14ac:dyDescent="0.2">
      <c r="A270" s="98" t="s">
        <v>103</v>
      </c>
      <c r="B270" s="36"/>
      <c r="C270" s="178" t="e">
        <f ca="1">+#REF!</f>
        <v>#REF!</v>
      </c>
      <c r="D270" s="178" t="e">
        <f ca="1">+#REF!</f>
        <v>#REF!</v>
      </c>
      <c r="E270" s="178"/>
      <c r="F270" s="86" t="e">
        <f ca="1">+#REF!</f>
        <v>#REF!</v>
      </c>
      <c r="G270" s="23"/>
      <c r="H270" s="97" t="e">
        <f ca="1">ROUND(#REF!/1000,0)</f>
        <v>#REF!</v>
      </c>
      <c r="I270" s="97"/>
      <c r="J270" s="97" t="e">
        <f ca="1">ROUND(#REF!/1000,0)</f>
        <v>#REF!</v>
      </c>
      <c r="K270" s="97"/>
      <c r="L270" s="97" t="e">
        <f ca="1">-ROUND((#REF!-#REF!)/1000,0)</f>
        <v>#REF!</v>
      </c>
      <c r="M270" s="97"/>
      <c r="N270" s="97" t="e">
        <f t="shared" si="36"/>
        <v>#REF!</v>
      </c>
      <c r="O270" s="97"/>
      <c r="P270" s="97">
        <v>0</v>
      </c>
      <c r="Q270" s="97"/>
      <c r="R270" s="97">
        <v>0</v>
      </c>
      <c r="S270" s="97"/>
      <c r="T270" s="97">
        <v>0</v>
      </c>
      <c r="U270" s="97"/>
      <c r="V270" s="97">
        <f t="shared" si="37"/>
        <v>0</v>
      </c>
      <c r="W270" s="97"/>
      <c r="X270" s="97">
        <v>0</v>
      </c>
      <c r="Y270" s="97"/>
      <c r="Z270" s="97">
        <v>0</v>
      </c>
      <c r="AA270" s="97"/>
      <c r="AB270" s="97">
        <v>0</v>
      </c>
      <c r="AC270" s="97"/>
      <c r="AD270" s="97">
        <f t="shared" si="38"/>
        <v>0</v>
      </c>
      <c r="AE270" s="21"/>
      <c r="AF270" s="19"/>
    </row>
    <row r="271" spans="1:32" s="120" customFormat="1" x14ac:dyDescent="0.2">
      <c r="A271" s="96">
        <v>11</v>
      </c>
      <c r="B271" s="36"/>
      <c r="C271" s="178" t="e">
        <f ca="1">+#REF!</f>
        <v>#REF!</v>
      </c>
      <c r="D271" s="178" t="e">
        <f ca="1">+#REF!</f>
        <v>#REF!</v>
      </c>
      <c r="E271" s="178"/>
      <c r="F271" s="86" t="e">
        <f ca="1">+#REF!</f>
        <v>#REF!</v>
      </c>
      <c r="G271" s="23"/>
      <c r="H271" s="97" t="e">
        <f ca="1">ROUND(#REF!/1000,0)</f>
        <v>#REF!</v>
      </c>
      <c r="I271" s="97"/>
      <c r="J271" s="97" t="e">
        <f ca="1">ROUND(#REF!/1000,0)</f>
        <v>#REF!</v>
      </c>
      <c r="K271" s="97"/>
      <c r="L271" s="97" t="e">
        <f ca="1">-ROUND((#REF!-#REF!)/1000,0)</f>
        <v>#REF!</v>
      </c>
      <c r="M271" s="97"/>
      <c r="N271" s="97" t="e">
        <f t="shared" ref="N271:N276" si="39">SUM(H271:L271)</f>
        <v>#REF!</v>
      </c>
      <c r="O271" s="97"/>
      <c r="P271" s="97">
        <v>915</v>
      </c>
      <c r="Q271" s="97"/>
      <c r="R271" s="97">
        <v>0</v>
      </c>
      <c r="S271" s="97"/>
      <c r="T271" s="97">
        <v>-623</v>
      </c>
      <c r="U271" s="97"/>
      <c r="V271" s="97">
        <f t="shared" ref="V271:V276" si="40">SUM(P271:T271)</f>
        <v>292</v>
      </c>
      <c r="W271" s="97"/>
      <c r="X271" s="97">
        <v>915</v>
      </c>
      <c r="Y271" s="97"/>
      <c r="Z271" s="97">
        <v>0</v>
      </c>
      <c r="AA271" s="97"/>
      <c r="AB271" s="97">
        <v>-623</v>
      </c>
      <c r="AC271" s="97"/>
      <c r="AD271" s="97">
        <f t="shared" ref="AD271:AD276" si="41">SUM(X271:AB271)</f>
        <v>292</v>
      </c>
      <c r="AE271" s="21"/>
      <c r="AF271" s="19"/>
    </row>
    <row r="272" spans="1:32" x14ac:dyDescent="0.2">
      <c r="A272" s="96"/>
      <c r="B272" s="36"/>
      <c r="C272" s="177" t="s">
        <v>227</v>
      </c>
      <c r="D272" s="182"/>
      <c r="E272" s="182"/>
      <c r="F272" s="86"/>
      <c r="G272" s="23"/>
      <c r="H272" s="97"/>
      <c r="I272" s="97"/>
      <c r="J272" s="97"/>
      <c r="K272" s="97"/>
      <c r="L272" s="97"/>
      <c r="M272" s="97"/>
      <c r="N272" s="97">
        <f t="shared" si="39"/>
        <v>0</v>
      </c>
      <c r="O272" s="97"/>
      <c r="P272" s="97">
        <v>0</v>
      </c>
      <c r="Q272" s="97"/>
      <c r="R272" s="97">
        <v>0</v>
      </c>
      <c r="S272" s="97"/>
      <c r="T272" s="97">
        <v>0</v>
      </c>
      <c r="U272" s="97"/>
      <c r="V272" s="97">
        <f t="shared" si="40"/>
        <v>0</v>
      </c>
      <c r="W272" s="97"/>
      <c r="X272" s="97">
        <f>1088+872+22+172+1632</f>
        <v>3786</v>
      </c>
      <c r="Y272" s="97"/>
      <c r="Z272" s="97">
        <v>0</v>
      </c>
      <c r="AA272" s="97"/>
      <c r="AB272" s="97">
        <v>-2690</v>
      </c>
      <c r="AC272" s="97"/>
      <c r="AD272" s="97">
        <f t="shared" si="41"/>
        <v>1096</v>
      </c>
      <c r="AE272" s="21"/>
      <c r="AF272" s="19"/>
    </row>
    <row r="273" spans="1:32" x14ac:dyDescent="0.2">
      <c r="A273" s="96"/>
      <c r="B273" s="36"/>
      <c r="C273" s="178" t="e">
        <f ca="1">+#REF!</f>
        <v>#REF!</v>
      </c>
      <c r="D273" s="178" t="e">
        <f ca="1">+#REF!</f>
        <v>#REF!</v>
      </c>
      <c r="E273" s="86"/>
      <c r="F273" s="86" t="e">
        <f ca="1">+#REF!</f>
        <v>#REF!</v>
      </c>
      <c r="G273" s="23"/>
      <c r="H273" s="97" t="e">
        <f ca="1">ROUND(#REF!/1000,0)</f>
        <v>#REF!</v>
      </c>
      <c r="I273" s="97"/>
      <c r="J273" s="97" t="e">
        <f ca="1">ROUND(#REF!/1000,0)</f>
        <v>#REF!</v>
      </c>
      <c r="K273" s="97"/>
      <c r="L273" s="97" t="e">
        <f ca="1">-ROUND((#REF!-#REF!)/1000,0)</f>
        <v>#REF!</v>
      </c>
      <c r="M273" s="97"/>
      <c r="N273" s="97" t="e">
        <f t="shared" si="39"/>
        <v>#REF!</v>
      </c>
      <c r="O273" s="97"/>
      <c r="P273" s="97">
        <v>0</v>
      </c>
      <c r="Q273" s="97"/>
      <c r="R273" s="97">
        <v>0</v>
      </c>
      <c r="S273" s="97"/>
      <c r="T273" s="97">
        <v>0</v>
      </c>
      <c r="U273" s="97"/>
      <c r="V273" s="97">
        <f t="shared" si="40"/>
        <v>0</v>
      </c>
      <c r="W273" s="97"/>
      <c r="X273" s="97">
        <v>0</v>
      </c>
      <c r="Y273" s="97"/>
      <c r="Z273" s="97">
        <v>0</v>
      </c>
      <c r="AA273" s="97"/>
      <c r="AB273" s="97">
        <v>0</v>
      </c>
      <c r="AC273" s="97"/>
      <c r="AD273" s="97">
        <f t="shared" si="41"/>
        <v>0</v>
      </c>
      <c r="AE273" s="21"/>
      <c r="AF273" s="19"/>
    </row>
    <row r="274" spans="1:32" x14ac:dyDescent="0.2">
      <c r="A274" s="96"/>
      <c r="B274" s="36"/>
      <c r="C274" s="178" t="e">
        <f ca="1">+#REF!</f>
        <v>#REF!</v>
      </c>
      <c r="D274" s="178" t="e">
        <f ca="1">+#REF!</f>
        <v>#REF!</v>
      </c>
      <c r="E274" s="86"/>
      <c r="F274" s="86" t="e">
        <f ca="1">+#REF!</f>
        <v>#REF!</v>
      </c>
      <c r="G274" s="23"/>
      <c r="H274" s="97" t="e">
        <f ca="1">ROUND(#REF!/1000,0)</f>
        <v>#REF!</v>
      </c>
      <c r="I274" s="97"/>
      <c r="J274" s="97" t="e">
        <f ca="1">ROUND(#REF!/1000,0)</f>
        <v>#REF!</v>
      </c>
      <c r="K274" s="97"/>
      <c r="L274" s="97" t="e">
        <f ca="1">-ROUND((#REF!-#REF!)/1000,0)</f>
        <v>#REF!</v>
      </c>
      <c r="M274" s="97"/>
      <c r="N274" s="97" t="e">
        <f t="shared" si="39"/>
        <v>#REF!</v>
      </c>
      <c r="O274" s="97"/>
      <c r="P274" s="97">
        <v>0</v>
      </c>
      <c r="Q274" s="97"/>
      <c r="R274" s="97">
        <v>0</v>
      </c>
      <c r="S274" s="97"/>
      <c r="T274" s="97">
        <v>0</v>
      </c>
      <c r="U274" s="97"/>
      <c r="V274" s="97">
        <f t="shared" si="40"/>
        <v>0</v>
      </c>
      <c r="W274" s="97"/>
      <c r="X274" s="97">
        <v>0</v>
      </c>
      <c r="Y274" s="97"/>
      <c r="Z274" s="97">
        <v>0</v>
      </c>
      <c r="AA274" s="97"/>
      <c r="AB274" s="97">
        <v>0</v>
      </c>
      <c r="AC274" s="97"/>
      <c r="AD274" s="97">
        <f t="shared" si="41"/>
        <v>0</v>
      </c>
      <c r="AE274" s="21"/>
      <c r="AF274" s="19"/>
    </row>
    <row r="275" spans="1:32" s="120" customFormat="1" x14ac:dyDescent="0.2">
      <c r="A275" s="96">
        <v>1</v>
      </c>
      <c r="B275" s="36"/>
      <c r="C275" s="178" t="e">
        <f ca="1">+#REF!</f>
        <v>#REF!</v>
      </c>
      <c r="D275" s="178" t="e">
        <f ca="1">+#REF!</f>
        <v>#REF!</v>
      </c>
      <c r="E275" s="178"/>
      <c r="F275" s="86" t="e">
        <f ca="1">+#REF!</f>
        <v>#REF!</v>
      </c>
      <c r="G275" s="23"/>
      <c r="H275" s="97" t="e">
        <f ca="1">ROUND(#REF!/1000,0)</f>
        <v>#REF!</v>
      </c>
      <c r="I275" s="97"/>
      <c r="J275" s="97" t="e">
        <f ca="1">ROUND(#REF!/1000,0)</f>
        <v>#REF!</v>
      </c>
      <c r="K275" s="97"/>
      <c r="L275" s="97" t="e">
        <f ca="1">-ROUND((#REF!-#REF!)/1000,0)</f>
        <v>#REF!</v>
      </c>
      <c r="M275" s="97"/>
      <c r="N275" s="97" t="e">
        <f t="shared" si="39"/>
        <v>#REF!</v>
      </c>
      <c r="O275" s="97"/>
      <c r="P275" s="97">
        <v>0</v>
      </c>
      <c r="Q275" s="97"/>
      <c r="R275" s="97">
        <v>0</v>
      </c>
      <c r="S275" s="97"/>
      <c r="T275" s="97">
        <v>0</v>
      </c>
      <c r="U275" s="97"/>
      <c r="V275" s="97">
        <f t="shared" si="40"/>
        <v>0</v>
      </c>
      <c r="W275" s="97"/>
      <c r="X275" s="97">
        <v>0</v>
      </c>
      <c r="Y275" s="97"/>
      <c r="Z275" s="97">
        <v>0</v>
      </c>
      <c r="AA275" s="97"/>
      <c r="AB275" s="97">
        <v>0</v>
      </c>
      <c r="AC275" s="97"/>
      <c r="AD275" s="97">
        <f t="shared" si="41"/>
        <v>0</v>
      </c>
      <c r="AE275" s="21"/>
      <c r="AF275" s="19"/>
    </row>
    <row r="276" spans="1:32" s="120" customFormat="1" x14ac:dyDescent="0.2">
      <c r="A276" s="98" t="s">
        <v>103</v>
      </c>
      <c r="B276" s="36"/>
      <c r="C276" s="178" t="e">
        <f ca="1">+#REF!</f>
        <v>#REF!</v>
      </c>
      <c r="D276" s="178" t="e">
        <f ca="1">+#REF!</f>
        <v>#REF!</v>
      </c>
      <c r="E276" s="178"/>
      <c r="F276" s="86" t="e">
        <f ca="1">+#REF!</f>
        <v>#REF!</v>
      </c>
      <c r="G276" s="23"/>
      <c r="H276" s="97" t="e">
        <f ca="1">ROUND(#REF!/1000,0)</f>
        <v>#REF!</v>
      </c>
      <c r="I276" s="97"/>
      <c r="J276" s="97" t="e">
        <f ca="1">ROUND(#REF!/1000,0)</f>
        <v>#REF!</v>
      </c>
      <c r="K276" s="97"/>
      <c r="L276" s="97" t="e">
        <f ca="1">-ROUND((#REF!-#REF!)/1000,0)</f>
        <v>#REF!</v>
      </c>
      <c r="M276" s="97"/>
      <c r="N276" s="97" t="e">
        <f t="shared" si="39"/>
        <v>#REF!</v>
      </c>
      <c r="O276" s="97"/>
      <c r="P276" s="97">
        <v>0</v>
      </c>
      <c r="Q276" s="97"/>
      <c r="R276" s="97">
        <v>0</v>
      </c>
      <c r="S276" s="97"/>
      <c r="T276" s="97">
        <v>0</v>
      </c>
      <c r="U276" s="97"/>
      <c r="V276" s="97">
        <f t="shared" si="40"/>
        <v>0</v>
      </c>
      <c r="W276" s="97"/>
      <c r="X276" s="97">
        <v>0</v>
      </c>
      <c r="Y276" s="97"/>
      <c r="Z276" s="97">
        <v>0</v>
      </c>
      <c r="AA276" s="97"/>
      <c r="AB276" s="97">
        <v>0</v>
      </c>
      <c r="AC276" s="97"/>
      <c r="AD276" s="97">
        <f t="shared" si="41"/>
        <v>0</v>
      </c>
      <c r="AE276" s="21"/>
      <c r="AF276" s="19"/>
    </row>
    <row r="277" spans="1:32" x14ac:dyDescent="0.2">
      <c r="A277" s="96">
        <v>11</v>
      </c>
      <c r="B277" s="36"/>
      <c r="C277" s="176" t="e">
        <f ca="1">+#REF!</f>
        <v>#REF!</v>
      </c>
      <c r="D277" s="176" t="e">
        <f ca="1">+#REF!</f>
        <v>#REF!</v>
      </c>
      <c r="E277" s="176"/>
      <c r="F277" s="85" t="e">
        <f ca="1">+#REF!</f>
        <v>#REF!</v>
      </c>
      <c r="G277" s="20"/>
      <c r="H277" s="97" t="e">
        <f ca="1">ROUND(#REF!/1000,0)</f>
        <v>#REF!</v>
      </c>
      <c r="I277" s="97"/>
      <c r="J277" s="97" t="e">
        <f ca="1">ROUND(#REF!/1000,0)</f>
        <v>#REF!</v>
      </c>
      <c r="K277" s="97"/>
      <c r="L277" s="97" t="e">
        <f ca="1">-ROUND((#REF!-#REF!)/1000,0)</f>
        <v>#REF!</v>
      </c>
      <c r="M277" s="97"/>
      <c r="N277" s="97" t="e">
        <f t="shared" si="36"/>
        <v>#REF!</v>
      </c>
      <c r="O277" s="97"/>
      <c r="P277" s="97">
        <v>2940</v>
      </c>
      <c r="Q277" s="97"/>
      <c r="R277" s="97">
        <v>-926</v>
      </c>
      <c r="S277" s="97"/>
      <c r="T277" s="97">
        <v>-247</v>
      </c>
      <c r="U277" s="97"/>
      <c r="V277" s="97">
        <f t="shared" si="37"/>
        <v>1767</v>
      </c>
      <c r="W277" s="97"/>
      <c r="X277" s="97">
        <v>2940</v>
      </c>
      <c r="Y277" s="97"/>
      <c r="Z277" s="97">
        <v>-1076</v>
      </c>
      <c r="AA277" s="97"/>
      <c r="AB277" s="97">
        <v>-247</v>
      </c>
      <c r="AC277" s="97"/>
      <c r="AD277" s="97">
        <f t="shared" si="38"/>
        <v>1617</v>
      </c>
      <c r="AE277" s="21"/>
      <c r="AF277" s="19" t="s">
        <v>36</v>
      </c>
    </row>
    <row r="278" spans="1:32" x14ac:dyDescent="0.2">
      <c r="A278" s="96"/>
      <c r="B278" s="36"/>
      <c r="C278" s="177" t="s">
        <v>2</v>
      </c>
      <c r="D278" s="182"/>
      <c r="E278" s="182"/>
      <c r="F278" s="86"/>
      <c r="G278" s="23"/>
      <c r="H278" s="97">
        <v>0</v>
      </c>
      <c r="I278" s="97"/>
      <c r="J278" s="97">
        <v>0</v>
      </c>
      <c r="K278" s="97"/>
      <c r="L278" s="97">
        <v>0</v>
      </c>
      <c r="M278" s="97"/>
      <c r="N278" s="97">
        <f t="shared" si="36"/>
        <v>0</v>
      </c>
      <c r="O278" s="97"/>
      <c r="P278" s="97">
        <v>0</v>
      </c>
      <c r="Q278" s="97"/>
      <c r="R278" s="97">
        <v>1010</v>
      </c>
      <c r="S278" s="97"/>
      <c r="T278" s="97">
        <v>0</v>
      </c>
      <c r="U278" s="97"/>
      <c r="V278" s="97">
        <f t="shared" si="37"/>
        <v>1010</v>
      </c>
      <c r="W278" s="97"/>
      <c r="X278" s="97">
        <v>741</v>
      </c>
      <c r="Y278" s="97"/>
      <c r="Z278" s="97">
        <v>0</v>
      </c>
      <c r="AA278" s="97"/>
      <c r="AB278" s="97">
        <v>0</v>
      </c>
      <c r="AC278" s="97"/>
      <c r="AD278" s="97">
        <f t="shared" si="38"/>
        <v>741</v>
      </c>
      <c r="AE278" s="21"/>
      <c r="AF278" s="19"/>
    </row>
    <row r="279" spans="1:32" x14ac:dyDescent="0.2">
      <c r="A279" s="96"/>
      <c r="B279" s="36"/>
      <c r="C279" s="177" t="s">
        <v>199</v>
      </c>
      <c r="D279" s="182"/>
      <c r="E279" s="182"/>
      <c r="F279" s="86"/>
      <c r="G279" s="23"/>
      <c r="H279" s="97">
        <v>0</v>
      </c>
      <c r="I279" s="97"/>
      <c r="J279" s="97">
        <v>0</v>
      </c>
      <c r="K279" s="97"/>
      <c r="L279" s="97" t="e">
        <f ca="1">-ROUND((#REF!-#REF!)/1000,0)</f>
        <v>#REF!</v>
      </c>
      <c r="M279" s="97"/>
      <c r="N279" s="97" t="e">
        <f t="shared" si="36"/>
        <v>#REF!</v>
      </c>
      <c r="O279" s="97"/>
      <c r="P279" s="97">
        <v>0</v>
      </c>
      <c r="Q279" s="97"/>
      <c r="R279" s="97">
        <v>0</v>
      </c>
      <c r="S279" s="97"/>
      <c r="T279" s="97">
        <v>2884</v>
      </c>
      <c r="U279" s="97"/>
      <c r="V279" s="97">
        <f t="shared" si="37"/>
        <v>2884</v>
      </c>
      <c r="W279" s="97"/>
      <c r="X279" s="97">
        <v>0</v>
      </c>
      <c r="Y279" s="97"/>
      <c r="Z279" s="97">
        <v>0</v>
      </c>
      <c r="AA279" s="97"/>
      <c r="AB279" s="97">
        <v>2884</v>
      </c>
      <c r="AC279" s="97"/>
      <c r="AD279" s="97">
        <f t="shared" si="38"/>
        <v>2884</v>
      </c>
      <c r="AE279" s="21"/>
      <c r="AF279" s="19"/>
    </row>
    <row r="280" spans="1:32" x14ac:dyDescent="0.2">
      <c r="A280" s="96"/>
      <c r="B280" s="36"/>
      <c r="C280" s="177" t="s">
        <v>200</v>
      </c>
      <c r="D280" s="182"/>
      <c r="E280" s="182"/>
      <c r="F280" s="86"/>
      <c r="G280" s="23"/>
      <c r="H280" s="97">
        <v>0</v>
      </c>
      <c r="I280" s="97"/>
      <c r="J280" s="97">
        <v>0</v>
      </c>
      <c r="K280" s="97"/>
      <c r="L280" s="97">
        <v>0</v>
      </c>
      <c r="M280" s="97"/>
      <c r="N280" s="97">
        <f t="shared" si="36"/>
        <v>0</v>
      </c>
      <c r="O280" s="97"/>
      <c r="P280" s="97">
        <v>0</v>
      </c>
      <c r="Q280" s="97"/>
      <c r="R280" s="97">
        <v>3500</v>
      </c>
      <c r="S280" s="97"/>
      <c r="T280" s="97">
        <v>0</v>
      </c>
      <c r="U280" s="97"/>
      <c r="V280" s="97">
        <f t="shared" si="37"/>
        <v>3500</v>
      </c>
      <c r="W280" s="97"/>
      <c r="X280" s="97">
        <v>0</v>
      </c>
      <c r="Y280" s="97"/>
      <c r="Z280" s="97">
        <v>3500</v>
      </c>
      <c r="AA280" s="97"/>
      <c r="AB280" s="97">
        <v>0</v>
      </c>
      <c r="AC280" s="97"/>
      <c r="AD280" s="97">
        <f t="shared" si="38"/>
        <v>3500</v>
      </c>
      <c r="AE280" s="21"/>
      <c r="AF280" s="19"/>
    </row>
    <row r="281" spans="1:32" x14ac:dyDescent="0.2">
      <c r="A281" s="96">
        <v>11</v>
      </c>
      <c r="B281" s="36"/>
      <c r="C281" s="176" t="e">
        <f ca="1">+#REF!</f>
        <v>#REF!</v>
      </c>
      <c r="D281" s="176" t="e">
        <f ca="1">+#REF!</f>
        <v>#REF!</v>
      </c>
      <c r="E281" s="176"/>
      <c r="F281" s="85" t="e">
        <f ca="1">+#REF!</f>
        <v>#REF!</v>
      </c>
      <c r="G281" s="20"/>
      <c r="H281" s="97" t="e">
        <f ca="1">ROUND(#REF!/1000,0)</f>
        <v>#REF!</v>
      </c>
      <c r="I281" s="97"/>
      <c r="J281" s="97" t="e">
        <f ca="1">ROUND(#REF!/1000,0)</f>
        <v>#REF!</v>
      </c>
      <c r="K281" s="97"/>
      <c r="L281" s="97" t="e">
        <f ca="1">-ROUND((#REF!-#REF!)/1000,0)</f>
        <v>#REF!</v>
      </c>
      <c r="M281" s="97"/>
      <c r="N281" s="97" t="e">
        <f>SUM(H281:L281)</f>
        <v>#REF!</v>
      </c>
      <c r="O281" s="97"/>
      <c r="P281" s="97">
        <v>0</v>
      </c>
      <c r="Q281" s="97"/>
      <c r="R281" s="97">
        <v>0</v>
      </c>
      <c r="S281" s="97"/>
      <c r="T281" s="97">
        <v>0</v>
      </c>
      <c r="U281" s="97"/>
      <c r="V281" s="97">
        <f>SUM(P281:T281)</f>
        <v>0</v>
      </c>
      <c r="W281" s="97"/>
      <c r="X281" s="97">
        <v>0</v>
      </c>
      <c r="Y281" s="97"/>
      <c r="Z281" s="97">
        <v>0</v>
      </c>
      <c r="AA281" s="97"/>
      <c r="AB281" s="97">
        <v>0</v>
      </c>
      <c r="AC281" s="97"/>
      <c r="AD281" s="97">
        <f>SUM(X281:AB281)</f>
        <v>0</v>
      </c>
      <c r="AE281" s="21"/>
      <c r="AF281" s="19"/>
    </row>
    <row r="282" spans="1:32" x14ac:dyDescent="0.2">
      <c r="A282" s="96">
        <v>11</v>
      </c>
      <c r="B282" s="36"/>
      <c r="C282" s="178" t="e">
        <f ca="1">+#REF!</f>
        <v>#REF!</v>
      </c>
      <c r="D282" s="178" t="e">
        <f ca="1">+#REF!</f>
        <v>#REF!</v>
      </c>
      <c r="E282" s="178"/>
      <c r="F282" s="86" t="e">
        <f ca="1">+#REF!</f>
        <v>#REF!</v>
      </c>
      <c r="G282" s="23"/>
      <c r="H282" s="97" t="e">
        <f ca="1">ROUND(#REF!/1000,0)</f>
        <v>#REF!</v>
      </c>
      <c r="I282" s="97"/>
      <c r="J282" s="97" t="e">
        <f ca="1">ROUND(#REF!/1000,0)</f>
        <v>#REF!</v>
      </c>
      <c r="K282" s="97"/>
      <c r="L282" s="97" t="e">
        <f ca="1">-ROUND((#REF!-#REF!)/1000,0)</f>
        <v>#REF!</v>
      </c>
      <c r="M282" s="97"/>
      <c r="N282" s="97" t="e">
        <f t="shared" si="36"/>
        <v>#REF!</v>
      </c>
      <c r="O282" s="97"/>
      <c r="P282" s="97">
        <v>0</v>
      </c>
      <c r="Q282" s="97"/>
      <c r="R282" s="97">
        <v>0</v>
      </c>
      <c r="S282" s="97"/>
      <c r="T282" s="97">
        <v>0</v>
      </c>
      <c r="U282" s="97"/>
      <c r="V282" s="97">
        <f t="shared" si="37"/>
        <v>0</v>
      </c>
      <c r="W282" s="97"/>
      <c r="X282" s="97">
        <v>0</v>
      </c>
      <c r="Y282" s="97"/>
      <c r="Z282" s="97">
        <v>0</v>
      </c>
      <c r="AA282" s="97"/>
      <c r="AB282" s="97">
        <v>0</v>
      </c>
      <c r="AC282" s="97"/>
      <c r="AD282" s="97">
        <f t="shared" si="38"/>
        <v>0</v>
      </c>
      <c r="AE282" s="21"/>
      <c r="AF282" s="19"/>
    </row>
    <row r="283" spans="1:32" x14ac:dyDescent="0.2">
      <c r="A283" s="96">
        <v>11</v>
      </c>
      <c r="B283" s="36"/>
      <c r="C283" s="178" t="e">
        <f ca="1">+#REF!</f>
        <v>#REF!</v>
      </c>
      <c r="D283" s="178" t="e">
        <f ca="1">+#REF!</f>
        <v>#REF!</v>
      </c>
      <c r="E283" s="178"/>
      <c r="F283" s="86" t="e">
        <f ca="1">+#REF!</f>
        <v>#REF!</v>
      </c>
      <c r="G283" s="23"/>
      <c r="H283" s="97" t="e">
        <f ca="1">ROUND(#REF!/1000,0)</f>
        <v>#REF!</v>
      </c>
      <c r="I283" s="97"/>
      <c r="J283" s="97" t="e">
        <f ca="1">ROUND(#REF!/1000,0)</f>
        <v>#REF!</v>
      </c>
      <c r="K283" s="97"/>
      <c r="L283" s="97" t="e">
        <f ca="1">-ROUND((#REF!-#REF!)/1000,0)</f>
        <v>#REF!</v>
      </c>
      <c r="M283" s="97"/>
      <c r="N283" s="97" t="e">
        <f t="shared" si="36"/>
        <v>#REF!</v>
      </c>
      <c r="O283" s="97"/>
      <c r="P283" s="97">
        <v>0</v>
      </c>
      <c r="Q283" s="97"/>
      <c r="R283" s="97">
        <v>0</v>
      </c>
      <c r="S283" s="97"/>
      <c r="T283" s="97">
        <v>0</v>
      </c>
      <c r="U283" s="97"/>
      <c r="V283" s="97">
        <f t="shared" si="37"/>
        <v>0</v>
      </c>
      <c r="W283" s="97"/>
      <c r="X283" s="97">
        <v>0</v>
      </c>
      <c r="Y283" s="97"/>
      <c r="Z283" s="97">
        <v>0</v>
      </c>
      <c r="AA283" s="97"/>
      <c r="AB283" s="97">
        <v>0</v>
      </c>
      <c r="AC283" s="97"/>
      <c r="AD283" s="97">
        <f t="shared" si="38"/>
        <v>0</v>
      </c>
      <c r="AE283" s="21"/>
      <c r="AF283" s="19"/>
    </row>
    <row r="284" spans="1:32" x14ac:dyDescent="0.2">
      <c r="A284" s="96">
        <v>11</v>
      </c>
      <c r="B284" s="36"/>
      <c r="C284" s="178" t="e">
        <f ca="1">+#REF!</f>
        <v>#REF!</v>
      </c>
      <c r="D284" s="178" t="e">
        <f ca="1">+#REF!</f>
        <v>#REF!</v>
      </c>
      <c r="E284" s="178"/>
      <c r="F284" s="86" t="e">
        <f ca="1">+#REF!</f>
        <v>#REF!</v>
      </c>
      <c r="G284" s="23"/>
      <c r="H284" s="97" t="e">
        <f ca="1">ROUND(#REF!/1000,0)</f>
        <v>#REF!</v>
      </c>
      <c r="I284" s="97"/>
      <c r="J284" s="97" t="e">
        <f ca="1">ROUND(#REF!/1000,0)</f>
        <v>#REF!</v>
      </c>
      <c r="K284" s="97"/>
      <c r="L284" s="97" t="e">
        <f ca="1">-ROUND((#REF!-#REF!)/1000,0)</f>
        <v>#REF!</v>
      </c>
      <c r="M284" s="97"/>
      <c r="N284" s="97" t="e">
        <f t="shared" si="36"/>
        <v>#REF!</v>
      </c>
      <c r="O284" s="97"/>
      <c r="P284" s="97">
        <v>0</v>
      </c>
      <c r="Q284" s="97"/>
      <c r="R284" s="97">
        <v>0</v>
      </c>
      <c r="S284" s="97"/>
      <c r="T284" s="97">
        <v>0</v>
      </c>
      <c r="U284" s="97"/>
      <c r="V284" s="97">
        <f t="shared" si="37"/>
        <v>0</v>
      </c>
      <c r="W284" s="97"/>
      <c r="X284" s="97">
        <v>0</v>
      </c>
      <c r="Y284" s="97"/>
      <c r="Z284" s="97">
        <v>0</v>
      </c>
      <c r="AA284" s="97"/>
      <c r="AB284" s="97">
        <v>0</v>
      </c>
      <c r="AC284" s="97"/>
      <c r="AD284" s="97">
        <f t="shared" si="38"/>
        <v>0</v>
      </c>
      <c r="AE284" s="21"/>
      <c r="AF284" s="19"/>
    </row>
    <row r="285" spans="1:32" x14ac:dyDescent="0.2">
      <c r="A285" s="96">
        <v>11</v>
      </c>
      <c r="B285" s="36"/>
      <c r="C285" s="178" t="e">
        <f ca="1">+#REF!</f>
        <v>#REF!</v>
      </c>
      <c r="D285" s="178" t="e">
        <f ca="1">+#REF!</f>
        <v>#REF!</v>
      </c>
      <c r="E285" s="178"/>
      <c r="F285" s="86" t="e">
        <f ca="1">+#REF!</f>
        <v>#REF!</v>
      </c>
      <c r="G285" s="23"/>
      <c r="H285" s="97" t="e">
        <f ca="1">ROUND(#REF!/1000,0)</f>
        <v>#REF!</v>
      </c>
      <c r="I285" s="97"/>
      <c r="J285" s="97" t="e">
        <f ca="1">ROUND(#REF!/1000,0)</f>
        <v>#REF!</v>
      </c>
      <c r="K285" s="97"/>
      <c r="L285" s="97" t="e">
        <f ca="1">-ROUND((#REF!-#REF!)/1000,0)</f>
        <v>#REF!</v>
      </c>
      <c r="M285" s="97"/>
      <c r="N285" s="97" t="e">
        <f t="shared" si="36"/>
        <v>#REF!</v>
      </c>
      <c r="O285" s="97"/>
      <c r="P285" s="97">
        <v>0</v>
      </c>
      <c r="Q285" s="97"/>
      <c r="R285" s="97">
        <v>0</v>
      </c>
      <c r="S285" s="97"/>
      <c r="T285" s="97">
        <v>0</v>
      </c>
      <c r="U285" s="97"/>
      <c r="V285" s="97">
        <f t="shared" si="37"/>
        <v>0</v>
      </c>
      <c r="W285" s="97"/>
      <c r="X285" s="97">
        <v>0</v>
      </c>
      <c r="Y285" s="97"/>
      <c r="Z285" s="97">
        <v>0</v>
      </c>
      <c r="AA285" s="97"/>
      <c r="AB285" s="97">
        <v>0</v>
      </c>
      <c r="AC285" s="97"/>
      <c r="AD285" s="97">
        <f t="shared" si="38"/>
        <v>0</v>
      </c>
      <c r="AE285" s="21"/>
      <c r="AF285" s="19"/>
    </row>
    <row r="286" spans="1:32" x14ac:dyDescent="0.2">
      <c r="A286" s="96"/>
      <c r="B286" s="36"/>
      <c r="C286" s="29"/>
      <c r="D286" s="2"/>
      <c r="E286" s="2"/>
      <c r="F286" s="86"/>
      <c r="G286" s="23"/>
      <c r="H286" s="97">
        <v>0</v>
      </c>
      <c r="I286" s="97"/>
      <c r="J286" s="97">
        <v>0</v>
      </c>
      <c r="K286" s="97"/>
      <c r="L286" s="97">
        <v>0</v>
      </c>
      <c r="M286" s="97"/>
      <c r="N286" s="97">
        <f t="shared" si="36"/>
        <v>0</v>
      </c>
      <c r="O286" s="97"/>
      <c r="P286" s="97">
        <v>0</v>
      </c>
      <c r="Q286" s="97"/>
      <c r="R286" s="97">
        <v>0</v>
      </c>
      <c r="S286" s="97"/>
      <c r="T286" s="97">
        <v>0</v>
      </c>
      <c r="U286" s="97"/>
      <c r="V286" s="97">
        <f t="shared" si="37"/>
        <v>0</v>
      </c>
      <c r="W286" s="97"/>
      <c r="X286" s="97">
        <v>0</v>
      </c>
      <c r="Y286" s="97"/>
      <c r="Z286" s="97">
        <v>0</v>
      </c>
      <c r="AA286" s="97"/>
      <c r="AB286" s="97">
        <v>0</v>
      </c>
      <c r="AC286" s="97"/>
      <c r="AD286" s="97">
        <f t="shared" si="38"/>
        <v>0</v>
      </c>
      <c r="AE286" s="21"/>
      <c r="AF286" s="19"/>
    </row>
    <row r="287" spans="1:32" x14ac:dyDescent="0.2">
      <c r="A287" s="96"/>
      <c r="B287" s="36"/>
      <c r="C287" s="20"/>
      <c r="D287" s="2"/>
      <c r="E287" s="2"/>
      <c r="F287" s="86"/>
      <c r="G287" s="23"/>
      <c r="H287" s="110"/>
      <c r="I287" s="111"/>
      <c r="J287" s="110"/>
      <c r="K287" s="111"/>
      <c r="L287" s="110"/>
      <c r="M287" s="111"/>
      <c r="N287" s="110"/>
      <c r="O287" s="111"/>
      <c r="P287" s="110"/>
      <c r="Q287" s="111"/>
      <c r="R287" s="110"/>
      <c r="S287" s="111"/>
      <c r="T287" s="110"/>
      <c r="U287" s="111"/>
      <c r="V287" s="110"/>
      <c r="W287" s="111"/>
      <c r="X287" s="110"/>
      <c r="Y287" s="111"/>
      <c r="Z287" s="110"/>
      <c r="AA287" s="111"/>
      <c r="AB287" s="110"/>
      <c r="AC287" s="111"/>
      <c r="AD287" s="110"/>
      <c r="AE287" s="21"/>
      <c r="AF287" s="19"/>
    </row>
    <row r="288" spans="1:32" s="114" customFormat="1" x14ac:dyDescent="0.2">
      <c r="A288" s="104"/>
      <c r="B288" s="68"/>
      <c r="C288" s="121" t="s">
        <v>207</v>
      </c>
      <c r="D288" s="72"/>
      <c r="E288" s="72"/>
      <c r="F288" s="107"/>
      <c r="G288" s="108"/>
      <c r="H288" s="105" t="e">
        <f>SUM(H264:H286)</f>
        <v>#REF!</v>
      </c>
      <c r="I288" s="105"/>
      <c r="J288" s="105" t="e">
        <f>SUM(J264:J286)</f>
        <v>#REF!</v>
      </c>
      <c r="K288" s="105"/>
      <c r="L288" s="105" t="e">
        <f>SUM(L264:L286)</f>
        <v>#REF!</v>
      </c>
      <c r="M288" s="105"/>
      <c r="N288" s="105" t="e">
        <f>SUM(N264:N286)</f>
        <v>#REF!</v>
      </c>
      <c r="O288" s="105"/>
      <c r="P288" s="105">
        <f>SUM(P264:P286)</f>
        <v>3855</v>
      </c>
      <c r="Q288" s="105"/>
      <c r="R288" s="105">
        <f>SUM(R264:R286)</f>
        <v>4484</v>
      </c>
      <c r="S288" s="105"/>
      <c r="T288" s="105">
        <f>SUM(T264:T286)</f>
        <v>1787</v>
      </c>
      <c r="U288" s="105"/>
      <c r="V288" s="105">
        <f>SUM(V264:V286)</f>
        <v>10126</v>
      </c>
      <c r="W288" s="105"/>
      <c r="X288" s="105">
        <f>SUM(X264:X286)</f>
        <v>9040</v>
      </c>
      <c r="Y288" s="105"/>
      <c r="Z288" s="105">
        <f>SUM(Z264:Z286)</f>
        <v>3324</v>
      </c>
      <c r="AA288" s="105"/>
      <c r="AB288" s="105">
        <f>SUM(AB264:AB286)</f>
        <v>-903</v>
      </c>
      <c r="AC288" s="105"/>
      <c r="AD288" s="105">
        <f>SUM(AD264:AD286)</f>
        <v>11461</v>
      </c>
      <c r="AE288" s="71"/>
      <c r="AF288" s="69"/>
    </row>
    <row r="289" spans="1:32" x14ac:dyDescent="0.2">
      <c r="A289" s="93"/>
      <c r="B289" s="109"/>
      <c r="C289" s="25"/>
      <c r="D289" s="25"/>
      <c r="E289" s="25"/>
      <c r="F289" s="87"/>
      <c r="G289" s="26"/>
      <c r="H289" s="110"/>
      <c r="I289" s="111"/>
      <c r="J289" s="110"/>
      <c r="K289" s="111"/>
      <c r="L289" s="110"/>
      <c r="M289" s="111"/>
      <c r="N289" s="110"/>
      <c r="O289" s="111"/>
      <c r="P289" s="110"/>
      <c r="Q289" s="111"/>
      <c r="R289" s="110"/>
      <c r="S289" s="111"/>
      <c r="T289" s="110"/>
      <c r="U289" s="111"/>
      <c r="V289" s="110"/>
      <c r="W289" s="111"/>
      <c r="X289" s="110"/>
      <c r="Y289" s="111"/>
      <c r="Z289" s="110"/>
      <c r="AA289" s="111"/>
      <c r="AB289" s="110"/>
      <c r="AC289" s="111"/>
      <c r="AD289" s="110"/>
      <c r="AE289" s="27"/>
      <c r="AF289" s="19"/>
    </row>
    <row r="290" spans="1:32" s="114" customFormat="1" ht="13.5" thickBot="1" x14ac:dyDescent="0.25">
      <c r="A290" s="133"/>
      <c r="B290" s="134"/>
      <c r="C290" s="65" t="s">
        <v>228</v>
      </c>
      <c r="D290" s="65"/>
      <c r="E290" s="65"/>
      <c r="F290" s="135"/>
      <c r="G290" s="136"/>
      <c r="H290" s="137" t="e">
        <f>+H30+H56+H60+H90+H58+H71+H102+H261+H288</f>
        <v>#REF!</v>
      </c>
      <c r="I290" s="138"/>
      <c r="J290" s="137" t="e">
        <f>+J30+J56+J60+J90+J58+J71+J102+J261+J288</f>
        <v>#REF!</v>
      </c>
      <c r="K290" s="138"/>
      <c r="L290" s="137" t="e">
        <f>+L30+L56+L60+L90+L58+L71+L102+L261+L288</f>
        <v>#REF!</v>
      </c>
      <c r="M290" s="138"/>
      <c r="N290" s="137" t="e">
        <f>+N30+N56+N60+N90+N58+N71+N102+N261+N288</f>
        <v>#REF!</v>
      </c>
      <c r="O290" s="138"/>
      <c r="P290" s="137">
        <f>+P30+P56+P60+P90+P58+P71+P102+P261+P288</f>
        <v>428033</v>
      </c>
      <c r="Q290" s="138"/>
      <c r="R290" s="137">
        <f>+R30+R56+R60+R90+R58+R71+R102+R261+R288</f>
        <v>-330590</v>
      </c>
      <c r="S290" s="138"/>
      <c r="T290" s="137">
        <f>+T30+T56+T60+T90+T58+T71+T102+T261+T288</f>
        <v>-27733</v>
      </c>
      <c r="U290" s="138"/>
      <c r="V290" s="137">
        <f>+V30+V56+V60+V90+V58+V71+V102+V261+V288</f>
        <v>69710</v>
      </c>
      <c r="W290" s="138"/>
      <c r="X290" s="137">
        <f>+X30+X56+X60+X90+X58+X71+X102+X261+X288</f>
        <v>400782</v>
      </c>
      <c r="Y290" s="138"/>
      <c r="Z290" s="137">
        <f>+Z30+Z56+Z60+Z90+Z58+Z71+Z102+Z261+Z288</f>
        <v>-331618</v>
      </c>
      <c r="AA290" s="138"/>
      <c r="AB290" s="137">
        <f>+AB30+AB56+AB60+AB90+AB58+AB71+AB102+AB261+AB288</f>
        <v>-30718</v>
      </c>
      <c r="AC290" s="138"/>
      <c r="AD290" s="137">
        <f>+AD30+AD56+AD60+AD90+AD58+AD71+AD102+AD261+AD288</f>
        <v>38446</v>
      </c>
      <c r="AE290" s="139"/>
      <c r="AF290" s="69"/>
    </row>
    <row r="291" spans="1:32" ht="13.5" thickTop="1" x14ac:dyDescent="0.2">
      <c r="A291" s="112"/>
      <c r="B291" s="37"/>
      <c r="C291" s="25"/>
      <c r="D291" s="25"/>
      <c r="E291" s="25"/>
      <c r="F291" s="87"/>
      <c r="G291" s="26"/>
      <c r="H291" s="27"/>
      <c r="I291" s="27"/>
      <c r="J291" s="27"/>
      <c r="K291" s="27"/>
      <c r="L291" s="27"/>
      <c r="M291" s="27"/>
      <c r="N291" s="27"/>
      <c r="O291" s="27"/>
      <c r="P291" s="27"/>
      <c r="Q291" s="27"/>
      <c r="R291" s="27"/>
      <c r="S291" s="27"/>
      <c r="T291" s="27"/>
      <c r="U291" s="27"/>
      <c r="V291" s="27"/>
      <c r="W291" s="27"/>
      <c r="X291" s="27"/>
      <c r="Y291" s="27"/>
      <c r="Z291" s="27"/>
      <c r="AA291" s="27"/>
      <c r="AB291" s="27"/>
      <c r="AC291" s="27"/>
      <c r="AD291" s="27"/>
      <c r="AE291" s="27"/>
      <c r="AF291" s="19"/>
    </row>
    <row r="292" spans="1:32" ht="13.5" thickBot="1" x14ac:dyDescent="0.25">
      <c r="A292" s="158" t="str">
        <f ca="1">CELL("filename")</f>
        <v>O:\Corporate\GPGFin\Cfp\0103Plan\Corp\Allocations\[CORP_2001_ALLOC_5.xls]Corp Summary by Group</v>
      </c>
      <c r="AD292" s="2"/>
    </row>
    <row r="293" spans="1:32" ht="13.5" thickBot="1" x14ac:dyDescent="0.25">
      <c r="H293" s="144" t="s">
        <v>229</v>
      </c>
      <c r="I293" s="145"/>
      <c r="J293" s="145"/>
      <c r="K293" s="145"/>
      <c r="L293" s="145"/>
      <c r="M293" s="145"/>
      <c r="N293" s="146" t="e">
        <f>+N290-65552</f>
        <v>#REF!</v>
      </c>
    </row>
    <row r="295" spans="1:32" x14ac:dyDescent="0.2">
      <c r="C295" s="143" t="s">
        <v>225</v>
      </c>
    </row>
    <row r="296" spans="1:32" x14ac:dyDescent="0.2">
      <c r="C296" s="79" t="s">
        <v>226</v>
      </c>
    </row>
    <row r="297" spans="1:32" x14ac:dyDescent="0.2">
      <c r="C297" s="3" t="s">
        <v>230</v>
      </c>
    </row>
    <row r="298" spans="1:32" x14ac:dyDescent="0.2">
      <c r="C298" s="3"/>
    </row>
    <row r="299" spans="1:32" x14ac:dyDescent="0.2">
      <c r="A299" s="185" t="s">
        <v>257</v>
      </c>
    </row>
    <row r="300" spans="1:32" x14ac:dyDescent="0.2">
      <c r="C300" s="160" t="s">
        <v>241</v>
      </c>
      <c r="D300" s="161"/>
      <c r="E300" s="161"/>
      <c r="F300" s="162"/>
      <c r="G300" s="163"/>
      <c r="H300" s="164" t="e">
        <f>+H290-H256-H241-H169-H140-H259-H158</f>
        <v>#REF!</v>
      </c>
      <c r="I300" s="164"/>
      <c r="J300" s="164" t="e">
        <f>+J290-J256-J241-J169-J140-J259-J158</f>
        <v>#REF!</v>
      </c>
      <c r="K300" s="164"/>
      <c r="L300" s="164" t="e">
        <f>+L290-L256-L241-L169-L140-L259-L158</f>
        <v>#REF!</v>
      </c>
      <c r="M300" s="164"/>
      <c r="N300" s="165" t="e">
        <f>+N290-N256-N241-N169-N140-N259-N158</f>
        <v>#REF!</v>
      </c>
    </row>
    <row r="301" spans="1:32" x14ac:dyDescent="0.2">
      <c r="C301" s="166" t="s">
        <v>240</v>
      </c>
      <c r="D301" s="167"/>
      <c r="E301" s="167"/>
      <c r="F301" s="168"/>
      <c r="G301" s="169"/>
      <c r="H301" s="170" t="e">
        <f ca="1">+H300-ROUND(#REF!/1000,0)</f>
        <v>#REF!</v>
      </c>
      <c r="I301" s="170"/>
      <c r="J301" s="170" t="e">
        <f ca="1">+J300-ROUND(#REF!/1000,0)</f>
        <v>#REF!</v>
      </c>
      <c r="K301" s="170"/>
      <c r="L301" s="170" t="e">
        <f ca="1">+L300+ROUND((#REF!+#REF!+#REF!+#REF!+#REF!+#REF!)/1000,0)</f>
        <v>#REF!</v>
      </c>
      <c r="M301" s="170"/>
      <c r="N301" s="171" t="e">
        <f ca="1">+N300+ROUND(#REF!/1000,0)-ROUND(#REF!/1000,0)-ROUND(#REF!/1000,0)</f>
        <v>#REF!</v>
      </c>
    </row>
    <row r="302" spans="1:32" x14ac:dyDescent="0.2">
      <c r="C302" s="172"/>
      <c r="D302" s="172"/>
      <c r="E302" s="172"/>
      <c r="F302" s="186"/>
      <c r="G302" s="187"/>
      <c r="H302" s="69"/>
      <c r="I302" s="69"/>
      <c r="J302" s="69"/>
      <c r="K302" s="69"/>
      <c r="L302" s="69"/>
      <c r="M302" s="69"/>
      <c r="N302" s="69"/>
    </row>
    <row r="303" spans="1:32" x14ac:dyDescent="0.2">
      <c r="A303" s="185" t="s">
        <v>258</v>
      </c>
    </row>
    <row r="304" spans="1:32" x14ac:dyDescent="0.2">
      <c r="C304" s="1" t="s">
        <v>253</v>
      </c>
      <c r="N304" s="2" t="e">
        <f ca="1">-ROUND(#REF!/1000,0)</f>
        <v>#REF!</v>
      </c>
    </row>
    <row r="305" spans="3:14" x14ac:dyDescent="0.2">
      <c r="C305" s="1" t="s">
        <v>255</v>
      </c>
      <c r="L305" s="2" t="e">
        <f ca="1">+ROUND(#REF!/1000,0)</f>
        <v>#REF!</v>
      </c>
    </row>
    <row r="306" spans="3:14" x14ac:dyDescent="0.2">
      <c r="C306" s="1" t="s">
        <v>254</v>
      </c>
      <c r="L306" s="2" t="e">
        <f ca="1">-ROUND((+#REF!+#REF!+#REF!+#REF!+#REF!+#REF!)/1000,0)</f>
        <v>#REF!</v>
      </c>
    </row>
    <row r="307" spans="3:14" x14ac:dyDescent="0.2">
      <c r="C307" s="1" t="s">
        <v>256</v>
      </c>
      <c r="N307" s="2" t="e">
        <f>SUM(L305:L306)</f>
        <v>#REF!</v>
      </c>
    </row>
    <row r="308" spans="3:14" x14ac:dyDescent="0.2">
      <c r="C308" s="1" t="s">
        <v>260</v>
      </c>
      <c r="N308" s="2" t="e">
        <f>+N140+N158+N169+N241+N256+N259</f>
        <v>#REF!</v>
      </c>
    </row>
    <row r="310" spans="3:14" ht="13.5" thickBot="1" x14ac:dyDescent="0.25">
      <c r="C310" s="1" t="s">
        <v>259</v>
      </c>
      <c r="N310" s="184" t="e">
        <f>SUM(N304:N309)</f>
        <v>#REF!</v>
      </c>
    </row>
    <row r="311" spans="3:14" ht="13.5" thickTop="1" x14ac:dyDescent="0.2"/>
  </sheetData>
  <pageMargins left="0.25" right="0.25" top="0.5" bottom="0.5" header="0.25" footer="0.25"/>
  <pageSetup scale="67" fitToHeight="0" orientation="portrait" r:id="rId1"/>
  <headerFooter alignWithMargins="0">
    <oddHeader>&amp;R&amp;8&amp;D  &amp;T</oddHead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AA21"/>
  <sheetViews>
    <sheetView zoomScale="75" workbookViewId="0">
      <selection activeCell="G10" sqref="G10"/>
    </sheetView>
  </sheetViews>
  <sheetFormatPr defaultRowHeight="12.75" x14ac:dyDescent="0.2"/>
  <cols>
    <col min="1" max="1" width="32.140625" style="40" customWidth="1"/>
    <col min="2" max="2" width="3.28515625" style="40" customWidth="1"/>
    <col min="3" max="3" width="9.7109375" style="57" customWidth="1"/>
    <col min="4" max="4" width="2.42578125" style="40" customWidth="1"/>
    <col min="5" max="5" width="10.7109375" style="61" customWidth="1"/>
    <col min="6" max="6" width="2.42578125" style="40" customWidth="1"/>
    <col min="7" max="7" width="10.7109375" style="40" customWidth="1"/>
    <col min="8" max="8" width="2.42578125" style="40" customWidth="1"/>
    <col min="9" max="9" width="10.7109375" style="40" customWidth="1"/>
    <col min="10" max="10" width="2.42578125" style="40" customWidth="1"/>
    <col min="11" max="11" width="10.7109375" style="40" customWidth="1"/>
    <col min="12" max="12" width="2.42578125" style="40" customWidth="1"/>
    <col min="13" max="13" width="9.28515625" style="40" customWidth="1"/>
    <col min="14" max="14" width="2.42578125" style="40" customWidth="1"/>
    <col min="15" max="15" width="11.28515625" style="40" customWidth="1"/>
    <col min="16" max="16" width="2.42578125" style="40" customWidth="1"/>
    <col min="17" max="17" width="9.7109375" style="40" customWidth="1"/>
    <col min="18" max="18" width="2.42578125" style="40" customWidth="1"/>
    <col min="19" max="19" width="9.28515625" style="40" customWidth="1"/>
    <col min="20" max="20" width="2.42578125" style="40" customWidth="1"/>
    <col min="21" max="21" width="9.85546875" style="40" customWidth="1"/>
    <col min="22" max="22" width="2.42578125" style="40" customWidth="1"/>
    <col min="23" max="23" width="10.85546875" style="40" customWidth="1"/>
    <col min="24" max="24" width="2.42578125" style="40" customWidth="1"/>
    <col min="25" max="25" width="10.85546875" style="40" customWidth="1"/>
    <col min="26" max="26" width="2.42578125" style="40" customWidth="1"/>
    <col min="27" max="27" width="10.140625" style="40" customWidth="1"/>
  </cols>
  <sheetData>
    <row r="1" spans="1:27" s="42" customFormat="1" ht="25.5" x14ac:dyDescent="0.35">
      <c r="A1" s="39" t="s">
        <v>163</v>
      </c>
      <c r="B1" s="40"/>
      <c r="C1" s="57"/>
      <c r="D1" s="41"/>
      <c r="E1" s="60"/>
      <c r="F1" s="39"/>
      <c r="G1" s="40"/>
      <c r="H1" s="40"/>
      <c r="I1" s="40"/>
      <c r="J1" s="40"/>
      <c r="K1" s="40"/>
      <c r="L1" s="40"/>
      <c r="M1" s="40"/>
      <c r="N1" s="40"/>
      <c r="O1" s="40"/>
      <c r="P1" s="40"/>
      <c r="Q1" s="40"/>
      <c r="R1" s="40"/>
      <c r="S1" s="40"/>
      <c r="T1" s="40"/>
      <c r="U1" s="40"/>
      <c r="V1" s="40"/>
      <c r="W1" s="40"/>
      <c r="X1" s="40"/>
      <c r="Y1" s="40"/>
      <c r="Z1" s="40"/>
      <c r="AA1" s="40"/>
    </row>
    <row r="2" spans="1:27" s="42" customFormat="1" ht="25.5" x14ac:dyDescent="0.35">
      <c r="A2" s="43" t="s">
        <v>128</v>
      </c>
      <c r="B2" s="40"/>
      <c r="C2" s="57"/>
      <c r="D2" s="41"/>
      <c r="E2" s="61"/>
      <c r="F2" s="40"/>
      <c r="G2" s="40"/>
      <c r="H2" s="40"/>
      <c r="I2" s="40"/>
      <c r="J2" s="44"/>
      <c r="K2" s="45"/>
      <c r="L2" s="40"/>
      <c r="M2" s="40"/>
      <c r="N2" s="40"/>
      <c r="O2" s="40"/>
      <c r="P2" s="40"/>
      <c r="Q2" s="40"/>
      <c r="R2" s="40"/>
      <c r="S2" s="40"/>
      <c r="T2" s="40"/>
      <c r="U2" s="40"/>
      <c r="V2" s="40"/>
      <c r="W2" s="40"/>
      <c r="X2" s="40"/>
      <c r="Y2" s="40"/>
      <c r="Z2" s="40"/>
      <c r="AA2" s="40"/>
    </row>
    <row r="3" spans="1:27" s="42" customFormat="1" x14ac:dyDescent="0.2">
      <c r="A3" s="46" t="s">
        <v>262</v>
      </c>
      <c r="B3" s="40"/>
      <c r="C3" s="57"/>
      <c r="D3" s="41"/>
      <c r="E3" s="61"/>
      <c r="F3" s="40"/>
      <c r="G3" s="40"/>
      <c r="H3" s="40"/>
      <c r="I3" s="40"/>
      <c r="J3" s="40"/>
      <c r="K3" s="40"/>
      <c r="L3" s="40"/>
      <c r="M3" s="40"/>
      <c r="N3" s="40"/>
      <c r="O3" s="40"/>
      <c r="P3" s="40"/>
      <c r="Q3" s="40"/>
      <c r="R3" s="40"/>
      <c r="S3" s="40"/>
      <c r="T3" s="48"/>
      <c r="U3" s="47"/>
      <c r="V3" s="48"/>
      <c r="W3" s="48"/>
      <c r="X3" s="40"/>
      <c r="Y3" s="40"/>
      <c r="Z3" s="40"/>
      <c r="AA3" s="40"/>
    </row>
    <row r="4" spans="1:27" s="42" customFormat="1" x14ac:dyDescent="0.2">
      <c r="A4" s="46" t="s">
        <v>172</v>
      </c>
      <c r="B4" s="40"/>
      <c r="C4" s="57"/>
      <c r="D4" s="41"/>
      <c r="E4" s="61"/>
      <c r="F4" s="40"/>
      <c r="G4" s="40"/>
      <c r="H4" s="40"/>
      <c r="I4" s="40"/>
      <c r="J4" s="40"/>
      <c r="K4" s="40"/>
      <c r="L4" s="40"/>
      <c r="M4" s="40"/>
      <c r="N4" s="40"/>
      <c r="O4" s="40"/>
      <c r="P4" s="40"/>
      <c r="Q4" s="40"/>
      <c r="R4" s="40"/>
      <c r="S4" s="40"/>
      <c r="T4" s="48"/>
      <c r="U4" s="49"/>
      <c r="V4" s="48"/>
      <c r="W4" s="48"/>
      <c r="X4" s="40"/>
      <c r="Y4" s="40"/>
      <c r="Z4" s="40"/>
      <c r="AA4" s="40"/>
    </row>
    <row r="5" spans="1:27" s="42" customFormat="1" x14ac:dyDescent="0.2">
      <c r="A5" s="40"/>
      <c r="B5" s="40"/>
      <c r="C5" s="57"/>
      <c r="D5" s="41"/>
      <c r="E5" s="62">
        <v>1999</v>
      </c>
      <c r="F5" s="40"/>
      <c r="G5" s="50" t="s">
        <v>31</v>
      </c>
      <c r="H5" s="40"/>
      <c r="I5" s="50" t="s">
        <v>108</v>
      </c>
      <c r="J5" s="40"/>
      <c r="K5" s="40"/>
      <c r="L5" s="40"/>
      <c r="M5" s="40"/>
      <c r="N5" s="40"/>
      <c r="O5" s="40"/>
      <c r="P5" s="40"/>
      <c r="Q5" s="40"/>
      <c r="R5" s="40"/>
      <c r="S5" s="40"/>
      <c r="T5" s="40"/>
      <c r="U5" s="40"/>
      <c r="V5" s="40"/>
      <c r="W5" s="40"/>
      <c r="X5" s="40"/>
      <c r="Y5" s="40"/>
      <c r="Z5" s="40"/>
      <c r="AA5" s="40"/>
    </row>
    <row r="6" spans="1:27" s="42" customFormat="1" x14ac:dyDescent="0.2">
      <c r="A6" s="40"/>
      <c r="B6" s="40"/>
      <c r="C6" s="58" t="s">
        <v>109</v>
      </c>
      <c r="D6" s="41"/>
      <c r="E6" s="63" t="s">
        <v>110</v>
      </c>
      <c r="F6" s="40"/>
      <c r="G6" s="50" t="s">
        <v>111</v>
      </c>
      <c r="H6" s="40"/>
      <c r="I6" s="50" t="s">
        <v>112</v>
      </c>
      <c r="J6" s="40"/>
      <c r="K6" s="50" t="s">
        <v>113</v>
      </c>
      <c r="L6" s="40"/>
      <c r="M6" s="50" t="s">
        <v>114</v>
      </c>
      <c r="N6" s="40"/>
      <c r="O6" s="40"/>
      <c r="P6" s="40"/>
      <c r="Q6" s="50" t="s">
        <v>115</v>
      </c>
      <c r="R6" s="40"/>
      <c r="S6" s="50" t="s">
        <v>114</v>
      </c>
      <c r="T6" s="40"/>
      <c r="U6" s="50" t="s">
        <v>116</v>
      </c>
      <c r="V6" s="40"/>
      <c r="W6" s="50" t="s">
        <v>117</v>
      </c>
      <c r="X6" s="40"/>
      <c r="Y6" s="40"/>
      <c r="Z6" s="40"/>
      <c r="AA6" s="50" t="s">
        <v>18</v>
      </c>
    </row>
    <row r="7" spans="1:27" s="42" customFormat="1" ht="14.25" x14ac:dyDescent="0.2">
      <c r="A7" s="51" t="s">
        <v>118</v>
      </c>
      <c r="B7" s="40"/>
      <c r="C7" s="59" t="s">
        <v>119</v>
      </c>
      <c r="D7" s="41"/>
      <c r="E7" s="64" t="s">
        <v>120</v>
      </c>
      <c r="F7" s="40"/>
      <c r="G7" s="51" t="s">
        <v>121</v>
      </c>
      <c r="H7" s="40"/>
      <c r="I7" s="51" t="s">
        <v>164</v>
      </c>
      <c r="J7" s="40"/>
      <c r="K7" s="51" t="s">
        <v>120</v>
      </c>
      <c r="L7" s="40"/>
      <c r="M7" s="51" t="s">
        <v>122</v>
      </c>
      <c r="N7" s="40"/>
      <c r="O7" s="51" t="s">
        <v>123</v>
      </c>
      <c r="P7" s="40"/>
      <c r="Q7" s="51" t="s">
        <v>124</v>
      </c>
      <c r="R7" s="40"/>
      <c r="S7" s="51" t="s">
        <v>169</v>
      </c>
      <c r="T7" s="40"/>
      <c r="U7" s="51" t="s">
        <v>125</v>
      </c>
      <c r="V7" s="40"/>
      <c r="W7" s="51" t="s">
        <v>174</v>
      </c>
      <c r="X7" s="40"/>
      <c r="Y7" s="51" t="s">
        <v>158</v>
      </c>
      <c r="Z7" s="40"/>
      <c r="AA7" s="51" t="s">
        <v>126</v>
      </c>
    </row>
    <row r="8" spans="1:27" s="42" customFormat="1" x14ac:dyDescent="0.2">
      <c r="A8" s="40"/>
      <c r="B8" s="40"/>
      <c r="C8" s="57"/>
      <c r="D8" s="41"/>
      <c r="E8" s="56"/>
      <c r="F8" s="40"/>
      <c r="G8" s="40"/>
      <c r="H8" s="40"/>
      <c r="I8" s="40"/>
      <c r="J8" s="40"/>
      <c r="K8" s="40"/>
      <c r="L8" s="40"/>
      <c r="M8" s="40"/>
      <c r="N8" s="40"/>
      <c r="O8" s="40"/>
      <c r="P8" s="40"/>
      <c r="Q8" s="40"/>
      <c r="R8" s="40"/>
      <c r="S8" s="40"/>
      <c r="T8" s="40"/>
      <c r="U8" s="40"/>
      <c r="V8" s="40"/>
      <c r="W8" s="40"/>
      <c r="X8" s="40"/>
      <c r="Y8" s="40"/>
      <c r="Z8" s="40"/>
      <c r="AA8" s="40"/>
    </row>
    <row r="9" spans="1:27" s="42" customFormat="1" x14ac:dyDescent="0.2">
      <c r="A9" s="40"/>
      <c r="B9" s="40"/>
      <c r="C9" s="57"/>
      <c r="D9" s="41"/>
      <c r="E9" s="56"/>
      <c r="F9" s="40"/>
      <c r="G9" s="40"/>
      <c r="H9" s="40"/>
      <c r="I9" s="40"/>
      <c r="J9" s="40"/>
      <c r="K9" s="40"/>
      <c r="L9" s="40"/>
      <c r="M9" s="40"/>
      <c r="N9" s="40"/>
      <c r="O9" s="40"/>
      <c r="P9" s="40"/>
      <c r="Q9" s="40"/>
      <c r="R9" s="40"/>
      <c r="S9" s="40"/>
      <c r="T9" s="40"/>
      <c r="U9" s="40"/>
      <c r="V9" s="40"/>
      <c r="W9" s="40" t="s">
        <v>0</v>
      </c>
      <c r="X9" s="40"/>
      <c r="Y9" s="40"/>
      <c r="Z9" s="40"/>
      <c r="AA9" s="40"/>
    </row>
    <row r="10" spans="1:27" s="42" customFormat="1" x14ac:dyDescent="0.2">
      <c r="A10" s="40" t="s">
        <v>127</v>
      </c>
      <c r="B10" s="40"/>
      <c r="C10" s="61"/>
      <c r="D10" s="41"/>
      <c r="E10" s="56"/>
      <c r="F10" s="40"/>
      <c r="G10" s="40"/>
      <c r="H10" s="40"/>
      <c r="I10" s="40"/>
      <c r="J10" s="40"/>
      <c r="K10" s="40"/>
      <c r="L10" s="40"/>
      <c r="M10" s="52">
        <v>0.10199999999999999</v>
      </c>
      <c r="N10" s="52"/>
      <c r="O10" s="52">
        <v>0.03</v>
      </c>
      <c r="P10" s="52"/>
      <c r="Q10" s="52">
        <v>3.2000000000000001E-2</v>
      </c>
      <c r="R10" s="52"/>
      <c r="S10" s="77">
        <v>0</v>
      </c>
      <c r="T10" s="53"/>
      <c r="U10" s="52">
        <v>0.17299999999999999</v>
      </c>
      <c r="V10" s="53"/>
      <c r="W10" s="52">
        <v>0.16200000000000001</v>
      </c>
      <c r="X10" s="52"/>
      <c r="Y10" s="52">
        <f>1-SUM(M10:W10)</f>
        <v>0.501</v>
      </c>
      <c r="Z10" s="52"/>
      <c r="AA10" s="52">
        <f>SUM(M10:Y10)</f>
        <v>1</v>
      </c>
    </row>
    <row r="11" spans="1:27" s="42" customFormat="1" x14ac:dyDescent="0.2">
      <c r="A11" s="40"/>
      <c r="B11" s="40"/>
      <c r="C11" s="61"/>
      <c r="D11" s="41"/>
      <c r="E11" s="56"/>
      <c r="F11" s="40"/>
      <c r="G11" s="40"/>
      <c r="H11" s="40"/>
      <c r="I11" s="40"/>
      <c r="J11" s="40"/>
      <c r="K11" s="40"/>
      <c r="L11" s="40"/>
      <c r="M11" s="54"/>
      <c r="N11" s="54"/>
      <c r="O11" s="54"/>
      <c r="P11" s="54"/>
      <c r="Q11" s="54"/>
      <c r="R11" s="54"/>
      <c r="S11" s="54"/>
      <c r="T11" s="40"/>
      <c r="U11" s="54"/>
      <c r="V11" s="40"/>
      <c r="W11" s="54"/>
      <c r="X11" s="54"/>
      <c r="Y11" s="54"/>
      <c r="Z11" s="54"/>
      <c r="AA11" s="54"/>
    </row>
    <row r="12" spans="1:27" s="42" customFormat="1" x14ac:dyDescent="0.2">
      <c r="A12" s="56" t="e">
        <f ca="1">+#REF!</f>
        <v>#REF!</v>
      </c>
      <c r="B12" s="40"/>
      <c r="C12" s="63">
        <v>1125</v>
      </c>
      <c r="D12" s="41"/>
      <c r="E12" s="55" t="e">
        <f ca="1">ROUND(#REF!*1000,0)</f>
        <v>#REF!</v>
      </c>
      <c r="F12" s="55"/>
      <c r="G12" s="55" t="e">
        <f ca="1">-ROUND(#REF!*1000,0)</f>
        <v>#REF!</v>
      </c>
      <c r="H12" s="55"/>
      <c r="I12" s="55">
        <v>0</v>
      </c>
      <c r="J12" s="55"/>
      <c r="K12" s="55" t="e">
        <f>+E12+G12+I12</f>
        <v>#REF!</v>
      </c>
      <c r="L12" s="55"/>
      <c r="M12" s="55" t="e">
        <f>ROUND(K12*$M$10,0)</f>
        <v>#REF!</v>
      </c>
      <c r="N12" s="55"/>
      <c r="O12" s="55" t="e">
        <f>ROUND(K12*$O$10,)</f>
        <v>#REF!</v>
      </c>
      <c r="P12" s="55"/>
      <c r="Q12" s="55" t="e">
        <f>ROUND(K12*$Q$10,0)</f>
        <v>#REF!</v>
      </c>
      <c r="R12" s="55"/>
      <c r="S12" s="75">
        <v>0</v>
      </c>
      <c r="T12" s="55"/>
      <c r="U12" s="55" t="e">
        <f>ROUND(K12*$U$10,0)</f>
        <v>#REF!</v>
      </c>
      <c r="V12" s="55"/>
      <c r="W12" s="75">
        <v>0</v>
      </c>
      <c r="X12" s="55"/>
      <c r="Y12" s="55" t="e">
        <f>K12-SUM(M12:W12)</f>
        <v>#REF!</v>
      </c>
      <c r="Z12" s="55"/>
      <c r="AA12" s="55" t="e">
        <f>SUM(M12:Y12)</f>
        <v>#REF!</v>
      </c>
    </row>
    <row r="15" spans="1:27" x14ac:dyDescent="0.2">
      <c r="A15" s="188" t="s">
        <v>263</v>
      </c>
      <c r="K15" s="40">
        <v>1133000</v>
      </c>
      <c r="M15" s="40">
        <v>139359</v>
      </c>
      <c r="O15" s="40">
        <v>40788</v>
      </c>
      <c r="Q15" s="40">
        <v>41921</v>
      </c>
      <c r="S15" s="40">
        <v>0</v>
      </c>
      <c r="U15" s="40">
        <v>224334</v>
      </c>
      <c r="W15" s="40">
        <v>0</v>
      </c>
      <c r="Y15" s="40">
        <v>686598</v>
      </c>
      <c r="AA15" s="40">
        <v>1133000</v>
      </c>
    </row>
    <row r="16" spans="1:27" ht="13.5" thickBot="1" x14ac:dyDescent="0.25">
      <c r="A16" s="188" t="s">
        <v>264</v>
      </c>
      <c r="K16" s="189" t="e">
        <f>+K12-K15</f>
        <v>#REF!</v>
      </c>
      <c r="M16" s="189" t="e">
        <f>+M12-M15</f>
        <v>#REF!</v>
      </c>
      <c r="O16" s="189" t="e">
        <f>+O12-O15</f>
        <v>#REF!</v>
      </c>
      <c r="Q16" s="189" t="e">
        <f>+Q12-Q15</f>
        <v>#REF!</v>
      </c>
      <c r="S16" s="189">
        <f>+S12-S15</f>
        <v>0</v>
      </c>
      <c r="U16" s="189" t="e">
        <f>+U12-U15</f>
        <v>#REF!</v>
      </c>
      <c r="W16" s="189">
        <f>+W12-W15</f>
        <v>0</v>
      </c>
      <c r="Y16" s="189" t="e">
        <f>+Y12-Y15</f>
        <v>#REF!</v>
      </c>
      <c r="AA16" s="189" t="e">
        <f>+AA12-AA15</f>
        <v>#REF!</v>
      </c>
    </row>
    <row r="17" spans="1:1" ht="13.5" thickTop="1" x14ac:dyDescent="0.2"/>
    <row r="18" spans="1:1" x14ac:dyDescent="0.2">
      <c r="A18" s="48" t="str">
        <f ca="1">CELL("filename",Y18)</f>
        <v>O:\Corporate\GPGFin\Cfp\0103Plan\Corp\Allocations\[CORP_2001_ALLOC_5.xls]ECM MMF CALC</v>
      </c>
    </row>
    <row r="20" spans="1:1" x14ac:dyDescent="0.2">
      <c r="A20" s="74" t="s">
        <v>170</v>
      </c>
    </row>
    <row r="21" spans="1:1" x14ac:dyDescent="0.2">
      <c r="A21" s="74" t="s">
        <v>175</v>
      </c>
    </row>
  </sheetData>
  <printOptions horizontalCentered="1"/>
  <pageMargins left="0.25" right="0.25" top="0.5" bottom="0.5" header="0.25" footer="0.25"/>
  <pageSetup scale="65" orientation="landscape"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20</vt:i4>
      </vt:variant>
    </vt:vector>
  </HeadingPairs>
  <TitlesOfParts>
    <vt:vector size="24" baseType="lpstr">
      <vt:lpstr>CCs # Master</vt:lpstr>
      <vt:lpstr>Corp Summary by Group</vt:lpstr>
      <vt:lpstr>Corp Group Sum</vt:lpstr>
      <vt:lpstr>ECM MMF CALC</vt:lpstr>
      <vt:lpstr>'Corp Summary by Group'!allheads</vt:lpstr>
      <vt:lpstr>'Corp Summary by Group'!alloc</vt:lpstr>
      <vt:lpstr>'Corp Summary by Group'!allom</vt:lpstr>
      <vt:lpstr>'Corp Summary by Group'!CAPITAL</vt:lpstr>
      <vt:lpstr>'Corp Summary by Group'!corpbox</vt:lpstr>
      <vt:lpstr>'Corp Summary by Group'!heads011</vt:lpstr>
      <vt:lpstr>'Corp Summary by Group'!mktcap</vt:lpstr>
      <vt:lpstr>'Corp Summary by Group'!mktres</vt:lpstr>
      <vt:lpstr>'Corp Summary by Group'!om011</vt:lpstr>
      <vt:lpstr>'Corp Summary by Group'!PlanvsPriorYearEst</vt:lpstr>
      <vt:lpstr>'Corp Summary by Group'!PlanvsPriorYrPlan</vt:lpstr>
      <vt:lpstr>'CCs # Master'!Print_Area</vt:lpstr>
      <vt:lpstr>'Corp Group Sum'!Print_Area</vt:lpstr>
      <vt:lpstr>'Corp Summary by Group'!Print_Area</vt:lpstr>
      <vt:lpstr>'ECM MMF CALC'!Print_Area</vt:lpstr>
      <vt:lpstr>'CCs # Master'!Print_Titles</vt:lpstr>
      <vt:lpstr>'Corp Group Sum'!Print_Titles</vt:lpstr>
      <vt:lpstr>'Corp Summary by Group'!Print_Titles</vt:lpstr>
      <vt:lpstr>'Corp Summary by Group'!totalalloc</vt:lpstr>
      <vt:lpstr>'Corp Summary by Group'!totalom</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Suzanne Lim Brown</dc:creator>
  <cp:lastModifiedBy>Jan Havlíček</cp:lastModifiedBy>
  <cp:lastPrinted>2000-11-07T00:19:38Z</cp:lastPrinted>
  <dcterms:created xsi:type="dcterms:W3CDTF">1997-07-13T03:30:21Z</dcterms:created>
  <dcterms:modified xsi:type="dcterms:W3CDTF">2023-09-15T19:49:00Z</dcterms:modified>
</cp:coreProperties>
</file>