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149758-D427-4BD9-A11B-87339E8160AF}" xr6:coauthVersionLast="47" xr6:coauthVersionMax="47" xr10:uidLastSave="{00000000-0000-0000-0000-000000000000}"/>
  <bookViews>
    <workbookView xWindow="-120" yWindow="-120" windowWidth="38640" windowHeight="15720" activeTab="4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0"/>
</workbook>
</file>

<file path=xl/calcChain.xml><?xml version="1.0" encoding="utf-8"?>
<calcChain xmlns="http://schemas.openxmlformats.org/spreadsheetml/2006/main">
  <c r="B14" i="5" l="1"/>
  <c r="B15" i="5"/>
  <c r="D15" i="5"/>
  <c r="F15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5" i="4"/>
  <c r="C25" i="4"/>
  <c r="B26" i="4"/>
  <c r="C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B34" i="4"/>
  <c r="C34" i="4"/>
  <c r="E34" i="4"/>
  <c r="F34" i="4"/>
  <c r="G34" i="4"/>
  <c r="H34" i="4"/>
  <c r="I34" i="4"/>
  <c r="J34" i="4"/>
  <c r="K34" i="4"/>
  <c r="L34" i="4"/>
  <c r="M34" i="4"/>
  <c r="N34" i="4"/>
  <c r="B35" i="4"/>
  <c r="C35" i="4"/>
  <c r="E35" i="4"/>
  <c r="F35" i="4"/>
  <c r="G35" i="4"/>
  <c r="H35" i="4"/>
  <c r="I35" i="4"/>
  <c r="J35" i="4"/>
  <c r="K35" i="4"/>
  <c r="L35" i="4"/>
  <c r="M35" i="4"/>
  <c r="N35" i="4"/>
  <c r="B36" i="4"/>
  <c r="C36" i="4"/>
  <c r="E36" i="4"/>
  <c r="F36" i="4"/>
  <c r="G36" i="4"/>
  <c r="H36" i="4"/>
  <c r="I36" i="4"/>
  <c r="J36" i="4"/>
  <c r="K36" i="4"/>
  <c r="L36" i="4"/>
  <c r="M36" i="4"/>
  <c r="N36" i="4"/>
  <c r="B37" i="4"/>
  <c r="C37" i="4"/>
  <c r="E37" i="4"/>
  <c r="F37" i="4"/>
  <c r="G37" i="4"/>
  <c r="H37" i="4"/>
  <c r="I37" i="4"/>
  <c r="J37" i="4"/>
  <c r="K37" i="4"/>
  <c r="L37" i="4"/>
  <c r="M37" i="4"/>
  <c r="N37" i="4"/>
  <c r="C38" i="4"/>
  <c r="N38" i="4"/>
  <c r="E39" i="4"/>
  <c r="F39" i="4"/>
  <c r="G39" i="4"/>
  <c r="H39" i="4"/>
  <c r="I39" i="4"/>
  <c r="J39" i="4"/>
  <c r="K39" i="4"/>
  <c r="L39" i="4"/>
  <c r="M39" i="4"/>
  <c r="N39" i="4"/>
  <c r="C41" i="4"/>
  <c r="E41" i="4"/>
  <c r="G41" i="4"/>
  <c r="H41" i="4"/>
  <c r="E42" i="4"/>
  <c r="E44" i="4"/>
  <c r="E45" i="4"/>
  <c r="E46" i="4"/>
  <c r="B52" i="4"/>
  <c r="C52" i="4"/>
  <c r="E52" i="4"/>
  <c r="F52" i="4"/>
  <c r="G52" i="4"/>
  <c r="H52" i="4"/>
  <c r="I52" i="4"/>
  <c r="J52" i="4"/>
  <c r="K52" i="4"/>
  <c r="L52" i="4"/>
  <c r="M52" i="4"/>
  <c r="N52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E70" i="4"/>
  <c r="F70" i="4"/>
  <c r="G70" i="4"/>
  <c r="H70" i="4"/>
  <c r="I70" i="4"/>
  <c r="J70" i="4"/>
  <c r="K70" i="4"/>
  <c r="L70" i="4"/>
  <c r="M70" i="4"/>
  <c r="N70" i="4"/>
  <c r="B71" i="4"/>
  <c r="C71" i="4"/>
  <c r="E71" i="4"/>
  <c r="F71" i="4"/>
  <c r="G71" i="4"/>
  <c r="H71" i="4"/>
  <c r="I71" i="4"/>
  <c r="J71" i="4"/>
  <c r="K71" i="4"/>
  <c r="L71" i="4"/>
  <c r="M71" i="4"/>
  <c r="N71" i="4"/>
  <c r="B73" i="4"/>
  <c r="C73" i="4"/>
  <c r="E73" i="4"/>
  <c r="F73" i="4"/>
  <c r="G73" i="4"/>
  <c r="H73" i="4"/>
  <c r="I73" i="4"/>
  <c r="J73" i="4"/>
  <c r="K73" i="4"/>
  <c r="L73" i="4"/>
  <c r="M73" i="4"/>
  <c r="N73" i="4"/>
  <c r="B74" i="4"/>
  <c r="C74" i="4"/>
  <c r="B75" i="4"/>
  <c r="C75" i="4"/>
  <c r="E75" i="4"/>
  <c r="F75" i="4"/>
  <c r="G75" i="4"/>
  <c r="H75" i="4"/>
  <c r="I75" i="4"/>
  <c r="J75" i="4"/>
  <c r="K75" i="4"/>
  <c r="L75" i="4"/>
  <c r="M75" i="4"/>
  <c r="N75" i="4"/>
  <c r="B76" i="4"/>
  <c r="C76" i="4"/>
  <c r="E76" i="4"/>
  <c r="F76" i="4"/>
  <c r="G76" i="4"/>
  <c r="H76" i="4"/>
  <c r="I76" i="4"/>
  <c r="J76" i="4"/>
  <c r="K76" i="4"/>
  <c r="L76" i="4"/>
  <c r="M76" i="4"/>
  <c r="N76" i="4"/>
  <c r="B77" i="4"/>
  <c r="C77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E85" i="4"/>
  <c r="F85" i="4"/>
  <c r="G85" i="4"/>
  <c r="H85" i="4"/>
  <c r="I85" i="4"/>
  <c r="J85" i="4"/>
  <c r="K85" i="4"/>
  <c r="L85" i="4"/>
  <c r="M85" i="4"/>
  <c r="N85" i="4"/>
  <c r="C86" i="4"/>
  <c r="E86" i="4"/>
  <c r="F86" i="4"/>
  <c r="G86" i="4"/>
  <c r="H86" i="4"/>
  <c r="I86" i="4"/>
  <c r="J86" i="4"/>
  <c r="K86" i="4"/>
  <c r="L86" i="4"/>
  <c r="M86" i="4"/>
  <c r="N86" i="4"/>
  <c r="C87" i="4"/>
  <c r="E87" i="4"/>
  <c r="F87" i="4"/>
  <c r="G87" i="4"/>
  <c r="H87" i="4"/>
  <c r="I87" i="4"/>
  <c r="J87" i="4"/>
  <c r="K87" i="4"/>
  <c r="L87" i="4"/>
  <c r="M87" i="4"/>
  <c r="N87" i="4"/>
  <c r="C88" i="4"/>
  <c r="E88" i="4"/>
  <c r="F88" i="4"/>
  <c r="G88" i="4"/>
  <c r="H88" i="4"/>
  <c r="I88" i="4"/>
  <c r="J88" i="4"/>
  <c r="K88" i="4"/>
  <c r="L88" i="4"/>
  <c r="M88" i="4"/>
  <c r="N88" i="4"/>
  <c r="B91" i="4"/>
  <c r="C91" i="4"/>
  <c r="E91" i="4"/>
  <c r="F91" i="4"/>
  <c r="G91" i="4"/>
  <c r="H91" i="4"/>
  <c r="I91" i="4"/>
  <c r="J91" i="4"/>
  <c r="K91" i="4"/>
  <c r="L91" i="4"/>
  <c r="M91" i="4"/>
  <c r="N91" i="4"/>
  <c r="B92" i="4"/>
  <c r="C92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E95" i="4"/>
  <c r="F95" i="4"/>
  <c r="G95" i="4"/>
  <c r="H95" i="4"/>
  <c r="I95" i="4"/>
  <c r="J95" i="4"/>
  <c r="K95" i="4"/>
  <c r="L95" i="4"/>
  <c r="M95" i="4"/>
  <c r="N95" i="4"/>
  <c r="E96" i="4"/>
  <c r="F96" i="4"/>
  <c r="G96" i="4"/>
  <c r="H96" i="4"/>
  <c r="I96" i="4"/>
  <c r="J96" i="4"/>
  <c r="K96" i="4"/>
  <c r="L96" i="4"/>
  <c r="M96" i="4"/>
  <c r="N96" i="4"/>
  <c r="E97" i="4"/>
  <c r="F97" i="4"/>
  <c r="G97" i="4"/>
  <c r="H97" i="4"/>
  <c r="I97" i="4"/>
  <c r="J97" i="4"/>
  <c r="K97" i="4"/>
  <c r="L97" i="4"/>
  <c r="M97" i="4"/>
  <c r="N97" i="4"/>
  <c r="E98" i="4"/>
  <c r="F98" i="4"/>
  <c r="G98" i="4"/>
  <c r="H98" i="4"/>
  <c r="I98" i="4"/>
  <c r="J98" i="4"/>
  <c r="K98" i="4"/>
  <c r="L98" i="4"/>
  <c r="M98" i="4"/>
  <c r="N98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B10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<sst xmlns="http://schemas.openxmlformats.org/spreadsheetml/2006/main" count="567" uniqueCount="326">
  <si>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</si>
  <si>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</si>
  <si>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</si>
  <si>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</si>
  <si>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</si>
  <si>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</si>
  <si>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</si>
  <si>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</si>
  <si>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</si>
  <si>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</si>
  <si>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</si>
  <si>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</si>
  <si>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</si>
  <si>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</si>
  <si>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</si>
  <si>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</si>
  <si>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</si>
  <si>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</si>
  <si>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</si>
  <si>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</si>
  <si>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</si>
  <si>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</si>
  <si>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</si>
  <si>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</si>
  <si>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</si>
  <si>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</si>
  <si>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</si>
  <si>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</si>
  <si>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</si>
  <si>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</si>
  <si>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</si>
  <si>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</si>
  <si>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</si>
  <si>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</si>
  <si>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</si>
  <si>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</si>
  <si>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</si>
  <si>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</si>
  <si>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</si>
  <si>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</si>
  <si>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</si>
  <si>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</si>
  <si>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</si>
  <si>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</si>
  <si>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</si>
  <si>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</si>
  <si>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</si>
  <si>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</si>
  <si>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</si>
  <si>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</si>
  <si>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</si>
  <si>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</si>
  <si>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</si>
  <si>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</si>
  <si>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</si>
  <si>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</si>
  <si>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</si>
  <si>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</si>
  <si>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</si>
  <si>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</si>
  <si>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</si>
  <si>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</si>
  <si>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</si>
  <si>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</si>
  <si>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</si>
  <si>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</si>
  <si>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</si>
  <si>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</si>
  <si>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</si>
  <si>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</si>
  <si>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</si>
  <si>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</si>
  <si>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</si>
  <si>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</si>
  <si>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</si>
  <si>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</si>
  <si>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</si>
  <si>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</si>
  <si>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</si>
  <si>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</si>
  <si>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</si>
  <si>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</si>
  <si>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</si>
  <si>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</si>
  <si>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</si>
  <si>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</si>
  <si>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</si>
  <si>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</si>
  <si>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</si>
  <si>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</si>
  <si>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</si>
  <si>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</si>
  <si>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</si>
  <si>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</si>
  <si>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</si>
  <si>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</si>
  <si>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</si>
  <si>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</si>
  <si>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</si>
  <si>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</si>
  <si>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</si>
  <si>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</si>
  <si>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</si>
  <si>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</si>
  <si>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</si>
  <si>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</si>
  <si>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</si>
  <si>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</si>
  <si>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</si>
  <si>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</si>
  <si>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</si>
  <si>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</si>
  <si>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</si>
  <si>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</si>
  <si>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</si>
  <si>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</si>
  <si>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</si>
  <si>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</si>
  <si>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</si>
  <si>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</si>
  <si>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</si>
  <si>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</si>
  <si>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</si>
  <si>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</si>
  <si>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</si>
  <si>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</si>
  <si>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</si>
  <si>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</si>
  <si>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</si>
  <si>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</si>
  <si>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</si>
  <si>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</si>
  <si>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</si>
  <si>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</si>
  <si>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</si>
  <si>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</si>
  <si>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</si>
  <si>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</si>
  <si>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</si>
  <si>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</si>
  <si>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</si>
  <si>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</si>
  <si>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</si>
  <si>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</si>
  <si>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</si>
  <si>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</si>
  <si>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</si>
  <si>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</si>
  <si>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</si>
  <si>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</si>
  <si>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</si>
  <si>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</si>
  <si>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</si>
  <si>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</si>
  <si>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</si>
  <si>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</si>
  <si>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</si>
  <si>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</si>
  <si>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</si>
  <si>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</si>
  <si>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</si>
  <si>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</si>
  <si>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</si>
  <si>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</si>
  <si>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</si>
  <si>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</si>
  <si>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</si>
  <si>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</si>
  <si>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</si>
  <si>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</si>
  <si>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</si>
  <si>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</si>
  <si>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</si>
  <si>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</si>
  <si>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</si>
  <si>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</si>
  <si>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</si>
  <si>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</si>
  <si>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</si>
  <si>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</si>
  <si>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</si>
  <si>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</si>
  <si>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</si>
  <si>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</si>
  <si>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</si>
  <si>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</si>
  <si>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</si>
  <si>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</si>
  <si>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</si>
  <si>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</si>
  <si>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</si>
  <si>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</si>
  <si>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</si>
  <si>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</si>
  <si>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</si>
  <si>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</si>
  <si>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</si>
  <si>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</si>
  <si>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</si>
  <si>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</si>
  <si>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</si>
  <si>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</si>
  <si>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</si>
  <si>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</si>
  <si>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</si>
  <si>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</si>
  <si>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</si>
  <si>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</si>
  <si>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</si>
  <si>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</si>
  <si>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</si>
  <si>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</si>
  <si>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</si>
  <si>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</si>
  <si>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</si>
  <si>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</si>
  <si>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</si>
  <si>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</si>
  <si>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</si>
  <si>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</si>
  <si>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</si>
  <si>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</si>
  <si>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</si>
  <si>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</si>
  <si>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</si>
  <si>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</si>
  <si>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</si>
  <si>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</si>
  <si>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</si>
  <si>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</si>
  <si>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</si>
  <si>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</si>
  <si>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</si>
  <si>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</si>
  <si>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</si>
  <si>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</si>
  <si>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</si>
  <si>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</si>
  <si>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</si>
  <si>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</si>
  <si>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</si>
  <si>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</si>
  <si>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</si>
  <si>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</si>
  <si>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</si>
  <si>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</si>
  <si>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</si>
  <si>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</si>
  <si>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</si>
  <si>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</si>
  <si>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</si>
  <si>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</si>
  <si>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</si>
  <si>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</si>
  <si>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</si>
  <si>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</si>
  <si>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</si>
  <si>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</si>
  <si>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</si>
  <si>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</si>
  <si>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</si>
  <si>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</si>
  <si>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</si>
  <si>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</si>
  <si>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</si>
  <si>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</si>
  <si>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</si>
  <si>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</si>
  <si>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</si>
  <si>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</si>
  <si>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</si>
  <si>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</si>
  <si>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</si>
  <si>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</si>
  <si>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</si>
  <si>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</si>
  <si>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</si>
  <si>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</si>
  <si>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</si>
  <si>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</si>
  <si>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</si>
  <si>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</si>
  <si>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</si>
  <si>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</si>
  <si>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</si>
  <si>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</si>
  <si>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</si>
  <si>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</si>
  <si>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</si>
  <si>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</si>
  <si>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</si>
  <si>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</si>
  <si>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</si>
  <si>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</si>
  <si>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</si>
  <si>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</si>
  <si>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</si>
  <si>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</si>
  <si>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</si>
  <si>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</si>
  <si>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</si>
  <si>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</si>
  <si>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</si>
  <si>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</si>
  <si>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</si>
  <si>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</si>
  <si>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</si>
  <si>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</si>
  <si>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</si>
  <si>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 xml:space="preserve">   Goodwill Amortization</t>
  </si>
  <si>
    <t>Unknown</t>
  </si>
  <si>
    <t>Add: Depreciation&amp;Goodwill</t>
  </si>
  <si>
    <t>Other Accrued liabilities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</si>
  <si>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</si>
  <si>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</si>
  <si>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</si>
  <si>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</si>
  <si>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</si>
  <si>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</si>
  <si>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</si>
  <si>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</si>
  <si>
    <t xml:space="preserve">Add: Increase in Preferred Stock </t>
  </si>
  <si>
    <t>Foreign Exchange</t>
  </si>
  <si>
    <t>Restructuring Charges</t>
  </si>
  <si>
    <t>Add: Foreign Exchange</t>
  </si>
  <si>
    <t>Add: Restructuring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</si>
</sst>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4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4"/>
      <color indexed="8"/>
      <name val="Times New Roman"/>
      <family val="1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07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1" fillId="0" borderId="0" xfId="0" applyFont="1"/>
    <xf numFmtId="7" fontId="0" fillId="0" borderId="0" xfId="0" applyNumberFormat="1"/>
    <xf numFmtId="189" fontId="0" fillId="0" borderId="0" xfId="2" applyNumberFormat="1" applyFont="1"/>
    <xf numFmtId="0" fontId="21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1" fillId="0" borderId="0" xfId="0" quotePrefix="1" applyFont="1"/>
    <xf numFmtId="6" fontId="3" fillId="0" borderId="0" xfId="0" applyNumberFormat="1" applyFont="1" applyBorder="1"/>
    <xf numFmtId="6" fontId="3" fillId="0" borderId="0" xfId="0" applyNumberFormat="1" applyFont="1" applyFill="1" applyBorder="1"/>
    <xf numFmtId="0" fontId="3" fillId="9" borderId="2" xfId="0" applyFont="1" applyFill="1" applyBorder="1"/>
    <xf numFmtId="189" fontId="3" fillId="3" borderId="0" xfId="2" applyNumberFormat="1" applyFont="1" applyFill="1"/>
    <xf numFmtId="37" fontId="3" fillId="3" borderId="0" xfId="0" applyNumberFormat="1" applyFont="1" applyFill="1" applyAlignment="1">
      <alignment horizontal="center"/>
    </xf>
    <xf numFmtId="8" fontId="4" fillId="0" borderId="0" xfId="0" applyNumberFormat="1" applyFo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176" fontId="8" fillId="0" borderId="0" xfId="0" applyNumberFormat="1" applyFont="1"/>
    <xf numFmtId="0" fontId="3" fillId="0" borderId="0" xfId="0" applyFont="1" applyBorder="1" applyAlignment="1">
      <alignment horizontal="left"/>
    </xf>
    <xf numFmtId="0" fontId="20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2608213096558"/>
          <c:y val="4.0783034257748776E-2"/>
          <c:w val="0.83018867924528306"/>
          <c:h val="0.8270799347471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15719.254796779178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84F-B95C-C03AA4CE4F0A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113.12980677146111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5-484F-B95C-C03AA4CE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6081920"/>
        <c:axId val="1"/>
      </c:barChart>
      <c:catAx>
        <c:axId val="1296081920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3050570962479608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608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9522752497225307"/>
          <c:y val="0.93964110929853184"/>
          <c:w val="0.55937846836847949"/>
          <c:h val="4.89396411092985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56968FB-AF93-D139-6836-CC72602B94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" workbookViewId="0">
      <selection activeCell="E12" sqref="E12"/>
    </sheetView>
  </sheetViews>
  <sheetFormatPr defaultRowHeight="11.25" x14ac:dyDescent="0.2"/>
  <cols>
    <col min="5" max="5" width="12" customWidth="1"/>
    <col min="6" max="6" width="9.83203125" bestFit="1" customWidth="1"/>
  </cols>
  <sheetData>
    <row r="1" spans="1:12" ht="12.75" x14ac:dyDescent="0.2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2.75" x14ac:dyDescent="0.2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2.75" x14ac:dyDescent="0.2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2.75" x14ac:dyDescent="0.2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2.75" x14ac:dyDescent="0.2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2.75" x14ac:dyDescent="0.2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2.75" x14ac:dyDescent="0.2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2.75" x14ac:dyDescent="0.2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2.75" x14ac:dyDescent="0.2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2.75" x14ac:dyDescent="0.2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DCF'!D20</f>
        <v>0.34567229178007619</v>
      </c>
    </row>
    <row r="11" spans="1:12" ht="12.75" x14ac:dyDescent="0.2">
      <c r="A11" s="87" t="s">
        <v>229</v>
      </c>
      <c r="B11" s="19"/>
      <c r="C11" s="19"/>
      <c r="D11" s="19"/>
      <c r="E11" s="97">
        <v>18</v>
      </c>
      <c r="F11" s="19">
        <v>14</v>
      </c>
      <c r="G11" s="19"/>
      <c r="H11" s="19"/>
      <c r="I11" s="19"/>
      <c r="J11" s="19"/>
      <c r="K11" s="19"/>
      <c r="L11" s="96"/>
    </row>
    <row r="12" spans="1:12" ht="12.75" x14ac:dyDescent="0.2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2.75" x14ac:dyDescent="0.2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2.75" x14ac:dyDescent="0.2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2.75" x14ac:dyDescent="0.2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2.75" x14ac:dyDescent="0.2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2.75" x14ac:dyDescent="0.2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2.75" x14ac:dyDescent="0.2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2.75" x14ac:dyDescent="0.2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2.75" x14ac:dyDescent="0.2">
      <c r="A20" s="98" t="s">
        <v>230</v>
      </c>
      <c r="B20" s="99"/>
      <c r="C20" s="99"/>
      <c r="D20" s="99"/>
      <c r="E20" s="100"/>
      <c r="F20" s="19"/>
      <c r="G20" s="204" t="s">
        <v>303</v>
      </c>
      <c r="H20" s="204"/>
      <c r="I20" s="164">
        <v>0.05</v>
      </c>
      <c r="J20" s="19"/>
      <c r="K20" s="19"/>
      <c r="L20" s="92"/>
    </row>
    <row r="21" spans="1:12" ht="12.75" x14ac:dyDescent="0.2">
      <c r="A21" s="101" t="s">
        <v>231</v>
      </c>
      <c r="B21" s="102"/>
      <c r="C21" s="102"/>
      <c r="D21" s="102"/>
      <c r="E21" s="103">
        <f>'OAT DCF'!E41</f>
        <v>15719.254796779178</v>
      </c>
      <c r="F21" s="19"/>
      <c r="G21" s="204" t="s">
        <v>304</v>
      </c>
      <c r="H21" s="204"/>
      <c r="I21" s="164">
        <v>0.08</v>
      </c>
      <c r="J21" s="19"/>
      <c r="K21" s="19"/>
      <c r="L21" s="92"/>
    </row>
    <row r="22" spans="1:12" ht="12.75" x14ac:dyDescent="0.2">
      <c r="A22" s="104" t="s">
        <v>232</v>
      </c>
      <c r="B22" s="105"/>
      <c r="C22" s="105"/>
      <c r="D22" s="105"/>
      <c r="E22" s="106">
        <f>'OAT DCF'!E46</f>
        <v>113.12980677146111</v>
      </c>
      <c r="F22" s="7"/>
      <c r="G22" s="7"/>
      <c r="H22" s="7"/>
      <c r="I22" s="7"/>
      <c r="J22" s="7"/>
      <c r="K22" s="7"/>
      <c r="L22" s="94"/>
    </row>
    <row r="23" spans="1:12" ht="12.75" x14ac:dyDescent="0.2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2.75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2.75" x14ac:dyDescent="0.2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2.75" x14ac:dyDescent="0.2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2.75" x14ac:dyDescent="0.2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2.75" x14ac:dyDescent="0.2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2.75" x14ac:dyDescent="0.2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2.75" x14ac:dyDescent="0.2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2.75" x14ac:dyDescent="0.2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2.75" x14ac:dyDescent="0.2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2.75" x14ac:dyDescent="0.2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2.75" x14ac:dyDescent="0.2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2.75" x14ac:dyDescent="0.2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2.75" x14ac:dyDescent="0.2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2.75" x14ac:dyDescent="0.2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2.75" x14ac:dyDescent="0.2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2.75" x14ac:dyDescent="0.2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2.75" x14ac:dyDescent="0.2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2.75" x14ac:dyDescent="0.2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2.75" x14ac:dyDescent="0.2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2.75" x14ac:dyDescent="0.2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2.75" x14ac:dyDescent="0.2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2.75" x14ac:dyDescent="0.2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2.75" x14ac:dyDescent="0.2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2.75" x14ac:dyDescent="0.2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2.75" x14ac:dyDescent="0.2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2.75" x14ac:dyDescent="0.2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2.75" x14ac:dyDescent="0.2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2.75" x14ac:dyDescent="0.2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2.75" x14ac:dyDescent="0.2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2.75" x14ac:dyDescent="0.2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2.75" x14ac:dyDescent="0.2">
      <c r="A54" s="128" t="s">
        <v>275</v>
      </c>
      <c r="B54" s="102"/>
      <c r="C54" s="129" t="s">
        <v>276</v>
      </c>
      <c r="D54" s="102"/>
      <c r="E54" s="102"/>
      <c r="F54" s="130">
        <f>'OAT DCF'!E46</f>
        <v>113.12980677146111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2.75" x14ac:dyDescent="0.2">
      <c r="A55" s="101"/>
      <c r="B55" s="102"/>
      <c r="C55" s="129" t="s">
        <v>278</v>
      </c>
      <c r="D55" s="102"/>
      <c r="E55" s="102"/>
      <c r="F55" s="131">
        <f>'OAT DCF'!E41</f>
        <v>15719.254796779178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2.75" x14ac:dyDescent="0.2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2.75" x14ac:dyDescent="0.2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2.75" x14ac:dyDescent="0.2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2.75" x14ac:dyDescent="0.2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2.75" x14ac:dyDescent="0.2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2.75" x14ac:dyDescent="0.2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2.75" x14ac:dyDescent="0.2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2.75" x14ac:dyDescent="0.2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2.75" x14ac:dyDescent="0.2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" zoomScale="75" workbookViewId="0">
      <selection activeCell="D29" sqref="D29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x14ac:dyDescent="0.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x14ac:dyDescent="0.2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2.75" x14ac:dyDescent="0.2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x14ac:dyDescent="0.2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2.75" x14ac:dyDescent="0.2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x14ac:dyDescent="0.2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x14ac:dyDescent="0.2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2.75" x14ac:dyDescent="0.2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2.75" x14ac:dyDescent="0.2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x14ac:dyDescent="0.2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2.75" x14ac:dyDescent="0.2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2.75" x14ac:dyDescent="0.2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2.75" x14ac:dyDescent="0.2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2.75" x14ac:dyDescent="0.2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2.75" x14ac:dyDescent="0.2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2.75" x14ac:dyDescent="0.2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2.75" x14ac:dyDescent="0.2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2.75" x14ac:dyDescent="0.2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2.75" x14ac:dyDescent="0.2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2.75" x14ac:dyDescent="0.2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x14ac:dyDescent="0.2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2.75" x14ac:dyDescent="0.2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x14ac:dyDescent="0.2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x14ac:dyDescent="0.2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x14ac:dyDescent="0.2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2.75" x14ac:dyDescent="0.2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2.75" x14ac:dyDescent="0.2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2.75" x14ac:dyDescent="0.2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x14ac:dyDescent="0.2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x14ac:dyDescent="0.2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x14ac:dyDescent="0.2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2.75" x14ac:dyDescent="0.2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2.75" x14ac:dyDescent="0.2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2.75" x14ac:dyDescent="0.2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2.75" x14ac:dyDescent="0.2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2.75" x14ac:dyDescent="0.2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2.75" x14ac:dyDescent="0.2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B11" sqref="B11"/>
    </sheetView>
  </sheetViews>
  <sheetFormatPr defaultRowHeight="11.25" x14ac:dyDescent="0.2"/>
  <cols>
    <col min="1" max="1" width="75.1640625" bestFit="1" customWidth="1"/>
    <col min="2" max="2" width="14.33203125" bestFit="1" customWidth="1"/>
    <col min="3" max="5" width="12.83203125" bestFit="1" customWidth="1"/>
    <col min="6" max="6" width="14.1640625" customWidth="1"/>
    <col min="7" max="7" width="12.33203125" customWidth="1"/>
    <col min="8" max="8" width="10.6640625" bestFit="1" customWidth="1"/>
    <col min="9" max="9" width="12.6640625" customWidth="1"/>
    <col min="10" max="10" width="10.1640625" bestFit="1" customWidth="1"/>
    <col min="11" max="11" width="10.5" customWidth="1"/>
    <col min="12" max="12" width="11.6640625" customWidth="1"/>
    <col min="13" max="13" width="10.1640625" bestFit="1" customWidth="1"/>
    <col min="14" max="14" width="9.83203125" customWidth="1"/>
    <col min="15" max="15" width="11.5" customWidth="1"/>
    <col min="16" max="16" width="9.6640625" customWidth="1"/>
    <col min="17" max="17" width="9.83203125" customWidth="1"/>
    <col min="18" max="18" width="9.6640625" customWidth="1"/>
    <col min="19" max="20" width="9.83203125" bestFit="1" customWidth="1"/>
    <col min="21" max="22" width="10.1640625" customWidth="1"/>
    <col min="23" max="23" width="10.33203125" customWidth="1"/>
    <col min="24" max="24" width="10.6640625" customWidth="1"/>
    <col min="25" max="25" width="10.5" customWidth="1"/>
    <col min="26" max="26" width="11.1640625" customWidth="1"/>
    <col min="27" max="27" width="10" customWidth="1"/>
    <col min="28" max="28" width="10.33203125" customWidth="1"/>
  </cols>
  <sheetData>
    <row r="1" spans="1:19" ht="12.75" x14ac:dyDescent="0.2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2.75" x14ac:dyDescent="0.2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2.75" x14ac:dyDescent="0.2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2.75" x14ac:dyDescent="0.2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2.75" x14ac:dyDescent="0.2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2.75" x14ac:dyDescent="0.2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2.75" x14ac:dyDescent="0.2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2.75" x14ac:dyDescent="0.2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2.75" x14ac:dyDescent="0.2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2.75" x14ac:dyDescent="0.2">
      <c r="A10" s="57"/>
      <c r="B10" s="200">
        <f>B7-B8</f>
        <v>783.89999999999986</v>
      </c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2.75" x14ac:dyDescent="0.2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2.75" x14ac:dyDescent="0.2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2.75" x14ac:dyDescent="0.2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2.75" x14ac:dyDescent="0.2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2.75" x14ac:dyDescent="0.2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2.75" x14ac:dyDescent="0.2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2.75" x14ac:dyDescent="0.2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2.75" x14ac:dyDescent="0.2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2.75" x14ac:dyDescent="0.2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2.75" x14ac:dyDescent="0.2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2.75" x14ac:dyDescent="0.2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2.75" x14ac:dyDescent="0.2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2.75" x14ac:dyDescent="0.2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2.75" x14ac:dyDescent="0.2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2.75" x14ac:dyDescent="0.2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2.75" x14ac:dyDescent="0.2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2.75" x14ac:dyDescent="0.2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2.75" x14ac:dyDescent="0.2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2.75" x14ac:dyDescent="0.2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2.75" x14ac:dyDescent="0.2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2.75" x14ac:dyDescent="0.2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2.75" x14ac:dyDescent="0.2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2.75" x14ac:dyDescent="0.2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2.75" x14ac:dyDescent="0.2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2.75" x14ac:dyDescent="0.2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2.75" x14ac:dyDescent="0.2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2.75" x14ac:dyDescent="0.2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2.75" x14ac:dyDescent="0.2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2.75" x14ac:dyDescent="0.2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2.75" x14ac:dyDescent="0.2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2.75" x14ac:dyDescent="0.2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2.75" x14ac:dyDescent="0.2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2.75" x14ac:dyDescent="0.2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2.75" x14ac:dyDescent="0.2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2.75" x14ac:dyDescent="0.2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2.75" x14ac:dyDescent="0.2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2.75" x14ac:dyDescent="0.2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2.75" x14ac:dyDescent="0.2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2.75" x14ac:dyDescent="0.2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2.75" x14ac:dyDescent="0.2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2.75" x14ac:dyDescent="0.2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2.75" x14ac:dyDescent="0.2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2.75" x14ac:dyDescent="0.2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2.75" x14ac:dyDescent="0.2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2.75" x14ac:dyDescent="0.2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2.75" x14ac:dyDescent="0.2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2.75" x14ac:dyDescent="0.2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2.75" x14ac:dyDescent="0.2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2.75" x14ac:dyDescent="0.2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2.75" x14ac:dyDescent="0.2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2.75" x14ac:dyDescent="0.2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2.75" x14ac:dyDescent="0.2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2.75" x14ac:dyDescent="0.2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2.75" x14ac:dyDescent="0.2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2.75" x14ac:dyDescent="0.2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2.75" x14ac:dyDescent="0.2">
      <c r="A68" s="2"/>
      <c r="B68" s="2"/>
      <c r="C68" s="2"/>
      <c r="D68" s="2"/>
      <c r="E68" s="2"/>
      <c r="F68" s="2"/>
      <c r="G68" s="2"/>
      <c r="H68" s="2"/>
    </row>
    <row r="69" spans="1:8" ht="12.75" x14ac:dyDescent="0.2">
      <c r="B69" s="2"/>
      <c r="C69" s="2"/>
      <c r="D69" s="2"/>
      <c r="E69" s="2"/>
      <c r="F69" s="2"/>
      <c r="G69" s="2"/>
    </row>
    <row r="70" spans="1:8" ht="12.75" x14ac:dyDescent="0.2">
      <c r="B70" s="2"/>
      <c r="C70" s="2"/>
      <c r="D70" s="2"/>
      <c r="E70" s="2"/>
      <c r="F70" s="2"/>
      <c r="G70" s="2"/>
    </row>
  </sheetData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68" zoomScale="75" zoomScaleNormal="100" workbookViewId="0">
      <selection activeCell="G100" sqref="G100"/>
    </sheetView>
  </sheetViews>
  <sheetFormatPr defaultRowHeight="11.25" x14ac:dyDescent="0.2"/>
  <cols>
    <col min="1" max="1" width="75.5" bestFit="1" customWidth="1"/>
    <col min="2" max="2" width="14.33203125" customWidth="1"/>
    <col min="3" max="3" width="14.6640625" customWidth="1"/>
    <col min="4" max="5" width="14.33203125" bestFit="1" customWidth="1"/>
    <col min="6" max="6" width="14.6640625" customWidth="1"/>
    <col min="7" max="7" width="16.6640625" style="159" customWidth="1"/>
    <col min="8" max="8" width="76.1640625" hidden="1" customWidth="1"/>
    <col min="9" max="9" width="22.1640625" customWidth="1"/>
    <col min="10" max="10" width="17.83203125" customWidth="1"/>
    <col min="11" max="12" width="14.33203125" bestFit="1" customWidth="1"/>
    <col min="13" max="13" width="17.1640625" customWidth="1"/>
    <col min="14" max="14" width="11.33203125" bestFit="1" customWidth="1"/>
  </cols>
  <sheetData>
    <row r="1" spans="1:14" ht="12.75" x14ac:dyDescent="0.2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2.75" x14ac:dyDescent="0.2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2.75" x14ac:dyDescent="0.2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2.75" x14ac:dyDescent="0.2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2.75" x14ac:dyDescent="0.2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2.75" x14ac:dyDescent="0.2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2.75" x14ac:dyDescent="0.2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2.75" x14ac:dyDescent="0.2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2.75" x14ac:dyDescent="0.2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2.75" x14ac:dyDescent="0.2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2.75" x14ac:dyDescent="0.2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2.75" x14ac:dyDescent="0.2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2.75" x14ac:dyDescent="0.2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2.75" x14ac:dyDescent="0.2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2.75" x14ac:dyDescent="0.2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2.75" x14ac:dyDescent="0.2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2.75" x14ac:dyDescent="0.2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2.75" x14ac:dyDescent="0.2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2.75" x14ac:dyDescent="0.2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2.75" x14ac:dyDescent="0.2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2.75" x14ac:dyDescent="0.2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2.75" x14ac:dyDescent="0.2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2.75" x14ac:dyDescent="0.2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2.75" x14ac:dyDescent="0.2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2.75" x14ac:dyDescent="0.2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2.75" x14ac:dyDescent="0.2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2.75" x14ac:dyDescent="0.2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2.75" x14ac:dyDescent="0.2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2.75" x14ac:dyDescent="0.2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2.75" x14ac:dyDescent="0.2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2.75" x14ac:dyDescent="0.2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2.75" x14ac:dyDescent="0.2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2.75" x14ac:dyDescent="0.2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2.75" x14ac:dyDescent="0.2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2.75" x14ac:dyDescent="0.2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2.75" x14ac:dyDescent="0.2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2.75" x14ac:dyDescent="0.2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2.75" x14ac:dyDescent="0.2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2.75" x14ac:dyDescent="0.2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2.75" x14ac:dyDescent="0.2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2.75" x14ac:dyDescent="0.2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2.75" x14ac:dyDescent="0.2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2.75" x14ac:dyDescent="0.2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2.75" x14ac:dyDescent="0.2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2.75" x14ac:dyDescent="0.2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2.75" x14ac:dyDescent="0.2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2.75" x14ac:dyDescent="0.2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2.75" x14ac:dyDescent="0.2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2.75" x14ac:dyDescent="0.2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2.75" x14ac:dyDescent="0.2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2.75" x14ac:dyDescent="0.2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2.75" x14ac:dyDescent="0.2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2.75" x14ac:dyDescent="0.2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2.75" x14ac:dyDescent="0.2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2.75" x14ac:dyDescent="0.2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2.75" x14ac:dyDescent="0.2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2.75" x14ac:dyDescent="0.2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2.75" x14ac:dyDescent="0.2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2.75" x14ac:dyDescent="0.2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2.75" x14ac:dyDescent="0.2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2.75" x14ac:dyDescent="0.2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2.75" x14ac:dyDescent="0.2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2.75" x14ac:dyDescent="0.2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2.75" x14ac:dyDescent="0.2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2.75" x14ac:dyDescent="0.2">
      <c r="A65" s="2"/>
    </row>
    <row r="66" spans="1:25" ht="12.75" x14ac:dyDescent="0.2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2.75" x14ac:dyDescent="0.2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2.75" x14ac:dyDescent="0.2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2.75" x14ac:dyDescent="0.2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2.75" x14ac:dyDescent="0.2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2.75" x14ac:dyDescent="0.2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2.75" x14ac:dyDescent="0.2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2.75" x14ac:dyDescent="0.2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2.75" x14ac:dyDescent="0.2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2.75" x14ac:dyDescent="0.2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2.75" x14ac:dyDescent="0.2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2.75" x14ac:dyDescent="0.2">
      <c r="A77" s="25"/>
      <c r="H77" s="25"/>
    </row>
    <row r="78" spans="1:25" ht="12.75" x14ac:dyDescent="0.2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2.75" x14ac:dyDescent="0.2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2.75" x14ac:dyDescent="0.2">
      <c r="A80" s="25"/>
      <c r="H80" s="25"/>
    </row>
    <row r="81" spans="1:19" ht="12.75" x14ac:dyDescent="0.2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2.75" x14ac:dyDescent="0.2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2.75" x14ac:dyDescent="0.2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2.75" x14ac:dyDescent="0.2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2.75" x14ac:dyDescent="0.2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2.75" x14ac:dyDescent="0.2">
      <c r="A86" s="25"/>
      <c r="H86" s="25"/>
    </row>
    <row r="87" spans="1:19" ht="12.75" x14ac:dyDescent="0.2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2.75" x14ac:dyDescent="0.2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2.75" x14ac:dyDescent="0.2">
      <c r="A89" s="25"/>
      <c r="H89" s="25"/>
    </row>
    <row r="90" spans="1:19" ht="12.75" x14ac:dyDescent="0.2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2.75" x14ac:dyDescent="0.2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2.75" x14ac:dyDescent="0.2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2.75" x14ac:dyDescent="0.2">
      <c r="A93" s="25"/>
      <c r="H93" s="25"/>
    </row>
    <row r="94" spans="1:19" ht="12.75" x14ac:dyDescent="0.2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2.75" x14ac:dyDescent="0.2">
      <c r="A95" s="25"/>
      <c r="H95" s="25"/>
    </row>
    <row r="96" spans="1:19" ht="12.75" x14ac:dyDescent="0.2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2.75" x14ac:dyDescent="0.2">
      <c r="A97" s="25" t="s">
        <v>79</v>
      </c>
      <c r="H97" s="25" t="s">
        <v>79</v>
      </c>
    </row>
    <row r="98" spans="1:19" ht="12.75" x14ac:dyDescent="0.2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2.75" x14ac:dyDescent="0.2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2.75" x14ac:dyDescent="0.2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2.75" x14ac:dyDescent="0.2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2.75" x14ac:dyDescent="0.2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2.75" x14ac:dyDescent="0.2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2.75" x14ac:dyDescent="0.2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2.75" x14ac:dyDescent="0.2">
      <c r="A105" s="25"/>
      <c r="H105" s="25"/>
    </row>
    <row r="106" spans="1:19" ht="12.75" x14ac:dyDescent="0.2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2.75" x14ac:dyDescent="0.2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2.75" x14ac:dyDescent="0.2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2.75" x14ac:dyDescent="0.2">
      <c r="A109" s="25" t="s">
        <v>104</v>
      </c>
      <c r="C109" s="10"/>
      <c r="H109" s="25" t="s">
        <v>104</v>
      </c>
    </row>
    <row r="110" spans="1:19" ht="12.75" x14ac:dyDescent="0.2">
      <c r="A110" s="25" t="s">
        <v>90</v>
      </c>
      <c r="B110" s="10"/>
      <c r="C110" s="10"/>
      <c r="H110" s="25" t="s">
        <v>90</v>
      </c>
      <c r="I110" s="10"/>
    </row>
    <row r="111" spans="1:19" ht="12.75" x14ac:dyDescent="0.2">
      <c r="A111" s="25" t="s">
        <v>91</v>
      </c>
      <c r="C111" s="10"/>
      <c r="H111" s="25" t="s">
        <v>91</v>
      </c>
    </row>
    <row r="112" spans="1:19" ht="12.75" x14ac:dyDescent="0.2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2.75" x14ac:dyDescent="0.2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2.75" x14ac:dyDescent="0.2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2.75" x14ac:dyDescent="0.2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2.75" x14ac:dyDescent="0.2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2.75" x14ac:dyDescent="0.2">
      <c r="A117" s="25" t="s">
        <v>96</v>
      </c>
      <c r="H117" s="25" t="s">
        <v>96</v>
      </c>
    </row>
    <row r="118" spans="1:18" ht="12.75" x14ac:dyDescent="0.2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2.75" x14ac:dyDescent="0.2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2.75" x14ac:dyDescent="0.2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2.75" x14ac:dyDescent="0.2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2.75" x14ac:dyDescent="0.2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2.75" x14ac:dyDescent="0.2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2.75" x14ac:dyDescent="0.2">
      <c r="A124" s="25"/>
      <c r="H124" s="25"/>
    </row>
    <row r="125" spans="1:18" ht="12.75" x14ac:dyDescent="0.2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2.75" x14ac:dyDescent="0.2">
      <c r="A126" s="25"/>
      <c r="H126" s="25"/>
    </row>
    <row r="127" spans="1:18" ht="12.75" x14ac:dyDescent="0.2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zoomScale="75" zoomScaleNormal="100" workbookViewId="0">
      <selection activeCell="C10" sqref="C10"/>
    </sheetView>
  </sheetViews>
  <sheetFormatPr defaultRowHeight="11.25" x14ac:dyDescent="0.2"/>
  <cols>
    <col min="1" max="1" width="32" bestFit="1" customWidth="1"/>
    <col min="2" max="3" width="10.5" bestFit="1" customWidth="1"/>
    <col min="4" max="4" width="27.6640625" bestFit="1" customWidth="1"/>
    <col min="5" max="5" width="12.6640625" bestFit="1" customWidth="1"/>
    <col min="6" max="6" width="10.6640625" customWidth="1"/>
    <col min="7" max="14" width="12.6640625" bestFit="1" customWidth="1"/>
  </cols>
  <sheetData>
    <row r="1" spans="1:14" ht="12.75" x14ac:dyDescent="0.2">
      <c r="A1" s="205" t="s">
        <v>175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2.75" x14ac:dyDescent="0.2">
      <c r="A2" s="205" t="s">
        <v>176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2.75" x14ac:dyDescent="0.2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2.75" x14ac:dyDescent="0.2">
      <c r="A9" s="37" t="s">
        <v>144</v>
      </c>
      <c r="B9" s="62">
        <f>SUM(B10:B12)</f>
        <v>4040.8</v>
      </c>
      <c r="C9" s="62">
        <f>SUM(C10:C12)</f>
        <v>4257.3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2.75" x14ac:dyDescent="0.2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2.75" x14ac:dyDescent="0.2">
      <c r="A11" s="19" t="s">
        <v>145</v>
      </c>
      <c r="B11" s="54">
        <f>1904-B12</f>
        <v>1780.2</v>
      </c>
      <c r="C11" s="54">
        <f>1969-C12</f>
        <v>1836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2.75" x14ac:dyDescent="0.2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($C$12/($C$60+$C$61)*(E60+E61))</f>
        <v>141.99000456379272</v>
      </c>
      <c r="F12" s="147">
        <f t="shared" ref="F12:N12" si="2">($C$12/$C$60)*F60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2.75" x14ac:dyDescent="0.2">
      <c r="A13" s="19" t="s">
        <v>309</v>
      </c>
      <c r="B13" s="206" t="s">
        <v>310</v>
      </c>
      <c r="C13" s="206"/>
      <c r="D13" s="16"/>
      <c r="E13" s="171">
        <f>-(E61-C61)</f>
        <v>7.7000000000000171</v>
      </c>
      <c r="F13" s="171">
        <f>-(F61-E61)</f>
        <v>7.7000000000000171</v>
      </c>
      <c r="G13" s="171">
        <f t="shared" ref="G13:N13" si="3">-(G61-F61)</f>
        <v>7.7000000000000171</v>
      </c>
      <c r="H13" s="171">
        <f t="shared" si="3"/>
        <v>7.7000000000000171</v>
      </c>
      <c r="I13" s="171">
        <f t="shared" si="3"/>
        <v>7.7000000000000171</v>
      </c>
      <c r="J13" s="171">
        <f t="shared" si="3"/>
        <v>7.7000000000000171</v>
      </c>
      <c r="K13" s="171">
        <f t="shared" si="3"/>
        <v>7.7000000000000171</v>
      </c>
      <c r="L13" s="171">
        <f t="shared" si="3"/>
        <v>7.7000000000000171</v>
      </c>
      <c r="M13" s="171">
        <f t="shared" si="3"/>
        <v>7.7000000000000171</v>
      </c>
      <c r="N13" s="171">
        <f t="shared" si="3"/>
        <v>7.7000000000000171</v>
      </c>
    </row>
    <row r="14" spans="1:14" ht="12.75" x14ac:dyDescent="0.2">
      <c r="A14" s="197" t="s">
        <v>148</v>
      </c>
      <c r="B14" s="186">
        <f>B8-B9</f>
        <v>684.39999999999964</v>
      </c>
      <c r="C14" s="186">
        <f>C8-C9</f>
        <v>783.69999999999982</v>
      </c>
      <c r="D14" s="187"/>
      <c r="E14" s="186">
        <f t="shared" ref="E14:N14" si="4">E8-E9</f>
        <v>681.21802543620743</v>
      </c>
      <c r="F14" s="186">
        <f t="shared" si="4"/>
        <v>741.72360846953779</v>
      </c>
      <c r="G14" s="186">
        <f t="shared" si="4"/>
        <v>816.70858325771042</v>
      </c>
      <c r="H14" s="186">
        <f t="shared" si="4"/>
        <v>897.99383002997365</v>
      </c>
      <c r="I14" s="186">
        <f t="shared" si="4"/>
        <v>986.06543551518098</v>
      </c>
      <c r="J14" s="186">
        <f t="shared" si="4"/>
        <v>1081.4451358705028</v>
      </c>
      <c r="K14" s="186">
        <f t="shared" si="4"/>
        <v>1146.7938440227335</v>
      </c>
      <c r="L14" s="186">
        <f t="shared" si="4"/>
        <v>1216.0634746640972</v>
      </c>
      <c r="M14" s="186">
        <f t="shared" si="4"/>
        <v>1289.4892831439438</v>
      </c>
      <c r="N14" s="186">
        <f t="shared" si="4"/>
        <v>1367.3206401325806</v>
      </c>
    </row>
    <row r="15" spans="1:14" ht="12.75" x14ac:dyDescent="0.2">
      <c r="A15" s="19" t="s">
        <v>323</v>
      </c>
      <c r="B15" s="195">
        <f>'OAT Income Statement'!C12</f>
        <v>-2.2999999999999998</v>
      </c>
      <c r="C15" s="195">
        <f>'OAT Income Statement'!B12</f>
        <v>182.5</v>
      </c>
      <c r="D15" s="39"/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</row>
    <row r="16" spans="1:14" ht="12.75" x14ac:dyDescent="0.2">
      <c r="A16" s="45" t="s">
        <v>149</v>
      </c>
      <c r="B16" s="195">
        <f>'OAT Income Statement'!C13</f>
        <v>61.9</v>
      </c>
      <c r="C16" s="195">
        <f>'OAT Income Statement'!B13</f>
        <v>54</v>
      </c>
      <c r="D16" s="45"/>
      <c r="E16" s="196">
        <f>E70*'OAT Inputs'!$I21</f>
        <v>67.574719637440964</v>
      </c>
      <c r="F16" s="196">
        <f>F70*'OAT Inputs'!$I21</f>
        <v>71.078193621045457</v>
      </c>
      <c r="G16" s="196">
        <f>G70*'OAT Inputs'!$I21</f>
        <v>74.804004021175714</v>
      </c>
      <c r="H16" s="196">
        <f>H70*'OAT Inputs'!$I21</f>
        <v>78.765491022823312</v>
      </c>
      <c r="I16" s="196">
        <f>I70*'OAT Inputs'!$I21</f>
        <v>82.976795222079261</v>
      </c>
      <c r="J16" s="196">
        <f>J70*'OAT Inputs'!$I21</f>
        <v>87.452905650800076</v>
      </c>
      <c r="K16" s="196">
        <f>K70*'OAT Inputs'!$I21</f>
        <v>92.209710682753666</v>
      </c>
      <c r="L16" s="196">
        <f>L70*'OAT Inputs'!$I21</f>
        <v>97.264051994133979</v>
      </c>
      <c r="M16" s="196">
        <f>M70*'OAT Inputs'!$I21</f>
        <v>102.63378176170662</v>
      </c>
      <c r="N16" s="196">
        <f>N70*'OAT Inputs'!$I21</f>
        <v>108.33782329284311</v>
      </c>
    </row>
    <row r="17" spans="1:14" s="18" customFormat="1" ht="12.75" x14ac:dyDescent="0.2">
      <c r="A17" s="45" t="s">
        <v>303</v>
      </c>
      <c r="B17" s="195">
        <f>'OAT Income Statement'!C14</f>
        <v>-11.7</v>
      </c>
      <c r="C17" s="195">
        <f>'OAT Income Statement'!B14</f>
        <v>-9</v>
      </c>
      <c r="D17" s="45"/>
      <c r="E17" s="196">
        <f>-E54*'OAT Inputs'!$I20</f>
        <v>-9.2538000000000018</v>
      </c>
      <c r="F17" s="196">
        <f>-F54*'OAT Inputs'!$I20</f>
        <v>-9.8090280000000014</v>
      </c>
      <c r="G17" s="196">
        <f>-G54*'OAT Inputs'!$I20</f>
        <v>-10.397569680000002</v>
      </c>
      <c r="H17" s="196">
        <f>-H54*'OAT Inputs'!$I20</f>
        <v>-11.021423860800002</v>
      </c>
      <c r="I17" s="196">
        <f>-I54*'OAT Inputs'!$I20</f>
        <v>-11.682709292448003</v>
      </c>
      <c r="J17" s="196">
        <f>-J54*'OAT Inputs'!$I20</f>
        <v>-12.383671849994883</v>
      </c>
      <c r="K17" s="196">
        <f>-K54*'OAT Inputs'!$I20</f>
        <v>-13.126692160994578</v>
      </c>
      <c r="L17" s="196">
        <f>-L54*'OAT Inputs'!$I20</f>
        <v>-13.914293690654254</v>
      </c>
      <c r="M17" s="196">
        <f>-M54*'OAT Inputs'!$I20</f>
        <v>-14.74915131209351</v>
      </c>
      <c r="N17" s="196">
        <f>-N54*'OAT Inputs'!$I20</f>
        <v>-15.634100390819121</v>
      </c>
    </row>
    <row r="18" spans="1:14" ht="12.75" x14ac:dyDescent="0.2">
      <c r="A18" s="40" t="s">
        <v>322</v>
      </c>
      <c r="B18" s="61">
        <f>'OAT Income Statement'!C15</f>
        <v>18.100000000000001</v>
      </c>
      <c r="C18" s="61">
        <f>'OAT Income Statement'!B15</f>
        <v>5.3</v>
      </c>
      <c r="D18" s="40"/>
      <c r="E18" s="170">
        <v>0</v>
      </c>
      <c r="F18" s="170">
        <v>0</v>
      </c>
      <c r="G18" s="170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</row>
    <row r="19" spans="1:14" ht="12.75" x14ac:dyDescent="0.2">
      <c r="A19" s="2" t="s">
        <v>150</v>
      </c>
      <c r="B19" s="54">
        <f>B14-B15-B16-B17-B18</f>
        <v>618.39999999999964</v>
      </c>
      <c r="C19" s="54">
        <f>C14-C15-C16-C17-C18</f>
        <v>550.89999999999986</v>
      </c>
      <c r="D19" s="2"/>
      <c r="E19" s="54">
        <f>E14-E16-E17</f>
        <v>622.89710579876646</v>
      </c>
      <c r="F19" s="54">
        <f t="shared" ref="F19:N19" si="5">F14-F16-F17</f>
        <v>680.45444284849236</v>
      </c>
      <c r="G19" s="54">
        <f t="shared" si="5"/>
        <v>752.30214891653463</v>
      </c>
      <c r="H19" s="54">
        <f t="shared" si="5"/>
        <v>830.24976286795038</v>
      </c>
      <c r="I19" s="54">
        <f t="shared" si="5"/>
        <v>914.77134958554961</v>
      </c>
      <c r="J19" s="54">
        <f t="shared" si="5"/>
        <v>1006.3759020696976</v>
      </c>
      <c r="K19" s="54">
        <f t="shared" si="5"/>
        <v>1067.7108255009744</v>
      </c>
      <c r="L19" s="54">
        <f t="shared" si="5"/>
        <v>1132.7137163606174</v>
      </c>
      <c r="M19" s="54">
        <f t="shared" si="5"/>
        <v>1201.6046526943308</v>
      </c>
      <c r="N19" s="54">
        <f t="shared" si="5"/>
        <v>1274.6169172305567</v>
      </c>
    </row>
    <row r="20" spans="1:14" ht="12.75" x14ac:dyDescent="0.2">
      <c r="A20" s="7" t="s">
        <v>151</v>
      </c>
      <c r="B20" s="61">
        <f>'OAT Income Statement'!C18</f>
        <v>163.30000000000001</v>
      </c>
      <c r="C20" s="61">
        <f>'OAT Income Statement'!B18</f>
        <v>190.5</v>
      </c>
      <c r="D20" s="41">
        <f>'OAT Income Statement'!B18/'OAT Income Statement'!B17</f>
        <v>0.34567229178007619</v>
      </c>
      <c r="E20" s="54">
        <f>E19*'OAT Inputs'!$L10</f>
        <v>215.31827010463618</v>
      </c>
      <c r="F20" s="54">
        <f>F19*'OAT Inputs'!$L10</f>
        <v>235.21424671137322</v>
      </c>
      <c r="G20" s="54">
        <f>G19*'OAT Inputs'!$L10</f>
        <v>260.05000792705471</v>
      </c>
      <c r="H20" s="54">
        <f>H19*'OAT Inputs'!$L10</f>
        <v>286.99433828042919</v>
      </c>
      <c r="I20" s="54">
        <f>I19*'OAT Inputs'!$L10</f>
        <v>316.21110886599018</v>
      </c>
      <c r="J20" s="54">
        <f>J19*'OAT Inputs'!$L10</f>
        <v>347.87626446067389</v>
      </c>
      <c r="K20" s="54">
        <f>K19*'OAT Inputs'!$L10</f>
        <v>369.07804800931882</v>
      </c>
      <c r="L20" s="54">
        <f>L19*'OAT Inputs'!$L10</f>
        <v>391.54774626510181</v>
      </c>
      <c r="M20" s="54">
        <f>M19*'OAT Inputs'!$L10</f>
        <v>415.3614341104518</v>
      </c>
      <c r="N20" s="54">
        <f>N19*'OAT Inputs'!$L10</f>
        <v>440.59975092074222</v>
      </c>
    </row>
    <row r="21" spans="1:14" ht="12.75" x14ac:dyDescent="0.2">
      <c r="A21" s="185" t="s">
        <v>152</v>
      </c>
      <c r="B21" s="186">
        <f>B19-B20</f>
        <v>455.09999999999962</v>
      </c>
      <c r="C21" s="186">
        <f>C19-C20</f>
        <v>360.39999999999986</v>
      </c>
      <c r="D21" s="187"/>
      <c r="E21" s="186">
        <f t="shared" ref="E21:N21" si="6">E19-E20</f>
        <v>407.57883569413025</v>
      </c>
      <c r="F21" s="186">
        <f t="shared" si="6"/>
        <v>445.24019613711914</v>
      </c>
      <c r="G21" s="186">
        <f t="shared" si="6"/>
        <v>492.25214098947993</v>
      </c>
      <c r="H21" s="186">
        <f t="shared" si="6"/>
        <v>543.25542458752125</v>
      </c>
      <c r="I21" s="186">
        <f t="shared" si="6"/>
        <v>598.56024071955949</v>
      </c>
      <c r="J21" s="186">
        <f t="shared" si="6"/>
        <v>658.49963760902369</v>
      </c>
      <c r="K21" s="186">
        <f t="shared" si="6"/>
        <v>698.63277749165559</v>
      </c>
      <c r="L21" s="186">
        <f t="shared" si="6"/>
        <v>741.1659700955156</v>
      </c>
      <c r="M21" s="186">
        <f t="shared" si="6"/>
        <v>786.24321858387896</v>
      </c>
      <c r="N21" s="186">
        <f t="shared" si="6"/>
        <v>834.01716630981446</v>
      </c>
    </row>
    <row r="22" spans="1:14" ht="12.75" x14ac:dyDescent="0.2">
      <c r="A22" s="6" t="s">
        <v>153</v>
      </c>
      <c r="B22" s="54">
        <f>B16*(1-(B20/B19))</f>
        <v>45.554155886157815</v>
      </c>
      <c r="C22" s="54">
        <f>C16*(1-(C20/C19))</f>
        <v>35.32691958613178</v>
      </c>
      <c r="D22" s="202"/>
      <c r="E22" s="54">
        <f>(E16+E17)*(1-('OAT Inputs'!L10))</f>
        <v>38.160993687645096</v>
      </c>
      <c r="F22" s="54">
        <f>(F16+F17)*(1-('OAT Inputs'!M10))</f>
        <v>61.26916562104546</v>
      </c>
      <c r="G22" s="54">
        <f>(G16+G17)*(1-('OAT Inputs'!N10))</f>
        <v>64.406434341175711</v>
      </c>
      <c r="H22" s="54">
        <f>(H16+H17)*(1-('OAT Inputs'!O10))</f>
        <v>67.744067162023313</v>
      </c>
      <c r="I22" s="54">
        <f>(I16+I17)*(1-('OAT Inputs'!P10))</f>
        <v>71.294085929631251</v>
      </c>
      <c r="J22" s="54">
        <f>(J16+J17)*(1-('OAT Inputs'!Q10))</f>
        <v>75.069233800805193</v>
      </c>
      <c r="K22" s="54">
        <f>(K16+K17)*(1-('OAT Inputs'!R10))</f>
        <v>79.083018521759087</v>
      </c>
      <c r="L22" s="54">
        <f>(L16+L17)*(1-('OAT Inputs'!S10))</f>
        <v>83.349758303479717</v>
      </c>
      <c r="M22" s="54">
        <f>(M16+M17)*(1-('OAT Inputs'!T10))</f>
        <v>87.884630449613098</v>
      </c>
      <c r="N22" s="54">
        <f>(N16+N17)*(1-('OAT Inputs'!U10))</f>
        <v>92.703722902023998</v>
      </c>
    </row>
    <row r="23" spans="1:14" ht="12.75" x14ac:dyDescent="0.2">
      <c r="A23" s="25" t="s">
        <v>154</v>
      </c>
      <c r="B23" s="54">
        <f>B21+B22</f>
        <v>500.65415588615747</v>
      </c>
      <c r="C23" s="54">
        <f>C21+C22</f>
        <v>395.72691958613166</v>
      </c>
      <c r="D23" s="201"/>
      <c r="E23" s="54">
        <f>E21+E22</f>
        <v>445.73982938177534</v>
      </c>
      <c r="F23" s="54">
        <f>F21+F22</f>
        <v>506.50936175816457</v>
      </c>
      <c r="G23" s="54">
        <f t="shared" ref="G23:N23" si="7">G21+G22</f>
        <v>556.65857533065559</v>
      </c>
      <c r="H23" s="54">
        <f t="shared" si="7"/>
        <v>610.99949174954452</v>
      </c>
      <c r="I23" s="54">
        <f t="shared" si="7"/>
        <v>669.85432664919074</v>
      </c>
      <c r="J23" s="54">
        <f t="shared" si="7"/>
        <v>733.56887140982894</v>
      </c>
      <c r="K23" s="54">
        <f t="shared" si="7"/>
        <v>777.71579601341466</v>
      </c>
      <c r="L23" s="54">
        <f t="shared" si="7"/>
        <v>824.51572839899529</v>
      </c>
      <c r="M23" s="54">
        <f t="shared" si="7"/>
        <v>874.12784903349211</v>
      </c>
      <c r="N23" s="54">
        <f t="shared" si="7"/>
        <v>926.72088921183843</v>
      </c>
    </row>
    <row r="24" spans="1:14" ht="12.75" x14ac:dyDescent="0.2">
      <c r="A24" s="2" t="s">
        <v>311</v>
      </c>
      <c r="B24" s="54">
        <f>B12</f>
        <v>123.8</v>
      </c>
      <c r="C24" s="54">
        <f>C12</f>
        <v>133</v>
      </c>
      <c r="D24" s="16"/>
      <c r="E24" s="70">
        <f>+E12+E13</f>
        <v>149.69000456379274</v>
      </c>
      <c r="F24" s="70">
        <f t="shared" ref="F24:N24" si="8">+F12+F13</f>
        <v>161.1287669704619</v>
      </c>
      <c r="G24" s="70">
        <f t="shared" si="8"/>
        <v>170.33449298868962</v>
      </c>
      <c r="H24" s="70">
        <f t="shared" si="8"/>
        <v>180.092562568011</v>
      </c>
      <c r="I24" s="70">
        <f t="shared" si="8"/>
        <v>190.43611632209166</v>
      </c>
      <c r="J24" s="70">
        <f t="shared" si="8"/>
        <v>201.4002833014172</v>
      </c>
      <c r="K24" s="70">
        <f t="shared" si="8"/>
        <v>213.02230029950223</v>
      </c>
      <c r="L24" s="70">
        <f t="shared" si="8"/>
        <v>225.34163831747239</v>
      </c>
      <c r="M24" s="70">
        <f t="shared" si="8"/>
        <v>238.40013661652074</v>
      </c>
      <c r="N24" s="70">
        <f t="shared" si="8"/>
        <v>252.24214481351203</v>
      </c>
    </row>
    <row r="25" spans="1:14" ht="12.75" x14ac:dyDescent="0.2">
      <c r="A25" s="2" t="s">
        <v>325</v>
      </c>
      <c r="B25" s="54">
        <f>B15</f>
        <v>-2.2999999999999998</v>
      </c>
      <c r="C25" s="54">
        <f>C15</f>
        <v>182.5</v>
      </c>
      <c r="D25" s="16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12.75" x14ac:dyDescent="0.2">
      <c r="A26" s="2" t="s">
        <v>324</v>
      </c>
      <c r="B26" s="54">
        <f>-B18</f>
        <v>-18.100000000000001</v>
      </c>
      <c r="C26" s="54">
        <f>-C18</f>
        <v>-5.3</v>
      </c>
      <c r="D26" s="16"/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</row>
    <row r="27" spans="1:14" ht="12.75" x14ac:dyDescent="0.2">
      <c r="A27" s="2" t="s">
        <v>155</v>
      </c>
      <c r="B27" s="54">
        <f>-('OAT Balance Sheet'!C27-'OAT Balance Sheet'!D27)</f>
        <v>23.500000000000007</v>
      </c>
      <c r="C27" s="54">
        <f>-('OAT Balance Sheet'!B27-'OAT Balance Sheet'!C27)</f>
        <v>0</v>
      </c>
      <c r="D27" s="43" t="s">
        <v>156</v>
      </c>
      <c r="E27" s="70">
        <f>C61-E61+C62-E62</f>
        <v>-2.5454307020470779</v>
      </c>
      <c r="F27" s="70">
        <f>E61-F61+E62-F62</f>
        <v>3.7312741578771949</v>
      </c>
      <c r="G27" s="70">
        <f t="shared" ref="G27:N27" si="9">F61-G61+F62-G62</f>
        <v>3.4931506073498184</v>
      </c>
      <c r="H27" s="70">
        <f t="shared" si="9"/>
        <v>3.2407396437908034</v>
      </c>
      <c r="I27" s="70">
        <f t="shared" si="9"/>
        <v>2.973184022418252</v>
      </c>
      <c r="J27" s="70">
        <f t="shared" si="9"/>
        <v>2.6895750637633569</v>
      </c>
      <c r="K27" s="70">
        <f t="shared" si="9"/>
        <v>2.3889495675891368</v>
      </c>
      <c r="L27" s="70">
        <f t="shared" si="9"/>
        <v>2.0702865416444922</v>
      </c>
      <c r="M27" s="70">
        <f t="shared" si="9"/>
        <v>1.7325037341431653</v>
      </c>
      <c r="N27" s="70">
        <f t="shared" si="9"/>
        <v>1.3744539581917508</v>
      </c>
    </row>
    <row r="28" spans="1:14" ht="12.75" x14ac:dyDescent="0.2">
      <c r="A28" s="2" t="s">
        <v>157</v>
      </c>
      <c r="B28" s="54">
        <f>-('OAT Balance Sheet'!C43-'OAT Balance Sheet'!D43)</f>
        <v>10.299999999999955</v>
      </c>
      <c r="C28" s="54">
        <f>-('OAT Balance Sheet'!B43-'OAT Balance Sheet'!C43)</f>
        <v>5.1000000000000227</v>
      </c>
      <c r="D28" s="43" t="s">
        <v>156</v>
      </c>
      <c r="E28" s="70">
        <f>C69-E69</f>
        <v>-66.072715002622658</v>
      </c>
      <c r="F28" s="70">
        <f>E69-F69</f>
        <v>-35.044362900157353</v>
      </c>
      <c r="G28" s="70">
        <f t="shared" ref="G28:N28" si="10">F69-G69</f>
        <v>-37.147024674166801</v>
      </c>
      <c r="H28" s="70">
        <f t="shared" si="10"/>
        <v>-39.375846154616852</v>
      </c>
      <c r="I28" s="70">
        <f t="shared" si="10"/>
        <v>-41.738396923893788</v>
      </c>
      <c r="J28" s="70">
        <f t="shared" si="10"/>
        <v>-44.242700739327461</v>
      </c>
      <c r="K28" s="70">
        <f t="shared" si="10"/>
        <v>-46.897262783687211</v>
      </c>
      <c r="L28" s="70">
        <f t="shared" si="10"/>
        <v>-49.711098550708357</v>
      </c>
      <c r="M28" s="70">
        <f t="shared" si="10"/>
        <v>-52.693764463750881</v>
      </c>
      <c r="N28" s="70">
        <f t="shared" si="10"/>
        <v>-55.855390331576018</v>
      </c>
    </row>
    <row r="29" spans="1:14" ht="12.75" x14ac:dyDescent="0.2">
      <c r="A29" s="7" t="s">
        <v>158</v>
      </c>
      <c r="B29" s="61">
        <v>0</v>
      </c>
      <c r="C29" s="61">
        <v>0</v>
      </c>
      <c r="D29" s="44" t="s">
        <v>156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</row>
    <row r="30" spans="1:14" ht="12.75" x14ac:dyDescent="0.2">
      <c r="A30" s="25" t="s">
        <v>159</v>
      </c>
      <c r="B30" s="54">
        <f>SUM(B23:B29)</f>
        <v>637.8541558861574</v>
      </c>
      <c r="C30" s="54">
        <f>SUM(C23:C29)</f>
        <v>711.02691958613173</v>
      </c>
      <c r="D30" s="42"/>
      <c r="E30" s="64">
        <f t="shared" ref="E30:N30" si="11">SUM(E23:E29)</f>
        <v>526.81168824089843</v>
      </c>
      <c r="F30" s="64">
        <f t="shared" si="11"/>
        <v>636.32503998634638</v>
      </c>
      <c r="G30" s="64">
        <f t="shared" si="11"/>
        <v>693.33919425252816</v>
      </c>
      <c r="H30" s="64">
        <f t="shared" si="11"/>
        <v>754.95694780672943</v>
      </c>
      <c r="I30" s="64">
        <f t="shared" si="11"/>
        <v>821.52523006980687</v>
      </c>
      <c r="J30" s="64">
        <f t="shared" si="11"/>
        <v>893.41602903568207</v>
      </c>
      <c r="K30" s="64">
        <f t="shared" si="11"/>
        <v>946.22978309681889</v>
      </c>
      <c r="L30" s="64">
        <f t="shared" si="11"/>
        <v>1002.2165547074037</v>
      </c>
      <c r="M30" s="64">
        <f t="shared" si="11"/>
        <v>1061.5667249204052</v>
      </c>
      <c r="N30" s="64">
        <f t="shared" si="11"/>
        <v>1124.4820976519661</v>
      </c>
    </row>
    <row r="31" spans="1:14" ht="12.75" x14ac:dyDescent="0.2">
      <c r="A31" s="45" t="s">
        <v>160</v>
      </c>
      <c r="B31" s="54">
        <f>-('OAT Balance Sheet'!C7-'OAT Balance Sheet'!D7)</f>
        <v>29.099999999999966</v>
      </c>
      <c r="C31" s="54">
        <f>-('OAT Balance Sheet'!B7-'OAT Balance Sheet'!C7)</f>
        <v>-43.699999999999989</v>
      </c>
      <c r="D31" s="16" t="s">
        <v>156</v>
      </c>
      <c r="E31" s="70">
        <f>C55-E55</f>
        <v>-10.988396501791271</v>
      </c>
      <c r="F31" s="70"/>
      <c r="G31" s="70">
        <f t="shared" ref="G31:N31" si="12">F55-G55</f>
        <v>-19.6516620175139</v>
      </c>
      <c r="H31" s="70">
        <f t="shared" si="12"/>
        <v>-20.830761738564831</v>
      </c>
      <c r="I31" s="70">
        <f t="shared" si="12"/>
        <v>-22.080607442878659</v>
      </c>
      <c r="J31" s="70">
        <f t="shared" si="12"/>
        <v>-23.405443889451362</v>
      </c>
      <c r="K31" s="70">
        <f t="shared" si="12"/>
        <v>-24.809770522818496</v>
      </c>
      <c r="L31" s="70">
        <f t="shared" si="12"/>
        <v>-26.29835675418758</v>
      </c>
      <c r="M31" s="70">
        <f t="shared" si="12"/>
        <v>-27.876258159438862</v>
      </c>
      <c r="N31" s="70">
        <f t="shared" si="12"/>
        <v>-29.548833649005189</v>
      </c>
    </row>
    <row r="32" spans="1:14" ht="12.75" x14ac:dyDescent="0.2">
      <c r="A32" s="45" t="s">
        <v>161</v>
      </c>
      <c r="B32" s="54">
        <f>-(('OAT Balance Sheet'!C14-'OAT Balance Sheet'!D14)+('OAT Balance Sheet'!C13-'OAT Balance Sheet'!D13))</f>
        <v>18.299999999999983</v>
      </c>
      <c r="C32" s="54">
        <f>-(('OAT Balance Sheet'!B14-'OAT Balance Sheet'!C14)+('OAT Balance Sheet'!B13-'OAT Balance Sheet'!C13))</f>
        <v>-81.899999999999977</v>
      </c>
      <c r="D32" s="16" t="s">
        <v>156</v>
      </c>
      <c r="E32" s="70">
        <f>C56+C58-E56-E58</f>
        <v>-32.466000000000065</v>
      </c>
      <c r="F32" s="70">
        <f>E56+E58-F56-F58</f>
        <v>-34.413959999999975</v>
      </c>
      <c r="G32" s="70">
        <f t="shared" ref="G32:N32" si="13">F56+F58-G56-G58</f>
        <v>-36.47879759999995</v>
      </c>
      <c r="H32" s="70">
        <f t="shared" si="13"/>
        <v>-38.667525456000135</v>
      </c>
      <c r="I32" s="70">
        <f t="shared" si="13"/>
        <v>-40.9875769833601</v>
      </c>
      <c r="J32" s="70">
        <f t="shared" si="13"/>
        <v>-43.446831602361556</v>
      </c>
      <c r="K32" s="70">
        <f t="shared" si="13"/>
        <v>-46.053641498503453</v>
      </c>
      <c r="L32" s="70">
        <f t="shared" si="13"/>
        <v>-48.816859988413569</v>
      </c>
      <c r="M32" s="70">
        <f t="shared" si="13"/>
        <v>-51.745871587718455</v>
      </c>
      <c r="N32" s="70">
        <f t="shared" si="13"/>
        <v>-54.850623882981381</v>
      </c>
    </row>
    <row r="33" spans="1:14" ht="12.75" x14ac:dyDescent="0.2">
      <c r="A33" s="45" t="s">
        <v>162</v>
      </c>
      <c r="B33" s="54">
        <f>-('OAT Balance Sheet'!C35-'OAT Balance Sheet'!D35)</f>
        <v>-45.199999999999989</v>
      </c>
      <c r="C33" s="54">
        <f>-('OAT Balance Sheet'!B35-'OAT Balance Sheet'!C35)</f>
        <v>1.2999999999999829</v>
      </c>
      <c r="D33" s="16" t="s">
        <v>156</v>
      </c>
      <c r="E33" s="70">
        <f>+E65-C65</f>
        <v>2.1497355357200547</v>
      </c>
      <c r="F33" s="70">
        <f>+F65-E65</f>
        <v>12.866984132143216</v>
      </c>
      <c r="G33" s="70">
        <f t="shared" ref="G33:N33" si="14">+G65-F65</f>
        <v>13.639003180071796</v>
      </c>
      <c r="H33" s="70">
        <f t="shared" si="14"/>
        <v>14.457343370876117</v>
      </c>
      <c r="I33" s="70">
        <f t="shared" si="14"/>
        <v>15.324783973128717</v>
      </c>
      <c r="J33" s="70">
        <f t="shared" si="14"/>
        <v>16.244271011516389</v>
      </c>
      <c r="K33" s="70">
        <f t="shared" si="14"/>
        <v>17.218927272207395</v>
      </c>
      <c r="L33" s="70">
        <f t="shared" si="14"/>
        <v>18.252062908539813</v>
      </c>
      <c r="M33" s="70">
        <f t="shared" si="14"/>
        <v>19.347186683052257</v>
      </c>
      <c r="N33" s="70">
        <f t="shared" si="14"/>
        <v>20.508017884035382</v>
      </c>
    </row>
    <row r="34" spans="1:14" ht="12.75" x14ac:dyDescent="0.2">
      <c r="A34" s="40" t="s">
        <v>163</v>
      </c>
      <c r="B34" s="61">
        <f>-(('OAT Balance Sheet'!C36-'OAT Balance Sheet'!D36)+('OAT Balance Sheet'!C37-'OAT Balance Sheet'!D37)+('OAT Balance Sheet'!C39-'OAT Balance Sheet'!D39))</f>
        <v>110.4</v>
      </c>
      <c r="C34" s="61">
        <f>-(('OAT Balance Sheet'!B36-'OAT Balance Sheet'!C36)+('OAT Balance Sheet'!B37-'OAT Balance Sheet'!C37)+('OAT Balance Sheet'!B39-'OAT Balance Sheet'!C39))</f>
        <v>27.199999999999974</v>
      </c>
      <c r="D34" s="9" t="s">
        <v>156</v>
      </c>
      <c r="E34" s="80">
        <f>E66-C66</f>
        <v>118.9221076830853</v>
      </c>
      <c r="F34" s="80">
        <f t="shared" ref="F34:N34" si="15">F66-E66</f>
        <v>38.245326460985211</v>
      </c>
      <c r="G34" s="80">
        <f t="shared" si="15"/>
        <v>40.540046048644172</v>
      </c>
      <c r="H34" s="80">
        <f t="shared" si="15"/>
        <v>42.972448811562913</v>
      </c>
      <c r="I34" s="80">
        <f t="shared" si="15"/>
        <v>45.550795740256717</v>
      </c>
      <c r="J34" s="80">
        <f t="shared" si="15"/>
        <v>48.283843484672161</v>
      </c>
      <c r="K34" s="80">
        <f t="shared" si="15"/>
        <v>51.180874093752436</v>
      </c>
      <c r="L34" s="80">
        <f t="shared" si="15"/>
        <v>54.251726539377614</v>
      </c>
      <c r="M34" s="80">
        <f t="shared" si="15"/>
        <v>57.50683013174023</v>
      </c>
      <c r="N34" s="80">
        <f t="shared" si="15"/>
        <v>60.957239939644751</v>
      </c>
    </row>
    <row r="35" spans="1:14" ht="12.75" x14ac:dyDescent="0.2">
      <c r="A35" s="25" t="s">
        <v>164</v>
      </c>
      <c r="B35" s="54">
        <f>SUM(B30:B34)</f>
        <v>750.45415588615731</v>
      </c>
      <c r="C35" s="54">
        <f>SUM(C30:C34)</f>
        <v>613.92691958613159</v>
      </c>
      <c r="D35" s="42"/>
      <c r="E35" s="64">
        <f t="shared" ref="E35:N35" si="16">SUM(E30:E34)</f>
        <v>604.42913495791242</v>
      </c>
      <c r="F35" s="64">
        <f t="shared" si="16"/>
        <v>653.02339057947484</v>
      </c>
      <c r="G35" s="64">
        <f t="shared" si="16"/>
        <v>691.38778386373019</v>
      </c>
      <c r="H35" s="64">
        <f t="shared" si="16"/>
        <v>752.8884527946035</v>
      </c>
      <c r="I35" s="64">
        <f t="shared" si="16"/>
        <v>819.33262535695349</v>
      </c>
      <c r="J35" s="64">
        <f t="shared" si="16"/>
        <v>891.09186804005765</v>
      </c>
      <c r="K35" s="64">
        <f t="shared" si="16"/>
        <v>943.76617244145677</v>
      </c>
      <c r="L35" s="64">
        <f t="shared" si="16"/>
        <v>999.60512741271987</v>
      </c>
      <c r="M35" s="64">
        <f t="shared" si="16"/>
        <v>1058.7986119880406</v>
      </c>
      <c r="N35" s="64">
        <f t="shared" si="16"/>
        <v>1121.5478979436596</v>
      </c>
    </row>
    <row r="36" spans="1:14" ht="12.75" x14ac:dyDescent="0.2">
      <c r="A36" s="2" t="s">
        <v>165</v>
      </c>
      <c r="B36" s="55">
        <f>'OAT Balance Sheet'!D25-'OAT Balance Sheet'!C25-'OAT Cash Flow'!D9</f>
        <v>-160.30000000000001</v>
      </c>
      <c r="C36" s="155">
        <f>B60-C60-'OAT Cash Flow'!C9</f>
        <v>-146.29999999999995</v>
      </c>
      <c r="D36" s="16"/>
      <c r="E36" s="70">
        <f>+C60-E60-E24</f>
        <v>-248.58785537183155</v>
      </c>
      <c r="F36" s="70">
        <f t="shared" ref="F36:N36" si="17">+E60-F60-F24</f>
        <v>-234.26263801894433</v>
      </c>
      <c r="G36" s="70">
        <f t="shared" si="17"/>
        <v>-247.85639630008089</v>
      </c>
      <c r="H36" s="70">
        <f t="shared" si="17"/>
        <v>-262.26578007808587</v>
      </c>
      <c r="I36" s="70">
        <f t="shared" si="17"/>
        <v>-277.53972688277094</v>
      </c>
      <c r="J36" s="70">
        <f t="shared" si="17"/>
        <v>-293.73011049573734</v>
      </c>
      <c r="K36" s="70">
        <f t="shared" si="17"/>
        <v>-310.89191712548165</v>
      </c>
      <c r="L36" s="70">
        <f t="shared" si="17"/>
        <v>-329.08343215301034</v>
      </c>
      <c r="M36" s="70">
        <f t="shared" si="17"/>
        <v>-348.36643808219128</v>
      </c>
      <c r="N36" s="70">
        <f t="shared" si="17"/>
        <v>-368.80642436712276</v>
      </c>
    </row>
    <row r="37" spans="1:14" ht="12.75" x14ac:dyDescent="0.2">
      <c r="A37" s="25" t="s">
        <v>166</v>
      </c>
      <c r="B37" s="54">
        <f>B35+B36</f>
        <v>590.15415588615724</v>
      </c>
      <c r="C37" s="54">
        <f>C35+C36</f>
        <v>467.62691958613163</v>
      </c>
      <c r="D37" s="25"/>
      <c r="E37" s="64">
        <f t="shared" ref="E37:N37" si="18">E35+E36</f>
        <v>355.84127958608087</v>
      </c>
      <c r="F37" s="64">
        <f t="shared" si="18"/>
        <v>418.76075256053048</v>
      </c>
      <c r="G37" s="64">
        <f t="shared" si="18"/>
        <v>443.53138756364933</v>
      </c>
      <c r="H37" s="64">
        <f t="shared" si="18"/>
        <v>490.62267271651763</v>
      </c>
      <c r="I37" s="64">
        <f t="shared" si="18"/>
        <v>541.79289847418249</v>
      </c>
      <c r="J37" s="64">
        <f t="shared" si="18"/>
        <v>597.36175754432031</v>
      </c>
      <c r="K37" s="64">
        <f t="shared" si="18"/>
        <v>632.87425531597512</v>
      </c>
      <c r="L37" s="64">
        <f t="shared" si="18"/>
        <v>670.52169525970953</v>
      </c>
      <c r="M37" s="64">
        <f t="shared" si="18"/>
        <v>710.43217390584937</v>
      </c>
      <c r="N37" s="64">
        <f t="shared" si="18"/>
        <v>752.74147357653681</v>
      </c>
    </row>
    <row r="38" spans="1:14" ht="12.75" x14ac:dyDescent="0.2">
      <c r="A38" s="25" t="s">
        <v>167</v>
      </c>
      <c r="B38" s="2"/>
      <c r="C38" s="63">
        <f>'OAT Inputs'!E11</f>
        <v>18</v>
      </c>
      <c r="D38" s="30"/>
      <c r="E38" s="64"/>
      <c r="F38" s="64"/>
      <c r="G38" s="64"/>
      <c r="H38" s="64"/>
      <c r="I38" s="64"/>
      <c r="J38" s="64"/>
      <c r="K38" s="64"/>
      <c r="L38" s="64"/>
      <c r="M38" s="64"/>
      <c r="N38" s="65">
        <f>((+N14+N12+N13)*$C$38)</f>
        <v>29152.130129029669</v>
      </c>
    </row>
    <row r="39" spans="1:14" ht="12.75" x14ac:dyDescent="0.2">
      <c r="A39" s="25" t="s">
        <v>168</v>
      </c>
      <c r="B39" s="2"/>
      <c r="C39" s="66"/>
      <c r="D39" s="184"/>
      <c r="E39" s="64">
        <f>SUM(E37:E38)</f>
        <v>355.84127958608087</v>
      </c>
      <c r="F39" s="64">
        <f t="shared" ref="F39:N39" si="19">SUM(F37:F38)</f>
        <v>418.76075256053048</v>
      </c>
      <c r="G39" s="64">
        <f t="shared" si="19"/>
        <v>443.53138756364933</v>
      </c>
      <c r="H39" s="64">
        <f t="shared" si="19"/>
        <v>490.62267271651763</v>
      </c>
      <c r="I39" s="64">
        <f t="shared" si="19"/>
        <v>541.79289847418249</v>
      </c>
      <c r="J39" s="64">
        <f t="shared" si="19"/>
        <v>597.36175754432031</v>
      </c>
      <c r="K39" s="64">
        <f t="shared" si="19"/>
        <v>632.87425531597512</v>
      </c>
      <c r="L39" s="64">
        <f t="shared" si="19"/>
        <v>670.52169525970953</v>
      </c>
      <c r="M39" s="64">
        <f t="shared" si="19"/>
        <v>710.43217390584937</v>
      </c>
      <c r="N39" s="64">
        <f t="shared" si="19"/>
        <v>29904.871602606207</v>
      </c>
    </row>
    <row r="40" spans="1:14" ht="12.75" x14ac:dyDescent="0.2">
      <c r="A40" s="25"/>
      <c r="B40" s="2"/>
      <c r="C40" s="66"/>
      <c r="D40" s="184"/>
      <c r="E40" s="64"/>
      <c r="F40" s="64"/>
      <c r="G40" s="64"/>
      <c r="H40" s="64"/>
      <c r="I40" s="64"/>
      <c r="J40" s="64"/>
      <c r="K40" s="64"/>
      <c r="L40" s="64"/>
      <c r="M40" s="64"/>
      <c r="N40" s="67"/>
    </row>
    <row r="41" spans="1:14" ht="12.75" x14ac:dyDescent="0.2">
      <c r="A41" s="25" t="s">
        <v>169</v>
      </c>
      <c r="B41" s="2"/>
      <c r="C41" s="68">
        <f>'OAT Inputs'!E10</f>
        <v>0.09</v>
      </c>
      <c r="E41" s="69">
        <f>NPV(C41,E39:N39)</f>
        <v>15719.254796779178</v>
      </c>
      <c r="F41" s="64"/>
      <c r="G41" s="203">
        <f>15750/(C23+C20+C24)</f>
        <v>21.898512932556947</v>
      </c>
      <c r="H41" s="64">
        <f>C23+C20+C24</f>
        <v>719.22691958613166</v>
      </c>
      <c r="I41" s="64"/>
      <c r="J41" s="64"/>
      <c r="K41" s="64"/>
      <c r="L41" s="64"/>
      <c r="M41" s="64"/>
      <c r="N41" s="67"/>
    </row>
    <row r="42" spans="1:14" ht="12.75" x14ac:dyDescent="0.2">
      <c r="A42" s="46" t="s">
        <v>170</v>
      </c>
      <c r="B42" s="2"/>
      <c r="C42" s="70"/>
      <c r="E42" s="71">
        <f>IF(E41=0,0,-(C70))</f>
        <v>-793.7</v>
      </c>
      <c r="F42" s="72"/>
      <c r="G42" s="72"/>
      <c r="H42" s="73"/>
      <c r="I42" s="72"/>
      <c r="J42" s="72"/>
      <c r="K42" s="72"/>
      <c r="L42" s="72"/>
      <c r="M42" s="72"/>
      <c r="N42" s="72"/>
    </row>
    <row r="43" spans="1:14" ht="12.75" x14ac:dyDescent="0.2">
      <c r="A43" s="47" t="s">
        <v>171</v>
      </c>
      <c r="B43" s="2"/>
      <c r="C43" s="70"/>
      <c r="D43" s="12"/>
      <c r="E43" s="74">
        <v>0</v>
      </c>
      <c r="F43" s="70"/>
      <c r="G43" s="70"/>
      <c r="I43" s="70"/>
      <c r="J43" s="70"/>
      <c r="K43" s="70"/>
      <c r="L43" s="70"/>
      <c r="M43" s="70"/>
      <c r="N43" s="70"/>
    </row>
    <row r="44" spans="1:14" ht="12.75" x14ac:dyDescent="0.2">
      <c r="A44" s="47" t="s">
        <v>172</v>
      </c>
      <c r="B44" s="2"/>
      <c r="C44" s="75"/>
      <c r="D44" s="183"/>
      <c r="E44" s="71">
        <f>SUM(E41:E43)</f>
        <v>14925.554796779177</v>
      </c>
      <c r="F44" s="75"/>
      <c r="G44" s="75"/>
      <c r="H44" s="75"/>
      <c r="I44" s="75"/>
      <c r="J44" s="75"/>
      <c r="K44" s="75"/>
      <c r="L44" s="75"/>
      <c r="M44" s="75"/>
      <c r="N44" s="75"/>
    </row>
    <row r="45" spans="1:14" ht="12.75" x14ac:dyDescent="0.2">
      <c r="A45" s="2" t="s">
        <v>173</v>
      </c>
      <c r="B45" s="2"/>
      <c r="C45" s="70"/>
      <c r="D45" s="12"/>
      <c r="E45" s="71">
        <f>'OAT Inputs'!E37/1000000</f>
        <v>131.93299999999999</v>
      </c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12.75" x14ac:dyDescent="0.2">
      <c r="A46" s="48" t="s">
        <v>174</v>
      </c>
      <c r="B46" s="2"/>
      <c r="C46" s="64"/>
      <c r="D46" s="77"/>
      <c r="E46" s="78">
        <f>E44/E45</f>
        <v>113.12980677146111</v>
      </c>
      <c r="F46" s="79"/>
      <c r="G46" s="79"/>
      <c r="H46" s="79"/>
      <c r="I46" s="79"/>
      <c r="J46" s="79"/>
      <c r="K46" s="79"/>
      <c r="L46" s="79"/>
      <c r="M46" s="79"/>
      <c r="N46" s="79"/>
    </row>
    <row r="47" spans="1:14" ht="12.75" x14ac:dyDescent="0.2">
      <c r="A47" s="2"/>
      <c r="B47" s="2"/>
      <c r="C47" s="2"/>
      <c r="D47" s="54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.75" hidden="1" x14ac:dyDescent="0.2">
      <c r="A48" s="56"/>
      <c r="B48" s="2"/>
      <c r="C48" s="2"/>
      <c r="D48" s="49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.75" hidden="1" x14ac:dyDescent="0.2">
      <c r="A49" s="56"/>
      <c r="B49" s="2"/>
      <c r="C49" s="2"/>
      <c r="D49" s="49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.75" hidden="1" x14ac:dyDescent="0.2">
      <c r="A50" s="56"/>
      <c r="B50" s="2"/>
      <c r="C50" s="2"/>
      <c r="D50" s="49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.75" hidden="1" x14ac:dyDescent="0.2">
      <c r="A51" s="56"/>
      <c r="B51" s="2"/>
      <c r="C51" s="2"/>
      <c r="D51" s="49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.75" x14ac:dyDescent="0.2">
      <c r="A52" s="25"/>
      <c r="B52" s="148" t="str">
        <f>+B6</f>
        <v>Actual</v>
      </c>
      <c r="C52" s="148" t="str">
        <f>+C6</f>
        <v>Actual</v>
      </c>
      <c r="D52" s="12"/>
      <c r="E52" s="148" t="str">
        <f t="shared" ref="E52:N53" si="20">+E6</f>
        <v>Forecast</v>
      </c>
      <c r="F52" s="148" t="str">
        <f t="shared" si="20"/>
        <v>Forecast</v>
      </c>
      <c r="G52" s="148" t="str">
        <f t="shared" si="20"/>
        <v>Forecast</v>
      </c>
      <c r="H52" s="148" t="str">
        <f t="shared" si="20"/>
        <v>Forecast</v>
      </c>
      <c r="I52" s="148" t="str">
        <f t="shared" si="20"/>
        <v>Forecast</v>
      </c>
      <c r="J52" s="148" t="str">
        <f t="shared" si="20"/>
        <v>Forecast</v>
      </c>
      <c r="K52" s="148" t="str">
        <f t="shared" si="20"/>
        <v>Forecast</v>
      </c>
      <c r="L52" s="148" t="str">
        <f t="shared" si="20"/>
        <v>Forecast</v>
      </c>
      <c r="M52" s="148" t="str">
        <f t="shared" si="20"/>
        <v>Forecast</v>
      </c>
      <c r="N52" s="148" t="str">
        <f t="shared" si="20"/>
        <v>Forecast</v>
      </c>
    </row>
    <row r="53" spans="1:14" ht="12.75" x14ac:dyDescent="0.2">
      <c r="A53" s="50" t="s">
        <v>142</v>
      </c>
      <c r="B53" s="149">
        <f>+B7</f>
        <v>1999</v>
      </c>
      <c r="C53" s="149">
        <f>+C7</f>
        <v>2000</v>
      </c>
      <c r="D53" s="33" t="s">
        <v>210</v>
      </c>
      <c r="E53" s="149">
        <f t="shared" si="20"/>
        <v>2001</v>
      </c>
      <c r="F53" s="149">
        <f t="shared" si="20"/>
        <v>2002</v>
      </c>
      <c r="G53" s="149">
        <f t="shared" si="20"/>
        <v>2003</v>
      </c>
      <c r="H53" s="149">
        <f t="shared" si="20"/>
        <v>2004</v>
      </c>
      <c r="I53" s="149">
        <f t="shared" si="20"/>
        <v>2005</v>
      </c>
      <c r="J53" s="149">
        <f t="shared" si="20"/>
        <v>2006</v>
      </c>
      <c r="K53" s="149">
        <f t="shared" si="20"/>
        <v>2007</v>
      </c>
      <c r="L53" s="149">
        <f t="shared" si="20"/>
        <v>2008</v>
      </c>
      <c r="M53" s="149">
        <f t="shared" si="20"/>
        <v>2009</v>
      </c>
      <c r="N53" s="150">
        <f t="shared" si="20"/>
        <v>2010</v>
      </c>
    </row>
    <row r="54" spans="1:14" ht="12.75" x14ac:dyDescent="0.2">
      <c r="A54" s="2" t="s">
        <v>177</v>
      </c>
      <c r="B54" s="151">
        <f>'OAT Balance Sheet'!C5+'OAT Balance Sheet'!B6</f>
        <v>283.2</v>
      </c>
      <c r="C54" s="151">
        <f>'OAT Balance Sheet'!B5+'OAT Balance Sheet'!C6</f>
        <v>174.60000000000002</v>
      </c>
      <c r="D54" s="43"/>
      <c r="E54" s="54">
        <f>E8*('OAT Balance Sheet'!I70+'OAT Balance Sheet'!I71)</f>
        <v>185.07600000000002</v>
      </c>
      <c r="F54" s="54">
        <f>F8*('OAT Balance Sheet'!J70+'OAT Balance Sheet'!J71)</f>
        <v>196.18056000000001</v>
      </c>
      <c r="G54" s="54">
        <f>G8*('OAT Balance Sheet'!K70+'OAT Balance Sheet'!K71)</f>
        <v>207.95139360000002</v>
      </c>
      <c r="H54" s="54">
        <f>H8*('OAT Balance Sheet'!L70+'OAT Balance Sheet'!L71)</f>
        <v>220.42847721600003</v>
      </c>
      <c r="I54" s="54">
        <f>I8*('OAT Balance Sheet'!M70+'OAT Balance Sheet'!M71)</f>
        <v>233.65418584896005</v>
      </c>
      <c r="J54" s="54">
        <f>J8*('OAT Balance Sheet'!N70+'OAT Balance Sheet'!N71)</f>
        <v>247.67343699989766</v>
      </c>
      <c r="K54" s="54">
        <f>K8*('OAT Balance Sheet'!O70+'OAT Balance Sheet'!O71)</f>
        <v>262.53384321989154</v>
      </c>
      <c r="L54" s="54">
        <f>L8*('OAT Balance Sheet'!P70+'OAT Balance Sheet'!P71)</f>
        <v>278.28587381308506</v>
      </c>
      <c r="M54" s="54">
        <f>M8*('OAT Balance Sheet'!Q70+'OAT Balance Sheet'!Q71)</f>
        <v>294.98302624187016</v>
      </c>
      <c r="N54" s="54">
        <f>N8*('OAT Balance Sheet'!R70+'OAT Balance Sheet'!R71)</f>
        <v>312.6820078163824</v>
      </c>
    </row>
    <row r="55" spans="1:14" ht="12.75" x14ac:dyDescent="0.2">
      <c r="A55" s="2" t="s">
        <v>178</v>
      </c>
      <c r="B55" s="153">
        <f>'OAT Balance Sheet'!C7</f>
        <v>254.3</v>
      </c>
      <c r="C55" s="153">
        <f>'OAT Balance Sheet'!B7</f>
        <v>298</v>
      </c>
      <c r="D55" s="43"/>
      <c r="E55" s="153">
        <f>E8*'OAT Balance Sheet'!$G72</f>
        <v>308.98839650179127</v>
      </c>
      <c r="F55" s="153">
        <f>F8*'OAT Balance Sheet'!$G72</f>
        <v>327.52770029189873</v>
      </c>
      <c r="G55" s="153">
        <f>G8*'OAT Balance Sheet'!$G72</f>
        <v>347.17936230941262</v>
      </c>
      <c r="H55" s="153">
        <f>H8*'OAT Balance Sheet'!$G72</f>
        <v>368.01012404797746</v>
      </c>
      <c r="I55" s="153">
        <f>I8*'OAT Balance Sheet'!$G72</f>
        <v>390.09073149085611</v>
      </c>
      <c r="J55" s="153">
        <f>J8*'OAT Balance Sheet'!$G72</f>
        <v>413.49617538030748</v>
      </c>
      <c r="K55" s="153">
        <f>K8*'OAT Balance Sheet'!$G72</f>
        <v>438.30594590312597</v>
      </c>
      <c r="L55" s="153">
        <f>L8*'OAT Balance Sheet'!$G72</f>
        <v>464.60430265731355</v>
      </c>
      <c r="M55" s="153">
        <f>M8*'OAT Balance Sheet'!$G72</f>
        <v>492.48056081675242</v>
      </c>
      <c r="N55" s="153">
        <f>N8*'OAT Balance Sheet'!$G72</f>
        <v>522.0293944657576</v>
      </c>
    </row>
    <row r="56" spans="1:14" ht="12.75" x14ac:dyDescent="0.2">
      <c r="A56" s="2" t="s">
        <v>179</v>
      </c>
      <c r="B56" s="153">
        <f>'OAT Balance Sheet'!C13</f>
        <v>266.2</v>
      </c>
      <c r="C56" s="153">
        <f>'OAT Balance Sheet'!B13</f>
        <v>287.39999999999998</v>
      </c>
      <c r="D56" s="43"/>
      <c r="E56" s="153">
        <f>E8*'OAT Balance Sheet'!I78</f>
        <v>304.64400000000001</v>
      </c>
      <c r="F56" s="153">
        <f>F8*'OAT Balance Sheet'!J78</f>
        <v>322.92264</v>
      </c>
      <c r="G56" s="153">
        <f>G8*'OAT Balance Sheet'!K78</f>
        <v>342.29799839999998</v>
      </c>
      <c r="H56" s="153">
        <f>H8*'OAT Balance Sheet'!L78</f>
        <v>362.835878304</v>
      </c>
      <c r="I56" s="153">
        <f>I8*'OAT Balance Sheet'!M78</f>
        <v>384.60603100224006</v>
      </c>
      <c r="J56" s="153">
        <f>J8*'OAT Balance Sheet'!N78</f>
        <v>407.68239286237446</v>
      </c>
      <c r="K56" s="153">
        <f>K8*'OAT Balance Sheet'!O78</f>
        <v>432.14333643411697</v>
      </c>
      <c r="L56" s="153">
        <f>L8*'OAT Balance Sheet'!P78</f>
        <v>458.07193662016402</v>
      </c>
      <c r="M56" s="153">
        <f>M8*'OAT Balance Sheet'!Q78</f>
        <v>485.55625281737389</v>
      </c>
      <c r="N56" s="153">
        <f>N8*'OAT Balance Sheet'!R78</f>
        <v>514.68962798641633</v>
      </c>
    </row>
    <row r="57" spans="1:14" ht="12.75" x14ac:dyDescent="0.2">
      <c r="A57" s="2" t="s">
        <v>180</v>
      </c>
      <c r="B57" s="153">
        <v>0</v>
      </c>
      <c r="C57" s="153">
        <v>0</v>
      </c>
      <c r="D57" s="43"/>
      <c r="E57" s="153"/>
      <c r="F57" s="153"/>
      <c r="G57" s="153"/>
      <c r="H57" s="153"/>
      <c r="I57" s="153"/>
      <c r="J57" s="153"/>
      <c r="K57" s="153"/>
      <c r="L57" s="153"/>
      <c r="M57" s="153"/>
      <c r="N57" s="153"/>
    </row>
    <row r="58" spans="1:14" ht="12.75" x14ac:dyDescent="0.2">
      <c r="A58" s="7" t="s">
        <v>181</v>
      </c>
      <c r="B58" s="154">
        <f>'OAT Balance Sheet'!C14</f>
        <v>193</v>
      </c>
      <c r="C58" s="154">
        <f>'OAT Balance Sheet'!B14</f>
        <v>253.7</v>
      </c>
      <c r="D58" s="44"/>
      <c r="E58" s="154">
        <f>E8*'OAT Balance Sheet'!I79</f>
        <v>268.92199999999997</v>
      </c>
      <c r="F58" s="154">
        <f>F8*'OAT Balance Sheet'!J79</f>
        <v>285.05732</v>
      </c>
      <c r="G58" s="154">
        <f>G8*'OAT Balance Sheet'!K79</f>
        <v>302.16075919999997</v>
      </c>
      <c r="H58" s="154">
        <f>H8*'OAT Balance Sheet'!L79</f>
        <v>320.29040475200003</v>
      </c>
      <c r="I58" s="154">
        <f>I8*'OAT Balance Sheet'!M79</f>
        <v>339.50782903712008</v>
      </c>
      <c r="J58" s="154">
        <f>J8*'OAT Balance Sheet'!N79</f>
        <v>359.87829877934723</v>
      </c>
      <c r="K58" s="154">
        <f>K8*'OAT Balance Sheet'!O79</f>
        <v>381.47099670610811</v>
      </c>
      <c r="L58" s="154">
        <f>L8*'OAT Balance Sheet'!P79</f>
        <v>404.35925650847463</v>
      </c>
      <c r="M58" s="154">
        <f>M8*'OAT Balance Sheet'!Q79</f>
        <v>428.62081189898316</v>
      </c>
      <c r="N58" s="154">
        <f>N8*'OAT Balance Sheet'!R79</f>
        <v>454.33806061292216</v>
      </c>
    </row>
    <row r="59" spans="1:14" ht="12.75" x14ac:dyDescent="0.2">
      <c r="A59" s="2" t="s">
        <v>182</v>
      </c>
      <c r="B59" s="153">
        <f>SUM(B54:B58)</f>
        <v>996.7</v>
      </c>
      <c r="C59" s="153">
        <f>SUM(C54:C58)</f>
        <v>1013.7</v>
      </c>
      <c r="D59" s="43"/>
      <c r="E59" s="153">
        <f t="shared" ref="E59:N59" si="21">SUM(E54:E58)</f>
        <v>1067.6303965017912</v>
      </c>
      <c r="F59" s="153">
        <f t="shared" si="21"/>
        <v>1131.6882202918987</v>
      </c>
      <c r="G59" s="153">
        <f t="shared" si="21"/>
        <v>1199.5895135094127</v>
      </c>
      <c r="H59" s="153">
        <f t="shared" si="21"/>
        <v>1271.5648843199776</v>
      </c>
      <c r="I59" s="153">
        <f t="shared" si="21"/>
        <v>1347.8587773791762</v>
      </c>
      <c r="J59" s="153">
        <f t="shared" si="21"/>
        <v>1428.7303040219267</v>
      </c>
      <c r="K59" s="153">
        <f t="shared" si="21"/>
        <v>1514.4541222632424</v>
      </c>
      <c r="L59" s="153">
        <f t="shared" si="21"/>
        <v>1605.3213695990371</v>
      </c>
      <c r="M59" s="153">
        <f t="shared" si="21"/>
        <v>1701.6406517749797</v>
      </c>
      <c r="N59" s="153">
        <f t="shared" si="21"/>
        <v>1803.7390908814784</v>
      </c>
    </row>
    <row r="60" spans="1:14" ht="12.75" x14ac:dyDescent="0.2">
      <c r="A60" s="2" t="s">
        <v>183</v>
      </c>
      <c r="B60" s="153">
        <f>'OAT Balance Sheet'!C25</f>
        <v>1106.7</v>
      </c>
      <c r="C60" s="153">
        <f>'OAT Balance Sheet'!B25</f>
        <v>1120</v>
      </c>
      <c r="D60" s="51"/>
      <c r="E60" s="153">
        <f>E8*'OAT Balance Sheet'!I90</f>
        <v>1218.8978508080388</v>
      </c>
      <c r="F60" s="153">
        <f>F8*'OAT Balance Sheet'!J90</f>
        <v>1292.0317218565212</v>
      </c>
      <c r="G60" s="153">
        <f>G8*'OAT Balance Sheet'!K90</f>
        <v>1369.5536251679125</v>
      </c>
      <c r="H60" s="153">
        <f>H8*'OAT Balance Sheet'!L90</f>
        <v>1451.7268426779874</v>
      </c>
      <c r="I60" s="153">
        <f>I8*'OAT Balance Sheet'!M90</f>
        <v>1538.8304532386667</v>
      </c>
      <c r="J60" s="153">
        <f>J8*'OAT Balance Sheet'!N90</f>
        <v>1631.1602804329868</v>
      </c>
      <c r="K60" s="153">
        <f>K8*'OAT Balance Sheet'!O90</f>
        <v>1729.0298972589662</v>
      </c>
      <c r="L60" s="153">
        <f>L8*'OAT Balance Sheet'!P90</f>
        <v>1832.7716910945041</v>
      </c>
      <c r="M60" s="153">
        <f>M8*'OAT Balance Sheet'!Q90</f>
        <v>1942.7379925601747</v>
      </c>
      <c r="N60" s="153">
        <f>N8*'OAT Balance Sheet'!R90</f>
        <v>2059.3022721137854</v>
      </c>
    </row>
    <row r="61" spans="1:14" ht="12.75" x14ac:dyDescent="0.2">
      <c r="A61" s="2" t="s">
        <v>184</v>
      </c>
      <c r="B61" s="153">
        <f>'OAT Balance Sheet'!C26</f>
        <v>236.9</v>
      </c>
      <c r="C61" s="153">
        <f>'OAT Balance Sheet'!B26</f>
        <v>229.2</v>
      </c>
      <c r="D61" s="51">
        <f>B61-C61</f>
        <v>7.7000000000000171</v>
      </c>
      <c r="E61" s="153">
        <f>C61-$D61</f>
        <v>221.49999999999997</v>
      </c>
      <c r="F61" s="153">
        <f>E61-$D61</f>
        <v>213.79999999999995</v>
      </c>
      <c r="G61" s="153">
        <f t="shared" ref="G61:N61" si="22">F61-$D61</f>
        <v>206.09999999999994</v>
      </c>
      <c r="H61" s="153">
        <f t="shared" si="22"/>
        <v>198.39999999999992</v>
      </c>
      <c r="I61" s="153">
        <f t="shared" si="22"/>
        <v>190.6999999999999</v>
      </c>
      <c r="J61" s="153">
        <f t="shared" si="22"/>
        <v>182.99999999999989</v>
      </c>
      <c r="K61" s="153">
        <f t="shared" si="22"/>
        <v>175.29999999999987</v>
      </c>
      <c r="L61" s="153">
        <f t="shared" si="22"/>
        <v>167.59999999999985</v>
      </c>
      <c r="M61" s="153">
        <f t="shared" si="22"/>
        <v>159.89999999999984</v>
      </c>
      <c r="N61" s="153">
        <f t="shared" si="22"/>
        <v>152.19999999999982</v>
      </c>
    </row>
    <row r="62" spans="1:14" ht="12.75" x14ac:dyDescent="0.2">
      <c r="A62" s="7" t="s">
        <v>185</v>
      </c>
      <c r="B62" s="154">
        <f>'OAT Balance Sheet'!C27</f>
        <v>55.9</v>
      </c>
      <c r="C62" s="154">
        <f>'OAT Balance Sheet'!B27</f>
        <v>55.9</v>
      </c>
      <c r="D62" s="44"/>
      <c r="E62" s="154">
        <f>E8*'OAT Balance Sheet'!I92</f>
        <v>66.145430702047094</v>
      </c>
      <c r="F62" s="154">
        <f>F8*'OAT Balance Sheet'!J92</f>
        <v>70.114156544169916</v>
      </c>
      <c r="G62" s="154">
        <f>G8*'OAT Balance Sheet'!K92</f>
        <v>74.321005936820114</v>
      </c>
      <c r="H62" s="154">
        <f>H8*'OAT Balance Sheet'!L92</f>
        <v>78.780266293029328</v>
      </c>
      <c r="I62" s="154">
        <f>I8*'OAT Balance Sheet'!M92</f>
        <v>83.507082270611093</v>
      </c>
      <c r="J62" s="154">
        <f>J8*'OAT Balance Sheet'!N92</f>
        <v>88.517507206847753</v>
      </c>
      <c r="K62" s="154">
        <f>K8*'OAT Balance Sheet'!O92</f>
        <v>93.828557639258634</v>
      </c>
      <c r="L62" s="154">
        <f>L8*'OAT Balance Sheet'!P92</f>
        <v>99.458271097614158</v>
      </c>
      <c r="M62" s="154">
        <f>M8*'OAT Balance Sheet'!Q92</f>
        <v>105.42576736347101</v>
      </c>
      <c r="N62" s="154">
        <f>N8*'OAT Balance Sheet'!R92</f>
        <v>111.75131340527928</v>
      </c>
    </row>
    <row r="63" spans="1:14" ht="12.75" x14ac:dyDescent="0.2">
      <c r="A63" s="175" t="s">
        <v>186</v>
      </c>
      <c r="B63" s="176">
        <f>SUM(B59:B62)</f>
        <v>2396.2000000000003</v>
      </c>
      <c r="C63" s="176">
        <f>SUM(C59:C62)</f>
        <v>2418.7999999999997</v>
      </c>
      <c r="D63" s="177"/>
      <c r="E63" s="176">
        <f>SUM(E59:E62)</f>
        <v>2574.1736780118772</v>
      </c>
      <c r="F63" s="176">
        <f t="shared" ref="F63:N63" si="23">SUM(F59:F62)</f>
        <v>2707.6340986925902</v>
      </c>
      <c r="G63" s="176">
        <f t="shared" si="23"/>
        <v>2849.5641446141453</v>
      </c>
      <c r="H63" s="176">
        <f t="shared" si="23"/>
        <v>3000.4719932909948</v>
      </c>
      <c r="I63" s="176">
        <f t="shared" si="23"/>
        <v>3160.8963128884538</v>
      </c>
      <c r="J63" s="176">
        <f t="shared" si="23"/>
        <v>3331.4080916617613</v>
      </c>
      <c r="K63" s="176">
        <f t="shared" si="23"/>
        <v>3512.612577161467</v>
      </c>
      <c r="L63" s="176">
        <f t="shared" si="23"/>
        <v>3705.1513317911554</v>
      </c>
      <c r="M63" s="176">
        <f t="shared" si="23"/>
        <v>3909.7044116986253</v>
      </c>
      <c r="N63" s="176">
        <f t="shared" si="23"/>
        <v>4126.9926764005431</v>
      </c>
    </row>
    <row r="64" spans="1:14" ht="12.75" x14ac:dyDescent="0.2">
      <c r="A64" s="2"/>
      <c r="B64" s="153"/>
      <c r="C64" s="153"/>
      <c r="D64" s="2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2.75" x14ac:dyDescent="0.2">
      <c r="A65" s="2" t="s">
        <v>187</v>
      </c>
      <c r="B65" s="153">
        <f>'OAT Balance Sheet'!C35</f>
        <v>213.6</v>
      </c>
      <c r="C65" s="153">
        <f>'OAT Balance Sheet'!B35</f>
        <v>212.3</v>
      </c>
      <c r="D65" s="43"/>
      <c r="E65" s="153">
        <f>E8*'OAT Balance Sheet'!I100</f>
        <v>214.44973553572007</v>
      </c>
      <c r="F65" s="153">
        <f>F8*'OAT Balance Sheet'!J100</f>
        <v>227.31671966786328</v>
      </c>
      <c r="G65" s="153">
        <f>G8*'OAT Balance Sheet'!K100</f>
        <v>240.95572284793508</v>
      </c>
      <c r="H65" s="153">
        <f>H8*'OAT Balance Sheet'!L100</f>
        <v>255.4130662188112</v>
      </c>
      <c r="I65" s="153">
        <f>I8*'OAT Balance Sheet'!M100</f>
        <v>270.73785019193991</v>
      </c>
      <c r="J65" s="153">
        <f>J8*'OAT Balance Sheet'!N100</f>
        <v>286.9821212034563</v>
      </c>
      <c r="K65" s="153">
        <f>K8*'OAT Balance Sheet'!O100</f>
        <v>304.2010484756637</v>
      </c>
      <c r="L65" s="153">
        <f>L8*'OAT Balance Sheet'!P100</f>
        <v>322.45311138420351</v>
      </c>
      <c r="M65" s="153">
        <f>M8*'OAT Balance Sheet'!Q100</f>
        <v>341.80029806725577</v>
      </c>
      <c r="N65" s="153">
        <f>N8*'OAT Balance Sheet'!R100</f>
        <v>362.30831595129115</v>
      </c>
    </row>
    <row r="66" spans="1:14" ht="12.75" x14ac:dyDescent="0.2">
      <c r="A66" s="7" t="s">
        <v>312</v>
      </c>
      <c r="B66" s="154">
        <f>'OAT Balance Sheet'!C39+'OAT Balance Sheet'!C37+'OAT Balance Sheet'!C36+'OAT Balance Sheet'!C38</f>
        <v>570.20000000000005</v>
      </c>
      <c r="C66" s="154">
        <f>'OAT Balance Sheet'!B39+'OAT Balance Sheet'!B37+'OAT Balance Sheet'!B36+'OAT Balance Sheet'!B38</f>
        <v>518.5</v>
      </c>
      <c r="D66" s="44"/>
      <c r="E66" s="154">
        <f>E8*('OAT Balance Sheet'!$G101+'OAT Balance Sheet'!$G102+'OAT Balance Sheet'!$G103+'OAT Balance Sheet'!$G104)</f>
        <v>637.4221076830853</v>
      </c>
      <c r="F66" s="154">
        <f>F8*('OAT Balance Sheet'!$G101+'OAT Balance Sheet'!$G102+'OAT Balance Sheet'!$G103+'OAT Balance Sheet'!$G104)</f>
        <v>675.66743414407051</v>
      </c>
      <c r="G66" s="154">
        <f>G8*('OAT Balance Sheet'!$G101+'OAT Balance Sheet'!$G102+'OAT Balance Sheet'!$G103+'OAT Balance Sheet'!$G104)</f>
        <v>716.20748019271468</v>
      </c>
      <c r="H66" s="154">
        <f>H8*('OAT Balance Sheet'!$G101+'OAT Balance Sheet'!$G102+'OAT Balance Sheet'!$G103+'OAT Balance Sheet'!$G104)</f>
        <v>759.1799290042776</v>
      </c>
      <c r="I66" s="154">
        <f>I8*('OAT Balance Sheet'!$G101+'OAT Balance Sheet'!$G102+'OAT Balance Sheet'!$G103+'OAT Balance Sheet'!$G104)</f>
        <v>804.73072474453431</v>
      </c>
      <c r="J66" s="154">
        <f>J8*('OAT Balance Sheet'!$G101+'OAT Balance Sheet'!$G102+'OAT Balance Sheet'!$G103+'OAT Balance Sheet'!$G104)</f>
        <v>853.01456822920647</v>
      </c>
      <c r="K66" s="154">
        <f>K8*('OAT Balance Sheet'!$G101+'OAT Balance Sheet'!$G102+'OAT Balance Sheet'!$G103+'OAT Balance Sheet'!$G104)</f>
        <v>904.19544232295891</v>
      </c>
      <c r="L66" s="154">
        <f>L8*('OAT Balance Sheet'!$G101+'OAT Balance Sheet'!$G102+'OAT Balance Sheet'!$G103+'OAT Balance Sheet'!$G104)</f>
        <v>958.44716886233653</v>
      </c>
      <c r="M66" s="154">
        <f>M8*('OAT Balance Sheet'!$G101+'OAT Balance Sheet'!$G102+'OAT Balance Sheet'!$G103+'OAT Balance Sheet'!$G104)</f>
        <v>1015.9539989940768</v>
      </c>
      <c r="N66" s="154">
        <f>N8*('OAT Balance Sheet'!$G101+'OAT Balance Sheet'!$G102+'OAT Balance Sheet'!$G103+'OAT Balance Sheet'!$G104)</f>
        <v>1076.9112389337215</v>
      </c>
    </row>
    <row r="67" spans="1:14" ht="12.75" x14ac:dyDescent="0.2">
      <c r="A67" s="2" t="s">
        <v>188</v>
      </c>
      <c r="B67" s="153">
        <f>SUM(B65:B66)</f>
        <v>783.80000000000007</v>
      </c>
      <c r="C67" s="153">
        <f>SUM(C65:C66)</f>
        <v>730.8</v>
      </c>
      <c r="D67" s="16"/>
      <c r="E67" s="153">
        <f>SUM(E65:E66)</f>
        <v>851.87184321880534</v>
      </c>
      <c r="F67" s="153">
        <f t="shared" ref="F67:N67" si="24">SUM(F65:F66)</f>
        <v>902.98415381193377</v>
      </c>
      <c r="G67" s="153">
        <f t="shared" si="24"/>
        <v>957.16320304064971</v>
      </c>
      <c r="H67" s="153">
        <f t="shared" si="24"/>
        <v>1014.5929952230888</v>
      </c>
      <c r="I67" s="153">
        <f t="shared" si="24"/>
        <v>1075.4685749364742</v>
      </c>
      <c r="J67" s="153">
        <f t="shared" si="24"/>
        <v>1139.9966894326628</v>
      </c>
      <c r="K67" s="153">
        <f t="shared" si="24"/>
        <v>1208.3964907986226</v>
      </c>
      <c r="L67" s="153">
        <f t="shared" si="24"/>
        <v>1280.90028024654</v>
      </c>
      <c r="M67" s="153">
        <f t="shared" si="24"/>
        <v>1357.7542970613326</v>
      </c>
      <c r="N67" s="153">
        <f t="shared" si="24"/>
        <v>1439.2195548850127</v>
      </c>
    </row>
    <row r="68" spans="1:14" ht="12.75" x14ac:dyDescent="0.2">
      <c r="A68" s="19"/>
      <c r="B68" s="153"/>
      <c r="C68" s="153"/>
      <c r="D68" s="16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 ht="12.75" x14ac:dyDescent="0.2">
      <c r="A69" s="19" t="s">
        <v>189</v>
      </c>
      <c r="B69" s="153">
        <f>'OAT Balance Sheet'!C43</f>
        <v>523.1</v>
      </c>
      <c r="C69" s="153">
        <f>'OAT Balance Sheet'!B43</f>
        <v>518</v>
      </c>
      <c r="D69" s="16"/>
      <c r="E69" s="153">
        <f>E8*'OAT Balance Sheet'!I108</f>
        <v>584.07271500262266</v>
      </c>
      <c r="F69" s="153">
        <f>F8*'OAT Balance Sheet'!J108</f>
        <v>619.11707790278001</v>
      </c>
      <c r="G69" s="153">
        <f>G8*'OAT Balance Sheet'!K108</f>
        <v>656.26410257694681</v>
      </c>
      <c r="H69" s="153">
        <f>H8*'OAT Balance Sheet'!L108</f>
        <v>695.63994873156366</v>
      </c>
      <c r="I69" s="153">
        <f>I8*'OAT Balance Sheet'!M108</f>
        <v>737.37834565545745</v>
      </c>
      <c r="J69" s="153">
        <f>J8*'OAT Balance Sheet'!N108</f>
        <v>781.62104639478491</v>
      </c>
      <c r="K69" s="153">
        <f>K8*'OAT Balance Sheet'!O108</f>
        <v>828.51830917847212</v>
      </c>
      <c r="L69" s="153">
        <f>L8*'OAT Balance Sheet'!P108</f>
        <v>878.22940772918048</v>
      </c>
      <c r="M69" s="153">
        <f>M8*'OAT Balance Sheet'!Q108</f>
        <v>930.92317219293136</v>
      </c>
      <c r="N69" s="153">
        <f>N8*'OAT Balance Sheet'!R108</f>
        <v>986.77856252450738</v>
      </c>
    </row>
    <row r="70" spans="1:14" ht="12.75" x14ac:dyDescent="0.2">
      <c r="A70" s="7" t="s">
        <v>190</v>
      </c>
      <c r="B70" s="154">
        <f>'OAT Balance Sheet'!C33+'OAT Balance Sheet'!C34+'OAT Balance Sheet'!C42</f>
        <v>869.5</v>
      </c>
      <c r="C70" s="154">
        <f>'OAT Balance Sheet'!B33+'OAT Balance Sheet'!B34+'OAT Balance Sheet'!B42</f>
        <v>793.7</v>
      </c>
      <c r="D70" s="9"/>
      <c r="E70" s="154">
        <f t="shared" ref="E70:N70" si="25">($C$70/$C$63)*E63</f>
        <v>844.68399546801197</v>
      </c>
      <c r="F70" s="154">
        <f t="shared" si="25"/>
        <v>888.47742026306821</v>
      </c>
      <c r="G70" s="154">
        <f t="shared" si="25"/>
        <v>935.05005026469644</v>
      </c>
      <c r="H70" s="154">
        <f t="shared" si="25"/>
        <v>984.56863778529146</v>
      </c>
      <c r="I70" s="154">
        <f t="shared" si="25"/>
        <v>1037.2099402759907</v>
      </c>
      <c r="J70" s="154">
        <f t="shared" si="25"/>
        <v>1093.1613206350009</v>
      </c>
      <c r="K70" s="154">
        <f t="shared" si="25"/>
        <v>1152.6213835344208</v>
      </c>
      <c r="L70" s="154">
        <f t="shared" si="25"/>
        <v>1215.8006499266746</v>
      </c>
      <c r="M70" s="154">
        <f t="shared" si="25"/>
        <v>1282.9222720213327</v>
      </c>
      <c r="N70" s="154">
        <f t="shared" si="25"/>
        <v>1354.2227911605389</v>
      </c>
    </row>
    <row r="71" spans="1:14" ht="12.75" x14ac:dyDescent="0.2">
      <c r="A71" s="172" t="s">
        <v>191</v>
      </c>
      <c r="B71" s="173">
        <f>SUM(B67:B70)</f>
        <v>2176.4</v>
      </c>
      <c r="C71" s="173">
        <f>SUM(C67:C70)</f>
        <v>2042.5</v>
      </c>
      <c r="D71" s="174"/>
      <c r="E71" s="173">
        <f t="shared" ref="E71:N71" si="26">SUM(E67:E70)</f>
        <v>2280.6285536894402</v>
      </c>
      <c r="F71" s="173">
        <f t="shared" si="26"/>
        <v>2410.5786519777821</v>
      </c>
      <c r="G71" s="173">
        <f t="shared" si="26"/>
        <v>2548.4773558822931</v>
      </c>
      <c r="H71" s="173">
        <f t="shared" si="26"/>
        <v>2694.8015817399437</v>
      </c>
      <c r="I71" s="173">
        <f t="shared" si="26"/>
        <v>2850.0568608679223</v>
      </c>
      <c r="J71" s="173">
        <f t="shared" si="26"/>
        <v>3014.7790564624484</v>
      </c>
      <c r="K71" s="173">
        <f t="shared" si="26"/>
        <v>3189.5361835115154</v>
      </c>
      <c r="L71" s="173">
        <f t="shared" si="26"/>
        <v>3374.930337902395</v>
      </c>
      <c r="M71" s="173">
        <f t="shared" si="26"/>
        <v>3571.5997412755969</v>
      </c>
      <c r="N71" s="173">
        <f t="shared" si="26"/>
        <v>3780.2209085700588</v>
      </c>
    </row>
    <row r="72" spans="1:14" ht="12.75" x14ac:dyDescent="0.2">
      <c r="A72" s="2" t="s">
        <v>305</v>
      </c>
      <c r="B72" s="151">
        <v>100</v>
      </c>
      <c r="C72" s="151">
        <v>100</v>
      </c>
      <c r="D72" s="16"/>
      <c r="E72" s="151">
        <v>100</v>
      </c>
      <c r="F72" s="151">
        <v>100</v>
      </c>
      <c r="G72" s="151">
        <v>100</v>
      </c>
      <c r="H72" s="151">
        <v>100</v>
      </c>
      <c r="I72" s="151">
        <v>100</v>
      </c>
      <c r="J72" s="151">
        <v>100</v>
      </c>
      <c r="K72" s="151">
        <v>100</v>
      </c>
      <c r="L72" s="151">
        <v>100</v>
      </c>
      <c r="M72" s="151">
        <v>100</v>
      </c>
      <c r="N72" s="151">
        <v>100</v>
      </c>
    </row>
    <row r="73" spans="1:14" ht="12.75" x14ac:dyDescent="0.2">
      <c r="A73" s="2" t="s">
        <v>308</v>
      </c>
      <c r="B73" s="151">
        <f>'OAT Balance Sheet'!C50</f>
        <v>-39</v>
      </c>
      <c r="C73" s="151">
        <f>'OAT Balance Sheet'!B50</f>
        <v>-51.2</v>
      </c>
      <c r="D73" s="16"/>
      <c r="E73" s="151">
        <f>C73</f>
        <v>-51.2</v>
      </c>
      <c r="F73" s="151">
        <f>E73</f>
        <v>-51.2</v>
      </c>
      <c r="G73" s="151">
        <f t="shared" ref="G73:N73" si="27">F73</f>
        <v>-51.2</v>
      </c>
      <c r="H73" s="151">
        <f t="shared" si="27"/>
        <v>-51.2</v>
      </c>
      <c r="I73" s="151">
        <f t="shared" si="27"/>
        <v>-51.2</v>
      </c>
      <c r="J73" s="151">
        <f t="shared" si="27"/>
        <v>-51.2</v>
      </c>
      <c r="K73" s="151">
        <f t="shared" si="27"/>
        <v>-51.2</v>
      </c>
      <c r="L73" s="151">
        <f t="shared" si="27"/>
        <v>-51.2</v>
      </c>
      <c r="M73" s="151">
        <f t="shared" si="27"/>
        <v>-51.2</v>
      </c>
      <c r="N73" s="151">
        <f t="shared" si="27"/>
        <v>-51.2</v>
      </c>
    </row>
    <row r="74" spans="1:14" ht="12.75" x14ac:dyDescent="0.2">
      <c r="A74" s="2" t="s">
        <v>306</v>
      </c>
      <c r="B74" s="151">
        <f>'OAT Balance Sheet'!C48</f>
        <v>-38.5</v>
      </c>
      <c r="C74" s="151">
        <f>'OAT Balance Sheet'!B48</f>
        <v>-27.2</v>
      </c>
      <c r="D74" s="16"/>
      <c r="E74" s="151">
        <v>-27</v>
      </c>
      <c r="F74" s="151">
        <v>-27</v>
      </c>
      <c r="G74" s="151">
        <v>-27</v>
      </c>
      <c r="H74" s="151">
        <v>-27</v>
      </c>
      <c r="I74" s="151">
        <v>-27</v>
      </c>
      <c r="J74" s="151">
        <v>-27</v>
      </c>
      <c r="K74" s="151">
        <v>-27</v>
      </c>
      <c r="L74" s="151">
        <v>-27</v>
      </c>
      <c r="M74" s="151">
        <v>-27</v>
      </c>
      <c r="N74" s="151">
        <v>-27</v>
      </c>
    </row>
    <row r="75" spans="1:14" ht="12.75" x14ac:dyDescent="0.2">
      <c r="A75" s="7" t="s">
        <v>192</v>
      </c>
      <c r="B75" s="152">
        <f>SUM('OAT Balance Sheet'!C53:C58)</f>
        <v>197.30000000000018</v>
      </c>
      <c r="C75" s="152">
        <f>SUM('OAT Balance Sheet'!B53:B58)</f>
        <v>354.69999999999982</v>
      </c>
      <c r="D75" s="9"/>
      <c r="E75" s="154">
        <f>E76-E72-E73-E74-E71</f>
        <v>271.74512432243682</v>
      </c>
      <c r="F75" s="154">
        <f t="shared" ref="F75:N75" si="28">F76-F72-F73-F74-F71</f>
        <v>275.25544671480793</v>
      </c>
      <c r="G75" s="154">
        <f t="shared" si="28"/>
        <v>279.28678873185208</v>
      </c>
      <c r="H75" s="154">
        <f t="shared" si="28"/>
        <v>283.87041155105089</v>
      </c>
      <c r="I75" s="154">
        <f t="shared" si="28"/>
        <v>289.03945202053137</v>
      </c>
      <c r="J75" s="154">
        <f t="shared" si="28"/>
        <v>294.82903519931278</v>
      </c>
      <c r="K75" s="154">
        <f t="shared" si="28"/>
        <v>301.27639364995139</v>
      </c>
      <c r="L75" s="154">
        <f t="shared" si="28"/>
        <v>308.42099388876022</v>
      </c>
      <c r="M75" s="154">
        <f t="shared" si="28"/>
        <v>316.30467042302826</v>
      </c>
      <c r="N75" s="154">
        <f t="shared" si="28"/>
        <v>324.97176783048417</v>
      </c>
    </row>
    <row r="76" spans="1:14" ht="12.75" x14ac:dyDescent="0.2">
      <c r="A76" s="172" t="s">
        <v>193</v>
      </c>
      <c r="B76" s="173">
        <f>SUM(B71:B75)</f>
        <v>2396.2000000000003</v>
      </c>
      <c r="C76" s="173">
        <f>SUM(C71:C75)</f>
        <v>2418.8000000000002</v>
      </c>
      <c r="D76" s="174"/>
      <c r="E76" s="178">
        <f>E63</f>
        <v>2574.1736780118772</v>
      </c>
      <c r="F76" s="178">
        <f t="shared" ref="F76:N76" si="29">F63</f>
        <v>2707.6340986925902</v>
      </c>
      <c r="G76" s="178">
        <f t="shared" si="29"/>
        <v>2849.5641446141453</v>
      </c>
      <c r="H76" s="178">
        <f t="shared" si="29"/>
        <v>3000.4719932909948</v>
      </c>
      <c r="I76" s="178">
        <f t="shared" si="29"/>
        <v>3160.8963128884538</v>
      </c>
      <c r="J76" s="178">
        <f t="shared" si="29"/>
        <v>3331.4080916617613</v>
      </c>
      <c r="K76" s="178">
        <f t="shared" si="29"/>
        <v>3512.612577161467</v>
      </c>
      <c r="L76" s="178">
        <f t="shared" si="29"/>
        <v>3705.1513317911554</v>
      </c>
      <c r="M76" s="178">
        <f t="shared" si="29"/>
        <v>3909.7044116986253</v>
      </c>
      <c r="N76" s="178">
        <f t="shared" si="29"/>
        <v>4126.9926764005431</v>
      </c>
    </row>
    <row r="77" spans="1:14" ht="12.75" x14ac:dyDescent="0.2">
      <c r="A77" s="19" t="s">
        <v>307</v>
      </c>
      <c r="B77" s="165">
        <f>B63-B76</f>
        <v>0</v>
      </c>
      <c r="C77" s="165">
        <f>C63-C76</f>
        <v>0</v>
      </c>
      <c r="D77" s="39"/>
      <c r="E77" s="166">
        <f t="shared" ref="E77:N77" si="30">E63-E76</f>
        <v>0</v>
      </c>
      <c r="F77" s="166">
        <f t="shared" si="30"/>
        <v>0</v>
      </c>
      <c r="G77" s="166">
        <f t="shared" si="30"/>
        <v>0</v>
      </c>
      <c r="H77" s="166">
        <f t="shared" si="30"/>
        <v>0</v>
      </c>
      <c r="I77" s="166">
        <f t="shared" si="30"/>
        <v>0</v>
      </c>
      <c r="J77" s="166">
        <f t="shared" si="30"/>
        <v>0</v>
      </c>
      <c r="K77" s="166">
        <f t="shared" si="30"/>
        <v>0</v>
      </c>
      <c r="L77" s="166">
        <f t="shared" si="30"/>
        <v>0</v>
      </c>
      <c r="M77" s="166">
        <f t="shared" si="30"/>
        <v>0</v>
      </c>
      <c r="N77" s="166">
        <f t="shared" si="30"/>
        <v>0</v>
      </c>
    </row>
    <row r="78" spans="1:14" ht="12.75" x14ac:dyDescent="0.2">
      <c r="A78" s="2"/>
      <c r="B78" s="168"/>
      <c r="C78" s="168"/>
      <c r="D78" s="181" t="s">
        <v>211</v>
      </c>
      <c r="E78" s="182">
        <f>E75-(C75+E91+E85)</f>
        <v>0</v>
      </c>
      <c r="F78" s="182">
        <f>F75-(E75+F91+F85)</f>
        <v>0</v>
      </c>
      <c r="G78" s="182">
        <f t="shared" ref="G78:N78" si="31">G75-(F75+G91+G85)</f>
        <v>0</v>
      </c>
      <c r="H78" s="182">
        <f t="shared" si="31"/>
        <v>0</v>
      </c>
      <c r="I78" s="182">
        <f t="shared" si="31"/>
        <v>0</v>
      </c>
      <c r="J78" s="182">
        <f t="shared" si="31"/>
        <v>0</v>
      </c>
      <c r="K78" s="182">
        <f t="shared" si="31"/>
        <v>0</v>
      </c>
      <c r="L78" s="182">
        <f t="shared" si="31"/>
        <v>0</v>
      </c>
      <c r="M78" s="182">
        <f t="shared" si="31"/>
        <v>0</v>
      </c>
      <c r="N78" s="182">
        <f t="shared" si="31"/>
        <v>0</v>
      </c>
    </row>
    <row r="79" spans="1:14" ht="12.75" x14ac:dyDescent="0.2">
      <c r="A79" s="2"/>
      <c r="B79" s="151"/>
      <c r="C79" s="151"/>
      <c r="D79" s="2"/>
      <c r="E79" s="153"/>
      <c r="F79" s="153"/>
      <c r="G79" s="153"/>
      <c r="H79" s="153"/>
      <c r="I79" s="153"/>
      <c r="J79" s="153"/>
      <c r="K79" s="153"/>
      <c r="L79" s="153"/>
      <c r="M79" s="153"/>
      <c r="N79" s="153"/>
    </row>
    <row r="80" spans="1:14" ht="12.75" x14ac:dyDescent="0.2">
      <c r="A80" s="2" t="s">
        <v>194</v>
      </c>
      <c r="B80" s="151"/>
      <c r="C80" s="151">
        <f>C37</f>
        <v>467.62691958613163</v>
      </c>
      <c r="D80" s="2"/>
      <c r="E80" s="151">
        <f>E37</f>
        <v>355.84127958608087</v>
      </c>
      <c r="F80" s="151">
        <f>F37</f>
        <v>418.76075256053048</v>
      </c>
      <c r="G80" s="151">
        <f t="shared" ref="G80:N80" si="32">G37</f>
        <v>443.53138756364933</v>
      </c>
      <c r="H80" s="151">
        <f t="shared" si="32"/>
        <v>490.62267271651763</v>
      </c>
      <c r="I80" s="151">
        <f t="shared" si="32"/>
        <v>541.79289847418249</v>
      </c>
      <c r="J80" s="151">
        <f t="shared" si="32"/>
        <v>597.36175754432031</v>
      </c>
      <c r="K80" s="151">
        <f t="shared" si="32"/>
        <v>632.87425531597512</v>
      </c>
      <c r="L80" s="151">
        <f t="shared" si="32"/>
        <v>670.52169525970953</v>
      </c>
      <c r="M80" s="151">
        <f t="shared" si="32"/>
        <v>710.43217390584937</v>
      </c>
      <c r="N80" s="151">
        <f t="shared" si="32"/>
        <v>752.74147357653681</v>
      </c>
    </row>
    <row r="81" spans="1:14" ht="12.75" x14ac:dyDescent="0.2">
      <c r="A81" s="2" t="s">
        <v>195</v>
      </c>
      <c r="B81" s="151"/>
      <c r="C81" s="151">
        <f>-C16</f>
        <v>-54</v>
      </c>
      <c r="D81" s="43" t="s">
        <v>212</v>
      </c>
      <c r="E81" s="151">
        <f>-E16</f>
        <v>-67.574719637440964</v>
      </c>
      <c r="F81" s="151">
        <f t="shared" ref="F81:N81" si="33">-F16</f>
        <v>-71.078193621045457</v>
      </c>
      <c r="G81" s="151">
        <f t="shared" si="33"/>
        <v>-74.804004021175714</v>
      </c>
      <c r="H81" s="151">
        <f t="shared" si="33"/>
        <v>-78.765491022823312</v>
      </c>
      <c r="I81" s="151">
        <f t="shared" si="33"/>
        <v>-82.976795222079261</v>
      </c>
      <c r="J81" s="151">
        <f t="shared" si="33"/>
        <v>-87.452905650800076</v>
      </c>
      <c r="K81" s="151">
        <f t="shared" si="33"/>
        <v>-92.209710682753666</v>
      </c>
      <c r="L81" s="151">
        <f t="shared" si="33"/>
        <v>-97.264051994133979</v>
      </c>
      <c r="M81" s="151">
        <f t="shared" si="33"/>
        <v>-102.63378176170662</v>
      </c>
      <c r="N81" s="151">
        <f t="shared" si="33"/>
        <v>-108.33782329284311</v>
      </c>
    </row>
    <row r="82" spans="1:14" ht="12.75" x14ac:dyDescent="0.2">
      <c r="A82" s="2" t="s">
        <v>196</v>
      </c>
      <c r="B82" s="151"/>
      <c r="C82" s="151">
        <f>C70-B70</f>
        <v>-75.799999999999955</v>
      </c>
      <c r="D82" s="43" t="s">
        <v>156</v>
      </c>
      <c r="E82" s="151">
        <f>E70-C70</f>
        <v>50.983995468011926</v>
      </c>
      <c r="F82" s="151">
        <f>F70-E70</f>
        <v>43.793424795056239</v>
      </c>
      <c r="G82" s="151">
        <f t="shared" ref="G82:N82" si="34">G70-F70</f>
        <v>46.572630001628227</v>
      </c>
      <c r="H82" s="151">
        <f t="shared" si="34"/>
        <v>49.51858752059502</v>
      </c>
      <c r="I82" s="151">
        <f t="shared" si="34"/>
        <v>52.641302490699218</v>
      </c>
      <c r="J82" s="151">
        <f t="shared" si="34"/>
        <v>55.951380359010273</v>
      </c>
      <c r="K82" s="151">
        <f t="shared" si="34"/>
        <v>59.460062899419881</v>
      </c>
      <c r="L82" s="151">
        <f t="shared" si="34"/>
        <v>63.179266392253794</v>
      </c>
      <c r="M82" s="151">
        <f t="shared" si="34"/>
        <v>67.121622094658051</v>
      </c>
      <c r="N82" s="151">
        <f t="shared" si="34"/>
        <v>71.300519139206244</v>
      </c>
    </row>
    <row r="83" spans="1:14" ht="12.75" x14ac:dyDescent="0.2">
      <c r="A83" s="2" t="s">
        <v>321</v>
      </c>
      <c r="B83" s="151"/>
      <c r="C83" s="151">
        <f>C72+C73-(B72+B73)</f>
        <v>-12.200000000000003</v>
      </c>
      <c r="D83" s="43"/>
      <c r="E83" s="151">
        <f>E72+E73-(C72+C73)</f>
        <v>0</v>
      </c>
      <c r="F83" s="151">
        <f>F72+F73-(E72+E73)</f>
        <v>0</v>
      </c>
      <c r="G83" s="151">
        <f t="shared" ref="G83:N83" si="35">G72+G73-(F72+F73)</f>
        <v>0</v>
      </c>
      <c r="H83" s="151">
        <f t="shared" si="35"/>
        <v>0</v>
      </c>
      <c r="I83" s="151">
        <f t="shared" si="35"/>
        <v>0</v>
      </c>
      <c r="J83" s="151">
        <f t="shared" si="35"/>
        <v>0</v>
      </c>
      <c r="K83" s="151">
        <f t="shared" si="35"/>
        <v>0</v>
      </c>
      <c r="L83" s="151">
        <f t="shared" si="35"/>
        <v>0</v>
      </c>
      <c r="M83" s="151">
        <f t="shared" si="35"/>
        <v>0</v>
      </c>
      <c r="N83" s="151">
        <f t="shared" si="35"/>
        <v>0</v>
      </c>
    </row>
    <row r="84" spans="1:14" ht="12.75" x14ac:dyDescent="0.2">
      <c r="A84" s="157" t="s">
        <v>197</v>
      </c>
      <c r="B84" s="198"/>
      <c r="C84" s="198">
        <f>SUM(C80:C83)</f>
        <v>325.62691958613169</v>
      </c>
      <c r="D84" s="199"/>
      <c r="E84" s="198">
        <f>SUM(E80:E83)</f>
        <v>339.25055541665182</v>
      </c>
      <c r="F84" s="198">
        <f>SUM(F80:F83)</f>
        <v>391.47598373454127</v>
      </c>
      <c r="G84" s="198">
        <f t="shared" ref="G84:N84" si="36">SUM(G80:G83)</f>
        <v>415.30001354410183</v>
      </c>
      <c r="H84" s="198">
        <f t="shared" si="36"/>
        <v>461.37576921428933</v>
      </c>
      <c r="I84" s="198">
        <f t="shared" si="36"/>
        <v>511.45740574280245</v>
      </c>
      <c r="J84" s="198">
        <f t="shared" si="36"/>
        <v>565.86023225253052</v>
      </c>
      <c r="K84" s="198">
        <f t="shared" si="36"/>
        <v>600.12460753264133</v>
      </c>
      <c r="L84" s="198">
        <f t="shared" si="36"/>
        <v>636.43690965782935</v>
      </c>
      <c r="M84" s="198">
        <f t="shared" si="36"/>
        <v>674.92001423880083</v>
      </c>
      <c r="N84" s="198">
        <f t="shared" si="36"/>
        <v>715.70416942289989</v>
      </c>
    </row>
    <row r="85" spans="1:14" ht="12.75" x14ac:dyDescent="0.2">
      <c r="A85" s="2" t="s">
        <v>198</v>
      </c>
      <c r="B85" s="151"/>
      <c r="C85" s="151">
        <f>C75-B75-C91</f>
        <v>-203.00000000000023</v>
      </c>
      <c r="D85" s="43" t="s">
        <v>156</v>
      </c>
      <c r="E85" s="151">
        <f>E75-C75-E91</f>
        <v>-490.53371137169324</v>
      </c>
      <c r="F85" s="151">
        <f>F75-E75-F91</f>
        <v>-441.72987374474803</v>
      </c>
      <c r="G85" s="151">
        <f t="shared" ref="G85:N85" si="37">G75-F75-G91</f>
        <v>-488.22079897243572</v>
      </c>
      <c r="H85" s="151">
        <f t="shared" si="37"/>
        <v>-538.67180176832244</v>
      </c>
      <c r="I85" s="151">
        <f t="shared" si="37"/>
        <v>-593.39120025007901</v>
      </c>
      <c r="J85" s="151">
        <f t="shared" si="37"/>
        <v>-652.71005443024228</v>
      </c>
      <c r="K85" s="151">
        <f t="shared" si="37"/>
        <v>-692.18541904101698</v>
      </c>
      <c r="L85" s="151">
        <f t="shared" si="37"/>
        <v>-734.02136985670677</v>
      </c>
      <c r="M85" s="151">
        <f t="shared" si="37"/>
        <v>-778.35954204961104</v>
      </c>
      <c r="N85" s="151">
        <f t="shared" si="37"/>
        <v>-825.35006890235854</v>
      </c>
    </row>
    <row r="86" spans="1:14" ht="12.75" x14ac:dyDescent="0.2">
      <c r="A86" s="2" t="s">
        <v>199</v>
      </c>
      <c r="B86" s="151"/>
      <c r="C86" s="151">
        <f>C84+C85+C89</f>
        <v>122.62691958613146</v>
      </c>
      <c r="D86" s="43"/>
      <c r="E86" s="151">
        <f>E84+E85</f>
        <v>-151.28315595504142</v>
      </c>
      <c r="F86" s="151">
        <f t="shared" ref="F86:N86" si="38">F84+F85</f>
        <v>-50.25389001020676</v>
      </c>
      <c r="G86" s="151">
        <f t="shared" si="38"/>
        <v>-72.920785428333886</v>
      </c>
      <c r="H86" s="151">
        <f t="shared" si="38"/>
        <v>-77.296032554033104</v>
      </c>
      <c r="I86" s="151">
        <f t="shared" si="38"/>
        <v>-81.933794507276559</v>
      </c>
      <c r="J86" s="151">
        <f t="shared" si="38"/>
        <v>-86.849822177711758</v>
      </c>
      <c r="K86" s="151">
        <f t="shared" si="38"/>
        <v>-92.06081150837565</v>
      </c>
      <c r="L86" s="151">
        <f t="shared" si="38"/>
        <v>-97.584460198877423</v>
      </c>
      <c r="M86" s="151">
        <f t="shared" si="38"/>
        <v>-103.4395278108102</v>
      </c>
      <c r="N86" s="151">
        <f t="shared" si="38"/>
        <v>-109.64589947945865</v>
      </c>
    </row>
    <row r="87" spans="1:14" ht="12.75" x14ac:dyDescent="0.2">
      <c r="A87" s="2" t="s">
        <v>200</v>
      </c>
      <c r="B87" s="151"/>
      <c r="C87" s="151">
        <f>C54-B54</f>
        <v>-108.59999999999997</v>
      </c>
      <c r="D87" s="43" t="s">
        <v>156</v>
      </c>
      <c r="E87" s="151">
        <f>E54-C54</f>
        <v>10.475999999999999</v>
      </c>
      <c r="F87" s="151">
        <f>F54-E54</f>
        <v>11.104559999999992</v>
      </c>
      <c r="G87" s="151">
        <f t="shared" ref="G87:N87" si="39">G54-F54</f>
        <v>11.770833600000003</v>
      </c>
      <c r="H87" s="151">
        <f t="shared" si="39"/>
        <v>12.477083616000016</v>
      </c>
      <c r="I87" s="151">
        <f t="shared" si="39"/>
        <v>13.225708632960021</v>
      </c>
      <c r="J87" s="151">
        <f t="shared" si="39"/>
        <v>14.019251150937606</v>
      </c>
      <c r="K87" s="151">
        <f t="shared" si="39"/>
        <v>14.860406219993877</v>
      </c>
      <c r="L87" s="151">
        <f t="shared" si="39"/>
        <v>15.752030593193524</v>
      </c>
      <c r="M87" s="151">
        <f t="shared" si="39"/>
        <v>16.697152428785103</v>
      </c>
      <c r="N87" s="151">
        <f t="shared" si="39"/>
        <v>17.698981574512231</v>
      </c>
    </row>
    <row r="88" spans="1:14" ht="12.75" x14ac:dyDescent="0.2">
      <c r="A88" s="2"/>
      <c r="B88" s="151"/>
      <c r="C88" s="179">
        <f>C86-C87</f>
        <v>231.22691958613143</v>
      </c>
      <c r="D88" s="180" t="s">
        <v>211</v>
      </c>
      <c r="E88" s="179">
        <f>E86-E87</f>
        <v>-161.75915595504142</v>
      </c>
      <c r="F88" s="179">
        <f>F86-F87</f>
        <v>-61.358450010206752</v>
      </c>
      <c r="G88" s="179">
        <f t="shared" ref="G88:N88" si="40">G86-G87</f>
        <v>-84.691619028333889</v>
      </c>
      <c r="H88" s="179">
        <f t="shared" si="40"/>
        <v>-89.77311617003312</v>
      </c>
      <c r="I88" s="179">
        <f t="shared" si="40"/>
        <v>-95.159503140236581</v>
      </c>
      <c r="J88" s="179">
        <f t="shared" si="40"/>
        <v>-100.86907332864936</v>
      </c>
      <c r="K88" s="179">
        <f t="shared" si="40"/>
        <v>-106.92121772836953</v>
      </c>
      <c r="L88" s="179">
        <f t="shared" si="40"/>
        <v>-113.33649079207095</v>
      </c>
      <c r="M88" s="179">
        <f t="shared" si="40"/>
        <v>-120.13668023959531</v>
      </c>
      <c r="N88" s="179">
        <f t="shared" si="40"/>
        <v>-127.34488105397088</v>
      </c>
    </row>
    <row r="89" spans="1:14" ht="12.75" x14ac:dyDescent="0.2">
      <c r="A89" s="2"/>
      <c r="B89" s="151"/>
      <c r="C89" s="151"/>
      <c r="D89" s="52"/>
      <c r="E89" s="153"/>
      <c r="F89" s="153"/>
      <c r="G89" s="153"/>
      <c r="H89" s="153"/>
      <c r="I89" s="153"/>
      <c r="J89" s="153"/>
      <c r="K89" s="153"/>
      <c r="L89" s="153"/>
      <c r="M89" s="153"/>
      <c r="N89" s="153"/>
    </row>
    <row r="90" spans="1:14" ht="12.75" x14ac:dyDescent="0.2">
      <c r="A90" s="2"/>
      <c r="B90" s="151"/>
      <c r="C90" s="151"/>
      <c r="D90" s="52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 spans="1:14" ht="12.75" x14ac:dyDescent="0.2">
      <c r="A91" s="2" t="s">
        <v>201</v>
      </c>
      <c r="B91" s="151">
        <f>B92-B22</f>
        <v>455.09999999999968</v>
      </c>
      <c r="C91" s="151">
        <f>C92-C22</f>
        <v>360.39999999999986</v>
      </c>
      <c r="D91" s="43" t="s">
        <v>213</v>
      </c>
      <c r="E91" s="151">
        <f>E92-E22</f>
        <v>407.57883569413025</v>
      </c>
      <c r="F91" s="151">
        <f t="shared" ref="F91:N91" si="41">F92-F22</f>
        <v>445.24019613711914</v>
      </c>
      <c r="G91" s="151">
        <f t="shared" si="41"/>
        <v>492.25214098947987</v>
      </c>
      <c r="H91" s="151">
        <f t="shared" si="41"/>
        <v>543.25542458752125</v>
      </c>
      <c r="I91" s="151">
        <f t="shared" si="41"/>
        <v>598.56024071955949</v>
      </c>
      <c r="J91" s="151">
        <f t="shared" si="41"/>
        <v>658.49963760902369</v>
      </c>
      <c r="K91" s="151">
        <f t="shared" si="41"/>
        <v>698.63277749165559</v>
      </c>
      <c r="L91" s="151">
        <f t="shared" si="41"/>
        <v>741.1659700955156</v>
      </c>
      <c r="M91" s="151">
        <f t="shared" si="41"/>
        <v>786.24321858387907</v>
      </c>
      <c r="N91" s="151">
        <f t="shared" si="41"/>
        <v>834.01716630981446</v>
      </c>
    </row>
    <row r="92" spans="1:14" ht="12.75" x14ac:dyDescent="0.2">
      <c r="A92" s="2" t="s">
        <v>202</v>
      </c>
      <c r="B92" s="151">
        <f>B23</f>
        <v>500.65415588615747</v>
      </c>
      <c r="C92" s="151">
        <f>C23</f>
        <v>395.72691958613166</v>
      </c>
      <c r="D92" s="43"/>
      <c r="E92" s="151">
        <f>E23</f>
        <v>445.73982938177534</v>
      </c>
      <c r="F92" s="151">
        <f t="shared" ref="F92:N92" si="42">F23</f>
        <v>506.50936175816457</v>
      </c>
      <c r="G92" s="151">
        <f t="shared" si="42"/>
        <v>556.65857533065559</v>
      </c>
      <c r="H92" s="151">
        <f t="shared" si="42"/>
        <v>610.99949174954452</v>
      </c>
      <c r="I92" s="151">
        <f t="shared" si="42"/>
        <v>669.85432664919074</v>
      </c>
      <c r="J92" s="151">
        <f t="shared" si="42"/>
        <v>733.56887140982894</v>
      </c>
      <c r="K92" s="151">
        <f t="shared" si="42"/>
        <v>777.71579601341466</v>
      </c>
      <c r="L92" s="151">
        <f t="shared" si="42"/>
        <v>824.51572839899529</v>
      </c>
      <c r="M92" s="151">
        <f t="shared" si="42"/>
        <v>874.12784903349211</v>
      </c>
      <c r="N92" s="151">
        <f t="shared" si="42"/>
        <v>926.72088921183843</v>
      </c>
    </row>
    <row r="93" spans="1:14" ht="12.75" x14ac:dyDescent="0.2">
      <c r="A93" s="25" t="s">
        <v>203</v>
      </c>
      <c r="B93" s="151"/>
      <c r="C93" s="168"/>
      <c r="D93" s="53" t="s">
        <v>214</v>
      </c>
      <c r="E93" s="167">
        <f>E91/C75</f>
        <v>1.1490804502230911</v>
      </c>
      <c r="F93" s="167">
        <f>F91/E75</f>
        <v>1.6384477817118928</v>
      </c>
      <c r="G93" s="167">
        <f t="shared" ref="G93:N93" si="43">G91/F75</f>
        <v>1.7883465953700168</v>
      </c>
      <c r="H93" s="167">
        <f t="shared" si="43"/>
        <v>1.9451526047983239</v>
      </c>
      <c r="I93" s="167">
        <f t="shared" si="43"/>
        <v>2.1085686156900336</v>
      </c>
      <c r="J93" s="167">
        <f t="shared" si="43"/>
        <v>2.2782344520991149</v>
      </c>
      <c r="K93" s="167">
        <f t="shared" si="43"/>
        <v>2.3696199969564056</v>
      </c>
      <c r="L93" s="167">
        <f t="shared" si="43"/>
        <v>2.4600864379592431</v>
      </c>
      <c r="M93" s="167">
        <f t="shared" si="43"/>
        <v>2.5492532420392156</v>
      </c>
      <c r="N93" s="167">
        <f t="shared" si="43"/>
        <v>2.6367526132143215</v>
      </c>
    </row>
    <row r="94" spans="1:14" ht="12.75" x14ac:dyDescent="0.2">
      <c r="A94" s="2" t="s">
        <v>204</v>
      </c>
      <c r="B94" s="151"/>
      <c r="C94" s="151"/>
      <c r="D94" s="53" t="s">
        <v>215</v>
      </c>
      <c r="E94" s="14">
        <f t="shared" ref="E94:N94" si="44">E92/E8</f>
        <v>8.341782840739434E-2</v>
      </c>
      <c r="F94" s="14">
        <f t="shared" si="44"/>
        <v>8.9425020590884988E-2</v>
      </c>
      <c r="G94" s="14">
        <f t="shared" si="44"/>
        <v>9.2715983716109424E-2</v>
      </c>
      <c r="H94" s="14">
        <f t="shared" si="44"/>
        <v>9.6006511735065539E-2</v>
      </c>
      <c r="I94" s="14">
        <f t="shared" si="44"/>
        <v>9.9296591989346802E-2</v>
      </c>
      <c r="J94" s="14">
        <f t="shared" si="44"/>
        <v>0.10258621464764858</v>
      </c>
      <c r="K94" s="14">
        <f t="shared" si="44"/>
        <v>0.10260373388517738</v>
      </c>
      <c r="L94" s="14">
        <f t="shared" si="44"/>
        <v>0.10262078325003909</v>
      </c>
      <c r="M94" s="14">
        <f t="shared" si="44"/>
        <v>0.10263735980395351</v>
      </c>
      <c r="N94" s="14">
        <f t="shared" si="44"/>
        <v>0.10265346244674156</v>
      </c>
    </row>
    <row r="95" spans="1:14" ht="12.75" x14ac:dyDescent="0.2">
      <c r="A95" s="2" t="s">
        <v>205</v>
      </c>
      <c r="B95" s="151"/>
      <c r="C95" s="151"/>
      <c r="D95" s="43" t="s">
        <v>216</v>
      </c>
      <c r="E95" s="169">
        <f>E8/(AVERAGE(C63:E63))</f>
        <v>2.1403918164165776</v>
      </c>
      <c r="F95" s="169">
        <f t="shared" ref="F95:N95" si="45">F8/(AVERAGE(E63:F63))</f>
        <v>2.1447458292524386</v>
      </c>
      <c r="G95" s="169">
        <f t="shared" si="45"/>
        <v>2.1607692916952534</v>
      </c>
      <c r="H95" s="169">
        <f t="shared" si="45"/>
        <v>2.1757630911452659</v>
      </c>
      <c r="I95" s="169">
        <f t="shared" si="45"/>
        <v>2.1897717524582356</v>
      </c>
      <c r="J95" s="169">
        <f t="shared" si="45"/>
        <v>2.2028402857607223</v>
      </c>
      <c r="K95" s="169">
        <f t="shared" si="45"/>
        <v>2.2150138061692122</v>
      </c>
      <c r="L95" s="169">
        <f t="shared" si="45"/>
        <v>2.2263371994598486</v>
      </c>
      <c r="M95" s="169">
        <f t="shared" si="45"/>
        <v>2.2368548319812311</v>
      </c>
      <c r="N95" s="169">
        <f t="shared" si="45"/>
        <v>2.2466103025435151</v>
      </c>
    </row>
    <row r="96" spans="1:14" ht="12.75" x14ac:dyDescent="0.2">
      <c r="A96" s="2" t="s">
        <v>206</v>
      </c>
      <c r="B96" s="151"/>
      <c r="C96" s="151"/>
      <c r="D96" s="43" t="s">
        <v>217</v>
      </c>
      <c r="E96" s="169">
        <f>AVERAGE(C63:E63)/AVERAGE(C75:E75)</f>
        <v>7.9703288989794263</v>
      </c>
      <c r="F96" s="169">
        <f t="shared" ref="F96:N96" si="46">AVERAGE(E63:F63)/AVERAGE(E75:F75)</f>
        <v>9.6559456358315821</v>
      </c>
      <c r="G96" s="169">
        <f t="shared" si="46"/>
        <v>10.021235332653518</v>
      </c>
      <c r="H96" s="169">
        <f t="shared" si="46"/>
        <v>10.387927447196564</v>
      </c>
      <c r="I96" s="169">
        <f t="shared" si="46"/>
        <v>10.754516020668261</v>
      </c>
      <c r="J96" s="169">
        <f t="shared" si="46"/>
        <v>11.119463623502028</v>
      </c>
      <c r="K96" s="169">
        <f t="shared" si="46"/>
        <v>11.481225195407271</v>
      </c>
      <c r="L96" s="169">
        <f t="shared" si="46"/>
        <v>11.838272652093893</v>
      </c>
      <c r="M96" s="169">
        <f t="shared" si="46"/>
        <v>12.189119446338855</v>
      </c>
      <c r="N96" s="169">
        <f t="shared" si="46"/>
        <v>12.532344257005219</v>
      </c>
    </row>
    <row r="97" spans="1:14" ht="12.75" x14ac:dyDescent="0.2">
      <c r="A97" s="25" t="s">
        <v>207</v>
      </c>
      <c r="B97" s="151"/>
      <c r="C97" s="151"/>
      <c r="D97" s="43"/>
      <c r="E97" s="168">
        <f>E94*E95*E96</f>
        <v>1.4230770168859972</v>
      </c>
      <c r="F97" s="168">
        <f>F94*F95*F96</f>
        <v>1.8519518573726566</v>
      </c>
      <c r="G97" s="168">
        <f t="shared" ref="G97:N97" si="47">G94*G95*G96</f>
        <v>2.0076327455285385</v>
      </c>
      <c r="H97" s="168">
        <f t="shared" si="47"/>
        <v>2.1699074128595277</v>
      </c>
      <c r="I97" s="168">
        <f t="shared" si="47"/>
        <v>2.3384283261357948</v>
      </c>
      <c r="J97" s="168">
        <f t="shared" si="47"/>
        <v>2.5127880249293812</v>
      </c>
      <c r="K97" s="168">
        <f t="shared" si="47"/>
        <v>2.6093229766913395</v>
      </c>
      <c r="L97" s="168">
        <f t="shared" si="47"/>
        <v>2.7046720069688481</v>
      </c>
      <c r="M97" s="168">
        <f t="shared" si="47"/>
        <v>2.7984374549313591</v>
      </c>
      <c r="N97" s="168">
        <f t="shared" si="47"/>
        <v>2.8902383868514527</v>
      </c>
    </row>
    <row r="98" spans="1:14" ht="12.75" x14ac:dyDescent="0.2">
      <c r="A98" s="25" t="s">
        <v>208</v>
      </c>
      <c r="B98" s="151"/>
      <c r="C98" s="151"/>
      <c r="D98" s="53" t="s">
        <v>218</v>
      </c>
      <c r="E98" s="168">
        <f>E92/AVERAGE(C63:E63)</f>
        <v>0.17854683726642914</v>
      </c>
      <c r="F98" s="168">
        <f t="shared" ref="F98:N98" si="48">F92/AVERAGE(E63:F63)</f>
        <v>0.19179393994311403</v>
      </c>
      <c r="G98" s="168">
        <f t="shared" si="48"/>
        <v>0.20033785046308641</v>
      </c>
      <c r="H98" s="168">
        <f t="shared" si="48"/>
        <v>0.20888742474276045</v>
      </c>
      <c r="I98" s="168">
        <f t="shared" si="48"/>
        <v>0.21743687225364233</v>
      </c>
      <c r="J98" s="168">
        <f t="shared" si="48"/>
        <v>0.22598104638953703</v>
      </c>
      <c r="K98" s="168">
        <f t="shared" si="48"/>
        <v>0.2272686871201797</v>
      </c>
      <c r="L98" s="168">
        <f t="shared" si="48"/>
        <v>0.22846846718726818</v>
      </c>
      <c r="M98" s="168">
        <f t="shared" si="48"/>
        <v>0.22958487421926962</v>
      </c>
      <c r="N98" s="168">
        <f t="shared" si="48"/>
        <v>0.23062232632461341</v>
      </c>
    </row>
  </sheetData>
  <mergeCells count="3">
    <mergeCell ref="A1:N1"/>
    <mergeCell ref="A2:N2"/>
    <mergeCell ref="B13:C13"/>
  </mergeCells>
  <pageMargins left="0.75" right="0.75" top="1" bottom="1" header="0.5" footer="0.5"/>
  <pageSetup scale="85" orientation="landscape" r:id="rId1"/>
  <headerFooter alignWithMargins="0"/>
  <rowBreaks count="1" manualBreakCount="1">
    <brk id="4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15"/>
  <sheetViews>
    <sheetView topLeftCell="A9" workbookViewId="0">
      <selection activeCell="B13" sqref="B13"/>
    </sheetView>
  </sheetViews>
  <sheetFormatPr defaultRowHeight="11.25" x14ac:dyDescent="0.2"/>
  <cols>
    <col min="1" max="1" width="19.5" customWidth="1"/>
    <col min="2" max="3" width="12.5" bestFit="1" customWidth="1"/>
  </cols>
  <sheetData>
    <row r="11" spans="1:6" x14ac:dyDescent="0.2">
      <c r="A11" t="s">
        <v>313</v>
      </c>
    </row>
    <row r="12" spans="1:6" ht="12" thickBot="1" x14ac:dyDescent="0.25"/>
    <row r="13" spans="1:6" x14ac:dyDescent="0.2">
      <c r="B13" s="194" t="s">
        <v>316</v>
      </c>
      <c r="C13" s="188" t="s">
        <v>317</v>
      </c>
      <c r="D13" s="188" t="s">
        <v>318</v>
      </c>
      <c r="E13" s="191" t="s">
        <v>319</v>
      </c>
      <c r="F13" s="188" t="s">
        <v>320</v>
      </c>
    </row>
    <row r="14" spans="1:6" x14ac:dyDescent="0.2">
      <c r="A14" t="s">
        <v>315</v>
      </c>
      <c r="B14" s="190">
        <f>'OAT Inputs'!E21</f>
        <v>15719.254796779178</v>
      </c>
      <c r="C14" s="190">
        <v>15750</v>
      </c>
      <c r="D14" s="190">
        <v>14800</v>
      </c>
      <c r="E14" s="192">
        <v>13400</v>
      </c>
      <c r="F14" s="190">
        <v>15000</v>
      </c>
    </row>
    <row r="15" spans="1:6" ht="12" thickBot="1" x14ac:dyDescent="0.25">
      <c r="A15" t="s">
        <v>314</v>
      </c>
      <c r="B15" s="189">
        <f>'OAT Inputs'!E22</f>
        <v>113.12980677146111</v>
      </c>
      <c r="C15" s="189">
        <v>115.09</v>
      </c>
      <c r="D15" s="189">
        <f>D14/('OAT Inputs'!$E37/1000000)</f>
        <v>112.17815103120525</v>
      </c>
      <c r="E15" s="193">
        <v>105</v>
      </c>
      <c r="F15" s="189">
        <f>F14/('OAT Inputs'!$E37/1000000)</f>
        <v>113.69407199108639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Jan Havlíček</cp:lastModifiedBy>
  <cp:lastPrinted>2001-04-12T23:52:37Z</cp:lastPrinted>
  <dcterms:created xsi:type="dcterms:W3CDTF">2001-04-07T01:11:02Z</dcterms:created>
  <dcterms:modified xsi:type="dcterms:W3CDTF">2023-09-15T19:54:00Z</dcterms:modified>
</cp:coreProperties>
</file>