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10F2D5-2A06-4C0E-A1E4-551C3A22FAAA}" xr6:coauthVersionLast="47" xr6:coauthVersionMax="47" xr10:uidLastSave="{00000000-0000-0000-0000-000000000000}"/>
  <bookViews>
    <workbookView xWindow="-120" yWindow="-120" windowWidth="38640" windowHeight="15720" tabRatio="839" activeTab="6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Core &amp; Non-core" sheetId="7" r:id="rId7"/>
    <sheet name="PGE - Core Analysis" sheetId="13" r:id="rId8"/>
    <sheet name="Curves" sheetId="8" r:id="rId9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3" i="7"/>
  <c r="C13" i="7"/>
  <c r="D13" i="7"/>
  <c r="B14" i="7"/>
  <c r="C14" i="7"/>
  <c r="D14" i="7"/>
  <c r="B21" i="7"/>
  <c r="C21" i="7"/>
  <c r="D21" i="7"/>
  <c r="B22" i="7"/>
  <c r="C22" i="7"/>
  <c r="D22" i="7"/>
  <c r="B23" i="7"/>
  <c r="C23" i="7"/>
  <c r="D23" i="7"/>
  <c r="B25" i="7"/>
  <c r="C25" i="7"/>
  <c r="D25" i="7"/>
  <c r="B26" i="7"/>
  <c r="C26" i="7"/>
  <c r="D26" i="7"/>
  <c r="B27" i="7"/>
  <c r="C27" i="7"/>
  <c r="D27" i="7"/>
  <c r="B29" i="7"/>
  <c r="C29" i="7"/>
  <c r="D29" i="7"/>
  <c r="B30" i="7"/>
  <c r="C30" i="7"/>
  <c r="D30" i="7"/>
  <c r="B31" i="7"/>
  <c r="C31" i="7"/>
  <c r="D31" i="7"/>
  <c r="B33" i="7"/>
  <c r="C33" i="7"/>
  <c r="D33" i="7"/>
  <c r="B34" i="7"/>
  <c r="C34" i="7"/>
  <c r="D34" i="7"/>
  <c r="B35" i="7"/>
  <c r="C35" i="7"/>
  <c r="D35" i="7"/>
  <c r="B40" i="7"/>
  <c r="D40" i="7"/>
  <c r="B41" i="7"/>
  <c r="D41" i="7"/>
  <c r="B42" i="7"/>
  <c r="D42" i="7"/>
  <c r="B43" i="7"/>
  <c r="D43" i="7"/>
  <c r="B45" i="7"/>
  <c r="C45" i="7"/>
  <c r="D45" i="7"/>
  <c r="B47" i="7"/>
  <c r="C47" i="7"/>
  <c r="D47" i="7"/>
  <c r="B49" i="7"/>
  <c r="C49" i="7"/>
  <c r="D49" i="7"/>
  <c r="B51" i="7"/>
  <c r="C51" i="7"/>
  <c r="D51" i="7"/>
  <c r="D52" i="7"/>
  <c r="B56" i="7"/>
  <c r="C56" i="7"/>
  <c r="D56" i="7"/>
  <c r="F56" i="7"/>
  <c r="G56" i="7"/>
  <c r="H56" i="7"/>
  <c r="B57" i="7"/>
  <c r="C57" i="7"/>
  <c r="D57" i="7"/>
  <c r="F57" i="7"/>
  <c r="G57" i="7"/>
  <c r="H57" i="7"/>
  <c r="B58" i="7"/>
  <c r="C58" i="7"/>
  <c r="D58" i="7"/>
  <c r="F58" i="7"/>
  <c r="G58" i="7"/>
  <c r="H58" i="7"/>
  <c r="B59" i="7"/>
  <c r="C59" i="7"/>
  <c r="D59" i="7"/>
  <c r="F59" i="7"/>
  <c r="G59" i="7"/>
  <c r="H59" i="7"/>
  <c r="B60" i="7"/>
  <c r="C60" i="7"/>
  <c r="D60" i="7"/>
  <c r="F60" i="7"/>
  <c r="G60" i="7"/>
  <c r="H60" i="7"/>
  <c r="B62" i="7"/>
  <c r="C62" i="7"/>
  <c r="D62" i="7"/>
  <c r="F62" i="7"/>
  <c r="G62" i="7"/>
  <c r="H62" i="7"/>
  <c r="B64" i="7"/>
  <c r="C64" i="7"/>
  <c r="D64" i="7"/>
  <c r="F64" i="7"/>
  <c r="G64" i="7"/>
  <c r="H64" i="7"/>
  <c r="B66" i="7"/>
  <c r="C66" i="7"/>
  <c r="D66" i="7"/>
  <c r="F66" i="7"/>
  <c r="G66" i="7"/>
  <c r="H66" i="7"/>
  <c r="B68" i="7"/>
  <c r="C68" i="7"/>
  <c r="D68" i="7"/>
  <c r="B70" i="7"/>
  <c r="C70" i="7"/>
  <c r="D70" i="7"/>
  <c r="B72" i="7"/>
  <c r="C72" i="7"/>
  <c r="D72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80" i="7"/>
  <c r="C80" i="7"/>
  <c r="D80" i="7"/>
  <c r="F80" i="7"/>
  <c r="G80" i="7"/>
  <c r="H80" i="7"/>
  <c r="B82" i="7"/>
  <c r="C82" i="7"/>
  <c r="D82" i="7"/>
  <c r="F82" i="7"/>
  <c r="G82" i="7"/>
  <c r="H82" i="7"/>
  <c r="B84" i="7"/>
  <c r="C84" i="7"/>
  <c r="D84" i="7"/>
  <c r="F84" i="7"/>
  <c r="G84" i="7"/>
  <c r="H84" i="7"/>
  <c r="B86" i="7"/>
  <c r="C86" i="7"/>
  <c r="D86" i="7"/>
  <c r="B88" i="7"/>
  <c r="C88" i="7"/>
  <c r="D88" i="7"/>
  <c r="B90" i="7"/>
  <c r="C90" i="7"/>
  <c r="D90" i="7"/>
  <c r="B97" i="7"/>
  <c r="C97" i="7"/>
  <c r="D97" i="7"/>
  <c r="B98" i="7"/>
  <c r="C98" i="7"/>
  <c r="D98" i="7"/>
  <c r="B101" i="7"/>
  <c r="C101" i="7"/>
  <c r="D101" i="7"/>
  <c r="X2" i="8"/>
  <c r="V5" i="8"/>
  <c r="D6" i="8"/>
  <c r="AN6" i="8"/>
  <c r="AO6" i="8"/>
  <c r="D7" i="8"/>
  <c r="H7" i="8"/>
  <c r="L7" i="8"/>
  <c r="O7" i="8"/>
  <c r="Q7" i="8"/>
  <c r="T7" i="8"/>
  <c r="V7" i="8"/>
  <c r="W7" i="8"/>
  <c r="D8" i="8"/>
  <c r="H8" i="8"/>
  <c r="L8" i="8"/>
  <c r="M8" i="8"/>
  <c r="O8" i="8"/>
  <c r="Q8" i="8"/>
  <c r="T8" i="8"/>
  <c r="V8" i="8"/>
  <c r="W8" i="8"/>
  <c r="AI8" i="8"/>
  <c r="AJ8" i="8"/>
  <c r="AL8" i="8"/>
  <c r="AN8" i="8"/>
  <c r="D9" i="8"/>
  <c r="H9" i="8"/>
  <c r="L9" i="8"/>
  <c r="M9" i="8"/>
  <c r="O9" i="8"/>
  <c r="Q9" i="8"/>
  <c r="T9" i="8"/>
  <c r="V9" i="8"/>
  <c r="W9" i="8"/>
  <c r="AI9" i="8"/>
  <c r="AJ9" i="8"/>
  <c r="AL9" i="8"/>
  <c r="AN9" i="8"/>
  <c r="AO9" i="8"/>
  <c r="D10" i="8"/>
  <c r="H10" i="8"/>
  <c r="L10" i="8"/>
  <c r="M10" i="8"/>
  <c r="O10" i="8"/>
  <c r="Q10" i="8"/>
  <c r="T10" i="8"/>
  <c r="V10" i="8"/>
  <c r="W10" i="8"/>
  <c r="AI10" i="8"/>
  <c r="AJ10" i="8"/>
  <c r="AL10" i="8"/>
  <c r="AN10" i="8"/>
  <c r="AO10" i="8"/>
  <c r="D11" i="8"/>
  <c r="H11" i="8"/>
  <c r="L11" i="8"/>
  <c r="M11" i="8"/>
  <c r="O11" i="8"/>
  <c r="Q11" i="8"/>
  <c r="T11" i="8"/>
  <c r="V11" i="8"/>
  <c r="W11" i="8"/>
  <c r="AI11" i="8"/>
  <c r="AJ11" i="8"/>
  <c r="AL11" i="8"/>
  <c r="AN11" i="8"/>
  <c r="AO11" i="8"/>
  <c r="D12" i="8"/>
  <c r="H12" i="8"/>
  <c r="L12" i="8"/>
  <c r="M12" i="8"/>
  <c r="O12" i="8"/>
  <c r="Q12" i="8"/>
  <c r="T12" i="8"/>
  <c r="V12" i="8"/>
  <c r="W12" i="8"/>
  <c r="AI12" i="8"/>
  <c r="AJ12" i="8"/>
  <c r="AL12" i="8"/>
  <c r="AN12" i="8"/>
  <c r="AO12" i="8"/>
  <c r="D13" i="8"/>
  <c r="H13" i="8"/>
  <c r="L13" i="8"/>
  <c r="M13" i="8"/>
  <c r="O13" i="8"/>
  <c r="Q13" i="8"/>
  <c r="T13" i="8"/>
  <c r="V13" i="8"/>
  <c r="W13" i="8"/>
  <c r="AI13" i="8"/>
  <c r="AJ13" i="8"/>
  <c r="AL13" i="8"/>
  <c r="AN13" i="8"/>
  <c r="AO13" i="8"/>
  <c r="D14" i="8"/>
  <c r="H14" i="8"/>
  <c r="L14" i="8"/>
  <c r="M14" i="8"/>
  <c r="O14" i="8"/>
  <c r="Q14" i="8"/>
  <c r="T14" i="8"/>
  <c r="V14" i="8"/>
  <c r="W14" i="8"/>
  <c r="AI14" i="8"/>
  <c r="AJ14" i="8"/>
  <c r="AL14" i="8"/>
  <c r="AN14" i="8"/>
  <c r="AO14" i="8"/>
  <c r="D15" i="8"/>
  <c r="H15" i="8"/>
  <c r="L15" i="8"/>
  <c r="M15" i="8"/>
  <c r="O15" i="8"/>
  <c r="Q15" i="8"/>
  <c r="T15" i="8"/>
  <c r="V15" i="8"/>
  <c r="W15" i="8"/>
  <c r="AI15" i="8"/>
  <c r="AJ15" i="8"/>
  <c r="AL15" i="8"/>
  <c r="AN15" i="8"/>
  <c r="AO15" i="8"/>
  <c r="D16" i="8"/>
  <c r="H16" i="8"/>
  <c r="L16" i="8"/>
  <c r="M16" i="8"/>
  <c r="O16" i="8"/>
  <c r="Q16" i="8"/>
  <c r="T16" i="8"/>
  <c r="V16" i="8"/>
  <c r="W16" i="8"/>
  <c r="AI16" i="8"/>
  <c r="AJ16" i="8"/>
  <c r="AL16" i="8"/>
  <c r="AN16" i="8"/>
  <c r="AO16" i="8"/>
  <c r="D17" i="8"/>
  <c r="H17" i="8"/>
  <c r="L17" i="8"/>
  <c r="M17" i="8"/>
  <c r="O17" i="8"/>
  <c r="Q17" i="8"/>
  <c r="T17" i="8"/>
  <c r="V17" i="8"/>
  <c r="W17" i="8"/>
  <c r="AI17" i="8"/>
  <c r="AJ17" i="8"/>
  <c r="AL17" i="8"/>
  <c r="AN17" i="8"/>
  <c r="AO17" i="8"/>
  <c r="D18" i="8"/>
  <c r="H18" i="8"/>
  <c r="L18" i="8"/>
  <c r="M18" i="8"/>
  <c r="O18" i="8"/>
  <c r="Q18" i="8"/>
  <c r="T18" i="8"/>
  <c r="V18" i="8"/>
  <c r="W18" i="8"/>
  <c r="AI18" i="8"/>
  <c r="AJ18" i="8"/>
  <c r="AL18" i="8"/>
  <c r="AN18" i="8"/>
  <c r="AO18" i="8"/>
  <c r="D19" i="8"/>
  <c r="H19" i="8"/>
  <c r="L19" i="8"/>
  <c r="M19" i="8"/>
  <c r="O19" i="8"/>
  <c r="Q19" i="8"/>
  <c r="T19" i="8"/>
  <c r="V19" i="8"/>
  <c r="W19" i="8"/>
  <c r="AI19" i="8"/>
  <c r="AJ19" i="8"/>
  <c r="AL19" i="8"/>
  <c r="AN19" i="8"/>
  <c r="AO19" i="8"/>
  <c r="D20" i="8"/>
  <c r="H20" i="8"/>
  <c r="L20" i="8"/>
  <c r="M20" i="8"/>
  <c r="O20" i="8"/>
  <c r="Q20" i="8"/>
  <c r="T20" i="8"/>
  <c r="V20" i="8"/>
  <c r="W20" i="8"/>
  <c r="AI20" i="8"/>
  <c r="AJ20" i="8"/>
  <c r="AL20" i="8"/>
  <c r="AN20" i="8"/>
  <c r="AO20" i="8"/>
  <c r="D21" i="8"/>
  <c r="H21" i="8"/>
  <c r="L21" i="8"/>
  <c r="M21" i="8"/>
  <c r="O21" i="8"/>
  <c r="Q21" i="8"/>
  <c r="T21" i="8"/>
  <c r="V21" i="8"/>
  <c r="W21" i="8"/>
  <c r="AI21" i="8"/>
  <c r="AJ21" i="8"/>
  <c r="AL21" i="8"/>
  <c r="AN21" i="8"/>
  <c r="AO21" i="8"/>
  <c r="D22" i="8"/>
  <c r="H22" i="8"/>
  <c r="L22" i="8"/>
  <c r="M22" i="8"/>
  <c r="O22" i="8"/>
  <c r="Q22" i="8"/>
  <c r="T22" i="8"/>
  <c r="V22" i="8"/>
  <c r="W22" i="8"/>
  <c r="AI22" i="8"/>
  <c r="AJ22" i="8"/>
  <c r="AL22" i="8"/>
  <c r="AN22" i="8"/>
  <c r="AO22" i="8"/>
  <c r="D23" i="8"/>
  <c r="H23" i="8"/>
  <c r="L23" i="8"/>
  <c r="M23" i="8"/>
  <c r="O23" i="8"/>
  <c r="Q23" i="8"/>
  <c r="T23" i="8"/>
  <c r="V23" i="8"/>
  <c r="W23" i="8"/>
  <c r="AI23" i="8"/>
  <c r="AJ23" i="8"/>
  <c r="AL23" i="8"/>
  <c r="AN23" i="8"/>
  <c r="AO23" i="8"/>
  <c r="D24" i="8"/>
  <c r="H24" i="8"/>
  <c r="L24" i="8"/>
  <c r="M24" i="8"/>
  <c r="O24" i="8"/>
  <c r="Q24" i="8"/>
  <c r="T24" i="8"/>
  <c r="V24" i="8"/>
  <c r="W24" i="8"/>
  <c r="AI24" i="8"/>
  <c r="AJ24" i="8"/>
  <c r="AL24" i="8"/>
  <c r="AN24" i="8"/>
  <c r="AO24" i="8"/>
  <c r="D25" i="8"/>
  <c r="H25" i="8"/>
  <c r="L25" i="8"/>
  <c r="M25" i="8"/>
  <c r="O25" i="8"/>
  <c r="Q25" i="8"/>
  <c r="T25" i="8"/>
  <c r="V25" i="8"/>
  <c r="W25" i="8"/>
  <c r="AI25" i="8"/>
  <c r="AJ25" i="8"/>
  <c r="AL25" i="8"/>
  <c r="AN25" i="8"/>
  <c r="AO25" i="8"/>
  <c r="D26" i="8"/>
  <c r="H26" i="8"/>
  <c r="L26" i="8"/>
  <c r="M26" i="8"/>
  <c r="O26" i="8"/>
  <c r="Q26" i="8"/>
  <c r="T26" i="8"/>
  <c r="V26" i="8"/>
  <c r="W26" i="8"/>
  <c r="AI26" i="8"/>
  <c r="AJ26" i="8"/>
  <c r="AL26" i="8"/>
  <c r="AN26" i="8"/>
  <c r="AO26" i="8"/>
  <c r="D27" i="8"/>
  <c r="H27" i="8"/>
  <c r="L27" i="8"/>
  <c r="M27" i="8"/>
  <c r="O27" i="8"/>
  <c r="Q27" i="8"/>
  <c r="T27" i="8"/>
  <c r="V27" i="8"/>
  <c r="W27" i="8"/>
  <c r="AI27" i="8"/>
  <c r="AJ27" i="8"/>
  <c r="AL27" i="8"/>
  <c r="AN27" i="8"/>
  <c r="AO27" i="8"/>
  <c r="D28" i="8"/>
  <c r="H28" i="8"/>
  <c r="L28" i="8"/>
  <c r="M28" i="8"/>
  <c r="O28" i="8"/>
  <c r="Q28" i="8"/>
  <c r="T28" i="8"/>
  <c r="V28" i="8"/>
  <c r="W28" i="8"/>
  <c r="AI28" i="8"/>
  <c r="AJ28" i="8"/>
  <c r="AL28" i="8"/>
  <c r="AN28" i="8"/>
  <c r="AO28" i="8"/>
  <c r="D29" i="8"/>
  <c r="H29" i="8"/>
  <c r="L29" i="8"/>
  <c r="M29" i="8"/>
  <c r="O29" i="8"/>
  <c r="Q29" i="8"/>
  <c r="T29" i="8"/>
  <c r="V29" i="8"/>
  <c r="W29" i="8"/>
  <c r="AI29" i="8"/>
  <c r="AJ29" i="8"/>
  <c r="AL29" i="8"/>
  <c r="AN29" i="8"/>
  <c r="AO29" i="8"/>
  <c r="D30" i="8"/>
  <c r="H30" i="8"/>
  <c r="L30" i="8"/>
  <c r="M30" i="8"/>
  <c r="O30" i="8"/>
  <c r="Q30" i="8"/>
  <c r="T30" i="8"/>
  <c r="V30" i="8"/>
  <c r="W30" i="8"/>
  <c r="AI30" i="8"/>
  <c r="AJ30" i="8"/>
  <c r="AL30" i="8"/>
  <c r="AN30" i="8"/>
  <c r="AO30" i="8"/>
  <c r="D31" i="8"/>
  <c r="H31" i="8"/>
  <c r="L31" i="8"/>
  <c r="M31" i="8"/>
  <c r="O31" i="8"/>
  <c r="Q31" i="8"/>
  <c r="T31" i="8"/>
  <c r="V31" i="8"/>
  <c r="W31" i="8"/>
  <c r="AI31" i="8"/>
  <c r="AJ31" i="8"/>
  <c r="AL31" i="8"/>
  <c r="AN31" i="8"/>
  <c r="AO31" i="8"/>
  <c r="D32" i="8"/>
  <c r="H32" i="8"/>
  <c r="L32" i="8"/>
  <c r="M32" i="8"/>
  <c r="O32" i="8"/>
  <c r="Q32" i="8"/>
  <c r="T32" i="8"/>
  <c r="V32" i="8"/>
  <c r="W32" i="8"/>
  <c r="AI32" i="8"/>
  <c r="AJ32" i="8"/>
  <c r="AL32" i="8"/>
  <c r="AN32" i="8"/>
  <c r="AO32" i="8"/>
  <c r="D33" i="8"/>
  <c r="H33" i="8"/>
  <c r="L33" i="8"/>
  <c r="M33" i="8"/>
  <c r="O33" i="8"/>
  <c r="Q33" i="8"/>
  <c r="T33" i="8"/>
  <c r="V33" i="8"/>
  <c r="W33" i="8"/>
  <c r="AI33" i="8"/>
  <c r="AJ33" i="8"/>
  <c r="AL33" i="8"/>
  <c r="AN33" i="8"/>
  <c r="AO33" i="8"/>
  <c r="D34" i="8"/>
  <c r="H34" i="8"/>
  <c r="L34" i="8"/>
  <c r="M34" i="8"/>
  <c r="O34" i="8"/>
  <c r="Q34" i="8"/>
  <c r="T34" i="8"/>
  <c r="V34" i="8"/>
  <c r="W34" i="8"/>
  <c r="AI34" i="8"/>
  <c r="AJ34" i="8"/>
  <c r="AL34" i="8"/>
  <c r="AN34" i="8"/>
  <c r="AO34" i="8"/>
  <c r="D35" i="8"/>
  <c r="H35" i="8"/>
  <c r="L35" i="8"/>
  <c r="M35" i="8"/>
  <c r="O35" i="8"/>
  <c r="Q35" i="8"/>
  <c r="T35" i="8"/>
  <c r="V35" i="8"/>
  <c r="W35" i="8"/>
  <c r="AI35" i="8"/>
  <c r="AJ35" i="8"/>
  <c r="AL35" i="8"/>
  <c r="AN35" i="8"/>
  <c r="AO35" i="8"/>
  <c r="D36" i="8"/>
  <c r="H36" i="8"/>
  <c r="L36" i="8"/>
  <c r="M36" i="8"/>
  <c r="O36" i="8"/>
  <c r="Q36" i="8"/>
  <c r="T36" i="8"/>
  <c r="V36" i="8"/>
  <c r="W36" i="8"/>
  <c r="AI36" i="8"/>
  <c r="AJ36" i="8"/>
  <c r="AL36" i="8"/>
  <c r="AN36" i="8"/>
  <c r="AO36" i="8"/>
  <c r="D37" i="8"/>
  <c r="H37" i="8"/>
  <c r="L37" i="8"/>
  <c r="M37" i="8"/>
  <c r="O37" i="8"/>
  <c r="Q37" i="8"/>
  <c r="T37" i="8"/>
  <c r="V37" i="8"/>
  <c r="W37" i="8"/>
  <c r="AI37" i="8"/>
  <c r="AJ37" i="8"/>
  <c r="AL37" i="8"/>
  <c r="AN37" i="8"/>
  <c r="AO37" i="8"/>
  <c r="D38" i="8"/>
  <c r="H38" i="8"/>
  <c r="L38" i="8"/>
  <c r="M38" i="8"/>
  <c r="O38" i="8"/>
  <c r="Q38" i="8"/>
  <c r="T38" i="8"/>
  <c r="V38" i="8"/>
  <c r="W38" i="8"/>
  <c r="AI38" i="8"/>
  <c r="AJ38" i="8"/>
  <c r="AL38" i="8"/>
  <c r="AN38" i="8"/>
  <c r="AO38" i="8"/>
  <c r="D39" i="8"/>
  <c r="H39" i="8"/>
  <c r="L39" i="8"/>
  <c r="M39" i="8"/>
  <c r="O39" i="8"/>
  <c r="Q39" i="8"/>
  <c r="T39" i="8"/>
  <c r="V39" i="8"/>
  <c r="W39" i="8"/>
  <c r="AI39" i="8"/>
  <c r="AJ39" i="8"/>
  <c r="AL39" i="8"/>
  <c r="AN39" i="8"/>
  <c r="AO39" i="8"/>
  <c r="D40" i="8"/>
  <c r="H40" i="8"/>
  <c r="L40" i="8"/>
  <c r="M40" i="8"/>
  <c r="O40" i="8"/>
  <c r="Q40" i="8"/>
  <c r="T40" i="8"/>
  <c r="V40" i="8"/>
  <c r="W40" i="8"/>
  <c r="AI40" i="8"/>
  <c r="AJ40" i="8"/>
  <c r="AL40" i="8"/>
  <c r="AN40" i="8"/>
  <c r="AO40" i="8"/>
  <c r="D41" i="8"/>
  <c r="H41" i="8"/>
  <c r="L41" i="8"/>
  <c r="M41" i="8"/>
  <c r="O41" i="8"/>
  <c r="Q41" i="8"/>
  <c r="T41" i="8"/>
  <c r="V41" i="8"/>
  <c r="W41" i="8"/>
  <c r="AI41" i="8"/>
  <c r="AJ41" i="8"/>
  <c r="AL41" i="8"/>
  <c r="AN41" i="8"/>
  <c r="AO41" i="8"/>
  <c r="D42" i="8"/>
  <c r="H42" i="8"/>
  <c r="L42" i="8"/>
  <c r="M42" i="8"/>
  <c r="O42" i="8"/>
  <c r="Q42" i="8"/>
  <c r="T42" i="8"/>
  <c r="V42" i="8"/>
  <c r="W42" i="8"/>
  <c r="AI42" i="8"/>
  <c r="AJ42" i="8"/>
  <c r="AL42" i="8"/>
  <c r="AN42" i="8"/>
  <c r="AO42" i="8"/>
  <c r="D43" i="8"/>
  <c r="H43" i="8"/>
  <c r="L43" i="8"/>
  <c r="M43" i="8"/>
  <c r="O43" i="8"/>
  <c r="Q43" i="8"/>
  <c r="T43" i="8"/>
  <c r="V43" i="8"/>
  <c r="W43" i="8"/>
  <c r="AI43" i="8"/>
  <c r="AJ43" i="8"/>
  <c r="AL43" i="8"/>
  <c r="AN43" i="8"/>
  <c r="AO43" i="8"/>
  <c r="D44" i="8"/>
  <c r="H44" i="8"/>
  <c r="L44" i="8"/>
  <c r="M44" i="8"/>
  <c r="O44" i="8"/>
  <c r="Q44" i="8"/>
  <c r="T44" i="8"/>
  <c r="V44" i="8"/>
  <c r="W44" i="8"/>
  <c r="AI44" i="8"/>
  <c r="AJ44" i="8"/>
  <c r="AL44" i="8"/>
  <c r="AN44" i="8"/>
  <c r="AO44" i="8"/>
  <c r="D45" i="8"/>
  <c r="H45" i="8"/>
  <c r="L45" i="8"/>
  <c r="M45" i="8"/>
  <c r="O45" i="8"/>
  <c r="Q45" i="8"/>
  <c r="T45" i="8"/>
  <c r="V45" i="8"/>
  <c r="W45" i="8"/>
  <c r="AI45" i="8"/>
  <c r="AJ45" i="8"/>
  <c r="AL45" i="8"/>
  <c r="AN45" i="8"/>
  <c r="AO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2"/>
  <c r="I8" i="2"/>
  <c r="J8" i="2"/>
  <c r="K8" i="2"/>
  <c r="F11" i="2"/>
  <c r="I11" i="2"/>
  <c r="J11" i="2"/>
  <c r="K11" i="2"/>
  <c r="F14" i="2"/>
  <c r="I14" i="2"/>
  <c r="J14" i="2"/>
  <c r="K14" i="2"/>
  <c r="F17" i="2"/>
  <c r="I17" i="2"/>
  <c r="J17" i="2"/>
  <c r="K17" i="2"/>
  <c r="F20" i="2"/>
  <c r="I20" i="2"/>
  <c r="J20" i="2"/>
  <c r="K20" i="2"/>
  <c r="F23" i="2"/>
  <c r="I23" i="2"/>
  <c r="J23" i="2"/>
  <c r="K23" i="2"/>
  <c r="F26" i="2"/>
  <c r="I26" i="2"/>
  <c r="J26" i="2"/>
  <c r="K26" i="2"/>
  <c r="F29" i="2"/>
  <c r="I29" i="2"/>
  <c r="J29" i="2"/>
  <c r="K29" i="2"/>
  <c r="F32" i="2"/>
  <c r="I32" i="2"/>
  <c r="J32" i="2"/>
  <c r="K32" i="2"/>
  <c r="F35" i="2"/>
  <c r="I35" i="2"/>
  <c r="J35" i="2"/>
  <c r="K35" i="2"/>
  <c r="F38" i="2"/>
  <c r="I38" i="2"/>
  <c r="J38" i="2"/>
  <c r="K38" i="2"/>
  <c r="F41" i="2"/>
  <c r="I41" i="2"/>
  <c r="J41" i="2"/>
  <c r="K41" i="2"/>
  <c r="F44" i="2"/>
  <c r="I44" i="2"/>
  <c r="J44" i="2"/>
  <c r="K44" i="2"/>
  <c r="F47" i="2"/>
  <c r="I47" i="2"/>
  <c r="J47" i="2"/>
  <c r="K47" i="2"/>
  <c r="F50" i="2"/>
  <c r="I50" i="2"/>
  <c r="J50" i="2"/>
  <c r="K50" i="2"/>
  <c r="F53" i="2"/>
  <c r="I53" i="2"/>
  <c r="J53" i="2"/>
  <c r="K53" i="2"/>
  <c r="F56" i="2"/>
  <c r="I56" i="2"/>
  <c r="J56" i="2"/>
  <c r="K56" i="2"/>
  <c r="F59" i="2"/>
  <c r="I59" i="2"/>
  <c r="J59" i="2"/>
  <c r="K59" i="2"/>
  <c r="F62" i="2"/>
  <c r="I62" i="2"/>
  <c r="J62" i="2"/>
  <c r="K62" i="2"/>
  <c r="F65" i="2"/>
  <c r="I65" i="2"/>
  <c r="J65" i="2"/>
  <c r="K65" i="2"/>
  <c r="F68" i="2"/>
  <c r="I68" i="2"/>
  <c r="J68" i="2"/>
  <c r="K68" i="2"/>
  <c r="F71" i="2"/>
  <c r="I71" i="2"/>
  <c r="J71" i="2"/>
  <c r="K71" i="2"/>
  <c r="F74" i="2"/>
  <c r="I74" i="2"/>
  <c r="J74" i="2"/>
  <c r="K74" i="2"/>
  <c r="F77" i="2"/>
  <c r="I77" i="2"/>
  <c r="J77" i="2"/>
  <c r="K77" i="2"/>
  <c r="F80" i="2"/>
  <c r="I80" i="2"/>
  <c r="J80" i="2"/>
  <c r="K80" i="2"/>
  <c r="F83" i="2"/>
  <c r="I83" i="2"/>
  <c r="J83" i="2"/>
  <c r="K83" i="2"/>
  <c r="F86" i="2"/>
  <c r="I86" i="2"/>
  <c r="J86" i="2"/>
  <c r="K86" i="2"/>
  <c r="F89" i="2"/>
  <c r="I89" i="2"/>
  <c r="J89" i="2"/>
  <c r="K89" i="2"/>
  <c r="F92" i="2"/>
  <c r="I92" i="2"/>
  <c r="J92" i="2"/>
  <c r="K92" i="2"/>
  <c r="F95" i="2"/>
  <c r="I95" i="2"/>
  <c r="J95" i="2"/>
  <c r="K95" i="2"/>
  <c r="F98" i="2"/>
  <c r="I98" i="2"/>
  <c r="J98" i="2"/>
  <c r="K98" i="2"/>
  <c r="F101" i="2"/>
  <c r="I101" i="2"/>
  <c r="J101" i="2"/>
  <c r="K101" i="2"/>
  <c r="F104" i="2"/>
  <c r="I104" i="2"/>
  <c r="J104" i="2"/>
  <c r="K104" i="2"/>
  <c r="F107" i="2"/>
  <c r="I107" i="2"/>
  <c r="J107" i="2"/>
  <c r="K107" i="2"/>
  <c r="F110" i="2"/>
  <c r="I110" i="2"/>
  <c r="J110" i="2"/>
  <c r="K110" i="2"/>
  <c r="F113" i="2"/>
  <c r="I113" i="2"/>
  <c r="J113" i="2"/>
  <c r="K113" i="2"/>
  <c r="F116" i="2"/>
  <c r="I116" i="2"/>
  <c r="J116" i="2"/>
  <c r="K116" i="2"/>
  <c r="F119" i="2"/>
  <c r="I119" i="2"/>
  <c r="J119" i="2"/>
  <c r="K119" i="2"/>
  <c r="F122" i="2"/>
  <c r="I122" i="2"/>
  <c r="J122" i="2"/>
  <c r="K122" i="2"/>
  <c r="E125" i="2"/>
  <c r="F125" i="2"/>
  <c r="G125" i="2"/>
  <c r="H125" i="2"/>
  <c r="I125" i="2"/>
  <c r="J125" i="2"/>
  <c r="K125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4" i="2"/>
  <c r="F144" i="2"/>
  <c r="G144" i="2"/>
  <c r="H144" i="2"/>
  <c r="I144" i="2"/>
  <c r="J144" i="2"/>
  <c r="K144" i="2"/>
  <c r="E145" i="2"/>
  <c r="B8" i="13"/>
  <c r="C8" i="13"/>
  <c r="D8" i="13"/>
  <c r="E8" i="13"/>
  <c r="F8" i="13"/>
  <c r="G8" i="13"/>
  <c r="H8" i="13"/>
  <c r="I8" i="13"/>
  <c r="J8" i="13"/>
  <c r="K8" i="13"/>
  <c r="B9" i="13"/>
  <c r="B10" i="13"/>
  <c r="B12" i="13"/>
  <c r="B13" i="13"/>
  <c r="B14" i="13"/>
  <c r="B17" i="13"/>
  <c r="B18" i="13"/>
  <c r="B21" i="13"/>
  <c r="B22" i="13"/>
  <c r="B23" i="13"/>
  <c r="B24" i="13"/>
  <c r="B26" i="13"/>
  <c r="B27" i="13"/>
  <c r="B33" i="13"/>
  <c r="B34" i="13"/>
  <c r="B35" i="13"/>
  <c r="B37" i="13"/>
  <c r="B38" i="13"/>
  <c r="B39" i="13"/>
  <c r="B41" i="13"/>
  <c r="B42" i="13"/>
  <c r="B43" i="13"/>
  <c r="B45" i="13"/>
  <c r="B46" i="13"/>
  <c r="B47" i="13"/>
  <c r="B52" i="13"/>
  <c r="B53" i="13"/>
  <c r="B54" i="13"/>
  <c r="B55" i="13"/>
  <c r="B57" i="13"/>
  <c r="B59" i="13"/>
  <c r="B61" i="13"/>
  <c r="B63" i="13"/>
  <c r="B68" i="13"/>
  <c r="B69" i="13"/>
  <c r="B70" i="13"/>
  <c r="B71" i="13"/>
  <c r="B72" i="13"/>
  <c r="B73" i="13"/>
  <c r="B75" i="13"/>
  <c r="B77" i="13"/>
  <c r="B79" i="13"/>
  <c r="B81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F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F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F39" i="1"/>
  <c r="K39" i="1"/>
  <c r="H42" i="1"/>
  <c r="G43" i="1"/>
  <c r="H43" i="1"/>
  <c r="I43" i="1"/>
  <c r="G44" i="1"/>
  <c r="H44" i="1"/>
  <c r="I44" i="1"/>
  <c r="F46" i="1"/>
  <c r="K46" i="1"/>
  <c r="H49" i="1"/>
  <c r="G50" i="1"/>
  <c r="H50" i="1"/>
  <c r="I50" i="1"/>
  <c r="G51" i="1"/>
  <c r="H51" i="1"/>
  <c r="I51" i="1"/>
  <c r="F53" i="1"/>
  <c r="K53" i="1"/>
  <c r="H56" i="1"/>
  <c r="G57" i="1"/>
  <c r="H57" i="1"/>
  <c r="I57" i="1"/>
  <c r="G58" i="1"/>
  <c r="H58" i="1"/>
  <c r="I58" i="1"/>
  <c r="F60" i="1"/>
  <c r="K60" i="1"/>
  <c r="H63" i="1"/>
  <c r="G64" i="1"/>
  <c r="H64" i="1"/>
  <c r="I64" i="1"/>
  <c r="G65" i="1"/>
  <c r="H65" i="1"/>
  <c r="I65" i="1"/>
  <c r="F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F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F85" i="1"/>
  <c r="K85" i="1"/>
  <c r="H88" i="1"/>
  <c r="G89" i="1"/>
  <c r="H89" i="1"/>
  <c r="I89" i="1"/>
  <c r="G90" i="1"/>
  <c r="H90" i="1"/>
  <c r="I90" i="1"/>
  <c r="F92" i="1"/>
  <c r="K92" i="1"/>
  <c r="H95" i="1"/>
  <c r="G96" i="1"/>
  <c r="H96" i="1"/>
  <c r="I96" i="1"/>
  <c r="G97" i="1"/>
  <c r="H97" i="1"/>
  <c r="I97" i="1"/>
  <c r="F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F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<sst xmlns="http://schemas.openxmlformats.org/spreadsheetml/2006/main" count="942" uniqueCount="280">
  <si>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</si>
  <si>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</si>
  <si>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</si>
  <si>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</si>
  <si>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</si>
  <si>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</si>
  <si>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</si>
  <si>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</si>
  <si>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</si>
  <si>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</si>
  <si>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</si>
  <si>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</si>
  <si>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</si>
  <si>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</si>
  <si>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</si>
  <si>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</si>
  <si>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</si>
  <si>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</si>
  <si>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</si>
  <si>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</si>
  <si>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</si>
  <si>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</si>
  <si>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</si>
  <si>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</si>
  <si>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</si>
  <si>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</si>
  <si>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</si>
  <si>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</si>
  <si>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</si>
  <si>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</si>
  <si>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</si>
  <si>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</si>
  <si>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</si>
  <si>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</si>
  <si>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</si>
  <si>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</si>
  <si>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</si>
  <si>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</si>
  <si>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</si>
  <si>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</si>
  <si>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</si>
  <si>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</si>
  <si>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</si>
  <si>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</si>
  <si>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</si>
  <si>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</si>
  <si>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</si>
  <si>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</si>
  <si>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</si>
  <si>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</si>
  <si>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</si>
  <si>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</si>
  <si>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</si>
  <si>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</si>
  <si>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</si>
  <si>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</si>
  <si>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</si>
  <si>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</si>
  <si>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</si>
  <si>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</si>
  <si>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</si>
  <si>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</si>
  <si>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</si>
  <si>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</si>
  <si>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</si>
  <si>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</si>
  <si>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</si>
  <si>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</si>
  <si>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</si>
  <si>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</si>
  <si>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</si>
  <si>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</si>
  <si>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</si>
  <si>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</si>
  <si>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</si>
  <si>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</si>
  <si>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</si>
  <si>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</si>
  <si>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</si>
  <si>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</si>
  <si>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</si>
  <si>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</si>
  <si>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</si>
  <si>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</si>
  <si>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</si>
  <si>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</si>
  <si>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</si>
  <si>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</si>
  <si>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</si>
  <si>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</si>
  <si>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</si>
  <si>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</si>
  <si>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</si>
  <si>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</si>
  <si>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</si>
  <si>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</si>
  <si>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</si>
  <si>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</si>
  <si>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</si>
  <si>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</si>
  <si>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</si>
  <si>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</si>
  <si>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</si>
  <si>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</si>
  <si>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</si>
  <si>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</si>
  <si>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</si>
  <si>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</si>
  <si>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</si>
  <si>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</si>
  <si>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</si>
  <si>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</si>
  <si>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</si>
  <si>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</si>
  <si>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</si>
  <si>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</si>
  <si>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</si>
  <si>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</si>
  <si>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</si>
  <si>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</si>
  <si>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</si>
  <si>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</si>
  <si>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</si>
  <si>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</si>
  <si>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</si>
  <si>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</si>
  <si>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</si>
  <si>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</si>
  <si>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</si>
  <si>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</si>
  <si>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</si>
  <si>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</si>
  <si>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</si>
  <si>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</si>
  <si>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</si>
  <si>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</si>
  <si>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</si>
  <si>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</si>
  <si>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</si>
  <si>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</si>
  <si>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</si>
  <si>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</si>
  <si>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</si>
  <si>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</si>
  <si>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</si>
  <si>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</si>
  <si>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</si>
  <si>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</si>
  <si>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</si>
  <si>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</si>
  <si>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</si>
  <si>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</si>
  <si>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</si>
  <si>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</si>
  <si>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</si>
  <si>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</si>
  <si>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</si>
  <si>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</si>
  <si>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</si>
  <si>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</si>
  <si>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</si>
  <si>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</si>
  <si>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</si>
  <si>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</si>
  <si>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</si>
  <si>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</si>
  <si>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</si>
  <si>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</si>
  <si>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</si>
  <si>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</si>
  <si>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</si>
  <si>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</si>
  <si>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</si>
  <si>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</si>
  <si>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</si>
  <si>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</si>
  <si>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</si>
  <si>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</si>
  <si>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</si>
  <si>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</si>
  <si>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</si>
  <si>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</si>
  <si>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</si>
  <si>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</si>
  <si>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</si>
  <si>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</si>
  <si>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</si>
  <si>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</si>
  <si>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</si>
  <si>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</si>
  <si>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</si>
  <si>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</si>
  <si>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</si>
  <si>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</si>
  <si>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</si>
  <si>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</si>
  <si>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</si>
  <si>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</si>
  <si>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</si>
  <si>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</si>
  <si>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</si>
  <si>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</si>
  <si>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</si>
  <si>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</si>
  <si>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</si>
  <si>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</si>
  <si>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</si>
  <si>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</si>
  <si>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</si>
  <si>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</si>
  <si>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</si>
  <si>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</si>
  <si>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</si>
  <si>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</si>
  <si>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</si>
  <si>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</si>
  <si>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</si>
  <si>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</si>
  <si>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</si>
  <si>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</si>
  <si>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</si>
  <si>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</si>
  <si>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</si>
  <si>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</si>
  <si>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</si>
  <si>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</si>
  <si>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</si>
  <si>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</si>
  <si>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</si>
  <si>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</si>
  <si>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</si>
  <si>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</si>
  <si>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Non Core T&amp;D</t>
  </si>
  <si>
    <t>Core Rate T&amp;D</t>
  </si>
  <si>
    <t>Core T&amp;D/Non Core T&amp;D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</si>
  <si>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</si>
  <si>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</si>
  <si>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</si>
  <si>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</si>
  <si>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</si>
  <si>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</si>
  <si>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</si>
  <si>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</si>
  <si>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</si>
  <si>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</si>
  <si>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</si>
  <si>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</si>
  <si>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</si>
  <si>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</si>
  <si>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</si>
  <si>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</si>
  <si>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</si>
  <si>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</si>
  <si>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</si>
  <si>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</si>
  <si>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</si>
  <si>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</si>
  <si>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</si>
  <si>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</si>
  <si>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</si>
  <si>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</si>
  <si>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</si>
  <si>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</si>
  <si>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</si>
  <si>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</si>
  <si>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</si>
  <si>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</si>
  <si>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</si>
  <si>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</si>
  <si>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</si>
  <si>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</si>
  <si>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</si>
  <si>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</si>
  <si>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</si>
  <si>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</si>
  <si>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</si>
  <si>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</si>
  <si>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</si>
  <si>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1=15 year core</t>
  </si>
  <si>
    <t>0=20 year non-core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</si>
</sst>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7" fontId="4" fillId="0" borderId="0" xfId="3" applyNumberFormat="1" applyFont="1" applyAlignment="1">
      <alignment horizontal="right"/>
    </xf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8" zoomScale="80" workbookViewId="0">
      <selection activeCell="E142" sqref="E142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10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10" t="s">
        <v>237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3">
        <f>100*G8/E8</f>
        <v>12.049479269192872</v>
      </c>
      <c r="G8" s="114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1"/>
      <c r="G9" s="112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239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240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5"/>
      <c r="E15" s="64"/>
      <c r="F15" s="66"/>
      <c r="G15" s="58"/>
      <c r="H15" s="58"/>
      <c r="I15" s="58"/>
      <c r="J15" s="66"/>
      <c r="K15" s="116"/>
      <c r="N15" s="1"/>
      <c r="O15" s="3"/>
      <c r="P15" s="2"/>
      <c r="Q15" s="4"/>
      <c r="R15" s="4"/>
      <c r="S15" s="4"/>
      <c r="T15" s="2"/>
      <c r="U15" s="7"/>
    </row>
    <row r="16" spans="1:21">
      <c r="D16" s="115"/>
      <c r="E16" s="64"/>
      <c r="F16" s="66"/>
      <c r="G16" s="58"/>
      <c r="H16" s="58"/>
      <c r="I16" s="58"/>
      <c r="J16" s="66"/>
      <c r="K16" s="116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241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5"/>
      <c r="E18" s="64"/>
      <c r="F18" s="66"/>
      <c r="G18" s="58"/>
      <c r="H18" s="58"/>
      <c r="I18" s="58"/>
      <c r="J18" s="66"/>
      <c r="K18" s="116"/>
      <c r="N18" s="1"/>
      <c r="O18" s="3"/>
      <c r="P18" s="2"/>
      <c r="Q18" s="4"/>
      <c r="R18" s="4"/>
      <c r="S18" s="4"/>
      <c r="T18" s="2"/>
      <c r="U18" s="7"/>
    </row>
    <row r="19" spans="1:21">
      <c r="D19" s="115"/>
      <c r="E19" s="64"/>
      <c r="F19" s="66"/>
      <c r="G19" s="58"/>
      <c r="H19" s="58"/>
      <c r="I19" s="58"/>
      <c r="J19" s="66"/>
      <c r="K19" s="116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242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5"/>
      <c r="E21" s="64"/>
      <c r="F21" s="66"/>
      <c r="G21" s="58"/>
      <c r="H21" s="58"/>
      <c r="I21" s="58"/>
      <c r="J21" s="66"/>
      <c r="K21" s="116"/>
      <c r="N21" s="1"/>
      <c r="O21" s="3"/>
      <c r="P21" s="2"/>
      <c r="Q21" s="4"/>
      <c r="R21" s="4"/>
      <c r="S21" s="4"/>
      <c r="T21" s="2"/>
      <c r="U21" s="7"/>
    </row>
    <row r="22" spans="1:21">
      <c r="D22" s="115"/>
      <c r="E22" s="64"/>
      <c r="F22" s="66"/>
      <c r="G22" s="58"/>
      <c r="H22" s="58"/>
      <c r="I22" s="58"/>
      <c r="J22" s="66"/>
      <c r="K22" s="116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243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5"/>
      <c r="E24" s="64"/>
      <c r="F24" s="66"/>
      <c r="G24" s="58"/>
      <c r="H24" s="58"/>
      <c r="I24" s="58"/>
      <c r="J24" s="66"/>
      <c r="K24" s="116"/>
      <c r="N24" s="1"/>
      <c r="O24" s="3"/>
      <c r="P24" s="2"/>
      <c r="Q24" s="4"/>
      <c r="R24" s="4"/>
      <c r="S24" s="4"/>
      <c r="T24" s="2"/>
      <c r="U24" s="7"/>
    </row>
    <row r="25" spans="1:21">
      <c r="D25" s="115"/>
      <c r="E25" s="64"/>
      <c r="F25" s="66"/>
      <c r="G25" s="58"/>
      <c r="H25" s="58"/>
      <c r="I25" s="58"/>
      <c r="J25" s="66"/>
      <c r="K25" s="116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244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245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246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247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248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249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250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5"/>
      <c r="E45" s="64"/>
      <c r="F45" s="66"/>
      <c r="G45" s="58"/>
      <c r="H45" s="58"/>
      <c r="I45" s="58"/>
      <c r="J45" s="66"/>
      <c r="K45" s="116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251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252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253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254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255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256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257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258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259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238</v>
      </c>
      <c r="D74" s="17" t="s">
        <v>260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238</v>
      </c>
      <c r="D77" s="17" t="s">
        <v>261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238</v>
      </c>
      <c r="D80" s="17" t="s">
        <v>262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238</v>
      </c>
      <c r="D83" s="17" t="s">
        <v>263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238</v>
      </c>
      <c r="D86" s="17" t="s">
        <v>264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238</v>
      </c>
      <c r="D89" s="17" t="s">
        <v>265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238</v>
      </c>
      <c r="D92" s="17" t="s">
        <v>266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238</v>
      </c>
      <c r="D95" s="17" t="s">
        <v>267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238</v>
      </c>
      <c r="D98" s="17" t="s">
        <v>268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238</v>
      </c>
      <c r="D101" s="17" t="s">
        <v>269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238</v>
      </c>
      <c r="D104" s="17" t="s">
        <v>270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238</v>
      </c>
      <c r="D107" s="17" t="s">
        <v>271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272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273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274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275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276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7">
        <f>E8+E11+E14+E17+E20+E23+E26+E29++E32+E35+E38+E41+E44+E47+E50+E53+E56+E59+E62+E65+E68+E71+E74+E77+E80+E83+E86+E89++E92+E95+E98+E101+E104+E107+E110+E113+E116+E119+E122</f>
        <v>81990.970927000017</v>
      </c>
      <c r="F125" s="118">
        <f>G125/E125*100</f>
        <v>10.388324416335399</v>
      </c>
      <c r="G125" s="117">
        <f>G8+G11+G14+G17+G20+G23+G26+G29++G32+G35+G38+G41+G44+G47+G50+G53+G56+G59+G62+G65+G68+G71+G74+G77+G80+G83+G86+G89++G92+G95+G98+G101+G104+G107+G110+G113+G116+G119+G122</f>
        <v>8517.4880520000006</v>
      </c>
      <c r="H125" s="117">
        <f>H8+H11+H14+H17+H20+H23+H26+H29++H32+H35+H38+H41+H44+H47+H50+H53+H56+H59+H62+H65+H68+H71+H74+H77+H80+H83+H86+H89++H92+H95+H98+H101+H104+H107+H110+H113+H116+H119+H122</f>
        <v>2882.7291219999997</v>
      </c>
      <c r="I125" s="119">
        <f>G125+H125</f>
        <v>11400.217174000001</v>
      </c>
      <c r="J125" s="118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2"/>
      <c r="F126" s="111"/>
      <c r="G126" s="112"/>
      <c r="H126" s="112"/>
      <c r="I126" s="112"/>
      <c r="J126" s="111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277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J2" workbookViewId="0">
      <selection activeCell="I29" sqref="I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1"/>
  <sheetViews>
    <sheetView tabSelected="1" topLeftCell="A48" workbookViewId="0">
      <selection activeCell="C78" sqref="C7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17" customWidth="1"/>
  </cols>
  <sheetData>
    <row r="1" spans="1:10">
      <c r="H1" s="120" t="s">
        <v>218</v>
      </c>
      <c r="I1" s="93">
        <v>0</v>
      </c>
      <c r="J1" s="56" t="s">
        <v>216</v>
      </c>
    </row>
    <row r="2" spans="1:10">
      <c r="B2" s="124">
        <v>2001</v>
      </c>
      <c r="C2" s="124"/>
      <c r="D2" s="124"/>
      <c r="F2" s="9"/>
      <c r="G2" s="9"/>
      <c r="H2" s="91"/>
      <c r="I2" s="92"/>
      <c r="J2" s="90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20" t="s">
        <v>218</v>
      </c>
      <c r="I4" s="123">
        <v>0</v>
      </c>
      <c r="J4" s="121" t="s">
        <v>278</v>
      </c>
    </row>
    <row r="5" spans="1:10">
      <c r="H5" s="68"/>
      <c r="I5" s="92"/>
      <c r="J5" s="122" t="s">
        <v>279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+PGE!E142</f>
        <v>29963.954642999997</v>
      </c>
      <c r="C7" s="23">
        <f>+SCE!E136</f>
        <v>25374.2</v>
      </c>
      <c r="D7" s="23">
        <f>+SDGE!E105</f>
        <v>657</v>
      </c>
      <c r="E7" s="23"/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</row>
    <row r="9" spans="1:10">
      <c r="B9" s="23"/>
      <c r="C9" s="23"/>
      <c r="D9" s="23"/>
      <c r="E9" s="23"/>
    </row>
    <row r="10" spans="1:10">
      <c r="A10" t="s">
        <v>169</v>
      </c>
      <c r="B10" s="52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2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19" spans="1:4">
      <c r="B19" s="46" t="s">
        <v>101</v>
      </c>
      <c r="C19" s="46" t="s">
        <v>102</v>
      </c>
      <c r="D19" s="46" t="s">
        <v>103</v>
      </c>
    </row>
    <row r="20" spans="1:4">
      <c r="B20" s="46"/>
      <c r="C20" s="46"/>
      <c r="D20" s="46"/>
    </row>
    <row r="21" spans="1:4">
      <c r="A21" t="s">
        <v>146</v>
      </c>
      <c r="B21" s="48">
        <f>PGE!E132</f>
        <v>28847.626315000001</v>
      </c>
      <c r="C21" s="48">
        <f>+SCE!E11+SCE!E20</f>
        <v>24918.3</v>
      </c>
      <c r="D21" s="48">
        <f>+SDGE!E12+SDGE!E20</f>
        <v>6259</v>
      </c>
    </row>
    <row r="22" spans="1:4" s="50" customFormat="1">
      <c r="A22" s="50" t="s">
        <v>147</v>
      </c>
      <c r="B22" s="51">
        <f>PGE!G132</f>
        <v>3348.1717450000001</v>
      </c>
      <c r="C22" s="51">
        <f>+SCE!I11+SCE!I20</f>
        <v>4035.5</v>
      </c>
      <c r="D22" s="51">
        <f>+SDGE!I12+SDGE!I20</f>
        <v>1015.6</v>
      </c>
    </row>
    <row r="23" spans="1:4">
      <c r="A23" t="s">
        <v>159</v>
      </c>
      <c r="B23" s="49">
        <f>+B22/B21*100</f>
        <v>11.606402927020167</v>
      </c>
      <c r="C23" s="49">
        <f>+C22/C21*100</f>
        <v>16.194925014948851</v>
      </c>
      <c r="D23" s="49">
        <f>+D22/D21*100</f>
        <v>16.226234222719285</v>
      </c>
    </row>
    <row r="24" spans="1:4">
      <c r="B24" s="48"/>
      <c r="C24" s="48"/>
      <c r="D24" s="48"/>
    </row>
    <row r="25" spans="1:4">
      <c r="A25" t="s">
        <v>149</v>
      </c>
      <c r="B25" s="48">
        <f>PGE!E133+PGE!E134+PGE!E135+PGE!E136</f>
        <v>53143.344612000001</v>
      </c>
      <c r="C25" s="48">
        <f>+C29-C21</f>
        <v>33487.5</v>
      </c>
      <c r="D25" s="48">
        <f>+D29-D21</f>
        <v>10289</v>
      </c>
    </row>
    <row r="26" spans="1:4" s="50" customFormat="1">
      <c r="A26" s="50" t="s">
        <v>148</v>
      </c>
      <c r="B26" s="51">
        <f>PGE!G133+PGE!G134+PGE!G135+PGE!G136</f>
        <v>5169.3163070000001</v>
      </c>
      <c r="C26" s="51">
        <f>+C30-C22</f>
        <v>5117.1999999999989</v>
      </c>
      <c r="D26" s="51">
        <f>+D30-D22</f>
        <v>1619.4</v>
      </c>
    </row>
    <row r="27" spans="1:4">
      <c r="A27" t="s">
        <v>159</v>
      </c>
      <c r="B27" s="49">
        <f>+B26/B25*100</f>
        <v>9.7271188795910781</v>
      </c>
      <c r="C27" s="49">
        <f>+C26/C25*100</f>
        <v>15.280925718551694</v>
      </c>
      <c r="D27" s="49">
        <f>+D26/D25*100</f>
        <v>15.739138886189135</v>
      </c>
    </row>
    <row r="29" spans="1:4">
      <c r="A29" t="s">
        <v>141</v>
      </c>
      <c r="B29" s="23">
        <f>+B6</f>
        <v>52027.016283999998</v>
      </c>
      <c r="C29" s="23">
        <f>+C6</f>
        <v>58405.8</v>
      </c>
      <c r="D29" s="23">
        <f>+D6</f>
        <v>16548</v>
      </c>
    </row>
    <row r="30" spans="1:4" s="50" customFormat="1">
      <c r="A30" s="50" t="s">
        <v>142</v>
      </c>
      <c r="B30" s="50">
        <f>+PGE!I141</f>
        <v>7741.3151970000008</v>
      </c>
      <c r="C30" s="50">
        <f>+SCE!I135</f>
        <v>9152.6999999999989</v>
      </c>
      <c r="D30" s="50">
        <f>+SDGE!I104</f>
        <v>2635</v>
      </c>
    </row>
    <row r="31" spans="1:4">
      <c r="A31" t="s">
        <v>159</v>
      </c>
      <c r="B31" s="47">
        <f>+B30/B29*100</f>
        <v>14.879414100440558</v>
      </c>
      <c r="C31" s="47">
        <f>+C30/C29*100</f>
        <v>15.670875152810163</v>
      </c>
      <c r="D31" s="47">
        <f>+D30/D29*100</f>
        <v>15.923374425912499</v>
      </c>
    </row>
    <row r="33" spans="1:4">
      <c r="A33" t="s">
        <v>143</v>
      </c>
      <c r="B33" s="42">
        <f>+B7</f>
        <v>29963.954642999997</v>
      </c>
      <c r="C33" s="42">
        <f>+C7</f>
        <v>25374.2</v>
      </c>
      <c r="D33" s="42">
        <f>+D7</f>
        <v>657</v>
      </c>
    </row>
    <row r="34" spans="1:4" s="50" customFormat="1">
      <c r="A34" s="50" t="s">
        <v>157</v>
      </c>
      <c r="B34" s="50">
        <f>+PGE!I142</f>
        <v>3658.9019770000004</v>
      </c>
      <c r="C34" s="50">
        <f>+SCE!I136</f>
        <v>3294.4</v>
      </c>
      <c r="D34" s="50">
        <f>+SDGE!I105</f>
        <v>78.8</v>
      </c>
    </row>
    <row r="35" spans="1:4">
      <c r="A35" t="s">
        <v>159</v>
      </c>
      <c r="B35" s="47">
        <f>+B34/B33*100</f>
        <v>12.211011599080669</v>
      </c>
      <c r="C35" s="47">
        <f>+C34/C33*100</f>
        <v>12.983266467514246</v>
      </c>
      <c r="D35" s="47">
        <f>+D34/D33*100</f>
        <v>11.993911719939117</v>
      </c>
    </row>
    <row r="38" spans="1:4">
      <c r="B38" s="46" t="s">
        <v>101</v>
      </c>
      <c r="C38" s="46" t="s">
        <v>102</v>
      </c>
      <c r="D38" s="46" t="s">
        <v>103</v>
      </c>
    </row>
    <row r="40" spans="1:4">
      <c r="A40" t="s">
        <v>150</v>
      </c>
      <c r="B40" s="50">
        <f>83000*0.98*0.01</f>
        <v>813.4</v>
      </c>
      <c r="C40" s="50">
        <v>400</v>
      </c>
      <c r="D40" s="50">
        <f>16000*0.96*0.012</f>
        <v>184.32</v>
      </c>
    </row>
    <row r="41" spans="1:4">
      <c r="A41" t="s">
        <v>151</v>
      </c>
      <c r="B41" s="50">
        <f>83000*0.98*0.033</f>
        <v>2684.2200000000003</v>
      </c>
      <c r="C41" s="50">
        <v>2700</v>
      </c>
      <c r="D41" s="50">
        <f>16000*0.96*0.053</f>
        <v>814.07999999999993</v>
      </c>
    </row>
    <row r="42" spans="1:4">
      <c r="A42" t="s">
        <v>152</v>
      </c>
      <c r="B42" s="50">
        <f>83000*0.98*0.007</f>
        <v>569.38</v>
      </c>
      <c r="C42" s="50">
        <v>300</v>
      </c>
      <c r="D42" s="50">
        <f>16000*0.96*0.004</f>
        <v>61.44</v>
      </c>
    </row>
    <row r="43" spans="1:4">
      <c r="A43" t="s">
        <v>153</v>
      </c>
      <c r="B43" s="50">
        <f>83000*0.98*0.043</f>
        <v>3497.62</v>
      </c>
      <c r="C43" s="50">
        <v>3900</v>
      </c>
      <c r="D43" s="50">
        <f>16000*0.96*0.024</f>
        <v>368.64</v>
      </c>
    </row>
    <row r="44" spans="1:4">
      <c r="B44" s="50"/>
      <c r="C44" s="50"/>
      <c r="D44" s="50"/>
    </row>
    <row r="45" spans="1:4">
      <c r="A45" t="s">
        <v>154</v>
      </c>
      <c r="B45" s="50">
        <f>SUM(B40:B44)</f>
        <v>7564.6200000000008</v>
      </c>
      <c r="C45" s="50">
        <f>SUM(C40:C44)</f>
        <v>7300</v>
      </c>
      <c r="D45" s="50">
        <f>SUM(D40:D44)</f>
        <v>1428.48</v>
      </c>
    </row>
    <row r="46" spans="1:4">
      <c r="B46" s="50"/>
      <c r="C46" s="50"/>
      <c r="D46" s="50"/>
    </row>
    <row r="47" spans="1:4">
      <c r="A47" t="s">
        <v>155</v>
      </c>
      <c r="B47" s="50">
        <f>+B49-B45</f>
        <v>3835.5971740000005</v>
      </c>
      <c r="C47" s="50">
        <f>+C49-C45</f>
        <v>5147.0999999999985</v>
      </c>
      <c r="D47" s="50">
        <f>+D49-D45</f>
        <v>1285.3200000000002</v>
      </c>
    </row>
    <row r="48" spans="1:4">
      <c r="B48" s="50"/>
      <c r="C48" s="50"/>
      <c r="D48" s="50"/>
    </row>
    <row r="49" spans="1:8">
      <c r="A49" t="s">
        <v>156</v>
      </c>
      <c r="B49" s="50">
        <f>+B30+B34</f>
        <v>11400.217174000001</v>
      </c>
      <c r="C49" s="50">
        <f>+C30+C34</f>
        <v>12447.099999999999</v>
      </c>
      <c r="D49" s="50">
        <f>+D30+D34</f>
        <v>2713.8</v>
      </c>
    </row>
    <row r="51" spans="1:8">
      <c r="A51" t="s">
        <v>158</v>
      </c>
      <c r="B51" s="109">
        <f>+B47/B8*100</f>
        <v>4.6780726348697508</v>
      </c>
      <c r="C51" s="109">
        <f>+C47/C8*100</f>
        <v>6.1435903556934814</v>
      </c>
      <c r="D51" s="109">
        <f>+D47/D8*100</f>
        <v>7.4706190061028783</v>
      </c>
    </row>
    <row r="52" spans="1:8">
      <c r="A52" t="s">
        <v>231</v>
      </c>
      <c r="B52" s="108">
        <v>3.95</v>
      </c>
      <c r="C52" s="108">
        <v>4.0199999999999996</v>
      </c>
      <c r="D52" s="108">
        <f>12.73-6.5</f>
        <v>6.23</v>
      </c>
    </row>
    <row r="54" spans="1:8">
      <c r="A54" s="54" t="s">
        <v>160</v>
      </c>
      <c r="B54" s="55"/>
      <c r="C54" s="55"/>
      <c r="D54" s="56"/>
      <c r="F54" s="54" t="s">
        <v>229</v>
      </c>
      <c r="G54" s="55"/>
      <c r="H54" s="56"/>
    </row>
    <row r="55" spans="1:8">
      <c r="A55" s="57"/>
      <c r="B55" s="59"/>
      <c r="C55" s="59"/>
      <c r="D55" s="60"/>
      <c r="F55" s="57"/>
      <c r="G55" s="59"/>
      <c r="H55" s="60"/>
    </row>
    <row r="56" spans="1:8">
      <c r="A56" s="57" t="s">
        <v>161</v>
      </c>
      <c r="B56" s="61">
        <f>+B40*(B29/B8)</f>
        <v>516.13945495393352</v>
      </c>
      <c r="C56" s="61">
        <f>+C40*(C29/C8)</f>
        <v>278.85318691811892</v>
      </c>
      <c r="D56" s="62">
        <f>+D40*(D29/D8)</f>
        <v>177.28145074106362</v>
      </c>
      <c r="F56" s="102">
        <f>B56/B$66*B$70</f>
        <v>0.99206045593020709</v>
      </c>
      <c r="G56" s="106">
        <f>C56/C$66*C$70</f>
        <v>0.47744091668656014</v>
      </c>
      <c r="H56" s="103">
        <f>D56/D$66*D$70</f>
        <v>1.0713164777680906</v>
      </c>
    </row>
    <row r="57" spans="1:8">
      <c r="A57" s="57" t="s">
        <v>226</v>
      </c>
      <c r="B57" s="61">
        <f>IF(B14&lt;0,(-B14*Curves!$AO8)/1000,0)</f>
        <v>0</v>
      </c>
      <c r="C57" s="61">
        <f>IF(C14&lt;0,(-C14*Curves!$AO8)/1000,0)</f>
        <v>377.08320000000032</v>
      </c>
      <c r="D57" s="62">
        <f>IF(D14&lt;0,(-D14*Curves!$AO8)/1000,0)</f>
        <v>1171.8720000000001</v>
      </c>
      <c r="F57" s="102">
        <f>B57/B$66*B$70</f>
        <v>0</v>
      </c>
      <c r="G57" s="106">
        <f t="shared" ref="G57:H60" si="0">C57/C$66*C$70</f>
        <v>0.64562629053963871</v>
      </c>
      <c r="H57" s="103">
        <f t="shared" si="0"/>
        <v>7.0816533720087023</v>
      </c>
    </row>
    <row r="58" spans="1:8">
      <c r="A58" s="101" t="s">
        <v>227</v>
      </c>
      <c r="B58" s="61">
        <f>IF(B14&gt;0,(-B14*Curves!$AO8)/1000,0)</f>
        <v>-198.95030646399951</v>
      </c>
      <c r="C58" s="61">
        <f>IF(C14&gt;0,(-C14*Curves!$AO8)/1000,0)</f>
        <v>0</v>
      </c>
      <c r="D58" s="62">
        <f>IF(D14&gt;0,(-D14*Curves!$AO8)/1000,0)</f>
        <v>0</v>
      </c>
      <c r="F58" s="102">
        <f>B58/B$66*B$70</f>
        <v>-0.38239807060621922</v>
      </c>
      <c r="G58" s="106">
        <f t="shared" si="0"/>
        <v>0</v>
      </c>
      <c r="H58" s="103">
        <f t="shared" si="0"/>
        <v>0</v>
      </c>
    </row>
    <row r="59" spans="1:8">
      <c r="A59" s="101" t="s">
        <v>228</v>
      </c>
      <c r="B59" s="61">
        <f>B43</f>
        <v>3497.62</v>
      </c>
      <c r="C59" s="61">
        <f>C43</f>
        <v>3900</v>
      </c>
      <c r="D59" s="62">
        <f>D43</f>
        <v>368.64</v>
      </c>
      <c r="F59" s="102">
        <f>B59/B$66*B$70</f>
        <v>6.7226995699840506</v>
      </c>
      <c r="G59" s="106">
        <f t="shared" si="0"/>
        <v>6.677419023453151</v>
      </c>
      <c r="H59" s="103">
        <f t="shared" si="0"/>
        <v>2.2277012327773749</v>
      </c>
    </row>
    <row r="60" spans="1:8">
      <c r="A60" s="57" t="s">
        <v>164</v>
      </c>
      <c r="B60" s="61">
        <f>IF($I$4=1,+B42*(B29/B8),0)</f>
        <v>0</v>
      </c>
      <c r="C60" s="61">
        <f>IF($I$4=1,+C42*(C29/C8),0)</f>
        <v>0</v>
      </c>
      <c r="D60" s="62">
        <f>IF($I$4=1,+D42*(D29/D8),0)</f>
        <v>0</v>
      </c>
      <c r="F60" s="102">
        <f>B60/B$66*B$70</f>
        <v>0</v>
      </c>
      <c r="G60" s="106">
        <f t="shared" si="0"/>
        <v>0</v>
      </c>
      <c r="H60" s="103">
        <f t="shared" si="0"/>
        <v>0</v>
      </c>
    </row>
    <row r="61" spans="1:8">
      <c r="A61" s="57"/>
      <c r="B61" s="61"/>
      <c r="C61" s="61"/>
      <c r="D61" s="62"/>
      <c r="F61" s="102"/>
      <c r="G61" s="106"/>
      <c r="H61" s="103"/>
    </row>
    <row r="62" spans="1:8">
      <c r="A62" s="57" t="s">
        <v>154</v>
      </c>
      <c r="B62" s="61">
        <f>SUM(B56:B61)</f>
        <v>3814.8091484899342</v>
      </c>
      <c r="C62" s="61">
        <f>SUM(C56:C61)</f>
        <v>4555.9363869181198</v>
      </c>
      <c r="D62" s="62">
        <f>SUM(D56:D61)</f>
        <v>1717.7934507410637</v>
      </c>
      <c r="F62" s="102">
        <f>SUM(F56:F61)</f>
        <v>7.3323619553080386</v>
      </c>
      <c r="G62" s="106">
        <f>SUM(G56:G61)</f>
        <v>7.8004862306793497</v>
      </c>
      <c r="H62" s="103">
        <f>SUM(H56:H61)</f>
        <v>10.380671082554169</v>
      </c>
    </row>
    <row r="63" spans="1:8">
      <c r="A63" s="57"/>
      <c r="B63" s="61"/>
      <c r="C63" s="61"/>
      <c r="D63" s="62"/>
      <c r="F63" s="102"/>
      <c r="G63" s="106"/>
      <c r="H63" s="103"/>
    </row>
    <row r="64" spans="1:8">
      <c r="A64" s="57" t="s">
        <v>235</v>
      </c>
      <c r="B64" s="85">
        <f>+B6*B96/100</f>
        <v>2976.4656016076397</v>
      </c>
      <c r="C64" s="85">
        <f>+C6*C96/100</f>
        <v>4228.5799200000001</v>
      </c>
      <c r="D64" s="86">
        <f>+D6*D96/100</f>
        <v>1260.2956799999999</v>
      </c>
      <c r="F64" s="102">
        <f>B64/B$66*B$70</f>
        <v>5.7209999999999992</v>
      </c>
      <c r="G64" s="106">
        <f>C64/C$66*C$70</f>
        <v>7.24</v>
      </c>
      <c r="H64" s="103">
        <f>D64/D$66*D$70</f>
        <v>7.6159999999999997</v>
      </c>
    </row>
    <row r="65" spans="1:8">
      <c r="A65" s="57"/>
      <c r="B65" s="61"/>
      <c r="C65" s="61"/>
      <c r="D65" s="62"/>
      <c r="F65" s="57"/>
      <c r="G65" s="59"/>
      <c r="H65" s="60"/>
    </row>
    <row r="66" spans="1:8">
      <c r="A66" s="57" t="s">
        <v>47</v>
      </c>
      <c r="B66" s="61">
        <f>SUM(B62:B64)</f>
        <v>6791.2747500975738</v>
      </c>
      <c r="C66" s="61">
        <f>SUM(C62:C64)</f>
        <v>8784.5163069181199</v>
      </c>
      <c r="D66" s="62">
        <f>SUM(D62:D64)</f>
        <v>2978.0891307410639</v>
      </c>
      <c r="F66" s="104">
        <f>SUM(F62:F64)</f>
        <v>13.053361955308038</v>
      </c>
      <c r="G66" s="107">
        <f>SUM(G62:G64)</f>
        <v>15.040486230679349</v>
      </c>
      <c r="H66" s="105">
        <f>SUM(H62:H64)</f>
        <v>17.996671082554169</v>
      </c>
    </row>
    <row r="67" spans="1:8">
      <c r="A67" s="57"/>
      <c r="B67" s="58"/>
      <c r="C67" s="58"/>
      <c r="D67" s="63"/>
    </row>
    <row r="68" spans="1:8">
      <c r="A68" s="57" t="s">
        <v>171</v>
      </c>
      <c r="B68" s="64">
        <f>+B29</f>
        <v>52027.016283999998</v>
      </c>
      <c r="C68" s="64">
        <f>+C29</f>
        <v>58405.8</v>
      </c>
      <c r="D68" s="65">
        <f>+D29</f>
        <v>16548</v>
      </c>
    </row>
    <row r="69" spans="1:8">
      <c r="A69" s="57"/>
      <c r="B69" s="58"/>
      <c r="C69" s="58"/>
      <c r="D69" s="63"/>
    </row>
    <row r="70" spans="1:8">
      <c r="A70" s="57" t="s">
        <v>162</v>
      </c>
      <c r="B70" s="66">
        <f>+B66/B68*100</f>
        <v>13.053361955308038</v>
      </c>
      <c r="C70" s="66">
        <f>+C66/C68*100</f>
        <v>15.040486230679351</v>
      </c>
      <c r="D70" s="67">
        <f>+D66/D68*100</f>
        <v>17.996671082554169</v>
      </c>
    </row>
    <row r="71" spans="1:8">
      <c r="A71" s="57"/>
      <c r="B71" s="58"/>
      <c r="C71" s="59"/>
      <c r="D71" s="60"/>
    </row>
    <row r="72" spans="1:8">
      <c r="A72" s="68" t="s">
        <v>163</v>
      </c>
      <c r="B72" s="69">
        <f>+B31</f>
        <v>14.879414100440558</v>
      </c>
      <c r="C72" s="69">
        <f>+C31</f>
        <v>15.670875152810163</v>
      </c>
      <c r="D72" s="70">
        <f>+D31</f>
        <v>15.923374425912499</v>
      </c>
    </row>
    <row r="73" spans="1:8">
      <c r="A73" s="59"/>
      <c r="B73" s="94"/>
      <c r="C73" s="94"/>
      <c r="D73" s="94"/>
    </row>
    <row r="74" spans="1:8">
      <c r="A74" s="54" t="s">
        <v>219</v>
      </c>
      <c r="B74" s="55"/>
      <c r="C74" s="55"/>
      <c r="D74" s="56"/>
      <c r="F74" s="54" t="s">
        <v>229</v>
      </c>
      <c r="G74" s="55"/>
      <c r="H74" s="56"/>
    </row>
    <row r="75" spans="1:8">
      <c r="A75" s="57"/>
      <c r="B75" s="59"/>
      <c r="C75" s="59"/>
      <c r="D75" s="60"/>
      <c r="F75" s="57"/>
      <c r="G75" s="59"/>
      <c r="H75" s="60"/>
    </row>
    <row r="76" spans="1:8">
      <c r="A76" s="57" t="s">
        <v>161</v>
      </c>
      <c r="B76" s="61">
        <f>B40-B56</f>
        <v>297.26054504606645</v>
      </c>
      <c r="C76" s="61">
        <f>C40-C56</f>
        <v>121.14681308188108</v>
      </c>
      <c r="D76" s="62">
        <f>D40-D56</f>
        <v>7.0385492589363707</v>
      </c>
      <c r="F76" s="102">
        <f t="shared" ref="F76:H78" si="1">B76/B$84*B$88</f>
        <v>0.99206045593020775</v>
      </c>
      <c r="G76" s="106">
        <f t="shared" si="1"/>
        <v>0.47744091668655991</v>
      </c>
      <c r="H76" s="103">
        <f t="shared" si="1"/>
        <v>1.071316477768093</v>
      </c>
    </row>
    <row r="77" spans="1:8">
      <c r="A77" s="57" t="s">
        <v>226</v>
      </c>
      <c r="B77" s="85">
        <f>B7*Curves!$AO$8/1000</f>
        <v>3116.2512828719996</v>
      </c>
      <c r="C77" s="85">
        <f>C7*Curves!$AO$8/1000</f>
        <v>2638.9168000000004</v>
      </c>
      <c r="D77" s="86">
        <f>D7*Curves!$AO$8/1000</f>
        <v>68.328000000000003</v>
      </c>
      <c r="F77" s="102">
        <f t="shared" si="1"/>
        <v>10.4</v>
      </c>
      <c r="G77" s="106">
        <f t="shared" si="1"/>
        <v>10.400000000000002</v>
      </c>
      <c r="H77" s="103">
        <f t="shared" si="1"/>
        <v>10.4</v>
      </c>
    </row>
    <row r="78" spans="1:8">
      <c r="A78" s="57" t="s">
        <v>164</v>
      </c>
      <c r="B78" s="61">
        <f>IF($I$4=1,B42-B60,B42*0.8724)</f>
        <v>496.72711199999998</v>
      </c>
      <c r="C78" s="61">
        <f>IF($I$4=1,C42-C60,C42*0.8724)</f>
        <v>261.71999999999997</v>
      </c>
      <c r="D78" s="62">
        <f>IF($I$4=1,D42-D60,D42*0.8724)</f>
        <v>53.600255999999995</v>
      </c>
      <c r="F78" s="102">
        <f t="shared" si="1"/>
        <v>1.657748844964436</v>
      </c>
      <c r="G78" s="106">
        <f t="shared" si="1"/>
        <v>1.0314413853441684</v>
      </c>
      <c r="H78" s="103">
        <f t="shared" si="1"/>
        <v>8.1583342465753415</v>
      </c>
    </row>
    <row r="79" spans="1:8">
      <c r="A79" s="57"/>
      <c r="B79" s="61"/>
      <c r="C79" s="61"/>
      <c r="D79" s="62"/>
      <c r="F79" s="102"/>
      <c r="G79" s="106"/>
      <c r="H79" s="103"/>
    </row>
    <row r="80" spans="1:8">
      <c r="A80" s="57" t="s">
        <v>154</v>
      </c>
      <c r="B80" s="61">
        <f>SUM(B76:B79)</f>
        <v>3910.2389399180661</v>
      </c>
      <c r="C80" s="61">
        <f>SUM(C76:C79)</f>
        <v>3021.7836130818814</v>
      </c>
      <c r="D80" s="62">
        <f>SUM(D76:D79)</f>
        <v>128.96680525893638</v>
      </c>
      <c r="F80" s="102">
        <f>SUM(F76:F79)</f>
        <v>13.049809300894644</v>
      </c>
      <c r="G80" s="106">
        <f>SUM(G76:G79)</f>
        <v>11.90888230203073</v>
      </c>
      <c r="H80" s="103">
        <f>SUM(H76:H79)</f>
        <v>19.629650724343435</v>
      </c>
    </row>
    <row r="81" spans="1:8">
      <c r="A81" s="57"/>
      <c r="B81" s="61"/>
      <c r="C81" s="61"/>
      <c r="D81" s="62"/>
      <c r="F81" s="102"/>
      <c r="G81" s="106"/>
      <c r="H81" s="103"/>
    </row>
    <row r="82" spans="1:8">
      <c r="A82" s="57" t="s">
        <v>230</v>
      </c>
      <c r="B82" s="85">
        <f>B47-B64</f>
        <v>859.13157239236079</v>
      </c>
      <c r="C82" s="85">
        <f>C47-C64</f>
        <v>918.52007999999842</v>
      </c>
      <c r="D82" s="86">
        <f>D47-D64</f>
        <v>25.024320000000216</v>
      </c>
      <c r="F82" s="102">
        <f>B82/B$84*B$88</f>
        <v>2.8672169032036163</v>
      </c>
      <c r="G82" s="106">
        <f>C82/C$84*C$88</f>
        <v>3.6198976913557805</v>
      </c>
      <c r="H82" s="103">
        <f>D82/D$84*D$88</f>
        <v>3.8088767123287997</v>
      </c>
    </row>
    <row r="83" spans="1:8">
      <c r="A83" s="57"/>
      <c r="B83" s="61"/>
      <c r="C83" s="61"/>
      <c r="D83" s="62"/>
      <c r="F83" s="57"/>
      <c r="G83" s="59"/>
      <c r="H83" s="60"/>
    </row>
    <row r="84" spans="1:8">
      <c r="A84" s="57" t="s">
        <v>47</v>
      </c>
      <c r="B84" s="61">
        <f>SUM(B80:B82)</f>
        <v>4769.3705123104264</v>
      </c>
      <c r="C84" s="61">
        <f>SUM(C80:C82)</f>
        <v>3940.3036930818798</v>
      </c>
      <c r="D84" s="62">
        <f>SUM(D80:D82)</f>
        <v>153.99112525893659</v>
      </c>
      <c r="F84" s="104">
        <f>SUM(F80:F82)</f>
        <v>15.91702620409826</v>
      </c>
      <c r="G84" s="107">
        <f>SUM(G80:G82)</f>
        <v>15.528779993386511</v>
      </c>
      <c r="H84" s="105">
        <f>SUM(H80:H82)</f>
        <v>23.438527436672235</v>
      </c>
    </row>
    <row r="85" spans="1:8">
      <c r="A85" s="57"/>
      <c r="B85" s="58"/>
      <c r="C85" s="58"/>
      <c r="D85" s="63"/>
    </row>
    <row r="86" spans="1:8">
      <c r="A86" s="57" t="s">
        <v>236</v>
      </c>
      <c r="B86" s="64">
        <f>+B33</f>
        <v>29963.954642999997</v>
      </c>
      <c r="C86" s="64">
        <f>+C33</f>
        <v>25374.2</v>
      </c>
      <c r="D86" s="65">
        <f>+D33</f>
        <v>657</v>
      </c>
    </row>
    <row r="87" spans="1:8">
      <c r="A87" s="57"/>
      <c r="B87" s="58"/>
      <c r="C87" s="58"/>
      <c r="D87" s="63"/>
    </row>
    <row r="88" spans="1:8">
      <c r="A88" s="57" t="s">
        <v>220</v>
      </c>
      <c r="B88" s="66">
        <f>+B84/B86*100</f>
        <v>15.917026204098258</v>
      </c>
      <c r="C88" s="66">
        <f>+C84/C86*100</f>
        <v>15.528779993386511</v>
      </c>
      <c r="D88" s="67">
        <f>+D84/D86*100</f>
        <v>23.438527436672235</v>
      </c>
    </row>
    <row r="89" spans="1:8">
      <c r="A89" s="57"/>
      <c r="B89" s="58"/>
      <c r="C89" s="59"/>
      <c r="D89" s="60"/>
    </row>
    <row r="90" spans="1:8">
      <c r="A90" s="68" t="s">
        <v>221</v>
      </c>
      <c r="B90" s="69">
        <f>+B35</f>
        <v>12.211011599080669</v>
      </c>
      <c r="C90" s="69">
        <f>+C35</f>
        <v>12.983266467514246</v>
      </c>
      <c r="D90" s="70">
        <f>+D35</f>
        <v>11.993911719939117</v>
      </c>
    </row>
    <row r="96" spans="1:8">
      <c r="A96" t="s">
        <v>233</v>
      </c>
      <c r="B96" s="108">
        <v>5.7210000000000001</v>
      </c>
      <c r="C96" s="108">
        <v>7.24</v>
      </c>
      <c r="D96" s="108">
        <v>7.6159999999999997</v>
      </c>
    </row>
    <row r="97" spans="1:4">
      <c r="A97" t="s">
        <v>232</v>
      </c>
      <c r="B97" s="108">
        <f>+(B47-(B96*B6/100))/B7*100</f>
        <v>2.8672169032036168</v>
      </c>
      <c r="C97" s="108">
        <f>+(C47-(C96*C6/100))/C7*100</f>
        <v>3.6198976913557801</v>
      </c>
      <c r="D97" s="108">
        <f>+(D47-(D96*D6/100))/D7*100</f>
        <v>3.8088767123288001</v>
      </c>
    </row>
    <row r="98" spans="1:4" s="50" customFormat="1">
      <c r="A98" s="50" t="s">
        <v>47</v>
      </c>
      <c r="B98" s="50">
        <f>+((B96*B6)+(B7*B97))/100</f>
        <v>3835.5971740000009</v>
      </c>
      <c r="C98" s="50">
        <f>+((C96*C6)+(C7*C97))/100</f>
        <v>5147.0999999999985</v>
      </c>
      <c r="D98" s="50">
        <f>+((D96*D6)+(D7*D97))/100</f>
        <v>1285.3200000000002</v>
      </c>
    </row>
    <row r="101" spans="1:4">
      <c r="A101" t="s">
        <v>234</v>
      </c>
      <c r="B101" s="31">
        <f>+B96/B97</f>
        <v>1.9953146877753742</v>
      </c>
      <c r="C101" s="31">
        <f>+C96/C97</f>
        <v>2.0000565257103617</v>
      </c>
      <c r="D101" s="31">
        <f>+D96/D97</f>
        <v>1.9995396478305729</v>
      </c>
    </row>
  </sheetData>
  <mergeCells count="1">
    <mergeCell ref="B2:D2"/>
  </mergeCells>
  <phoneticPr fontId="0" type="noConversion"/>
  <pageMargins left="0.75" right="0.75" top="0.48" bottom="0.45" header="0.5" footer="0.5"/>
  <pageSetup scale="57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9"/>
      <c r="C2" s="89">
        <v>0.02</v>
      </c>
      <c r="D2" s="89">
        <v>0.02</v>
      </c>
      <c r="E2" s="89">
        <v>0.02</v>
      </c>
      <c r="F2" s="89">
        <v>0.02</v>
      </c>
      <c r="G2" s="89">
        <v>0.02</v>
      </c>
      <c r="H2" s="89">
        <v>0.02</v>
      </c>
      <c r="I2" s="89">
        <v>0.02</v>
      </c>
      <c r="J2" s="89">
        <v>0.02</v>
      </c>
      <c r="K2" s="89">
        <v>0.02</v>
      </c>
    </row>
    <row r="3" spans="1:11">
      <c r="A3" t="s">
        <v>214</v>
      </c>
      <c r="B3" s="89"/>
      <c r="C3" s="89">
        <v>0.04</v>
      </c>
      <c r="D3" s="89">
        <v>0.03</v>
      </c>
      <c r="E3" s="89">
        <v>0.02</v>
      </c>
      <c r="F3" s="89">
        <v>0.02</v>
      </c>
      <c r="G3" s="89">
        <v>0.02</v>
      </c>
      <c r="H3" s="89">
        <v>1.4999999999999999E-2</v>
      </c>
      <c r="I3" s="89">
        <v>0.01</v>
      </c>
      <c r="J3" s="89">
        <v>0</v>
      </c>
      <c r="K3" s="89">
        <v>0</v>
      </c>
    </row>
    <row r="4" spans="1:11">
      <c r="A4" t="s">
        <v>215</v>
      </c>
      <c r="B4" s="89"/>
      <c r="C4" s="89">
        <v>0.03</v>
      </c>
      <c r="D4" s="89">
        <v>1.4999999999999999E-2</v>
      </c>
      <c r="E4" s="89">
        <v>0.01</v>
      </c>
      <c r="F4" s="89">
        <v>5.0000000000000001E-3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2">
        <f>'Core &amp; Non-core'!B6</f>
        <v>52027.016283999998</v>
      </c>
      <c r="C8" s="72">
        <f>B8*(1+C2)*(1-(C3+C4))</f>
        <v>49352.827647002392</v>
      </c>
      <c r="D8" s="72">
        <f t="shared" ref="D8:K8" si="0">C8*(1+D2)*(1-(D3+D4))</f>
        <v>48074.589410945031</v>
      </c>
      <c r="E8" s="72">
        <f t="shared" si="0"/>
        <v>47564.998763189018</v>
      </c>
      <c r="F8" s="72">
        <f t="shared" si="0"/>
        <v>47303.39126999148</v>
      </c>
      <c r="G8" s="72">
        <f t="shared" si="0"/>
        <v>47284.469913483488</v>
      </c>
      <c r="H8" s="72">
        <f t="shared" si="0"/>
        <v>47506.706922076861</v>
      </c>
      <c r="I8" s="72">
        <f t="shared" si="0"/>
        <v>47972.272649913211</v>
      </c>
      <c r="J8" s="72">
        <f t="shared" si="0"/>
        <v>48931.71810291148</v>
      </c>
      <c r="K8" s="72">
        <f t="shared" si="0"/>
        <v>49910.352464969714</v>
      </c>
    </row>
    <row r="9" spans="1:11">
      <c r="A9" t="s">
        <v>140</v>
      </c>
      <c r="B9" s="72">
        <f>'Core &amp; Non-core'!B7</f>
        <v>29963.954642999997</v>
      </c>
      <c r="C9" s="72"/>
    </row>
    <row r="10" spans="1:11">
      <c r="A10" t="s">
        <v>165</v>
      </c>
      <c r="B10" s="72">
        <f>'Core &amp; Non-core'!B8</f>
        <v>81990.970927000002</v>
      </c>
      <c r="C10" s="72"/>
    </row>
    <row r="11" spans="1:11">
      <c r="B11" s="72"/>
      <c r="C11" s="72"/>
    </row>
    <row r="12" spans="1:11">
      <c r="A12" t="s">
        <v>169</v>
      </c>
      <c r="B12" s="72">
        <f>'Core &amp; Non-core'!B10</f>
        <v>53939.999999999993</v>
      </c>
      <c r="C12" s="72"/>
    </row>
    <row r="13" spans="1:11">
      <c r="A13" t="s">
        <v>174</v>
      </c>
      <c r="B13" s="72" t="e">
        <f>'Core &amp; Non-core'!#REF!</f>
        <v>#REF!</v>
      </c>
      <c r="C13" s="72"/>
    </row>
    <row r="14" spans="1:11">
      <c r="A14" t="s">
        <v>173</v>
      </c>
      <c r="B14" s="72" t="e">
        <f>'Core &amp; Non-core'!#REF!</f>
        <v>#REF!</v>
      </c>
      <c r="C14" s="72"/>
    </row>
    <row r="15" spans="1:11">
      <c r="B15" s="77"/>
      <c r="C15" s="72"/>
    </row>
    <row r="16" spans="1:11">
      <c r="A16" t="s">
        <v>172</v>
      </c>
      <c r="B16" s="72"/>
      <c r="C16" s="72"/>
    </row>
    <row r="17" spans="1:3">
      <c r="A17" t="s">
        <v>138</v>
      </c>
      <c r="B17" s="72">
        <f>'Core &amp; Non-core'!B13</f>
        <v>-28050.970927000009</v>
      </c>
      <c r="C17" s="72"/>
    </row>
    <row r="18" spans="1:3">
      <c r="A18" t="s">
        <v>132</v>
      </c>
      <c r="B18" s="72">
        <f>'Core &amp; Non-core'!B14</f>
        <v>1912.9837159999952</v>
      </c>
      <c r="C18" s="72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2" t="e">
        <f>'Core &amp; Non-core'!#REF!</f>
        <v>#REF!</v>
      </c>
    </row>
    <row r="22" spans="1:3">
      <c r="A22" t="s">
        <v>132</v>
      </c>
      <c r="B22" s="72" t="e">
        <f>'Core &amp; Non-core'!#REF!</f>
        <v>#REF!</v>
      </c>
    </row>
    <row r="23" spans="1:3">
      <c r="A23" t="s">
        <v>208</v>
      </c>
      <c r="B23" s="72" t="e">
        <f>'Core &amp; Non-core'!#REF!</f>
        <v>#REF!</v>
      </c>
    </row>
    <row r="24" spans="1:3">
      <c r="A24" t="s">
        <v>209</v>
      </c>
      <c r="B24" s="72" t="e">
        <f>'Core &amp; Non-core'!#REF!</f>
        <v>#REF!</v>
      </c>
    </row>
    <row r="25" spans="1:3">
      <c r="B25" s="42"/>
    </row>
    <row r="26" spans="1:3">
      <c r="A26" t="s">
        <v>210</v>
      </c>
      <c r="B26" s="87" t="e">
        <f>SUM(B24:B24)/SUM(B13:B13)</f>
        <v>#REF!</v>
      </c>
    </row>
    <row r="27" spans="1:3">
      <c r="A27" t="s">
        <v>211</v>
      </c>
      <c r="B27" s="73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2">
        <f>'Core &amp; Non-core'!B21</f>
        <v>28847.626315000001</v>
      </c>
    </row>
    <row r="34" spans="1:2" s="73" customFormat="1">
      <c r="A34" s="73" t="s">
        <v>147</v>
      </c>
      <c r="B34" s="72">
        <f>'Core &amp; Non-core'!B22</f>
        <v>3348.1717450000001</v>
      </c>
    </row>
    <row r="35" spans="1:2">
      <c r="A35" t="s">
        <v>159</v>
      </c>
      <c r="B35" s="49">
        <f>+B34/B33*100</f>
        <v>11.606402927020167</v>
      </c>
    </row>
    <row r="36" spans="1:2">
      <c r="B36" s="48"/>
    </row>
    <row r="37" spans="1:2">
      <c r="A37" t="s">
        <v>149</v>
      </c>
      <c r="B37" s="72">
        <f>'Core &amp; Non-core'!B25</f>
        <v>53143.344612000001</v>
      </c>
    </row>
    <row r="38" spans="1:2" s="73" customFormat="1">
      <c r="A38" s="73" t="s">
        <v>148</v>
      </c>
      <c r="B38" s="72">
        <f>'Core &amp; Non-core'!B26</f>
        <v>5169.3163070000001</v>
      </c>
    </row>
    <row r="39" spans="1:2">
      <c r="A39" t="s">
        <v>159</v>
      </c>
      <c r="B39" s="49">
        <f>+B38/B37*100</f>
        <v>9.7271188795910781</v>
      </c>
    </row>
    <row r="41" spans="1:2">
      <c r="A41" t="s">
        <v>141</v>
      </c>
      <c r="B41" s="72">
        <f>'Core &amp; Non-core'!B29</f>
        <v>52027.016283999998</v>
      </c>
    </row>
    <row r="42" spans="1:2" s="73" customFormat="1">
      <c r="A42" s="73" t="s">
        <v>142</v>
      </c>
      <c r="B42" s="72">
        <f>'Core &amp; Non-core'!B30</f>
        <v>7741.3151970000008</v>
      </c>
    </row>
    <row r="43" spans="1:2">
      <c r="A43" t="s">
        <v>159</v>
      </c>
      <c r="B43" s="47">
        <f>+B42/B41*100</f>
        <v>14.879414100440558</v>
      </c>
    </row>
    <row r="45" spans="1:2">
      <c r="A45" t="s">
        <v>143</v>
      </c>
      <c r="B45" s="72">
        <f>'Core &amp; Non-core'!B33</f>
        <v>29963.954642999997</v>
      </c>
    </row>
    <row r="46" spans="1:2" s="73" customFormat="1">
      <c r="A46" s="73" t="s">
        <v>157</v>
      </c>
      <c r="B46" s="72">
        <f>'Core &amp; Non-core'!B34</f>
        <v>3658.9019770000004</v>
      </c>
    </row>
    <row r="47" spans="1:2">
      <c r="A47" t="s">
        <v>159</v>
      </c>
      <c r="B47" s="47">
        <f>+B46/B45*100</f>
        <v>12.211011599080669</v>
      </c>
    </row>
    <row r="50" spans="1:2">
      <c r="B50" s="46" t="s">
        <v>101</v>
      </c>
    </row>
    <row r="52" spans="1:2">
      <c r="A52" t="s">
        <v>150</v>
      </c>
      <c r="B52" s="73">
        <f>83000*0.98*0.01</f>
        <v>813.4</v>
      </c>
    </row>
    <row r="53" spans="1:2">
      <c r="A53" t="s">
        <v>151</v>
      </c>
      <c r="B53" s="73">
        <f>83000*0.98*0.033</f>
        <v>2684.2200000000003</v>
      </c>
    </row>
    <row r="54" spans="1:2">
      <c r="A54" t="s">
        <v>152</v>
      </c>
      <c r="B54" s="73">
        <f>83000*0.98*0.007</f>
        <v>569.38</v>
      </c>
    </row>
    <row r="55" spans="1:2">
      <c r="A55" t="s">
        <v>153</v>
      </c>
      <c r="B55" s="73">
        <f>83000*0.98*0.043</f>
        <v>3497.62</v>
      </c>
    </row>
    <row r="56" spans="1:2">
      <c r="B56" s="73"/>
    </row>
    <row r="57" spans="1:2">
      <c r="A57" t="s">
        <v>154</v>
      </c>
      <c r="B57" s="73">
        <f>SUM(B52:B56)</f>
        <v>7564.6200000000008</v>
      </c>
    </row>
    <row r="58" spans="1:2">
      <c r="B58" s="73"/>
    </row>
    <row r="59" spans="1:2">
      <c r="A59" t="s">
        <v>155</v>
      </c>
      <c r="B59" s="73">
        <f>+B61-B57</f>
        <v>3835.5971740000005</v>
      </c>
    </row>
    <row r="60" spans="1:2">
      <c r="B60" s="73"/>
    </row>
    <row r="61" spans="1:2">
      <c r="A61" t="s">
        <v>156</v>
      </c>
      <c r="B61" s="73">
        <f>+B42+B46</f>
        <v>11400.217174000001</v>
      </c>
    </row>
    <row r="63" spans="1:2">
      <c r="A63" t="s">
        <v>158</v>
      </c>
      <c r="B63" s="78">
        <f>+B59/B10*100</f>
        <v>4.6780726348697508</v>
      </c>
    </row>
    <row r="66" spans="1:2">
      <c r="A66" s="54" t="s">
        <v>160</v>
      </c>
      <c r="B66" s="55"/>
    </row>
    <row r="67" spans="1:2">
      <c r="A67" s="57"/>
      <c r="B67" s="79"/>
    </row>
    <row r="68" spans="1:2">
      <c r="A68" s="57" t="s">
        <v>164</v>
      </c>
      <c r="B68" s="76">
        <f>+B54*(B41/B10)</f>
        <v>361.29761846775352</v>
      </c>
    </row>
    <row r="69" spans="1:2">
      <c r="A69" s="57" t="s">
        <v>153</v>
      </c>
      <c r="B69" s="76">
        <f>+B55</f>
        <v>3497.62</v>
      </c>
    </row>
    <row r="70" spans="1:2">
      <c r="A70" s="57" t="s">
        <v>161</v>
      </c>
      <c r="B70" s="76">
        <f>+B52*(B41/B10)</f>
        <v>516.13945495393352</v>
      </c>
    </row>
    <row r="71" spans="1:2">
      <c r="A71" s="57" t="s">
        <v>166</v>
      </c>
      <c r="B71" s="76">
        <f>((0.08*B10)*133)/1000</f>
        <v>872.38393066328001</v>
      </c>
    </row>
    <row r="72" spans="1:2">
      <c r="A72" s="57" t="s">
        <v>170</v>
      </c>
      <c r="B72" s="88">
        <f>+B59*(B41/B10)</f>
        <v>2433.861611521033</v>
      </c>
    </row>
    <row r="73" spans="1:2">
      <c r="A73" s="57" t="s">
        <v>212</v>
      </c>
      <c r="B73" s="88" t="e">
        <f>-B27</f>
        <v>#REF!</v>
      </c>
    </row>
    <row r="74" spans="1:2">
      <c r="A74" s="57"/>
      <c r="B74" s="76"/>
    </row>
    <row r="75" spans="1:2">
      <c r="A75" s="57" t="s">
        <v>47</v>
      </c>
      <c r="B75" s="76" t="e">
        <f>SUM(B68:B74)</f>
        <v>#REF!</v>
      </c>
    </row>
    <row r="76" spans="1:2">
      <c r="A76" s="57"/>
      <c r="B76" s="79"/>
    </row>
    <row r="77" spans="1:2">
      <c r="A77" s="57" t="s">
        <v>171</v>
      </c>
      <c r="B77" s="80">
        <f>+B41</f>
        <v>52027.016283999998</v>
      </c>
    </row>
    <row r="78" spans="1:2">
      <c r="A78" s="57"/>
      <c r="B78" s="79"/>
    </row>
    <row r="79" spans="1:2">
      <c r="A79" s="57" t="s">
        <v>162</v>
      </c>
      <c r="B79" s="81" t="e">
        <f>+B75/B77*100</f>
        <v>#REF!</v>
      </c>
    </row>
    <row r="80" spans="1:2">
      <c r="A80" s="57"/>
      <c r="B80" s="79"/>
    </row>
    <row r="81" spans="1:2">
      <c r="A81" s="68" t="s">
        <v>163</v>
      </c>
      <c r="B81" s="82">
        <f>+B43</f>
        <v>14.879414100440558</v>
      </c>
    </row>
    <row r="82" spans="1:2">
      <c r="B82" s="83"/>
    </row>
    <row r="83" spans="1:2">
      <c r="A83" t="s">
        <v>168</v>
      </c>
      <c r="B83" s="83"/>
    </row>
    <row r="84" spans="1:2">
      <c r="A84" s="53" t="s">
        <v>167</v>
      </c>
      <c r="B84" s="83"/>
    </row>
    <row r="85" spans="1:2">
      <c r="B85" s="83"/>
    </row>
    <row r="86" spans="1:2">
      <c r="B86" s="83"/>
    </row>
    <row r="87" spans="1:2">
      <c r="B87" s="83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C1" workbookViewId="0">
      <selection activeCell="AN6" sqref="AN6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</cols>
  <sheetData>
    <row r="1" spans="1:41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4"/>
      <c r="AK1" s="50"/>
      <c r="AL1" s="50"/>
    </row>
    <row r="2" spans="1:4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1">
        <v>7.3400000000000007E-2</v>
      </c>
    </row>
    <row r="3" spans="1:41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</row>
    <row r="4" spans="1:41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</row>
    <row r="5" spans="1:41">
      <c r="T5" s="9" t="s">
        <v>193</v>
      </c>
      <c r="U5" s="9"/>
      <c r="V5" s="97">
        <f>XNPV(AB2,V7:V45,S7:S45)</f>
        <v>56045584.010696441</v>
      </c>
      <c r="W5" s="97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9">
        <v>7.3400000000000007E-2</v>
      </c>
      <c r="AO5" s="99">
        <v>7.3400000000000007E-2</v>
      </c>
    </row>
    <row r="6" spans="1:41">
      <c r="A6">
        <v>2001</v>
      </c>
      <c r="B6" t="s">
        <v>117</v>
      </c>
      <c r="C6" s="72">
        <v>13308000</v>
      </c>
      <c r="D6" s="73">
        <f t="shared" ref="D6:D45" si="0">E6*C6/1000</f>
        <v>3792780</v>
      </c>
      <c r="E6" s="73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8">
        <f>NPV(AN5/4,AN8:AN45)</f>
        <v>2825.6336463591024</v>
      </c>
      <c r="AO6" s="98">
        <f>NPV(AO5/4,AO8:AO45)</f>
        <v>2827.6379905690283</v>
      </c>
    </row>
    <row r="7" spans="1:41">
      <c r="B7" t="s">
        <v>118</v>
      </c>
      <c r="C7" s="72">
        <v>17301661</v>
      </c>
      <c r="D7" s="73">
        <f t="shared" si="0"/>
        <v>4550336.8430000003</v>
      </c>
      <c r="E7" s="73">
        <v>263</v>
      </c>
      <c r="G7" s="72">
        <v>6835030</v>
      </c>
      <c r="H7" s="73">
        <f t="shared" ref="H7:H45" si="1">I7*G7/1000</f>
        <v>922729.05</v>
      </c>
      <c r="I7" s="73">
        <v>135</v>
      </c>
      <c r="K7" s="72">
        <v>10466630</v>
      </c>
      <c r="L7" s="73">
        <f t="shared" ref="L7:L45" si="2">K7*M7/1000</f>
        <v>3621453.98</v>
      </c>
      <c r="M7" s="73">
        <v>346</v>
      </c>
      <c r="O7" s="73">
        <f t="shared" ref="O7:O45" si="3">(I7-M7)*G7/1000</f>
        <v>-1442191.33</v>
      </c>
      <c r="Q7" s="73">
        <f>O7</f>
        <v>-1442191.33</v>
      </c>
      <c r="S7" s="74">
        <v>37072</v>
      </c>
      <c r="T7" s="73">
        <f>XNPV($AB$2,O7:$O$45,S7:$S$45)</f>
        <v>-10907674.276881868</v>
      </c>
      <c r="U7" s="73"/>
      <c r="V7" s="96">
        <f>L7+H7</f>
        <v>4544183.03</v>
      </c>
      <c r="W7" s="96">
        <f>$V$5/$X$2</f>
        <v>1437066.2566845242</v>
      </c>
      <c r="X7" s="98"/>
      <c r="Y7" t="s">
        <v>204</v>
      </c>
      <c r="AB7" s="95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3">
        <v>346</v>
      </c>
      <c r="AL7">
        <v>1</v>
      </c>
    </row>
    <row r="8" spans="1:41">
      <c r="B8" t="s">
        <v>119</v>
      </c>
      <c r="C8" s="72">
        <v>21250889</v>
      </c>
      <c r="D8" s="73">
        <f t="shared" si="0"/>
        <v>3676403.7969999998</v>
      </c>
      <c r="E8" s="73">
        <v>173</v>
      </c>
      <c r="G8" s="72">
        <v>8241181</v>
      </c>
      <c r="H8" s="73">
        <f t="shared" si="1"/>
        <v>1137282.9779999999</v>
      </c>
      <c r="I8" s="73">
        <v>138</v>
      </c>
      <c r="K8" s="72">
        <v>13009708</v>
      </c>
      <c r="L8" s="73">
        <f t="shared" si="2"/>
        <v>2536893.06</v>
      </c>
      <c r="M8" s="73">
        <f t="shared" ref="M8:M45" si="4">IF($AA$5=1,AK8,IF($AA$5=2,$AA$10*AJ8+(1-$AA$10)*AI8,$AA$10*AF8+(1-$AA$10)*AE8))</f>
        <v>195</v>
      </c>
      <c r="O8" s="73">
        <f t="shared" si="3"/>
        <v>-469747.31699999998</v>
      </c>
      <c r="Q8" s="73">
        <f t="shared" ref="Q8:Q45" si="5">O8+Q7*(1+$AB$2)^0.25</f>
        <v>-1937704.1273598524</v>
      </c>
      <c r="S8" s="74">
        <v>37164</v>
      </c>
      <c r="T8" s="73">
        <f>XNPV($AB$2,O8:$O$45,S8:$S$45)</f>
        <v>-9635990.9596833661</v>
      </c>
      <c r="U8" s="73"/>
      <c r="V8" s="96">
        <f t="shared" ref="V8:V45" si="6">L8+H8</f>
        <v>3674176.0379999997</v>
      </c>
      <c r="W8" s="96">
        <f t="shared" ref="W8:W45" si="7">$V$5/$X$2</f>
        <v>1437066.2566845242</v>
      </c>
      <c r="X8" s="98"/>
      <c r="Y8" t="s">
        <v>205</v>
      </c>
      <c r="AB8" s="95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3">
        <v>195</v>
      </c>
      <c r="AL8">
        <f t="shared" ref="AL8:AL45" si="10">AL7*(1+$AA$12)^0.25</f>
        <v>1.003729088938093</v>
      </c>
      <c r="AN8" s="100">
        <f>+AK8</f>
        <v>195</v>
      </c>
      <c r="AO8">
        <v>104</v>
      </c>
    </row>
    <row r="9" spans="1:41">
      <c r="B9" t="s">
        <v>120</v>
      </c>
      <c r="C9" s="72">
        <v>17494520</v>
      </c>
      <c r="D9" s="73">
        <f t="shared" si="0"/>
        <v>3096530.04</v>
      </c>
      <c r="E9" s="73">
        <v>177</v>
      </c>
      <c r="G9" s="72">
        <v>7583534</v>
      </c>
      <c r="H9" s="73">
        <f t="shared" si="1"/>
        <v>940358.21600000001</v>
      </c>
      <c r="I9" s="73">
        <v>124</v>
      </c>
      <c r="K9" s="72">
        <v>9910986</v>
      </c>
      <c r="L9" s="73">
        <f t="shared" si="2"/>
        <v>2140772.9759999998</v>
      </c>
      <c r="M9" s="73">
        <f t="shared" si="4"/>
        <v>216</v>
      </c>
      <c r="O9" s="73">
        <f t="shared" si="3"/>
        <v>-697685.12800000003</v>
      </c>
      <c r="Q9" s="73">
        <f t="shared" si="5"/>
        <v>-2670007.3234331748</v>
      </c>
      <c r="S9" s="74">
        <v>37256</v>
      </c>
      <c r="T9" s="73">
        <f>XNPV($AB$2,O9:$O$45,S9:$S$45)</f>
        <v>-9331361.2597282752</v>
      </c>
      <c r="U9" s="73"/>
      <c r="V9" s="96">
        <f t="shared" si="6"/>
        <v>3081131.1919999998</v>
      </c>
      <c r="W9" s="96">
        <f t="shared" si="7"/>
        <v>1437066.2566845242</v>
      </c>
      <c r="X9" s="98"/>
      <c r="AB9" s="95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3">
        <v>216</v>
      </c>
      <c r="AL9">
        <f t="shared" si="10"/>
        <v>1.0074720839804943</v>
      </c>
      <c r="AN9" s="100">
        <f t="shared" ref="AN9:AN45" si="11">+AK9</f>
        <v>216</v>
      </c>
      <c r="AO9">
        <f>+AO8</f>
        <v>104</v>
      </c>
    </row>
    <row r="10" spans="1:41">
      <c r="A10">
        <v>2002</v>
      </c>
      <c r="B10" t="s">
        <v>117</v>
      </c>
      <c r="C10" s="72">
        <v>13607508</v>
      </c>
      <c r="D10" s="73">
        <f t="shared" si="0"/>
        <v>1837013.58</v>
      </c>
      <c r="E10" s="73">
        <v>135</v>
      </c>
      <c r="G10" s="72">
        <v>8874797</v>
      </c>
      <c r="H10" s="73">
        <f t="shared" si="1"/>
        <v>887479.7</v>
      </c>
      <c r="I10" s="73">
        <v>100</v>
      </c>
      <c r="K10" s="72">
        <v>4732711</v>
      </c>
      <c r="L10" s="73">
        <f t="shared" si="2"/>
        <v>946542.2</v>
      </c>
      <c r="M10" s="73">
        <f t="shared" si="4"/>
        <v>200</v>
      </c>
      <c r="O10" s="73">
        <f t="shared" si="3"/>
        <v>-887479.7</v>
      </c>
      <c r="Q10" s="73">
        <f t="shared" si="5"/>
        <v>-3605188.0599194914</v>
      </c>
      <c r="S10" s="74">
        <v>37346</v>
      </c>
      <c r="T10" s="73">
        <f>XNPV($AB$2,O10:$O$45,S10:$S$45)</f>
        <v>-8785789.6896330938</v>
      </c>
      <c r="U10" s="73"/>
      <c r="V10" s="96">
        <f t="shared" si="6"/>
        <v>1834021.9</v>
      </c>
      <c r="W10" s="96">
        <f t="shared" si="7"/>
        <v>1437066.2566845242</v>
      </c>
      <c r="X10" s="98"/>
      <c r="Y10" t="s">
        <v>206</v>
      </c>
      <c r="AA10" s="75">
        <v>0.4</v>
      </c>
      <c r="AB10" s="95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3">
        <v>200</v>
      </c>
      <c r="AL10">
        <f t="shared" si="10"/>
        <v>1.0112290369843033</v>
      </c>
      <c r="AN10" s="100">
        <f t="shared" si="11"/>
        <v>200</v>
      </c>
      <c r="AO10">
        <f t="shared" ref="AO10:AO45" si="12">+AO9</f>
        <v>104</v>
      </c>
    </row>
    <row r="11" spans="1:41">
      <c r="B11" t="s">
        <v>118</v>
      </c>
      <c r="C11" s="72">
        <v>15078598</v>
      </c>
      <c r="D11" s="73">
        <f t="shared" si="0"/>
        <v>1914981.946</v>
      </c>
      <c r="E11" s="73">
        <v>127</v>
      </c>
      <c r="G11" s="72">
        <v>9736927</v>
      </c>
      <c r="H11" s="73">
        <f t="shared" si="1"/>
        <v>1032114.262</v>
      </c>
      <c r="I11" s="73">
        <v>106</v>
      </c>
      <c r="K11" s="72">
        <v>5341672</v>
      </c>
      <c r="L11" s="73">
        <f t="shared" si="2"/>
        <v>886717.55200000003</v>
      </c>
      <c r="M11" s="73">
        <f t="shared" si="4"/>
        <v>166</v>
      </c>
      <c r="O11" s="73">
        <f t="shared" si="3"/>
        <v>-584215.62</v>
      </c>
      <c r="Q11" s="73">
        <f t="shared" si="5"/>
        <v>-4253812.1950860815</v>
      </c>
      <c r="S11" s="74">
        <v>37437</v>
      </c>
      <c r="T11" s="73">
        <f>XNPV($AB$2,O11:$O$45,S11:$S$45)</f>
        <v>-8039027.2889281157</v>
      </c>
      <c r="U11" s="73"/>
      <c r="V11" s="96">
        <f t="shared" si="6"/>
        <v>1918831.814</v>
      </c>
      <c r="W11" s="96">
        <f t="shared" si="7"/>
        <v>1437066.2566845242</v>
      </c>
      <c r="X11" s="98"/>
      <c r="AB11" s="95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3">
        <v>166</v>
      </c>
      <c r="AL11">
        <f t="shared" si="10"/>
        <v>1.0149999999999999</v>
      </c>
      <c r="AN11" s="100">
        <f t="shared" si="11"/>
        <v>166</v>
      </c>
      <c r="AO11">
        <f t="shared" si="12"/>
        <v>104</v>
      </c>
    </row>
    <row r="12" spans="1:41">
      <c r="B12" t="s">
        <v>119</v>
      </c>
      <c r="C12" s="72">
        <v>21547911</v>
      </c>
      <c r="D12" s="73">
        <f t="shared" si="0"/>
        <v>2822776.341</v>
      </c>
      <c r="E12" s="73">
        <v>131</v>
      </c>
      <c r="G12" s="72">
        <v>12466863</v>
      </c>
      <c r="H12" s="73">
        <f t="shared" si="1"/>
        <v>1396288.656</v>
      </c>
      <c r="I12" s="73">
        <v>112</v>
      </c>
      <c r="K12" s="72">
        <v>9081049</v>
      </c>
      <c r="L12" s="73">
        <f t="shared" si="2"/>
        <v>1425724.693</v>
      </c>
      <c r="M12" s="73">
        <f t="shared" si="4"/>
        <v>157</v>
      </c>
      <c r="O12" s="73">
        <f t="shared" si="3"/>
        <v>-561008.83499999996</v>
      </c>
      <c r="Q12" s="73">
        <f t="shared" si="5"/>
        <v>-4890817.5447558723</v>
      </c>
      <c r="S12" s="74">
        <v>37529</v>
      </c>
      <c r="T12" s="73">
        <f>XNPV($AB$2,O12:$O$45,S12:$S$45)</f>
        <v>-7589100.1284405924</v>
      </c>
      <c r="U12" s="73"/>
      <c r="V12" s="96">
        <f t="shared" si="6"/>
        <v>2822013.3489999999</v>
      </c>
      <c r="W12" s="96">
        <f t="shared" si="7"/>
        <v>1437066.2566845242</v>
      </c>
      <c r="X12" s="98"/>
      <c r="Y12" t="s">
        <v>207</v>
      </c>
      <c r="AA12" s="71">
        <v>1.4999999999999999E-2</v>
      </c>
      <c r="AB12" s="95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3">
        <v>157</v>
      </c>
      <c r="AL12">
        <f t="shared" si="10"/>
        <v>1.0187850252721642</v>
      </c>
      <c r="AN12" s="100">
        <f t="shared" si="11"/>
        <v>157</v>
      </c>
      <c r="AO12">
        <f t="shared" si="12"/>
        <v>104</v>
      </c>
    </row>
    <row r="13" spans="1:41">
      <c r="B13" t="s">
        <v>120</v>
      </c>
      <c r="C13" s="72">
        <v>18261734</v>
      </c>
      <c r="D13" s="73">
        <f t="shared" si="0"/>
        <v>2209669.8139999998</v>
      </c>
      <c r="E13" s="73">
        <v>121</v>
      </c>
      <c r="G13" s="72">
        <v>11408290</v>
      </c>
      <c r="H13" s="73">
        <f t="shared" si="1"/>
        <v>1060970.97</v>
      </c>
      <c r="I13" s="73">
        <v>93</v>
      </c>
      <c r="K13" s="72">
        <v>6853444</v>
      </c>
      <c r="L13" s="73">
        <f t="shared" si="2"/>
        <v>1151378.5919999999</v>
      </c>
      <c r="M13" s="73">
        <f t="shared" si="4"/>
        <v>168</v>
      </c>
      <c r="O13" s="73">
        <f t="shared" si="3"/>
        <v>-855621.75</v>
      </c>
      <c r="Q13" s="73">
        <f t="shared" si="5"/>
        <v>-5833816.2334267134</v>
      </c>
      <c r="S13" s="74">
        <v>37621</v>
      </c>
      <c r="T13" s="73">
        <f>XNPV($AB$2,O13:$O$45,S13:$S$45)</f>
        <v>-7154692.9562354954</v>
      </c>
      <c r="U13" s="73"/>
      <c r="V13" s="96">
        <f t="shared" si="6"/>
        <v>2212349.5619999999</v>
      </c>
      <c r="W13" s="96">
        <f t="shared" si="7"/>
        <v>1437066.2566845242</v>
      </c>
      <c r="X13" s="98"/>
      <c r="Y13" t="s">
        <v>192</v>
      </c>
      <c r="AB13" s="95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3">
        <v>168</v>
      </c>
      <c r="AL13">
        <f t="shared" si="10"/>
        <v>1.0225841652402015</v>
      </c>
      <c r="AN13" s="100">
        <f t="shared" si="11"/>
        <v>168</v>
      </c>
      <c r="AO13">
        <f t="shared" si="12"/>
        <v>104</v>
      </c>
    </row>
    <row r="14" spans="1:41">
      <c r="A14">
        <v>2003</v>
      </c>
      <c r="B14" t="s">
        <v>117</v>
      </c>
      <c r="C14" s="72">
        <v>16026397</v>
      </c>
      <c r="D14" s="73">
        <f t="shared" si="0"/>
        <v>1570586.906</v>
      </c>
      <c r="E14" s="73">
        <v>98</v>
      </c>
      <c r="G14" s="72">
        <v>12528699</v>
      </c>
      <c r="H14" s="73">
        <f t="shared" si="1"/>
        <v>1089996.8130000001</v>
      </c>
      <c r="I14" s="73">
        <v>87</v>
      </c>
      <c r="K14" s="72">
        <v>3497698</v>
      </c>
      <c r="L14" s="73">
        <f t="shared" si="2"/>
        <v>479184.62599999999</v>
      </c>
      <c r="M14" s="73">
        <f t="shared" si="4"/>
        <v>137</v>
      </c>
      <c r="O14" s="73">
        <f t="shared" si="3"/>
        <v>-626434.94999999995</v>
      </c>
      <c r="Q14" s="73">
        <f t="shared" si="5"/>
        <v>-6564475.2724630442</v>
      </c>
      <c r="S14" s="74">
        <v>37711</v>
      </c>
      <c r="T14" s="73">
        <f>XNPV($AB$2,O14:$O$45,S14:$S$45)</f>
        <v>-6410052.2203547396</v>
      </c>
      <c r="U14" s="73"/>
      <c r="V14" s="96">
        <f t="shared" si="6"/>
        <v>1569181.439</v>
      </c>
      <c r="W14" s="96">
        <f t="shared" si="7"/>
        <v>1437066.2566845242</v>
      </c>
      <c r="X14" s="98"/>
      <c r="AB14" s="95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3">
        <v>137</v>
      </c>
      <c r="AL14">
        <f t="shared" si="10"/>
        <v>1.0263974725390677</v>
      </c>
      <c r="AN14" s="100">
        <f t="shared" si="11"/>
        <v>137</v>
      </c>
      <c r="AO14">
        <f t="shared" si="12"/>
        <v>104</v>
      </c>
    </row>
    <row r="15" spans="1:41">
      <c r="B15" t="s">
        <v>118</v>
      </c>
      <c r="C15" s="72">
        <v>16532781</v>
      </c>
      <c r="D15" s="73">
        <f t="shared" si="0"/>
        <v>1521015.852</v>
      </c>
      <c r="E15" s="73">
        <v>92</v>
      </c>
      <c r="G15" s="72">
        <v>13862979</v>
      </c>
      <c r="H15" s="73">
        <f t="shared" si="1"/>
        <v>1206079.173</v>
      </c>
      <c r="I15" s="73">
        <v>87</v>
      </c>
      <c r="K15" s="72">
        <v>2669802</v>
      </c>
      <c r="L15" s="73">
        <f t="shared" si="2"/>
        <v>312366.83399999997</v>
      </c>
      <c r="M15" s="73">
        <f t="shared" si="4"/>
        <v>117</v>
      </c>
      <c r="O15" s="73">
        <f t="shared" si="3"/>
        <v>-415889.37</v>
      </c>
      <c r="Q15" s="73">
        <f t="shared" si="5"/>
        <v>-7097642.3262121091</v>
      </c>
      <c r="S15" s="74">
        <v>37802</v>
      </c>
      <c r="T15" s="73">
        <f>XNPV($AB$2,O15:$O$45,S15:$S$45)</f>
        <v>-5886658.9341421267</v>
      </c>
      <c r="U15" s="73"/>
      <c r="V15" s="96">
        <f t="shared" si="6"/>
        <v>1518446.007</v>
      </c>
      <c r="W15" s="96">
        <f t="shared" si="7"/>
        <v>1437066.2566845242</v>
      </c>
      <c r="X15" s="98"/>
      <c r="AB15" s="95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3">
        <v>117</v>
      </c>
      <c r="AL15">
        <f t="shared" si="10"/>
        <v>1.0302249999999997</v>
      </c>
      <c r="AN15" s="100">
        <f t="shared" si="11"/>
        <v>117</v>
      </c>
      <c r="AO15">
        <f t="shared" si="12"/>
        <v>104</v>
      </c>
    </row>
    <row r="16" spans="1:41">
      <c r="B16" t="s">
        <v>119</v>
      </c>
      <c r="C16" s="72">
        <v>24085451</v>
      </c>
      <c r="D16" s="73">
        <f t="shared" si="0"/>
        <v>2360374.1979999999</v>
      </c>
      <c r="E16" s="73">
        <v>98</v>
      </c>
      <c r="G16" s="72">
        <v>18336722</v>
      </c>
      <c r="H16" s="73">
        <f t="shared" si="1"/>
        <v>1686978.4240000001</v>
      </c>
      <c r="I16" s="73">
        <v>92</v>
      </c>
      <c r="K16" s="72">
        <v>5748729</v>
      </c>
      <c r="L16" s="73">
        <f t="shared" si="2"/>
        <v>689847.48</v>
      </c>
      <c r="M16" s="73">
        <f t="shared" si="4"/>
        <v>120</v>
      </c>
      <c r="O16" s="73">
        <f t="shared" si="3"/>
        <v>-513428.21600000001</v>
      </c>
      <c r="Q16" s="73">
        <f t="shared" si="5"/>
        <v>-7737873.5260833791</v>
      </c>
      <c r="S16" s="74">
        <v>37894</v>
      </c>
      <c r="T16" s="73">
        <f>XNPV($AB$2,O16:$O$45,S16:$S$45)</f>
        <v>-5569318.1592969121</v>
      </c>
      <c r="U16" s="73"/>
      <c r="V16" s="96">
        <f t="shared" si="6"/>
        <v>2376825.9040000001</v>
      </c>
      <c r="W16" s="96">
        <f t="shared" si="7"/>
        <v>1437066.2566845242</v>
      </c>
      <c r="X16" s="98"/>
      <c r="AB16" s="95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3">
        <v>120</v>
      </c>
      <c r="AL16">
        <f t="shared" si="10"/>
        <v>1.0340668006512466</v>
      </c>
      <c r="AN16" s="100">
        <f t="shared" si="11"/>
        <v>120</v>
      </c>
      <c r="AO16">
        <f t="shared" si="12"/>
        <v>104</v>
      </c>
    </row>
    <row r="17" spans="1:41">
      <c r="B17" t="s">
        <v>120</v>
      </c>
      <c r="C17" s="72">
        <v>22311602</v>
      </c>
      <c r="D17" s="73">
        <f t="shared" si="0"/>
        <v>1851862.966</v>
      </c>
      <c r="E17" s="73">
        <v>83</v>
      </c>
      <c r="G17" s="72">
        <v>19737558</v>
      </c>
      <c r="H17" s="73">
        <f t="shared" si="1"/>
        <v>1598742.1980000001</v>
      </c>
      <c r="I17" s="73">
        <v>81</v>
      </c>
      <c r="K17" s="72">
        <v>2574043</v>
      </c>
      <c r="L17" s="73">
        <f t="shared" si="2"/>
        <v>265126.429</v>
      </c>
      <c r="M17" s="73">
        <f t="shared" si="4"/>
        <v>103</v>
      </c>
      <c r="O17" s="73">
        <f t="shared" si="3"/>
        <v>-434226.27600000001</v>
      </c>
      <c r="Q17" s="73">
        <f t="shared" si="5"/>
        <v>-8310340.841407421</v>
      </c>
      <c r="S17" s="74">
        <v>37986</v>
      </c>
      <c r="T17" s="73">
        <f>XNPV($AB$2,O17:$O$45,S17:$S$45)</f>
        <v>-5146965.0370889958</v>
      </c>
      <c r="U17" s="73"/>
      <c r="V17" s="96">
        <f t="shared" si="6"/>
        <v>1863868.6270000001</v>
      </c>
      <c r="W17" s="96">
        <f t="shared" si="7"/>
        <v>1437066.2566845242</v>
      </c>
      <c r="X17" s="98"/>
      <c r="AB17" s="95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3">
        <v>103</v>
      </c>
      <c r="AL17">
        <f t="shared" si="10"/>
        <v>1.0379229277188042</v>
      </c>
      <c r="AN17" s="100">
        <f t="shared" si="11"/>
        <v>103</v>
      </c>
      <c r="AO17">
        <f t="shared" si="12"/>
        <v>104</v>
      </c>
    </row>
    <row r="18" spans="1:41">
      <c r="A18">
        <v>2004</v>
      </c>
      <c r="B18" t="s">
        <v>117</v>
      </c>
      <c r="C18" s="72">
        <v>21643805</v>
      </c>
      <c r="D18" s="73">
        <f t="shared" si="0"/>
        <v>1666572.9850000001</v>
      </c>
      <c r="E18" s="73">
        <v>77</v>
      </c>
      <c r="G18" s="72">
        <v>21398531</v>
      </c>
      <c r="H18" s="73">
        <f t="shared" si="1"/>
        <v>1626288.3559999999</v>
      </c>
      <c r="I18" s="73">
        <v>76</v>
      </c>
      <c r="K18" s="72">
        <v>245274</v>
      </c>
      <c r="L18" s="73">
        <f t="shared" si="2"/>
        <v>22319.934000000001</v>
      </c>
      <c r="M18" s="73">
        <f t="shared" si="4"/>
        <v>91</v>
      </c>
      <c r="O18" s="73">
        <f t="shared" si="3"/>
        <v>-320977.96500000003</v>
      </c>
      <c r="Q18" s="73">
        <f t="shared" si="5"/>
        <v>-8779787.26498078</v>
      </c>
      <c r="S18" s="74">
        <v>38077</v>
      </c>
      <c r="T18" s="73">
        <f>XNPV($AB$2,O18:$O$45,S18:$S$45)</f>
        <v>-4796701.5166169275</v>
      </c>
      <c r="U18" s="73"/>
      <c r="V18" s="96">
        <f t="shared" si="6"/>
        <v>1648608.2899999998</v>
      </c>
      <c r="W18" s="96">
        <f t="shared" si="7"/>
        <v>1437066.2566845242</v>
      </c>
      <c r="X18" s="98"/>
      <c r="AB18" s="95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3">
        <v>91</v>
      </c>
      <c r="AL18">
        <f t="shared" si="10"/>
        <v>1.0417934346271536</v>
      </c>
      <c r="AN18" s="100">
        <f t="shared" si="11"/>
        <v>91</v>
      </c>
      <c r="AO18">
        <f t="shared" si="12"/>
        <v>104</v>
      </c>
    </row>
    <row r="19" spans="1:41">
      <c r="B19" t="s">
        <v>118</v>
      </c>
      <c r="C19" s="72">
        <v>20861843</v>
      </c>
      <c r="D19" s="73">
        <f t="shared" si="0"/>
        <v>1606361.9110000001</v>
      </c>
      <c r="E19" s="73">
        <v>77</v>
      </c>
      <c r="G19" s="72">
        <v>20019949</v>
      </c>
      <c r="H19" s="73">
        <f t="shared" si="1"/>
        <v>1541536.0730000001</v>
      </c>
      <c r="I19" s="73">
        <v>77</v>
      </c>
      <c r="K19" s="72">
        <v>841894</v>
      </c>
      <c r="L19" s="73">
        <f t="shared" si="2"/>
        <v>76612.354000000007</v>
      </c>
      <c r="M19" s="73">
        <f t="shared" si="4"/>
        <v>91</v>
      </c>
      <c r="O19" s="73">
        <f t="shared" si="3"/>
        <v>-280279.28600000002</v>
      </c>
      <c r="Q19" s="73">
        <f t="shared" si="5"/>
        <v>-9216921.9082651325</v>
      </c>
      <c r="S19" s="74">
        <v>38168</v>
      </c>
      <c r="T19" s="73">
        <f>XNPV($AB$2,O19:$O$45,S19:$S$45)</f>
        <v>-4555463.6139088999</v>
      </c>
      <c r="U19" s="73"/>
      <c r="V19" s="96">
        <f t="shared" si="6"/>
        <v>1618148.4270000001</v>
      </c>
      <c r="W19" s="96">
        <f t="shared" si="7"/>
        <v>1437066.2566845242</v>
      </c>
      <c r="X19" s="98"/>
      <c r="AB19" s="95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3">
        <v>91</v>
      </c>
      <c r="AL19">
        <f t="shared" si="10"/>
        <v>1.0456783749999996</v>
      </c>
      <c r="AN19" s="100">
        <f t="shared" si="11"/>
        <v>91</v>
      </c>
      <c r="AO19">
        <f t="shared" si="12"/>
        <v>104</v>
      </c>
    </row>
    <row r="20" spans="1:41">
      <c r="B20" t="s">
        <v>119</v>
      </c>
      <c r="C20" s="72">
        <v>26363885</v>
      </c>
      <c r="D20" s="73">
        <f t="shared" si="0"/>
        <v>2161838.5699999998</v>
      </c>
      <c r="E20" s="73">
        <v>82</v>
      </c>
      <c r="G20" s="72">
        <v>21412396</v>
      </c>
      <c r="H20" s="73">
        <f t="shared" si="1"/>
        <v>1734404.0759999999</v>
      </c>
      <c r="I20" s="73">
        <v>81</v>
      </c>
      <c r="K20" s="72">
        <v>4951489</v>
      </c>
      <c r="L20" s="73">
        <f t="shared" si="2"/>
        <v>420876.565</v>
      </c>
      <c r="M20" s="73">
        <f t="shared" si="4"/>
        <v>85</v>
      </c>
      <c r="O20" s="73">
        <f t="shared" si="3"/>
        <v>-85649.584000000003</v>
      </c>
      <c r="Q20" s="73">
        <f t="shared" si="5"/>
        <v>-9467236.4818998296</v>
      </c>
      <c r="S20" s="74">
        <v>38260</v>
      </c>
      <c r="T20" s="73">
        <f>XNPV($AB$2,O20:$O$45,S20:$S$45)</f>
        <v>-4352196.0544317383</v>
      </c>
      <c r="U20" s="73"/>
      <c r="V20" s="96">
        <f t="shared" si="6"/>
        <v>2155280.6409999998</v>
      </c>
      <c r="W20" s="96">
        <f t="shared" si="7"/>
        <v>1437066.2566845242</v>
      </c>
      <c r="X20" s="98"/>
      <c r="AB20" s="95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3">
        <v>85</v>
      </c>
      <c r="AL20">
        <f t="shared" si="10"/>
        <v>1.0495778026610152</v>
      </c>
      <c r="AN20" s="100">
        <f t="shared" si="11"/>
        <v>85</v>
      </c>
      <c r="AO20">
        <f t="shared" si="12"/>
        <v>104</v>
      </c>
    </row>
    <row r="21" spans="1:41">
      <c r="B21" t="s">
        <v>120</v>
      </c>
      <c r="C21" s="72">
        <v>24659502</v>
      </c>
      <c r="D21" s="73">
        <f t="shared" si="0"/>
        <v>1800143.6459999999</v>
      </c>
      <c r="E21" s="73">
        <v>73</v>
      </c>
      <c r="G21" s="72">
        <v>23182863</v>
      </c>
      <c r="H21" s="73">
        <f t="shared" si="1"/>
        <v>1715531.862</v>
      </c>
      <c r="I21" s="73">
        <v>74</v>
      </c>
      <c r="K21" s="72">
        <v>1476640</v>
      </c>
      <c r="L21" s="73">
        <f t="shared" si="2"/>
        <v>98934.88</v>
      </c>
      <c r="M21" s="73">
        <f t="shared" si="4"/>
        <v>67</v>
      </c>
      <c r="O21" s="73">
        <f t="shared" si="3"/>
        <v>162280.041</v>
      </c>
      <c r="Q21" s="73">
        <f t="shared" si="5"/>
        <v>-9474093.4274857007</v>
      </c>
      <c r="S21" s="74">
        <v>38352</v>
      </c>
      <c r="T21" s="73">
        <f>XNPV($AB$2,O21:$O$45,S21:$S$45)</f>
        <v>-4343402.5975074526</v>
      </c>
      <c r="U21" s="73"/>
      <c r="V21" s="96">
        <f t="shared" si="6"/>
        <v>1814466.7420000001</v>
      </c>
      <c r="W21" s="96">
        <f t="shared" si="7"/>
        <v>1437066.2566845242</v>
      </c>
      <c r="X21" s="98"/>
      <c r="AB21" s="95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3">
        <v>67</v>
      </c>
      <c r="AL21">
        <f t="shared" si="10"/>
        <v>1.0534917716345864</v>
      </c>
      <c r="AN21" s="100">
        <f t="shared" si="11"/>
        <v>67</v>
      </c>
      <c r="AO21">
        <f t="shared" si="12"/>
        <v>104</v>
      </c>
    </row>
    <row r="22" spans="1:41">
      <c r="A22">
        <v>2005</v>
      </c>
      <c r="B22" t="s">
        <v>117</v>
      </c>
      <c r="C22" s="72">
        <v>21135169</v>
      </c>
      <c r="D22" s="73">
        <f t="shared" si="0"/>
        <v>1416056.3230000001</v>
      </c>
      <c r="E22" s="73">
        <v>67</v>
      </c>
      <c r="G22" s="72">
        <v>20750188</v>
      </c>
      <c r="H22" s="73">
        <f t="shared" si="1"/>
        <v>1369512.4080000001</v>
      </c>
      <c r="I22" s="73">
        <v>66</v>
      </c>
      <c r="K22" s="72">
        <v>384980</v>
      </c>
      <c r="L22" s="73">
        <f t="shared" si="2"/>
        <v>30798.400000000001</v>
      </c>
      <c r="M22" s="73">
        <f t="shared" si="4"/>
        <v>80</v>
      </c>
      <c r="O22" s="73">
        <f t="shared" si="3"/>
        <v>-290502.63199999998</v>
      </c>
      <c r="Q22" s="73">
        <f t="shared" si="5"/>
        <v>-9933855.5488859657</v>
      </c>
      <c r="S22" s="74">
        <v>38442</v>
      </c>
      <c r="T22" s="73">
        <f>XNPV($AB$2,O22:$O$45,S22:$S$45)</f>
        <v>-4585066.600388377</v>
      </c>
      <c r="U22" s="73"/>
      <c r="V22" s="96">
        <f t="shared" si="6"/>
        <v>1400310.808</v>
      </c>
      <c r="W22" s="96">
        <f t="shared" si="7"/>
        <v>1437066.2566845242</v>
      </c>
      <c r="X22" s="98"/>
      <c r="AB22" s="95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3">
        <v>80</v>
      </c>
      <c r="AL22">
        <f t="shared" si="10"/>
        <v>1.0574203361465608</v>
      </c>
      <c r="AN22" s="100">
        <f t="shared" si="11"/>
        <v>80</v>
      </c>
      <c r="AO22">
        <f t="shared" si="12"/>
        <v>104</v>
      </c>
    </row>
    <row r="23" spans="1:41">
      <c r="B23" t="s">
        <v>118</v>
      </c>
      <c r="C23" s="72">
        <v>20467158</v>
      </c>
      <c r="D23" s="73">
        <f t="shared" si="0"/>
        <v>1391766.7439999999</v>
      </c>
      <c r="E23" s="73">
        <v>68</v>
      </c>
      <c r="G23" s="72">
        <v>19542403</v>
      </c>
      <c r="H23" s="73">
        <f t="shared" si="1"/>
        <v>1309341.0009999999</v>
      </c>
      <c r="I23" s="73">
        <v>67</v>
      </c>
      <c r="K23" s="72">
        <v>924755</v>
      </c>
      <c r="L23" s="73">
        <f t="shared" si="2"/>
        <v>73055.645000000004</v>
      </c>
      <c r="M23" s="73">
        <f t="shared" si="4"/>
        <v>79</v>
      </c>
      <c r="O23" s="73">
        <f t="shared" si="3"/>
        <v>-234508.83600000001</v>
      </c>
      <c r="Q23" s="73">
        <f t="shared" si="5"/>
        <v>-10345837.758021852</v>
      </c>
      <c r="S23" s="74">
        <v>38533</v>
      </c>
      <c r="T23" s="73">
        <f>XNPV($AB$2,O23:$O$45,S23:$S$45)</f>
        <v>-4371076.4684136361</v>
      </c>
      <c r="U23" s="73"/>
      <c r="V23" s="96">
        <f t="shared" si="6"/>
        <v>1382396.6459999999</v>
      </c>
      <c r="W23" s="96">
        <f t="shared" si="7"/>
        <v>1437066.2566845242</v>
      </c>
      <c r="X23" s="98"/>
      <c r="AB23" s="95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3">
        <v>79</v>
      </c>
      <c r="AL23">
        <f t="shared" si="10"/>
        <v>1.0613635506249994</v>
      </c>
      <c r="AN23" s="100">
        <f t="shared" si="11"/>
        <v>79</v>
      </c>
      <c r="AO23">
        <f t="shared" si="12"/>
        <v>104</v>
      </c>
    </row>
    <row r="24" spans="1:41">
      <c r="B24" t="s">
        <v>119</v>
      </c>
      <c r="C24" s="72">
        <v>27079042</v>
      </c>
      <c r="D24" s="73">
        <f t="shared" si="0"/>
        <v>1976770.0660000001</v>
      </c>
      <c r="E24" s="73">
        <v>73</v>
      </c>
      <c r="G24" s="72">
        <v>20486838</v>
      </c>
      <c r="H24" s="73">
        <f t="shared" si="1"/>
        <v>1516026.0120000001</v>
      </c>
      <c r="I24" s="73">
        <v>74</v>
      </c>
      <c r="K24" s="72">
        <v>6592204</v>
      </c>
      <c r="L24" s="73">
        <f t="shared" si="2"/>
        <v>468046.484</v>
      </c>
      <c r="M24" s="73">
        <f t="shared" si="4"/>
        <v>71</v>
      </c>
      <c r="O24" s="73">
        <f t="shared" si="3"/>
        <v>61460.514000000003</v>
      </c>
      <c r="Q24" s="73">
        <f t="shared" si="5"/>
        <v>-10469210.888501277</v>
      </c>
      <c r="S24" s="74">
        <v>38625</v>
      </c>
      <c r="T24" s="73">
        <f>XNPV($AB$2,O24:$O$45,S24:$S$45)</f>
        <v>-4211082.3646021513</v>
      </c>
      <c r="U24" s="73"/>
      <c r="V24" s="96">
        <f t="shared" si="6"/>
        <v>1984072.496</v>
      </c>
      <c r="W24" s="96">
        <f t="shared" si="7"/>
        <v>1437066.2566845242</v>
      </c>
      <c r="X24" s="98"/>
      <c r="AB24" s="95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3">
        <v>71</v>
      </c>
      <c r="AL24">
        <f t="shared" si="10"/>
        <v>1.0653214697009301</v>
      </c>
      <c r="AN24" s="100">
        <f t="shared" si="11"/>
        <v>71</v>
      </c>
      <c r="AO24">
        <f t="shared" si="12"/>
        <v>104</v>
      </c>
    </row>
    <row r="25" spans="1:41">
      <c r="B25" t="s">
        <v>120</v>
      </c>
      <c r="C25" s="72">
        <v>24684859</v>
      </c>
      <c r="D25" s="73">
        <f t="shared" si="0"/>
        <v>1629200.6939999999</v>
      </c>
      <c r="E25" s="73">
        <v>66</v>
      </c>
      <c r="G25" s="72">
        <v>21060134</v>
      </c>
      <c r="H25" s="73">
        <f t="shared" si="1"/>
        <v>1368908.71</v>
      </c>
      <c r="I25" s="73">
        <v>65</v>
      </c>
      <c r="K25" s="72">
        <v>3624725</v>
      </c>
      <c r="L25" s="73">
        <f t="shared" si="2"/>
        <v>246481.3</v>
      </c>
      <c r="M25" s="73">
        <f t="shared" si="4"/>
        <v>68</v>
      </c>
      <c r="O25" s="73">
        <f t="shared" si="3"/>
        <v>-63180.402000000002</v>
      </c>
      <c r="Q25" s="73">
        <f t="shared" si="5"/>
        <v>-10719429.058597438</v>
      </c>
      <c r="S25" s="74">
        <v>38717</v>
      </c>
      <c r="T25" s="73">
        <f>XNPV($AB$2,O25:$O$45,S25:$S$45)</f>
        <v>-4349507.0229493361</v>
      </c>
      <c r="U25" s="73"/>
      <c r="V25" s="96">
        <f t="shared" si="6"/>
        <v>1615390.01</v>
      </c>
      <c r="W25" s="96">
        <f t="shared" si="7"/>
        <v>1437066.2566845242</v>
      </c>
      <c r="X25" s="98"/>
      <c r="AB25" s="95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3">
        <v>68</v>
      </c>
      <c r="AL25">
        <f t="shared" si="10"/>
        <v>1.0692941482091047</v>
      </c>
      <c r="AN25" s="100">
        <f t="shared" si="11"/>
        <v>68</v>
      </c>
      <c r="AO25">
        <f t="shared" si="12"/>
        <v>104</v>
      </c>
    </row>
    <row r="26" spans="1:41">
      <c r="A26">
        <v>2006</v>
      </c>
      <c r="B26" t="s">
        <v>117</v>
      </c>
      <c r="C26" s="72">
        <v>21949030</v>
      </c>
      <c r="D26" s="73">
        <f t="shared" si="0"/>
        <v>1316941.8</v>
      </c>
      <c r="E26" s="73">
        <v>60</v>
      </c>
      <c r="G26" s="72">
        <v>21151029</v>
      </c>
      <c r="H26" s="73">
        <f t="shared" si="1"/>
        <v>1247910.7109999999</v>
      </c>
      <c r="I26" s="73">
        <v>59</v>
      </c>
      <c r="K26" s="72">
        <v>798000</v>
      </c>
      <c r="L26" s="73">
        <f t="shared" si="2"/>
        <v>65436</v>
      </c>
      <c r="M26" s="73">
        <f t="shared" si="4"/>
        <v>82</v>
      </c>
      <c r="O26" s="73">
        <f t="shared" si="3"/>
        <v>-486473.66700000002</v>
      </c>
      <c r="Q26" s="73">
        <f t="shared" si="5"/>
        <v>-11397410.768346608</v>
      </c>
      <c r="S26" s="74">
        <v>38807</v>
      </c>
      <c r="T26" s="73">
        <f>XNPV($AB$2,O26:$O$45,S26:$S$45)</f>
        <v>-4361845.8299985025</v>
      </c>
      <c r="U26" s="73"/>
      <c r="V26" s="96">
        <f t="shared" si="6"/>
        <v>1313346.7109999999</v>
      </c>
      <c r="W26" s="96">
        <f t="shared" si="7"/>
        <v>1437066.2566845242</v>
      </c>
      <c r="X26" s="98"/>
      <c r="AB26" s="95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3">
        <v>82</v>
      </c>
      <c r="AL26">
        <f t="shared" si="10"/>
        <v>1.0732816411887589</v>
      </c>
      <c r="AN26" s="100">
        <f t="shared" si="11"/>
        <v>82</v>
      </c>
      <c r="AO26">
        <f t="shared" si="12"/>
        <v>104</v>
      </c>
    </row>
    <row r="27" spans="1:41">
      <c r="B27" t="s">
        <v>118</v>
      </c>
      <c r="C27" s="72">
        <v>21490395</v>
      </c>
      <c r="D27" s="73">
        <f t="shared" si="0"/>
        <v>1332404.49</v>
      </c>
      <c r="E27" s="73">
        <v>62</v>
      </c>
      <c r="G27" s="72">
        <v>19575129</v>
      </c>
      <c r="H27" s="73">
        <f t="shared" si="1"/>
        <v>1174507.74</v>
      </c>
      <c r="I27" s="73">
        <v>60</v>
      </c>
      <c r="K27" s="72">
        <v>1915266</v>
      </c>
      <c r="L27" s="73">
        <f t="shared" si="2"/>
        <v>151306.014</v>
      </c>
      <c r="M27" s="73">
        <f t="shared" si="4"/>
        <v>79</v>
      </c>
      <c r="O27" s="73">
        <f t="shared" si="3"/>
        <v>-371927.451</v>
      </c>
      <c r="Q27" s="73">
        <f t="shared" si="5"/>
        <v>-11972958.749574732</v>
      </c>
      <c r="S27" s="74">
        <v>38898</v>
      </c>
      <c r="T27" s="73">
        <f>XNPV($AB$2,O27:$O$45,S27:$S$45)</f>
        <v>-3944416.2882931544</v>
      </c>
      <c r="U27" s="73"/>
      <c r="V27" s="96">
        <f t="shared" si="6"/>
        <v>1325813.754</v>
      </c>
      <c r="W27" s="96">
        <f t="shared" si="7"/>
        <v>1437066.2566845242</v>
      </c>
      <c r="X27" s="98"/>
      <c r="AB27" s="95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3">
        <v>79</v>
      </c>
      <c r="AL27">
        <f t="shared" si="10"/>
        <v>1.0772840038843743</v>
      </c>
      <c r="AN27" s="100">
        <f t="shared" si="11"/>
        <v>79</v>
      </c>
      <c r="AO27">
        <f t="shared" si="12"/>
        <v>104</v>
      </c>
    </row>
    <row r="28" spans="1:41">
      <c r="B28" t="s">
        <v>119</v>
      </c>
      <c r="C28" s="72">
        <v>28313503</v>
      </c>
      <c r="D28" s="73">
        <f t="shared" si="0"/>
        <v>1925318.2039999999</v>
      </c>
      <c r="E28" s="73">
        <v>68</v>
      </c>
      <c r="G28" s="72">
        <v>19753088</v>
      </c>
      <c r="H28" s="73">
        <f t="shared" si="1"/>
        <v>1323456.8959999999</v>
      </c>
      <c r="I28" s="73">
        <v>67</v>
      </c>
      <c r="K28" s="72">
        <v>8560415</v>
      </c>
      <c r="L28" s="73">
        <f t="shared" si="2"/>
        <v>607789.46499999997</v>
      </c>
      <c r="M28" s="73">
        <f t="shared" si="4"/>
        <v>71</v>
      </c>
      <c r="O28" s="73">
        <f t="shared" si="3"/>
        <v>-79012.351999999999</v>
      </c>
      <c r="Q28" s="73">
        <f t="shared" si="5"/>
        <v>-12265874.088712707</v>
      </c>
      <c r="S28" s="74">
        <v>38990</v>
      </c>
      <c r="T28" s="73">
        <f>XNPV($AB$2,O28:$O$45,S28:$S$45)</f>
        <v>-3636842.4445861722</v>
      </c>
      <c r="U28" s="73"/>
      <c r="V28" s="96">
        <f t="shared" si="6"/>
        <v>1931246.361</v>
      </c>
      <c r="W28" s="96">
        <f t="shared" si="7"/>
        <v>1437066.2566845242</v>
      </c>
      <c r="X28" s="98"/>
      <c r="AB28" s="95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3">
        <v>71</v>
      </c>
      <c r="AL28">
        <f t="shared" si="10"/>
        <v>1.081301291746444</v>
      </c>
      <c r="AN28" s="100">
        <f t="shared" si="11"/>
        <v>71</v>
      </c>
      <c r="AO28">
        <f t="shared" si="12"/>
        <v>104</v>
      </c>
    </row>
    <row r="29" spans="1:41">
      <c r="B29" t="s">
        <v>120</v>
      </c>
      <c r="C29" s="72">
        <v>25180516</v>
      </c>
      <c r="D29" s="73">
        <f t="shared" si="0"/>
        <v>1561191.9920000001</v>
      </c>
      <c r="E29" s="73">
        <v>62</v>
      </c>
      <c r="G29" s="72">
        <v>19795707</v>
      </c>
      <c r="H29" s="73">
        <f t="shared" si="1"/>
        <v>1167946.713</v>
      </c>
      <c r="I29" s="73">
        <v>59</v>
      </c>
      <c r="K29" s="72">
        <v>5384808</v>
      </c>
      <c r="L29" s="73">
        <f t="shared" si="2"/>
        <v>382321.36800000002</v>
      </c>
      <c r="M29" s="73">
        <f t="shared" si="4"/>
        <v>71</v>
      </c>
      <c r="O29" s="73">
        <f t="shared" si="3"/>
        <v>-237548.484</v>
      </c>
      <c r="Q29" s="73">
        <f t="shared" si="5"/>
        <v>-12722558.641107425</v>
      </c>
      <c r="S29" s="74">
        <v>39082</v>
      </c>
      <c r="T29" s="73">
        <f>XNPV($AB$2,O29:$O$45,S29:$S$45)</f>
        <v>-3621919.6422030861</v>
      </c>
      <c r="U29" s="73"/>
      <c r="V29" s="96">
        <f t="shared" si="6"/>
        <v>1550268.081</v>
      </c>
      <c r="W29" s="96">
        <f t="shared" si="7"/>
        <v>1437066.2566845242</v>
      </c>
      <c r="X29" s="98"/>
      <c r="AB29" s="95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3">
        <v>71</v>
      </c>
      <c r="AL29">
        <f t="shared" si="10"/>
        <v>1.0853335604322414</v>
      </c>
      <c r="AN29" s="100">
        <f t="shared" si="11"/>
        <v>71</v>
      </c>
      <c r="AO29">
        <f t="shared" si="12"/>
        <v>104</v>
      </c>
    </row>
    <row r="30" spans="1:41">
      <c r="A30">
        <v>2007</v>
      </c>
      <c r="B30" t="s">
        <v>117</v>
      </c>
      <c r="C30" s="72">
        <v>21684137</v>
      </c>
      <c r="D30" s="73">
        <f t="shared" si="0"/>
        <v>1322732.3570000001</v>
      </c>
      <c r="E30" s="73">
        <v>61</v>
      </c>
      <c r="G30" s="72">
        <v>19359819</v>
      </c>
      <c r="H30" s="73">
        <f t="shared" si="1"/>
        <v>1122869.5020000001</v>
      </c>
      <c r="I30" s="73">
        <v>58</v>
      </c>
      <c r="K30" s="72">
        <v>2324318</v>
      </c>
      <c r="L30" s="73">
        <f t="shared" si="2"/>
        <v>188269.758</v>
      </c>
      <c r="M30" s="73">
        <f t="shared" si="4"/>
        <v>81</v>
      </c>
      <c r="O30" s="73">
        <f t="shared" si="3"/>
        <v>-445275.837</v>
      </c>
      <c r="Q30" s="73">
        <f t="shared" si="5"/>
        <v>-13395129.447904894</v>
      </c>
      <c r="S30" s="74">
        <v>39172</v>
      </c>
      <c r="T30" s="73">
        <f>XNPV($AB$2,O30:$O$45,S30:$S$45)</f>
        <v>-3443999.1463613231</v>
      </c>
      <c r="U30" s="73"/>
      <c r="V30" s="96">
        <f t="shared" si="6"/>
        <v>1311139.26</v>
      </c>
      <c r="W30" s="96">
        <f t="shared" si="7"/>
        <v>1437066.2566845242</v>
      </c>
      <c r="X30" s="98"/>
      <c r="AB30" s="95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3">
        <v>81</v>
      </c>
      <c r="AL30">
        <f t="shared" si="10"/>
        <v>1.0893808658065904</v>
      </c>
      <c r="AN30" s="100">
        <f t="shared" si="11"/>
        <v>81</v>
      </c>
      <c r="AO30">
        <f t="shared" si="12"/>
        <v>104</v>
      </c>
    </row>
    <row r="31" spans="1:41">
      <c r="B31" t="s">
        <v>118</v>
      </c>
      <c r="C31" s="72">
        <v>22053673</v>
      </c>
      <c r="D31" s="73">
        <f t="shared" si="0"/>
        <v>1389381.399</v>
      </c>
      <c r="E31" s="73">
        <v>63</v>
      </c>
      <c r="G31" s="72">
        <v>18428604</v>
      </c>
      <c r="H31" s="73">
        <f t="shared" si="1"/>
        <v>1105716.24</v>
      </c>
      <c r="I31" s="73">
        <v>60</v>
      </c>
      <c r="K31" s="72">
        <v>3625069</v>
      </c>
      <c r="L31" s="73">
        <f t="shared" si="2"/>
        <v>279130.31300000002</v>
      </c>
      <c r="M31" s="73">
        <f t="shared" si="4"/>
        <v>77</v>
      </c>
      <c r="O31" s="73">
        <f t="shared" si="3"/>
        <v>-313286.26799999998</v>
      </c>
      <c r="Q31" s="73">
        <f t="shared" si="5"/>
        <v>-13947726.504652787</v>
      </c>
      <c r="S31" s="74">
        <v>39263</v>
      </c>
      <c r="T31" s="73">
        <f>XNPV($AB$2,O31:$O$45,S31:$S$45)</f>
        <v>-3052148.9467420033</v>
      </c>
      <c r="U31" s="73"/>
      <c r="V31" s="96">
        <f t="shared" si="6"/>
        <v>1384846.5530000001</v>
      </c>
      <c r="W31" s="96">
        <f t="shared" si="7"/>
        <v>1437066.2566845242</v>
      </c>
      <c r="X31" s="98"/>
      <c r="AB31" s="95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3">
        <v>77</v>
      </c>
      <c r="AL31">
        <f t="shared" si="10"/>
        <v>1.0934432639426399</v>
      </c>
      <c r="AN31" s="100">
        <f t="shared" si="11"/>
        <v>77</v>
      </c>
      <c r="AO31">
        <f t="shared" si="12"/>
        <v>104</v>
      </c>
    </row>
    <row r="32" spans="1:41">
      <c r="B32" t="s">
        <v>119</v>
      </c>
      <c r="C32" s="72">
        <v>29732503</v>
      </c>
      <c r="D32" s="73">
        <f t="shared" si="0"/>
        <v>2021810.2039999999</v>
      </c>
      <c r="E32" s="73">
        <v>68</v>
      </c>
      <c r="G32" s="72">
        <v>19684263</v>
      </c>
      <c r="H32" s="73">
        <f t="shared" si="1"/>
        <v>1318845.621</v>
      </c>
      <c r="I32" s="73">
        <v>67</v>
      </c>
      <c r="K32" s="72">
        <v>10048240</v>
      </c>
      <c r="L32" s="73">
        <f t="shared" si="2"/>
        <v>703376.8</v>
      </c>
      <c r="M32" s="73">
        <f t="shared" si="4"/>
        <v>70</v>
      </c>
      <c r="O32" s="73">
        <f t="shared" si="3"/>
        <v>-59052.788999999997</v>
      </c>
      <c r="Q32" s="73">
        <f t="shared" si="5"/>
        <v>-14255962.509391731</v>
      </c>
      <c r="S32" s="74">
        <v>39355</v>
      </c>
      <c r="T32" s="73">
        <f>XNPV($AB$2,O32:$O$45,S32:$S$45)</f>
        <v>-2788199.6259753536</v>
      </c>
      <c r="U32" s="73"/>
      <c r="V32" s="96">
        <f t="shared" si="6"/>
        <v>2022222.4210000001</v>
      </c>
      <c r="W32" s="96">
        <f t="shared" si="7"/>
        <v>1437066.2566845242</v>
      </c>
      <c r="X32" s="98"/>
      <c r="AB32" s="95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3">
        <v>70</v>
      </c>
      <c r="AL32">
        <f t="shared" si="10"/>
        <v>1.0975208111226407</v>
      </c>
      <c r="AN32" s="100">
        <f t="shared" si="11"/>
        <v>70</v>
      </c>
      <c r="AO32">
        <f t="shared" si="12"/>
        <v>104</v>
      </c>
    </row>
    <row r="33" spans="1:41">
      <c r="B33" t="s">
        <v>120</v>
      </c>
      <c r="C33" s="72">
        <v>26183861</v>
      </c>
      <c r="D33" s="73">
        <f t="shared" si="0"/>
        <v>1623399.382</v>
      </c>
      <c r="E33" s="73">
        <v>62</v>
      </c>
      <c r="G33" s="72">
        <v>19591520</v>
      </c>
      <c r="H33" s="73">
        <f t="shared" si="1"/>
        <v>1155899.68</v>
      </c>
      <c r="I33" s="73">
        <v>59</v>
      </c>
      <c r="K33" s="72">
        <v>6592341</v>
      </c>
      <c r="L33" s="73">
        <f t="shared" si="2"/>
        <v>468056.21100000001</v>
      </c>
      <c r="M33" s="73">
        <f t="shared" si="4"/>
        <v>71</v>
      </c>
      <c r="O33" s="73">
        <f t="shared" si="3"/>
        <v>-235098.23999999999</v>
      </c>
      <c r="Q33" s="73">
        <f t="shared" si="5"/>
        <v>-14745750.757857198</v>
      </c>
      <c r="S33" s="74">
        <v>39447</v>
      </c>
      <c r="T33" s="73">
        <f>XNPV($AB$2,O33:$O$45,S33:$S$45)</f>
        <v>-2778308.7663166826</v>
      </c>
      <c r="U33" s="73"/>
      <c r="V33" s="96">
        <f t="shared" si="6"/>
        <v>1623955.8909999998</v>
      </c>
      <c r="W33" s="96">
        <f t="shared" si="7"/>
        <v>1437066.2566845242</v>
      </c>
      <c r="X33" s="98"/>
      <c r="AB33" s="95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3">
        <v>71</v>
      </c>
      <c r="AL33">
        <f t="shared" si="10"/>
        <v>1.101613563838725</v>
      </c>
      <c r="AN33" s="100">
        <f t="shared" si="11"/>
        <v>71</v>
      </c>
      <c r="AO33">
        <f t="shared" si="12"/>
        <v>104</v>
      </c>
    </row>
    <row r="34" spans="1:41">
      <c r="A34">
        <v>2008</v>
      </c>
      <c r="B34" t="s">
        <v>117</v>
      </c>
      <c r="C34" s="72">
        <v>22554855</v>
      </c>
      <c r="D34" s="73">
        <f t="shared" si="0"/>
        <v>1375846.155</v>
      </c>
      <c r="E34" s="73">
        <v>61</v>
      </c>
      <c r="G34" s="72">
        <v>19153515</v>
      </c>
      <c r="H34" s="73">
        <f t="shared" si="1"/>
        <v>1110903.8700000001</v>
      </c>
      <c r="I34" s="73">
        <v>58</v>
      </c>
      <c r="K34" s="72">
        <v>3401340</v>
      </c>
      <c r="L34" s="73">
        <f t="shared" si="2"/>
        <v>268705.86</v>
      </c>
      <c r="M34" s="73">
        <f t="shared" si="4"/>
        <v>79</v>
      </c>
      <c r="O34" s="73">
        <f t="shared" si="3"/>
        <v>-402223.815</v>
      </c>
      <c r="Q34" s="73">
        <f t="shared" si="5"/>
        <v>-15411414.897063589</v>
      </c>
      <c r="S34" s="74">
        <v>39538</v>
      </c>
      <c r="T34" s="73">
        <f>XNPV($AB$2,O34:$O$45,S34:$S$45)</f>
        <v>-2588520.6897911052</v>
      </c>
      <c r="U34" s="73"/>
      <c r="V34" s="96">
        <f t="shared" si="6"/>
        <v>1379609.73</v>
      </c>
      <c r="W34" s="96">
        <f t="shared" si="7"/>
        <v>1437066.2566845242</v>
      </c>
      <c r="X34" s="98"/>
      <c r="AB34" s="95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3">
        <v>79</v>
      </c>
      <c r="AL34">
        <f t="shared" si="10"/>
        <v>1.1057215787936892</v>
      </c>
      <c r="AN34" s="100">
        <f t="shared" si="11"/>
        <v>79</v>
      </c>
      <c r="AO34">
        <f t="shared" si="12"/>
        <v>104</v>
      </c>
    </row>
    <row r="35" spans="1:41">
      <c r="B35" t="s">
        <v>118</v>
      </c>
      <c r="C35" s="72">
        <v>23429388</v>
      </c>
      <c r="D35" s="73">
        <f t="shared" si="0"/>
        <v>1476051.4439999999</v>
      </c>
      <c r="E35" s="73">
        <v>63</v>
      </c>
      <c r="G35" s="72">
        <v>18763391</v>
      </c>
      <c r="H35" s="73">
        <f t="shared" si="1"/>
        <v>1125803.46</v>
      </c>
      <c r="I35" s="73">
        <v>60</v>
      </c>
      <c r="K35" s="72">
        <v>4665997</v>
      </c>
      <c r="L35" s="73">
        <f t="shared" si="2"/>
        <v>359281.76899999997</v>
      </c>
      <c r="M35" s="73">
        <f t="shared" si="4"/>
        <v>77</v>
      </c>
      <c r="O35" s="73">
        <f t="shared" si="3"/>
        <v>-318977.647</v>
      </c>
      <c r="Q35" s="73">
        <f t="shared" si="5"/>
        <v>-16005725.296097141</v>
      </c>
      <c r="S35" s="74">
        <v>39629</v>
      </c>
      <c r="T35" s="73">
        <f>XNPV($AB$2,O35:$O$45,S35:$S$45)</f>
        <v>-2225248.2190763443</v>
      </c>
      <c r="U35" s="73"/>
      <c r="V35" s="96">
        <f t="shared" si="6"/>
        <v>1485085.2289999998</v>
      </c>
      <c r="W35" s="96">
        <f t="shared" si="7"/>
        <v>1437066.2566845242</v>
      </c>
      <c r="X35" s="98"/>
      <c r="AB35" s="95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3">
        <v>77</v>
      </c>
      <c r="AL35">
        <f t="shared" si="10"/>
        <v>1.1098449129017793</v>
      </c>
      <c r="AN35" s="100">
        <f t="shared" si="11"/>
        <v>77</v>
      </c>
      <c r="AO35">
        <f t="shared" si="12"/>
        <v>104</v>
      </c>
    </row>
    <row r="36" spans="1:41">
      <c r="B36" t="s">
        <v>119</v>
      </c>
      <c r="C36" s="72">
        <v>31332995</v>
      </c>
      <c r="D36" s="73">
        <f t="shared" si="0"/>
        <v>2130643.66</v>
      </c>
      <c r="E36" s="73">
        <v>68</v>
      </c>
      <c r="G36" s="72">
        <v>19294144</v>
      </c>
      <c r="H36" s="73">
        <f t="shared" si="1"/>
        <v>1292707.648</v>
      </c>
      <c r="I36" s="73">
        <v>67</v>
      </c>
      <c r="K36" s="72">
        <v>12038851</v>
      </c>
      <c r="L36" s="73">
        <f t="shared" si="2"/>
        <v>854758.42099999997</v>
      </c>
      <c r="M36" s="73">
        <f t="shared" si="4"/>
        <v>71</v>
      </c>
      <c r="O36" s="73">
        <f t="shared" si="3"/>
        <v>-77176.576000000001</v>
      </c>
      <c r="Q36" s="73">
        <f t="shared" si="5"/>
        <v>-16368852.281160953</v>
      </c>
      <c r="S36" s="74">
        <v>39721</v>
      </c>
      <c r="T36" s="73">
        <f>XNPV($AB$2,O36:$O$45,S36:$S$45)</f>
        <v>-1940609.4863114376</v>
      </c>
      <c r="U36" s="73"/>
      <c r="V36" s="96">
        <f t="shared" si="6"/>
        <v>2147466.0690000001</v>
      </c>
      <c r="W36" s="96">
        <f t="shared" si="7"/>
        <v>1437066.2566845242</v>
      </c>
      <c r="X36" s="98"/>
      <c r="AB36" s="95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3">
        <v>71</v>
      </c>
      <c r="AL36">
        <f t="shared" si="10"/>
        <v>1.1139836232894802</v>
      </c>
      <c r="AN36" s="100">
        <f t="shared" si="11"/>
        <v>71</v>
      </c>
      <c r="AO36">
        <f t="shared" si="12"/>
        <v>104</v>
      </c>
    </row>
    <row r="37" spans="1:41">
      <c r="B37" t="s">
        <v>120</v>
      </c>
      <c r="C37" s="72">
        <v>27099273</v>
      </c>
      <c r="D37" s="73">
        <f t="shared" si="0"/>
        <v>1680154.926</v>
      </c>
      <c r="E37" s="73">
        <v>62</v>
      </c>
      <c r="G37" s="72">
        <v>18854008</v>
      </c>
      <c r="H37" s="73">
        <f t="shared" si="1"/>
        <v>1112386.4720000001</v>
      </c>
      <c r="I37" s="73">
        <v>59</v>
      </c>
      <c r="K37" s="72">
        <v>8245265</v>
      </c>
      <c r="L37" s="73">
        <f t="shared" si="2"/>
        <v>577168.55000000005</v>
      </c>
      <c r="M37" s="73">
        <f t="shared" si="4"/>
        <v>70</v>
      </c>
      <c r="O37" s="73">
        <f t="shared" si="3"/>
        <v>-207394.08799999999</v>
      </c>
      <c r="Q37" s="73">
        <f t="shared" si="5"/>
        <v>-16868684.226184804</v>
      </c>
      <c r="S37" s="74">
        <v>39813</v>
      </c>
      <c r="T37" s="73">
        <f>XNPV($AB$2,O37:$O$45,S37:$S$45)</f>
        <v>-1897000.1613760844</v>
      </c>
      <c r="U37" s="73"/>
      <c r="V37" s="96">
        <f t="shared" si="6"/>
        <v>1689555.0220000001</v>
      </c>
      <c r="W37" s="96">
        <f t="shared" si="7"/>
        <v>1437066.2566845242</v>
      </c>
      <c r="X37" s="98"/>
      <c r="AB37" s="95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3">
        <v>70</v>
      </c>
      <c r="AL37">
        <f t="shared" si="10"/>
        <v>1.1181377672963058</v>
      </c>
      <c r="AN37" s="100">
        <f t="shared" si="11"/>
        <v>70</v>
      </c>
      <c r="AO37">
        <f t="shared" si="12"/>
        <v>104</v>
      </c>
    </row>
    <row r="38" spans="1:41">
      <c r="A38">
        <v>2009</v>
      </c>
      <c r="B38" t="s">
        <v>117</v>
      </c>
      <c r="C38" s="72">
        <v>23076526</v>
      </c>
      <c r="D38" s="73">
        <f t="shared" si="0"/>
        <v>1407668.0859999999</v>
      </c>
      <c r="E38" s="73">
        <v>61</v>
      </c>
      <c r="G38" s="72">
        <v>18797465</v>
      </c>
      <c r="H38" s="73">
        <f t="shared" si="1"/>
        <v>1090252.97</v>
      </c>
      <c r="I38" s="73">
        <v>58</v>
      </c>
      <c r="K38" s="72">
        <v>4279061</v>
      </c>
      <c r="L38" s="73">
        <f t="shared" si="2"/>
        <v>329487.69699999999</v>
      </c>
      <c r="M38" s="73">
        <f t="shared" si="4"/>
        <v>77</v>
      </c>
      <c r="O38" s="73">
        <f t="shared" si="3"/>
        <v>-357151.83500000002</v>
      </c>
      <c r="Q38" s="73">
        <f t="shared" si="5"/>
        <v>-17527203.66968812</v>
      </c>
      <c r="S38" s="74">
        <v>39903</v>
      </c>
      <c r="T38" s="73">
        <f>XNPV($AB$2,O38:$O$45,S38:$S$45)</f>
        <v>-1719374.6200944786</v>
      </c>
      <c r="U38" s="73"/>
      <c r="V38" s="96">
        <f t="shared" si="6"/>
        <v>1419740.6669999999</v>
      </c>
      <c r="W38" s="96">
        <f t="shared" si="7"/>
        <v>1437066.2566845242</v>
      </c>
      <c r="X38" s="98"/>
      <c r="AB38" s="95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3">
        <v>77</v>
      </c>
      <c r="AL38">
        <f t="shared" si="10"/>
        <v>1.1223074024755944</v>
      </c>
      <c r="AN38" s="100">
        <f t="shared" si="11"/>
        <v>77</v>
      </c>
      <c r="AO38">
        <f t="shared" si="12"/>
        <v>104</v>
      </c>
    </row>
    <row r="39" spans="1:41">
      <c r="B39" t="s">
        <v>118</v>
      </c>
      <c r="C39" s="72">
        <v>24316954</v>
      </c>
      <c r="D39" s="73">
        <f t="shared" si="0"/>
        <v>1531968.102</v>
      </c>
      <c r="E39" s="73">
        <v>63</v>
      </c>
      <c r="G39" s="72">
        <v>18709911</v>
      </c>
      <c r="H39" s="73">
        <f t="shared" si="1"/>
        <v>1122594.6599999999</v>
      </c>
      <c r="I39" s="73">
        <v>60</v>
      </c>
      <c r="K39" s="72">
        <v>5607044</v>
      </c>
      <c r="L39" s="73">
        <f t="shared" si="2"/>
        <v>420528.3</v>
      </c>
      <c r="M39" s="73">
        <f t="shared" si="4"/>
        <v>75</v>
      </c>
      <c r="O39" s="73">
        <f t="shared" si="3"/>
        <v>-280648.66499999998</v>
      </c>
      <c r="Q39" s="73">
        <f t="shared" si="5"/>
        <v>-18120984.727402255</v>
      </c>
      <c r="S39" s="74">
        <v>39994</v>
      </c>
      <c r="T39" s="73">
        <f>XNPV($AB$2,O39:$O$45,S39:$S$45)</f>
        <v>-1386492.3201732775</v>
      </c>
      <c r="U39" s="73"/>
      <c r="V39" s="96">
        <f t="shared" si="6"/>
        <v>1543122.96</v>
      </c>
      <c r="W39" s="96">
        <f t="shared" si="7"/>
        <v>1437066.2566845242</v>
      </c>
      <c r="X39" s="98"/>
      <c r="AB39" s="95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3">
        <v>75</v>
      </c>
      <c r="AL39">
        <f t="shared" si="10"/>
        <v>1.1264925865953059</v>
      </c>
      <c r="AN39" s="100">
        <f t="shared" si="11"/>
        <v>75</v>
      </c>
      <c r="AO39">
        <f t="shared" si="12"/>
        <v>104</v>
      </c>
    </row>
    <row r="40" spans="1:41">
      <c r="B40" t="s">
        <v>119</v>
      </c>
      <c r="C40" s="72">
        <v>32144744</v>
      </c>
      <c r="D40" s="73">
        <f t="shared" si="0"/>
        <v>2185842.5920000002</v>
      </c>
      <c r="E40" s="73">
        <v>68</v>
      </c>
      <c r="G40" s="72">
        <v>19293801</v>
      </c>
      <c r="H40" s="73">
        <f t="shared" si="1"/>
        <v>1292684.6669999999</v>
      </c>
      <c r="I40" s="73">
        <v>67</v>
      </c>
      <c r="K40" s="72">
        <v>12850943</v>
      </c>
      <c r="L40" s="73">
        <f t="shared" si="2"/>
        <v>912416.95299999998</v>
      </c>
      <c r="M40" s="73">
        <f t="shared" si="4"/>
        <v>71</v>
      </c>
      <c r="O40" s="73">
        <f t="shared" si="3"/>
        <v>-77175.203999999998</v>
      </c>
      <c r="Q40" s="73">
        <f t="shared" si="5"/>
        <v>-18521900.524195213</v>
      </c>
      <c r="S40" s="74">
        <v>40086</v>
      </c>
      <c r="T40" s="73">
        <f>XNPV($AB$2,O40:$O$45,S40:$S$45)</f>
        <v>-1125763.9492745793</v>
      </c>
      <c r="U40" s="73"/>
      <c r="V40" s="96">
        <f t="shared" si="6"/>
        <v>2205101.62</v>
      </c>
      <c r="W40" s="96">
        <f t="shared" si="7"/>
        <v>1437066.2566845242</v>
      </c>
      <c r="X40" s="98"/>
      <c r="AB40" s="95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3">
        <v>71</v>
      </c>
      <c r="AL40">
        <f t="shared" si="10"/>
        <v>1.1306933776388222</v>
      </c>
      <c r="AN40" s="100">
        <f t="shared" si="11"/>
        <v>71</v>
      </c>
      <c r="AO40">
        <f t="shared" si="12"/>
        <v>104</v>
      </c>
    </row>
    <row r="41" spans="1:41">
      <c r="B41" t="s">
        <v>120</v>
      </c>
      <c r="C41" s="72">
        <v>27451467</v>
      </c>
      <c r="D41" s="73">
        <f t="shared" si="0"/>
        <v>1729442.4210000001</v>
      </c>
      <c r="E41" s="73">
        <v>63</v>
      </c>
      <c r="G41" s="72">
        <v>18779557</v>
      </c>
      <c r="H41" s="73">
        <f t="shared" si="1"/>
        <v>1107993.8629999999</v>
      </c>
      <c r="I41" s="73">
        <v>59</v>
      </c>
      <c r="K41" s="72">
        <v>8671910</v>
      </c>
      <c r="L41" s="73">
        <f t="shared" si="2"/>
        <v>607033.69999999995</v>
      </c>
      <c r="M41" s="73">
        <f t="shared" si="4"/>
        <v>70</v>
      </c>
      <c r="O41" s="73">
        <f t="shared" si="3"/>
        <v>-206575.12700000001</v>
      </c>
      <c r="Q41" s="73">
        <f t="shared" si="5"/>
        <v>-19059378.808256414</v>
      </c>
      <c r="S41" s="74">
        <v>40178</v>
      </c>
      <c r="T41" s="73">
        <f>XNPV($AB$2,O41:$O$45,S41:$S$45)</f>
        <v>-1067477.6687670341</v>
      </c>
      <c r="U41" s="73"/>
      <c r="V41" s="96">
        <f t="shared" si="6"/>
        <v>1715027.5629999998</v>
      </c>
      <c r="W41" s="96">
        <f t="shared" si="7"/>
        <v>1437066.2566845242</v>
      </c>
      <c r="X41" s="98"/>
      <c r="AB41" s="95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3">
        <v>70</v>
      </c>
      <c r="AL41">
        <f t="shared" si="10"/>
        <v>1.1349098338057502</v>
      </c>
      <c r="AN41" s="100">
        <f t="shared" si="11"/>
        <v>70</v>
      </c>
      <c r="AO41">
        <f t="shared" si="12"/>
        <v>104</v>
      </c>
    </row>
    <row r="42" spans="1:41">
      <c r="A42">
        <v>2010</v>
      </c>
      <c r="B42" t="s">
        <v>117</v>
      </c>
      <c r="C42" s="72">
        <v>23781978</v>
      </c>
      <c r="D42" s="73">
        <f t="shared" si="0"/>
        <v>1474482.6359999999</v>
      </c>
      <c r="E42" s="73">
        <v>62</v>
      </c>
      <c r="G42" s="72">
        <v>18709260</v>
      </c>
      <c r="H42" s="73">
        <f t="shared" si="1"/>
        <v>1085137.08</v>
      </c>
      <c r="I42" s="73">
        <v>58</v>
      </c>
      <c r="K42" s="72">
        <v>5072718</v>
      </c>
      <c r="L42" s="73">
        <f t="shared" si="2"/>
        <v>385526.56800000003</v>
      </c>
      <c r="M42" s="73">
        <f t="shared" si="4"/>
        <v>76</v>
      </c>
      <c r="O42" s="73">
        <f t="shared" si="3"/>
        <v>-336766.68</v>
      </c>
      <c r="Q42" s="73">
        <f t="shared" si="5"/>
        <v>-19736650.967758302</v>
      </c>
      <c r="S42" s="74">
        <v>40268</v>
      </c>
      <c r="T42" s="73">
        <f>XNPV($AB$2,O42:$O$45,S42:$S$45)</f>
        <v>-876070.4663728968</v>
      </c>
      <c r="U42" s="73"/>
      <c r="V42" s="96">
        <f t="shared" si="6"/>
        <v>1470663.648</v>
      </c>
      <c r="W42" s="96">
        <f t="shared" si="7"/>
        <v>1437066.2566845242</v>
      </c>
      <c r="X42" s="98"/>
      <c r="AB42" s="95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3">
        <v>76</v>
      </c>
      <c r="AL42">
        <f t="shared" si="10"/>
        <v>1.1391420135127281</v>
      </c>
      <c r="AN42" s="100">
        <f t="shared" si="11"/>
        <v>76</v>
      </c>
      <c r="AO42">
        <f t="shared" si="12"/>
        <v>104</v>
      </c>
    </row>
    <row r="43" spans="1:41">
      <c r="B43" t="s">
        <v>118</v>
      </c>
      <c r="C43" s="72">
        <v>24950229</v>
      </c>
      <c r="D43" s="73">
        <f t="shared" si="0"/>
        <v>1596814.656</v>
      </c>
      <c r="E43" s="73">
        <v>64</v>
      </c>
      <c r="G43" s="72">
        <v>18604505</v>
      </c>
      <c r="H43" s="73">
        <f t="shared" si="1"/>
        <v>1116270.3</v>
      </c>
      <c r="I43" s="73">
        <v>60</v>
      </c>
      <c r="K43" s="72">
        <v>6342724</v>
      </c>
      <c r="L43" s="73">
        <f t="shared" si="2"/>
        <v>469361.576</v>
      </c>
      <c r="M43" s="73">
        <f t="shared" si="4"/>
        <v>74</v>
      </c>
      <c r="O43" s="73">
        <f t="shared" si="3"/>
        <v>-260463.07</v>
      </c>
      <c r="Q43" s="73">
        <f t="shared" si="5"/>
        <v>-20349719.328263715</v>
      </c>
      <c r="S43" s="74">
        <v>40359</v>
      </c>
      <c r="T43" s="73">
        <f>XNPV($AB$2,O43:$O$45,S43:$S$45)</f>
        <v>-548912.09149355919</v>
      </c>
      <c r="U43" s="73"/>
      <c r="V43" s="96">
        <f t="shared" si="6"/>
        <v>1585631.8760000002</v>
      </c>
      <c r="W43" s="96">
        <f t="shared" si="7"/>
        <v>1437066.2566845242</v>
      </c>
      <c r="X43" s="98"/>
      <c r="AB43" s="95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3">
        <v>74</v>
      </c>
      <c r="AL43">
        <f t="shared" si="10"/>
        <v>1.1433899753942354</v>
      </c>
      <c r="AN43" s="100">
        <f t="shared" si="11"/>
        <v>74</v>
      </c>
      <c r="AO43">
        <f t="shared" si="12"/>
        <v>104</v>
      </c>
    </row>
    <row r="44" spans="1:41">
      <c r="B44" t="s">
        <v>119</v>
      </c>
      <c r="C44" s="72">
        <v>33368529</v>
      </c>
      <c r="D44" s="73">
        <f t="shared" si="0"/>
        <v>2302428.5010000002</v>
      </c>
      <c r="E44" s="73">
        <v>69</v>
      </c>
      <c r="G44" s="72">
        <v>18922185</v>
      </c>
      <c r="H44" s="73">
        <f t="shared" si="1"/>
        <v>1267786.395</v>
      </c>
      <c r="I44" s="73">
        <v>67</v>
      </c>
      <c r="K44" s="72">
        <v>14446344</v>
      </c>
      <c r="L44" s="73">
        <f t="shared" si="2"/>
        <v>1025690.424</v>
      </c>
      <c r="M44" s="73">
        <f t="shared" si="4"/>
        <v>71</v>
      </c>
      <c r="O44" s="73">
        <f t="shared" si="3"/>
        <v>-75688.740000000005</v>
      </c>
      <c r="Q44" s="73">
        <f t="shared" si="5"/>
        <v>-20788966.136305135</v>
      </c>
      <c r="S44" s="74">
        <v>40451</v>
      </c>
      <c r="T44" s="73">
        <f>XNPV($AB$2,O44:$O$45,S44:$S$45)</f>
        <v>-293645.04474196676</v>
      </c>
      <c r="U44" s="73"/>
      <c r="V44" s="96">
        <f t="shared" si="6"/>
        <v>2293476.8190000001</v>
      </c>
      <c r="W44" s="96">
        <f t="shared" si="7"/>
        <v>1437066.2566845242</v>
      </c>
      <c r="X44" s="98"/>
      <c r="AB44" s="95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3">
        <v>71</v>
      </c>
      <c r="AL44">
        <f t="shared" si="10"/>
        <v>1.1476537783034044</v>
      </c>
      <c r="AN44" s="100">
        <f t="shared" si="11"/>
        <v>71</v>
      </c>
      <c r="AO44">
        <f t="shared" si="12"/>
        <v>104</v>
      </c>
    </row>
    <row r="45" spans="1:41">
      <c r="B45" t="s">
        <v>120</v>
      </c>
      <c r="C45" s="72">
        <v>28418492</v>
      </c>
      <c r="D45" s="73">
        <f t="shared" si="0"/>
        <v>1790364.996</v>
      </c>
      <c r="E45" s="73">
        <v>63</v>
      </c>
      <c r="G45" s="72">
        <v>18490208</v>
      </c>
      <c r="H45" s="73">
        <f t="shared" si="1"/>
        <v>1090922.2720000001</v>
      </c>
      <c r="I45" s="73">
        <v>59</v>
      </c>
      <c r="K45" s="72">
        <v>9928284</v>
      </c>
      <c r="L45" s="73">
        <f t="shared" si="2"/>
        <v>704908.16399999999</v>
      </c>
      <c r="M45" s="73">
        <f t="shared" si="4"/>
        <v>71</v>
      </c>
      <c r="O45" s="73">
        <f t="shared" si="3"/>
        <v>-221882.49600000001</v>
      </c>
      <c r="Q45" s="73">
        <f t="shared" si="5"/>
        <v>-21382254.067592703</v>
      </c>
      <c r="S45" s="74">
        <v>40543</v>
      </c>
      <c r="T45" s="73">
        <f>XNPV($AB$2,O45:$O$45,S45:$S$45)</f>
        <v>-221882.49600000001</v>
      </c>
      <c r="U45" s="73"/>
      <c r="V45" s="96">
        <f t="shared" si="6"/>
        <v>1795830.4360000002</v>
      </c>
      <c r="W45" s="96">
        <f t="shared" si="7"/>
        <v>1437066.2566845242</v>
      </c>
      <c r="X45" s="98"/>
      <c r="AB45" s="95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3">
        <v>71</v>
      </c>
      <c r="AL45">
        <f t="shared" si="10"/>
        <v>1.1519334813128363</v>
      </c>
      <c r="AN45" s="100">
        <f t="shared" si="11"/>
        <v>71</v>
      </c>
      <c r="AO45">
        <f t="shared" si="12"/>
        <v>104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PGE</vt:lpstr>
      <vt:lpstr>SCE</vt:lpstr>
      <vt:lpstr>SDGE</vt:lpstr>
      <vt:lpstr>All Summary</vt:lpstr>
      <vt:lpstr>Redacted Summary</vt:lpstr>
      <vt:lpstr>DWR purchases</vt:lpstr>
      <vt:lpstr>Core &amp; Non-core</vt:lpstr>
      <vt:lpstr>PGE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2001-05-18T12:31:17Z</cp:lastPrinted>
  <dcterms:created xsi:type="dcterms:W3CDTF">2001-05-08T18:12:48Z</dcterms:created>
  <dcterms:modified xsi:type="dcterms:W3CDTF">2023-09-15T20:19:47Z</dcterms:modified>
</cp:coreProperties>
</file>