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F8BB41A-076C-4978-B904-94984E20282E}" xr6:coauthVersionLast="47" xr6:coauthVersionMax="47" xr10:uidLastSave="{00000000-0000-0000-0000-000000000000}"/>
  <bookViews>
    <workbookView xWindow="-120" yWindow="-120" windowWidth="38640" windowHeight="15720" tabRatio="839" activeTab="6"/>
  </bookViews>
  <sheets>
    <sheet name="PGE" sheetId="2" r:id="rId1"/>
    <sheet name="SCE" sheetId="1" r:id="rId2"/>
    <sheet name="SDGE" sheetId="3" r:id="rId3"/>
    <sheet name="All Summary" sheetId="4" r:id="rId4"/>
    <sheet name="Redacted Summary" sheetId="5" r:id="rId5"/>
    <sheet name="DWR purchases" sheetId="6" r:id="rId6"/>
    <sheet name="Core &amp; Non-core" sheetId="7" r:id="rId7"/>
    <sheet name="PGE - Core Analysis" sheetId="13" r:id="rId8"/>
    <sheet name="Curves" sheetId="8" r:id="rId9"/>
  </sheets>
  <definedNames>
    <definedName name="_xlnm.Print_Area" localSheetId="3">'All Summary'!$A$5:$H$61</definedName>
    <definedName name="_xlnm.Print_Area" localSheetId="5">'DWR purchases'!$A$2:$M$15</definedName>
    <definedName name="_xlnm.Print_Area" localSheetId="0">PGE!$A$7:$K$144</definedName>
    <definedName name="_xlnm.Print_Area" localSheetId="4">'Redacted Summary'!$C$7:$H$66</definedName>
    <definedName name="_xlnm.Print_Area" localSheetId="1">SCE!$A$5:$K$140</definedName>
    <definedName name="_xlnm.Print_Area" localSheetId="2">SDGE!$A$6:$K$107</definedName>
    <definedName name="_xlnm.Print_Titles" localSheetId="0">PGE!$3:$5</definedName>
    <definedName name="_xlnm.Print_Titles" localSheetId="1">SCE!$2:$4</definedName>
    <definedName name="_xlnm.Print_Titles" localSheetId="2">SDGE!$3:$5</definedName>
    <definedName name="printrange">#REF!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4" l="1"/>
  <c r="C7" i="4"/>
  <c r="D7" i="4"/>
  <c r="E7" i="4"/>
  <c r="F7" i="4"/>
  <c r="G7" i="4"/>
  <c r="A8" i="4"/>
  <c r="B8" i="4"/>
  <c r="C8" i="4"/>
  <c r="D8" i="4"/>
  <c r="E8" i="4"/>
  <c r="F8" i="4"/>
  <c r="G8" i="4"/>
  <c r="H8" i="4"/>
  <c r="A10" i="4"/>
  <c r="B10" i="4"/>
  <c r="C10" i="4"/>
  <c r="D10" i="4"/>
  <c r="E10" i="4"/>
  <c r="F10" i="4"/>
  <c r="G10" i="4"/>
  <c r="H10" i="4"/>
  <c r="A11" i="4"/>
  <c r="B11" i="4"/>
  <c r="C11" i="4"/>
  <c r="D11" i="4"/>
  <c r="E11" i="4"/>
  <c r="F11" i="4"/>
  <c r="G11" i="4"/>
  <c r="H11" i="4"/>
  <c r="A12" i="4"/>
  <c r="B12" i="4"/>
  <c r="C12" i="4"/>
  <c r="D12" i="4"/>
  <c r="E12" i="4"/>
  <c r="F12" i="4"/>
  <c r="G12" i="4"/>
  <c r="H12" i="4"/>
  <c r="A13" i="4"/>
  <c r="B13" i="4"/>
  <c r="C13" i="4"/>
  <c r="D13" i="4"/>
  <c r="E13" i="4"/>
  <c r="F13" i="4"/>
  <c r="G13" i="4"/>
  <c r="H13" i="4"/>
  <c r="A14" i="4"/>
  <c r="B14" i="4"/>
  <c r="C14" i="4"/>
  <c r="D14" i="4"/>
  <c r="E14" i="4"/>
  <c r="F14" i="4"/>
  <c r="G14" i="4"/>
  <c r="H14" i="4"/>
  <c r="A16" i="4"/>
  <c r="B16" i="4"/>
  <c r="C16" i="4"/>
  <c r="D16" i="4"/>
  <c r="E16" i="4"/>
  <c r="F16" i="4"/>
  <c r="G16" i="4"/>
  <c r="H16" i="4"/>
  <c r="B22" i="4"/>
  <c r="C22" i="4"/>
  <c r="D22" i="4"/>
  <c r="E22" i="4"/>
  <c r="F22" i="4"/>
  <c r="G22" i="4"/>
  <c r="A23" i="4"/>
  <c r="B23" i="4"/>
  <c r="C23" i="4"/>
  <c r="D23" i="4"/>
  <c r="E23" i="4"/>
  <c r="F23" i="4"/>
  <c r="G23" i="4"/>
  <c r="H23" i="4"/>
  <c r="A25" i="4"/>
  <c r="B25" i="4"/>
  <c r="C25" i="4"/>
  <c r="D25" i="4"/>
  <c r="E25" i="4"/>
  <c r="F25" i="4"/>
  <c r="G25" i="4"/>
  <c r="H25" i="4"/>
  <c r="A26" i="4"/>
  <c r="B26" i="4"/>
  <c r="C26" i="4"/>
  <c r="D26" i="4"/>
  <c r="E26" i="4"/>
  <c r="F26" i="4"/>
  <c r="G26" i="4"/>
  <c r="H26" i="4"/>
  <c r="A27" i="4"/>
  <c r="B27" i="4"/>
  <c r="C27" i="4"/>
  <c r="D27" i="4"/>
  <c r="E27" i="4"/>
  <c r="F27" i="4"/>
  <c r="G27" i="4"/>
  <c r="H27" i="4"/>
  <c r="A28" i="4"/>
  <c r="B28" i="4"/>
  <c r="C28" i="4"/>
  <c r="D28" i="4"/>
  <c r="E28" i="4"/>
  <c r="F28" i="4"/>
  <c r="G28" i="4"/>
  <c r="H28" i="4"/>
  <c r="A29" i="4"/>
  <c r="B29" i="4"/>
  <c r="C29" i="4"/>
  <c r="D29" i="4"/>
  <c r="E29" i="4"/>
  <c r="F29" i="4"/>
  <c r="G29" i="4"/>
  <c r="H29" i="4"/>
  <c r="A31" i="4"/>
  <c r="B31" i="4"/>
  <c r="C31" i="4"/>
  <c r="D31" i="4"/>
  <c r="E31" i="4"/>
  <c r="F31" i="4"/>
  <c r="G31" i="4"/>
  <c r="H31" i="4"/>
  <c r="B37" i="4"/>
  <c r="C37" i="4"/>
  <c r="D37" i="4"/>
  <c r="E37" i="4"/>
  <c r="F37" i="4"/>
  <c r="G37" i="4"/>
  <c r="A38" i="4"/>
  <c r="B38" i="4"/>
  <c r="C38" i="4"/>
  <c r="D38" i="4"/>
  <c r="E38" i="4"/>
  <c r="F38" i="4"/>
  <c r="G38" i="4"/>
  <c r="H38" i="4"/>
  <c r="A40" i="4"/>
  <c r="B40" i="4"/>
  <c r="C40" i="4"/>
  <c r="D40" i="4"/>
  <c r="E40" i="4"/>
  <c r="F40" i="4"/>
  <c r="G40" i="4"/>
  <c r="H40" i="4"/>
  <c r="A41" i="4"/>
  <c r="B41" i="4"/>
  <c r="C41" i="4"/>
  <c r="D41" i="4"/>
  <c r="E41" i="4"/>
  <c r="F41" i="4"/>
  <c r="G41" i="4"/>
  <c r="H41" i="4"/>
  <c r="A42" i="4"/>
  <c r="B42" i="4"/>
  <c r="C42" i="4"/>
  <c r="D42" i="4"/>
  <c r="E42" i="4"/>
  <c r="F42" i="4"/>
  <c r="G42" i="4"/>
  <c r="H42" i="4"/>
  <c r="A43" i="4"/>
  <c r="B43" i="4"/>
  <c r="C43" i="4"/>
  <c r="D43" i="4"/>
  <c r="E43" i="4"/>
  <c r="F43" i="4"/>
  <c r="G43" i="4"/>
  <c r="H43" i="4"/>
  <c r="A44" i="4"/>
  <c r="B44" i="4"/>
  <c r="C44" i="4"/>
  <c r="D44" i="4"/>
  <c r="E44" i="4"/>
  <c r="F44" i="4"/>
  <c r="G44" i="4"/>
  <c r="H44" i="4"/>
  <c r="A46" i="4"/>
  <c r="B46" i="4"/>
  <c r="C46" i="4"/>
  <c r="D46" i="4"/>
  <c r="E46" i="4"/>
  <c r="F46" i="4"/>
  <c r="G46" i="4"/>
  <c r="H46" i="4"/>
  <c r="B52" i="4"/>
  <c r="C52" i="4"/>
  <c r="D52" i="4"/>
  <c r="E52" i="4"/>
  <c r="F52" i="4"/>
  <c r="G52" i="4"/>
  <c r="A53" i="4"/>
  <c r="B53" i="4"/>
  <c r="C53" i="4"/>
  <c r="D53" i="4"/>
  <c r="E53" i="4"/>
  <c r="F53" i="4"/>
  <c r="G53" i="4"/>
  <c r="H53" i="4"/>
  <c r="A55" i="4"/>
  <c r="B55" i="4"/>
  <c r="C55" i="4"/>
  <c r="D55" i="4"/>
  <c r="E55" i="4"/>
  <c r="F55" i="4"/>
  <c r="G55" i="4"/>
  <c r="H55" i="4"/>
  <c r="A56" i="4"/>
  <c r="B56" i="4"/>
  <c r="C56" i="4"/>
  <c r="D56" i="4"/>
  <c r="E56" i="4"/>
  <c r="F56" i="4"/>
  <c r="G56" i="4"/>
  <c r="H56" i="4"/>
  <c r="A57" i="4"/>
  <c r="B57" i="4"/>
  <c r="C57" i="4"/>
  <c r="D57" i="4"/>
  <c r="E57" i="4"/>
  <c r="F57" i="4"/>
  <c r="G57" i="4"/>
  <c r="H57" i="4"/>
  <c r="A58" i="4"/>
  <c r="B58" i="4"/>
  <c r="C58" i="4"/>
  <c r="D58" i="4"/>
  <c r="E58" i="4"/>
  <c r="F58" i="4"/>
  <c r="G58" i="4"/>
  <c r="H58" i="4"/>
  <c r="A59" i="4"/>
  <c r="B59" i="4"/>
  <c r="C59" i="4"/>
  <c r="D59" i="4"/>
  <c r="E59" i="4"/>
  <c r="F59" i="4"/>
  <c r="G59" i="4"/>
  <c r="H59" i="4"/>
  <c r="A61" i="4"/>
  <c r="B61" i="4"/>
  <c r="C61" i="4"/>
  <c r="D61" i="4"/>
  <c r="E61" i="4"/>
  <c r="F61" i="4"/>
  <c r="G61" i="4"/>
  <c r="H61" i="4"/>
  <c r="B6" i="7"/>
  <c r="C6" i="7"/>
  <c r="D6" i="7"/>
  <c r="B7" i="7"/>
  <c r="C7" i="7"/>
  <c r="D7" i="7"/>
  <c r="B8" i="7"/>
  <c r="C8" i="7"/>
  <c r="D8" i="7"/>
  <c r="B10" i="7"/>
  <c r="C10" i="7"/>
  <c r="D10" i="7"/>
  <c r="B13" i="7"/>
  <c r="C13" i="7"/>
  <c r="D13" i="7"/>
  <c r="B14" i="7"/>
  <c r="C14" i="7"/>
  <c r="D14" i="7"/>
  <c r="B21" i="7"/>
  <c r="C21" i="7"/>
  <c r="D21" i="7"/>
  <c r="B22" i="7"/>
  <c r="C22" i="7"/>
  <c r="D22" i="7"/>
  <c r="B23" i="7"/>
  <c r="C23" i="7"/>
  <c r="D23" i="7"/>
  <c r="B25" i="7"/>
  <c r="C25" i="7"/>
  <c r="D25" i="7"/>
  <c r="B26" i="7"/>
  <c r="C26" i="7"/>
  <c r="D26" i="7"/>
  <c r="B27" i="7"/>
  <c r="C27" i="7"/>
  <c r="D27" i="7"/>
  <c r="B29" i="7"/>
  <c r="C29" i="7"/>
  <c r="D29" i="7"/>
  <c r="B30" i="7"/>
  <c r="C30" i="7"/>
  <c r="D30" i="7"/>
  <c r="B31" i="7"/>
  <c r="C31" i="7"/>
  <c r="D31" i="7"/>
  <c r="B33" i="7"/>
  <c r="C33" i="7"/>
  <c r="D33" i="7"/>
  <c r="B34" i="7"/>
  <c r="C34" i="7"/>
  <c r="D34" i="7"/>
  <c r="B35" i="7"/>
  <c r="C35" i="7"/>
  <c r="D35" i="7"/>
  <c r="B40" i="7"/>
  <c r="D40" i="7"/>
  <c r="B41" i="7"/>
  <c r="D41" i="7"/>
  <c r="B42" i="7"/>
  <c r="D42" i="7"/>
  <c r="B43" i="7"/>
  <c r="D43" i="7"/>
  <c r="B45" i="7"/>
  <c r="C45" i="7"/>
  <c r="D45" i="7"/>
  <c r="B47" i="7"/>
  <c r="C47" i="7"/>
  <c r="D47" i="7"/>
  <c r="B49" i="7"/>
  <c r="C49" i="7"/>
  <c r="D49" i="7"/>
  <c r="D52" i="7"/>
  <c r="B56" i="7"/>
  <c r="C56" i="7"/>
  <c r="D56" i="7"/>
  <c r="F56" i="7"/>
  <c r="G56" i="7"/>
  <c r="H56" i="7"/>
  <c r="B57" i="7"/>
  <c r="C57" i="7"/>
  <c r="D57" i="7"/>
  <c r="F57" i="7"/>
  <c r="G57" i="7"/>
  <c r="H57" i="7"/>
  <c r="B58" i="7"/>
  <c r="C58" i="7"/>
  <c r="D58" i="7"/>
  <c r="F58" i="7"/>
  <c r="G58" i="7"/>
  <c r="H58" i="7"/>
  <c r="B59" i="7"/>
  <c r="C59" i="7"/>
  <c r="D59" i="7"/>
  <c r="F59" i="7"/>
  <c r="G59" i="7"/>
  <c r="H59" i="7"/>
  <c r="B60" i="7"/>
  <c r="C60" i="7"/>
  <c r="D60" i="7"/>
  <c r="F60" i="7"/>
  <c r="G60" i="7"/>
  <c r="H60" i="7"/>
  <c r="B62" i="7"/>
  <c r="C62" i="7"/>
  <c r="D62" i="7"/>
  <c r="F62" i="7"/>
  <c r="G62" i="7"/>
  <c r="H62" i="7"/>
  <c r="B64" i="7"/>
  <c r="C64" i="7"/>
  <c r="D64" i="7"/>
  <c r="F64" i="7"/>
  <c r="G64" i="7"/>
  <c r="H64" i="7"/>
  <c r="B66" i="7"/>
  <c r="C66" i="7"/>
  <c r="D66" i="7"/>
  <c r="F66" i="7"/>
  <c r="G66" i="7"/>
  <c r="H66" i="7"/>
  <c r="B68" i="7"/>
  <c r="C68" i="7"/>
  <c r="D68" i="7"/>
  <c r="B70" i="7"/>
  <c r="C70" i="7"/>
  <c r="D70" i="7"/>
  <c r="B72" i="7"/>
  <c r="C72" i="7"/>
  <c r="D72" i="7"/>
  <c r="B76" i="7"/>
  <c r="C76" i="7"/>
  <c r="D76" i="7"/>
  <c r="F76" i="7"/>
  <c r="G76" i="7"/>
  <c r="H76" i="7"/>
  <c r="B77" i="7"/>
  <c r="C77" i="7"/>
  <c r="D77" i="7"/>
  <c r="F77" i="7"/>
  <c r="G77" i="7"/>
  <c r="H77" i="7"/>
  <c r="B78" i="7"/>
  <c r="C78" i="7"/>
  <c r="D78" i="7"/>
  <c r="F78" i="7"/>
  <c r="G78" i="7"/>
  <c r="H78" i="7"/>
  <c r="B80" i="7"/>
  <c r="C80" i="7"/>
  <c r="D80" i="7"/>
  <c r="F80" i="7"/>
  <c r="G80" i="7"/>
  <c r="H80" i="7"/>
  <c r="B82" i="7"/>
  <c r="C82" i="7"/>
  <c r="D82" i="7"/>
  <c r="F82" i="7"/>
  <c r="G82" i="7"/>
  <c r="H82" i="7"/>
  <c r="B84" i="7"/>
  <c r="C84" i="7"/>
  <c r="D84" i="7"/>
  <c r="F84" i="7"/>
  <c r="G84" i="7"/>
  <c r="H84" i="7"/>
  <c r="B86" i="7"/>
  <c r="C86" i="7"/>
  <c r="D86" i="7"/>
  <c r="B88" i="7"/>
  <c r="C88" i="7"/>
  <c r="D88" i="7"/>
  <c r="B90" i="7"/>
  <c r="C90" i="7"/>
  <c r="D90" i="7"/>
  <c r="B96" i="7"/>
  <c r="C96" i="7"/>
  <c r="B97" i="7"/>
  <c r="C97" i="7"/>
  <c r="D97" i="7"/>
  <c r="B98" i="7"/>
  <c r="C98" i="7"/>
  <c r="D98" i="7"/>
  <c r="B99" i="7"/>
  <c r="C99" i="7"/>
  <c r="D99" i="7"/>
  <c r="B102" i="7"/>
  <c r="C102" i="7"/>
  <c r="D102" i="7"/>
  <c r="B103" i="7"/>
  <c r="C103" i="7"/>
  <c r="D103" i="7"/>
  <c r="B109" i="7"/>
  <c r="C109" i="7"/>
  <c r="D109" i="7"/>
  <c r="B111" i="7"/>
  <c r="C111" i="7"/>
  <c r="D111" i="7"/>
  <c r="B113" i="7"/>
  <c r="C113" i="7"/>
  <c r="D113" i="7"/>
  <c r="X2" i="8"/>
  <c r="V5" i="8"/>
  <c r="D6" i="8"/>
  <c r="AN6" i="8"/>
  <c r="AO6" i="8"/>
  <c r="D7" i="8"/>
  <c r="H7" i="8"/>
  <c r="L7" i="8"/>
  <c r="O7" i="8"/>
  <c r="Q7" i="8"/>
  <c r="T7" i="8"/>
  <c r="V7" i="8"/>
  <c r="W7" i="8"/>
  <c r="D8" i="8"/>
  <c r="H8" i="8"/>
  <c r="L8" i="8"/>
  <c r="M8" i="8"/>
  <c r="O8" i="8"/>
  <c r="Q8" i="8"/>
  <c r="T8" i="8"/>
  <c r="V8" i="8"/>
  <c r="W8" i="8"/>
  <c r="AI8" i="8"/>
  <c r="AJ8" i="8"/>
  <c r="AL8" i="8"/>
  <c r="AN8" i="8"/>
  <c r="D9" i="8"/>
  <c r="H9" i="8"/>
  <c r="L9" i="8"/>
  <c r="M9" i="8"/>
  <c r="O9" i="8"/>
  <c r="Q9" i="8"/>
  <c r="T9" i="8"/>
  <c r="V9" i="8"/>
  <c r="W9" i="8"/>
  <c r="AI9" i="8"/>
  <c r="AJ9" i="8"/>
  <c r="AL9" i="8"/>
  <c r="AN9" i="8"/>
  <c r="AO9" i="8"/>
  <c r="D10" i="8"/>
  <c r="H10" i="8"/>
  <c r="L10" i="8"/>
  <c r="M10" i="8"/>
  <c r="O10" i="8"/>
  <c r="Q10" i="8"/>
  <c r="T10" i="8"/>
  <c r="V10" i="8"/>
  <c r="W10" i="8"/>
  <c r="AI10" i="8"/>
  <c r="AJ10" i="8"/>
  <c r="AL10" i="8"/>
  <c r="AN10" i="8"/>
  <c r="AO10" i="8"/>
  <c r="D11" i="8"/>
  <c r="H11" i="8"/>
  <c r="L11" i="8"/>
  <c r="M11" i="8"/>
  <c r="O11" i="8"/>
  <c r="Q11" i="8"/>
  <c r="T11" i="8"/>
  <c r="V11" i="8"/>
  <c r="W11" i="8"/>
  <c r="AI11" i="8"/>
  <c r="AJ11" i="8"/>
  <c r="AL11" i="8"/>
  <c r="AN11" i="8"/>
  <c r="AO11" i="8"/>
  <c r="D12" i="8"/>
  <c r="H12" i="8"/>
  <c r="L12" i="8"/>
  <c r="M12" i="8"/>
  <c r="O12" i="8"/>
  <c r="Q12" i="8"/>
  <c r="T12" i="8"/>
  <c r="V12" i="8"/>
  <c r="W12" i="8"/>
  <c r="AI12" i="8"/>
  <c r="AJ12" i="8"/>
  <c r="AL12" i="8"/>
  <c r="AN12" i="8"/>
  <c r="AO12" i="8"/>
  <c r="D13" i="8"/>
  <c r="H13" i="8"/>
  <c r="L13" i="8"/>
  <c r="M13" i="8"/>
  <c r="O13" i="8"/>
  <c r="Q13" i="8"/>
  <c r="T13" i="8"/>
  <c r="V13" i="8"/>
  <c r="W13" i="8"/>
  <c r="AI13" i="8"/>
  <c r="AJ13" i="8"/>
  <c r="AL13" i="8"/>
  <c r="AN13" i="8"/>
  <c r="AO13" i="8"/>
  <c r="D14" i="8"/>
  <c r="H14" i="8"/>
  <c r="L14" i="8"/>
  <c r="M14" i="8"/>
  <c r="O14" i="8"/>
  <c r="Q14" i="8"/>
  <c r="T14" i="8"/>
  <c r="V14" i="8"/>
  <c r="W14" i="8"/>
  <c r="AI14" i="8"/>
  <c r="AJ14" i="8"/>
  <c r="AL14" i="8"/>
  <c r="AN14" i="8"/>
  <c r="AO14" i="8"/>
  <c r="D15" i="8"/>
  <c r="H15" i="8"/>
  <c r="L15" i="8"/>
  <c r="M15" i="8"/>
  <c r="O15" i="8"/>
  <c r="Q15" i="8"/>
  <c r="T15" i="8"/>
  <c r="V15" i="8"/>
  <c r="W15" i="8"/>
  <c r="AI15" i="8"/>
  <c r="AJ15" i="8"/>
  <c r="AL15" i="8"/>
  <c r="AN15" i="8"/>
  <c r="AO15" i="8"/>
  <c r="D16" i="8"/>
  <c r="H16" i="8"/>
  <c r="L16" i="8"/>
  <c r="M16" i="8"/>
  <c r="O16" i="8"/>
  <c r="Q16" i="8"/>
  <c r="T16" i="8"/>
  <c r="V16" i="8"/>
  <c r="W16" i="8"/>
  <c r="AI16" i="8"/>
  <c r="AJ16" i="8"/>
  <c r="AL16" i="8"/>
  <c r="AN16" i="8"/>
  <c r="AO16" i="8"/>
  <c r="D17" i="8"/>
  <c r="H17" i="8"/>
  <c r="L17" i="8"/>
  <c r="M17" i="8"/>
  <c r="O17" i="8"/>
  <c r="Q17" i="8"/>
  <c r="T17" i="8"/>
  <c r="V17" i="8"/>
  <c r="W17" i="8"/>
  <c r="AI17" i="8"/>
  <c r="AJ17" i="8"/>
  <c r="AL17" i="8"/>
  <c r="AN17" i="8"/>
  <c r="AO17" i="8"/>
  <c r="D18" i="8"/>
  <c r="H18" i="8"/>
  <c r="L18" i="8"/>
  <c r="M18" i="8"/>
  <c r="O18" i="8"/>
  <c r="Q18" i="8"/>
  <c r="T18" i="8"/>
  <c r="V18" i="8"/>
  <c r="W18" i="8"/>
  <c r="AI18" i="8"/>
  <c r="AJ18" i="8"/>
  <c r="AL18" i="8"/>
  <c r="AN18" i="8"/>
  <c r="AO18" i="8"/>
  <c r="D19" i="8"/>
  <c r="H19" i="8"/>
  <c r="L19" i="8"/>
  <c r="M19" i="8"/>
  <c r="O19" i="8"/>
  <c r="Q19" i="8"/>
  <c r="T19" i="8"/>
  <c r="V19" i="8"/>
  <c r="W19" i="8"/>
  <c r="AI19" i="8"/>
  <c r="AJ19" i="8"/>
  <c r="AL19" i="8"/>
  <c r="AN19" i="8"/>
  <c r="AO19" i="8"/>
  <c r="D20" i="8"/>
  <c r="H20" i="8"/>
  <c r="L20" i="8"/>
  <c r="M20" i="8"/>
  <c r="O20" i="8"/>
  <c r="Q20" i="8"/>
  <c r="T20" i="8"/>
  <c r="V20" i="8"/>
  <c r="W20" i="8"/>
  <c r="AI20" i="8"/>
  <c r="AJ20" i="8"/>
  <c r="AL20" i="8"/>
  <c r="AN20" i="8"/>
  <c r="AO20" i="8"/>
  <c r="D21" i="8"/>
  <c r="H21" i="8"/>
  <c r="L21" i="8"/>
  <c r="M21" i="8"/>
  <c r="O21" i="8"/>
  <c r="Q21" i="8"/>
  <c r="T21" i="8"/>
  <c r="V21" i="8"/>
  <c r="W21" i="8"/>
  <c r="AI21" i="8"/>
  <c r="AJ21" i="8"/>
  <c r="AL21" i="8"/>
  <c r="AN21" i="8"/>
  <c r="AO21" i="8"/>
  <c r="D22" i="8"/>
  <c r="H22" i="8"/>
  <c r="L22" i="8"/>
  <c r="M22" i="8"/>
  <c r="O22" i="8"/>
  <c r="Q22" i="8"/>
  <c r="T22" i="8"/>
  <c r="V22" i="8"/>
  <c r="W22" i="8"/>
  <c r="AI22" i="8"/>
  <c r="AJ22" i="8"/>
  <c r="AL22" i="8"/>
  <c r="AN22" i="8"/>
  <c r="AO22" i="8"/>
  <c r="D23" i="8"/>
  <c r="H23" i="8"/>
  <c r="L23" i="8"/>
  <c r="M23" i="8"/>
  <c r="O23" i="8"/>
  <c r="Q23" i="8"/>
  <c r="T23" i="8"/>
  <c r="V23" i="8"/>
  <c r="W23" i="8"/>
  <c r="AI23" i="8"/>
  <c r="AJ23" i="8"/>
  <c r="AL23" i="8"/>
  <c r="AN23" i="8"/>
  <c r="AO23" i="8"/>
  <c r="D24" i="8"/>
  <c r="H24" i="8"/>
  <c r="L24" i="8"/>
  <c r="M24" i="8"/>
  <c r="O24" i="8"/>
  <c r="Q24" i="8"/>
  <c r="T24" i="8"/>
  <c r="V24" i="8"/>
  <c r="W24" i="8"/>
  <c r="AI24" i="8"/>
  <c r="AJ24" i="8"/>
  <c r="AL24" i="8"/>
  <c r="AN24" i="8"/>
  <c r="AO24" i="8"/>
  <c r="D25" i="8"/>
  <c r="H25" i="8"/>
  <c r="L25" i="8"/>
  <c r="M25" i="8"/>
  <c r="O25" i="8"/>
  <c r="Q25" i="8"/>
  <c r="T25" i="8"/>
  <c r="V25" i="8"/>
  <c r="W25" i="8"/>
  <c r="AI25" i="8"/>
  <c r="AJ25" i="8"/>
  <c r="AL25" i="8"/>
  <c r="AN25" i="8"/>
  <c r="AO25" i="8"/>
  <c r="D26" i="8"/>
  <c r="H26" i="8"/>
  <c r="L26" i="8"/>
  <c r="M26" i="8"/>
  <c r="O26" i="8"/>
  <c r="Q26" i="8"/>
  <c r="T26" i="8"/>
  <c r="V26" i="8"/>
  <c r="W26" i="8"/>
  <c r="AI26" i="8"/>
  <c r="AJ26" i="8"/>
  <c r="AL26" i="8"/>
  <c r="AN26" i="8"/>
  <c r="AO26" i="8"/>
  <c r="D27" i="8"/>
  <c r="H27" i="8"/>
  <c r="L27" i="8"/>
  <c r="M27" i="8"/>
  <c r="O27" i="8"/>
  <c r="Q27" i="8"/>
  <c r="T27" i="8"/>
  <c r="V27" i="8"/>
  <c r="W27" i="8"/>
  <c r="AI27" i="8"/>
  <c r="AJ27" i="8"/>
  <c r="AL27" i="8"/>
  <c r="AN27" i="8"/>
  <c r="AO27" i="8"/>
  <c r="D28" i="8"/>
  <c r="H28" i="8"/>
  <c r="L28" i="8"/>
  <c r="M28" i="8"/>
  <c r="O28" i="8"/>
  <c r="Q28" i="8"/>
  <c r="T28" i="8"/>
  <c r="V28" i="8"/>
  <c r="W28" i="8"/>
  <c r="AI28" i="8"/>
  <c r="AJ28" i="8"/>
  <c r="AL28" i="8"/>
  <c r="AN28" i="8"/>
  <c r="AO28" i="8"/>
  <c r="D29" i="8"/>
  <c r="H29" i="8"/>
  <c r="L29" i="8"/>
  <c r="M29" i="8"/>
  <c r="O29" i="8"/>
  <c r="Q29" i="8"/>
  <c r="T29" i="8"/>
  <c r="V29" i="8"/>
  <c r="W29" i="8"/>
  <c r="AI29" i="8"/>
  <c r="AJ29" i="8"/>
  <c r="AL29" i="8"/>
  <c r="AN29" i="8"/>
  <c r="AO29" i="8"/>
  <c r="D30" i="8"/>
  <c r="H30" i="8"/>
  <c r="L30" i="8"/>
  <c r="M30" i="8"/>
  <c r="O30" i="8"/>
  <c r="Q30" i="8"/>
  <c r="T30" i="8"/>
  <c r="V30" i="8"/>
  <c r="W30" i="8"/>
  <c r="AI30" i="8"/>
  <c r="AJ30" i="8"/>
  <c r="AL30" i="8"/>
  <c r="AN30" i="8"/>
  <c r="AO30" i="8"/>
  <c r="D31" i="8"/>
  <c r="H31" i="8"/>
  <c r="L31" i="8"/>
  <c r="M31" i="8"/>
  <c r="O31" i="8"/>
  <c r="Q31" i="8"/>
  <c r="T31" i="8"/>
  <c r="V31" i="8"/>
  <c r="W31" i="8"/>
  <c r="AI31" i="8"/>
  <c r="AJ31" i="8"/>
  <c r="AL31" i="8"/>
  <c r="AN31" i="8"/>
  <c r="AO31" i="8"/>
  <c r="D32" i="8"/>
  <c r="H32" i="8"/>
  <c r="L32" i="8"/>
  <c r="M32" i="8"/>
  <c r="O32" i="8"/>
  <c r="Q32" i="8"/>
  <c r="T32" i="8"/>
  <c r="V32" i="8"/>
  <c r="W32" i="8"/>
  <c r="AI32" i="8"/>
  <c r="AJ32" i="8"/>
  <c r="AL32" i="8"/>
  <c r="AN32" i="8"/>
  <c r="AO32" i="8"/>
  <c r="D33" i="8"/>
  <c r="H33" i="8"/>
  <c r="L33" i="8"/>
  <c r="M33" i="8"/>
  <c r="O33" i="8"/>
  <c r="Q33" i="8"/>
  <c r="T33" i="8"/>
  <c r="V33" i="8"/>
  <c r="W33" i="8"/>
  <c r="AI33" i="8"/>
  <c r="AJ33" i="8"/>
  <c r="AL33" i="8"/>
  <c r="AN33" i="8"/>
  <c r="AO33" i="8"/>
  <c r="D34" i="8"/>
  <c r="H34" i="8"/>
  <c r="L34" i="8"/>
  <c r="M34" i="8"/>
  <c r="O34" i="8"/>
  <c r="Q34" i="8"/>
  <c r="T34" i="8"/>
  <c r="V34" i="8"/>
  <c r="W34" i="8"/>
  <c r="AI34" i="8"/>
  <c r="AJ34" i="8"/>
  <c r="AL34" i="8"/>
  <c r="AN34" i="8"/>
  <c r="AO34" i="8"/>
  <c r="D35" i="8"/>
  <c r="H35" i="8"/>
  <c r="L35" i="8"/>
  <c r="M35" i="8"/>
  <c r="O35" i="8"/>
  <c r="Q35" i="8"/>
  <c r="T35" i="8"/>
  <c r="V35" i="8"/>
  <c r="W35" i="8"/>
  <c r="AI35" i="8"/>
  <c r="AJ35" i="8"/>
  <c r="AL35" i="8"/>
  <c r="AN35" i="8"/>
  <c r="AO35" i="8"/>
  <c r="D36" i="8"/>
  <c r="H36" i="8"/>
  <c r="L36" i="8"/>
  <c r="M36" i="8"/>
  <c r="O36" i="8"/>
  <c r="Q36" i="8"/>
  <c r="T36" i="8"/>
  <c r="V36" i="8"/>
  <c r="W36" i="8"/>
  <c r="AI36" i="8"/>
  <c r="AJ36" i="8"/>
  <c r="AL36" i="8"/>
  <c r="AN36" i="8"/>
  <c r="AO36" i="8"/>
  <c r="D37" i="8"/>
  <c r="H37" i="8"/>
  <c r="L37" i="8"/>
  <c r="M37" i="8"/>
  <c r="O37" i="8"/>
  <c r="Q37" i="8"/>
  <c r="T37" i="8"/>
  <c r="V37" i="8"/>
  <c r="W37" i="8"/>
  <c r="AI37" i="8"/>
  <c r="AJ37" i="8"/>
  <c r="AL37" i="8"/>
  <c r="AN37" i="8"/>
  <c r="AO37" i="8"/>
  <c r="D38" i="8"/>
  <c r="H38" i="8"/>
  <c r="L38" i="8"/>
  <c r="M38" i="8"/>
  <c r="O38" i="8"/>
  <c r="Q38" i="8"/>
  <c r="T38" i="8"/>
  <c r="V38" i="8"/>
  <c r="W38" i="8"/>
  <c r="AI38" i="8"/>
  <c r="AJ38" i="8"/>
  <c r="AL38" i="8"/>
  <c r="AN38" i="8"/>
  <c r="AO38" i="8"/>
  <c r="D39" i="8"/>
  <c r="H39" i="8"/>
  <c r="L39" i="8"/>
  <c r="M39" i="8"/>
  <c r="O39" i="8"/>
  <c r="Q39" i="8"/>
  <c r="T39" i="8"/>
  <c r="V39" i="8"/>
  <c r="W39" i="8"/>
  <c r="AI39" i="8"/>
  <c r="AJ39" i="8"/>
  <c r="AL39" i="8"/>
  <c r="AN39" i="8"/>
  <c r="AO39" i="8"/>
  <c r="D40" i="8"/>
  <c r="H40" i="8"/>
  <c r="L40" i="8"/>
  <c r="M40" i="8"/>
  <c r="O40" i="8"/>
  <c r="Q40" i="8"/>
  <c r="T40" i="8"/>
  <c r="V40" i="8"/>
  <c r="W40" i="8"/>
  <c r="AI40" i="8"/>
  <c r="AJ40" i="8"/>
  <c r="AL40" i="8"/>
  <c r="AN40" i="8"/>
  <c r="AO40" i="8"/>
  <c r="D41" i="8"/>
  <c r="H41" i="8"/>
  <c r="L41" i="8"/>
  <c r="M41" i="8"/>
  <c r="O41" i="8"/>
  <c r="Q41" i="8"/>
  <c r="T41" i="8"/>
  <c r="V41" i="8"/>
  <c r="W41" i="8"/>
  <c r="AI41" i="8"/>
  <c r="AJ41" i="8"/>
  <c r="AL41" i="8"/>
  <c r="AN41" i="8"/>
  <c r="AO41" i="8"/>
  <c r="D42" i="8"/>
  <c r="H42" i="8"/>
  <c r="L42" i="8"/>
  <c r="M42" i="8"/>
  <c r="O42" i="8"/>
  <c r="Q42" i="8"/>
  <c r="T42" i="8"/>
  <c r="V42" i="8"/>
  <c r="W42" i="8"/>
  <c r="AI42" i="8"/>
  <c r="AJ42" i="8"/>
  <c r="AL42" i="8"/>
  <c r="AN42" i="8"/>
  <c r="AO42" i="8"/>
  <c r="D43" i="8"/>
  <c r="H43" i="8"/>
  <c r="L43" i="8"/>
  <c r="M43" i="8"/>
  <c r="O43" i="8"/>
  <c r="Q43" i="8"/>
  <c r="T43" i="8"/>
  <c r="V43" i="8"/>
  <c r="W43" i="8"/>
  <c r="AI43" i="8"/>
  <c r="AJ43" i="8"/>
  <c r="AL43" i="8"/>
  <c r="AN43" i="8"/>
  <c r="AO43" i="8"/>
  <c r="D44" i="8"/>
  <c r="H44" i="8"/>
  <c r="L44" i="8"/>
  <c r="M44" i="8"/>
  <c r="O44" i="8"/>
  <c r="Q44" i="8"/>
  <c r="T44" i="8"/>
  <c r="V44" i="8"/>
  <c r="W44" i="8"/>
  <c r="AI44" i="8"/>
  <c r="AJ44" i="8"/>
  <c r="AL44" i="8"/>
  <c r="AN44" i="8"/>
  <c r="AO44" i="8"/>
  <c r="D45" i="8"/>
  <c r="H45" i="8"/>
  <c r="L45" i="8"/>
  <c r="M45" i="8"/>
  <c r="O45" i="8"/>
  <c r="Q45" i="8"/>
  <c r="T45" i="8"/>
  <c r="V45" i="8"/>
  <c r="W45" i="8"/>
  <c r="AI45" i="8"/>
  <c r="AJ45" i="8"/>
  <c r="AL45" i="8"/>
  <c r="AN45" i="8"/>
  <c r="AO45" i="8"/>
  <c r="I6" i="6"/>
  <c r="E7" i="6"/>
  <c r="I7" i="6"/>
  <c r="K7" i="6"/>
  <c r="L7" i="6"/>
  <c r="M7" i="6"/>
  <c r="E8" i="6"/>
  <c r="I8" i="6"/>
  <c r="K8" i="6"/>
  <c r="L8" i="6"/>
  <c r="M8" i="6"/>
  <c r="E9" i="6"/>
  <c r="I9" i="6"/>
  <c r="K9" i="6"/>
  <c r="L9" i="6"/>
  <c r="M9" i="6"/>
  <c r="B10" i="6"/>
  <c r="E10" i="6"/>
  <c r="I10" i="6"/>
  <c r="K10" i="6"/>
  <c r="L10" i="6"/>
  <c r="M10" i="6"/>
  <c r="B11" i="6"/>
  <c r="E11" i="6"/>
  <c r="I11" i="6"/>
  <c r="K11" i="6"/>
  <c r="L11" i="6"/>
  <c r="M11" i="6"/>
  <c r="B12" i="6"/>
  <c r="E12" i="6"/>
  <c r="I12" i="6"/>
  <c r="K12" i="6"/>
  <c r="L12" i="6"/>
  <c r="M12" i="6"/>
  <c r="B13" i="6"/>
  <c r="E13" i="6"/>
  <c r="I13" i="6"/>
  <c r="K13" i="6"/>
  <c r="L13" i="6"/>
  <c r="M13" i="6"/>
  <c r="B14" i="6"/>
  <c r="E14" i="6"/>
  <c r="I14" i="6"/>
  <c r="K14" i="6"/>
  <c r="L14" i="6"/>
  <c r="M14" i="6"/>
  <c r="B15" i="6"/>
  <c r="E15" i="6"/>
  <c r="I15" i="6"/>
  <c r="K15" i="6"/>
  <c r="L15" i="6"/>
  <c r="M15" i="6"/>
  <c r="B16" i="6"/>
  <c r="E16" i="6"/>
  <c r="I16" i="6"/>
  <c r="K16" i="6"/>
  <c r="L16" i="6"/>
  <c r="M16" i="6"/>
  <c r="B17" i="6"/>
  <c r="E17" i="6"/>
  <c r="I17" i="6"/>
  <c r="K17" i="6"/>
  <c r="L17" i="6"/>
  <c r="M17" i="6"/>
  <c r="B18" i="6"/>
  <c r="E18" i="6"/>
  <c r="I18" i="6"/>
  <c r="K18" i="6"/>
  <c r="L18" i="6"/>
  <c r="M18" i="6"/>
  <c r="B19" i="6"/>
  <c r="E19" i="6"/>
  <c r="I19" i="6"/>
  <c r="K19" i="6"/>
  <c r="L19" i="6"/>
  <c r="M19" i="6"/>
  <c r="B20" i="6"/>
  <c r="E20" i="6"/>
  <c r="I20" i="6"/>
  <c r="K20" i="6"/>
  <c r="L20" i="6"/>
  <c r="M20" i="6"/>
  <c r="B21" i="6"/>
  <c r="E21" i="6"/>
  <c r="I21" i="6"/>
  <c r="K21" i="6"/>
  <c r="L21" i="6"/>
  <c r="M21" i="6"/>
  <c r="B22" i="6"/>
  <c r="E22" i="6"/>
  <c r="I22" i="6"/>
  <c r="K22" i="6"/>
  <c r="L22" i="6"/>
  <c r="M22" i="6"/>
  <c r="B23" i="6"/>
  <c r="E23" i="6"/>
  <c r="I23" i="6"/>
  <c r="K23" i="6"/>
  <c r="L23" i="6"/>
  <c r="M23" i="6"/>
  <c r="B24" i="6"/>
  <c r="E24" i="6"/>
  <c r="I24" i="6"/>
  <c r="K24" i="6"/>
  <c r="L24" i="6"/>
  <c r="M24" i="6"/>
  <c r="B25" i="6"/>
  <c r="E25" i="6"/>
  <c r="I25" i="6"/>
  <c r="K25" i="6"/>
  <c r="L25" i="6"/>
  <c r="M25" i="6"/>
  <c r="B26" i="6"/>
  <c r="E26" i="6"/>
  <c r="I26" i="6"/>
  <c r="K26" i="6"/>
  <c r="L26" i="6"/>
  <c r="M26" i="6"/>
  <c r="B27" i="6"/>
  <c r="E27" i="6"/>
  <c r="I27" i="6"/>
  <c r="K27" i="6"/>
  <c r="L27" i="6"/>
  <c r="M27" i="6"/>
  <c r="B28" i="6"/>
  <c r="E28" i="6"/>
  <c r="I28" i="6"/>
  <c r="K28" i="6"/>
  <c r="L28" i="6"/>
  <c r="M28" i="6"/>
  <c r="B29" i="6"/>
  <c r="E29" i="6"/>
  <c r="I29" i="6"/>
  <c r="K29" i="6"/>
  <c r="L29" i="6"/>
  <c r="M29" i="6"/>
  <c r="B30" i="6"/>
  <c r="E30" i="6"/>
  <c r="I30" i="6"/>
  <c r="K30" i="6"/>
  <c r="L30" i="6"/>
  <c r="M30" i="6"/>
  <c r="B31" i="6"/>
  <c r="E31" i="6"/>
  <c r="I31" i="6"/>
  <c r="K31" i="6"/>
  <c r="L31" i="6"/>
  <c r="M31" i="6"/>
  <c r="B32" i="6"/>
  <c r="E32" i="6"/>
  <c r="I32" i="6"/>
  <c r="K32" i="6"/>
  <c r="L32" i="6"/>
  <c r="M32" i="6"/>
  <c r="B33" i="6"/>
  <c r="E33" i="6"/>
  <c r="I33" i="6"/>
  <c r="K33" i="6"/>
  <c r="L33" i="6"/>
  <c r="M33" i="6"/>
  <c r="B34" i="6"/>
  <c r="E34" i="6"/>
  <c r="I34" i="6"/>
  <c r="K34" i="6"/>
  <c r="L34" i="6"/>
  <c r="M34" i="6"/>
  <c r="B35" i="6"/>
  <c r="E35" i="6"/>
  <c r="I35" i="6"/>
  <c r="K35" i="6"/>
  <c r="L35" i="6"/>
  <c r="M35" i="6"/>
  <c r="B36" i="6"/>
  <c r="E36" i="6"/>
  <c r="I36" i="6"/>
  <c r="K36" i="6"/>
  <c r="L36" i="6"/>
  <c r="M36" i="6"/>
  <c r="B37" i="6"/>
  <c r="E37" i="6"/>
  <c r="I37" i="6"/>
  <c r="K37" i="6"/>
  <c r="L37" i="6"/>
  <c r="M37" i="6"/>
  <c r="B38" i="6"/>
  <c r="E38" i="6"/>
  <c r="I38" i="6"/>
  <c r="K38" i="6"/>
  <c r="L38" i="6"/>
  <c r="M38" i="6"/>
  <c r="B39" i="6"/>
  <c r="E39" i="6"/>
  <c r="I39" i="6"/>
  <c r="K39" i="6"/>
  <c r="L39" i="6"/>
  <c r="M39" i="6"/>
  <c r="B40" i="6"/>
  <c r="E40" i="6"/>
  <c r="I40" i="6"/>
  <c r="K40" i="6"/>
  <c r="L40" i="6"/>
  <c r="M40" i="6"/>
  <c r="B41" i="6"/>
  <c r="E41" i="6"/>
  <c r="I41" i="6"/>
  <c r="K41" i="6"/>
  <c r="L41" i="6"/>
  <c r="M41" i="6"/>
  <c r="B42" i="6"/>
  <c r="E42" i="6"/>
  <c r="I42" i="6"/>
  <c r="K42" i="6"/>
  <c r="L42" i="6"/>
  <c r="M42" i="6"/>
  <c r="B43" i="6"/>
  <c r="E43" i="6"/>
  <c r="I43" i="6"/>
  <c r="K43" i="6"/>
  <c r="L43" i="6"/>
  <c r="M43" i="6"/>
  <c r="B44" i="6"/>
  <c r="E44" i="6"/>
  <c r="I44" i="6"/>
  <c r="K44" i="6"/>
  <c r="L44" i="6"/>
  <c r="M44" i="6"/>
  <c r="B45" i="6"/>
  <c r="E45" i="6"/>
  <c r="I45" i="6"/>
  <c r="K45" i="6"/>
  <c r="L45" i="6"/>
  <c r="M45" i="6"/>
  <c r="C51" i="6"/>
  <c r="C52" i="6"/>
  <c r="C53" i="6"/>
  <c r="C54" i="6"/>
  <c r="D54" i="6"/>
  <c r="E54" i="6"/>
  <c r="B55" i="6"/>
  <c r="C55" i="6"/>
  <c r="B56" i="6"/>
  <c r="C56" i="6"/>
  <c r="B57" i="6"/>
  <c r="C57" i="6"/>
  <c r="B58" i="6"/>
  <c r="C58" i="6"/>
  <c r="D58" i="6"/>
  <c r="E58" i="6"/>
  <c r="B59" i="6"/>
  <c r="C59" i="6"/>
  <c r="B60" i="6"/>
  <c r="C60" i="6"/>
  <c r="B61" i="6"/>
  <c r="C61" i="6"/>
  <c r="B62" i="6"/>
  <c r="C62" i="6"/>
  <c r="D62" i="6"/>
  <c r="E62" i="6"/>
  <c r="F8" i="2"/>
  <c r="I8" i="2"/>
  <c r="J8" i="2"/>
  <c r="K8" i="2"/>
  <c r="F11" i="2"/>
  <c r="I11" i="2"/>
  <c r="J11" i="2"/>
  <c r="K11" i="2"/>
  <c r="F14" i="2"/>
  <c r="I14" i="2"/>
  <c r="J14" i="2"/>
  <c r="K14" i="2"/>
  <c r="F17" i="2"/>
  <c r="I17" i="2"/>
  <c r="J17" i="2"/>
  <c r="K17" i="2"/>
  <c r="F20" i="2"/>
  <c r="I20" i="2"/>
  <c r="J20" i="2"/>
  <c r="K20" i="2"/>
  <c r="F23" i="2"/>
  <c r="I23" i="2"/>
  <c r="J23" i="2"/>
  <c r="K23" i="2"/>
  <c r="F26" i="2"/>
  <c r="I26" i="2"/>
  <c r="J26" i="2"/>
  <c r="K26" i="2"/>
  <c r="F29" i="2"/>
  <c r="I29" i="2"/>
  <c r="J29" i="2"/>
  <c r="K29" i="2"/>
  <c r="F32" i="2"/>
  <c r="I32" i="2"/>
  <c r="J32" i="2"/>
  <c r="K32" i="2"/>
  <c r="F35" i="2"/>
  <c r="I35" i="2"/>
  <c r="J35" i="2"/>
  <c r="K35" i="2"/>
  <c r="F38" i="2"/>
  <c r="I38" i="2"/>
  <c r="J38" i="2"/>
  <c r="K38" i="2"/>
  <c r="F41" i="2"/>
  <c r="I41" i="2"/>
  <c r="J41" i="2"/>
  <c r="K41" i="2"/>
  <c r="F44" i="2"/>
  <c r="I44" i="2"/>
  <c r="J44" i="2"/>
  <c r="K44" i="2"/>
  <c r="F47" i="2"/>
  <c r="I47" i="2"/>
  <c r="J47" i="2"/>
  <c r="K47" i="2"/>
  <c r="F50" i="2"/>
  <c r="I50" i="2"/>
  <c r="J50" i="2"/>
  <c r="K50" i="2"/>
  <c r="F53" i="2"/>
  <c r="I53" i="2"/>
  <c r="J53" i="2"/>
  <c r="K53" i="2"/>
  <c r="F56" i="2"/>
  <c r="I56" i="2"/>
  <c r="J56" i="2"/>
  <c r="K56" i="2"/>
  <c r="F59" i="2"/>
  <c r="I59" i="2"/>
  <c r="J59" i="2"/>
  <c r="K59" i="2"/>
  <c r="F62" i="2"/>
  <c r="I62" i="2"/>
  <c r="J62" i="2"/>
  <c r="K62" i="2"/>
  <c r="F65" i="2"/>
  <c r="I65" i="2"/>
  <c r="J65" i="2"/>
  <c r="K65" i="2"/>
  <c r="F68" i="2"/>
  <c r="I68" i="2"/>
  <c r="J68" i="2"/>
  <c r="K68" i="2"/>
  <c r="F71" i="2"/>
  <c r="I71" i="2"/>
  <c r="J71" i="2"/>
  <c r="K71" i="2"/>
  <c r="F74" i="2"/>
  <c r="I74" i="2"/>
  <c r="J74" i="2"/>
  <c r="K74" i="2"/>
  <c r="F77" i="2"/>
  <c r="I77" i="2"/>
  <c r="J77" i="2"/>
  <c r="K77" i="2"/>
  <c r="F80" i="2"/>
  <c r="I80" i="2"/>
  <c r="J80" i="2"/>
  <c r="K80" i="2"/>
  <c r="F83" i="2"/>
  <c r="I83" i="2"/>
  <c r="J83" i="2"/>
  <c r="K83" i="2"/>
  <c r="F86" i="2"/>
  <c r="I86" i="2"/>
  <c r="J86" i="2"/>
  <c r="K86" i="2"/>
  <c r="F89" i="2"/>
  <c r="I89" i="2"/>
  <c r="J89" i="2"/>
  <c r="K89" i="2"/>
  <c r="F92" i="2"/>
  <c r="I92" i="2"/>
  <c r="J92" i="2"/>
  <c r="K92" i="2"/>
  <c r="F95" i="2"/>
  <c r="I95" i="2"/>
  <c r="J95" i="2"/>
  <c r="K95" i="2"/>
  <c r="F98" i="2"/>
  <c r="I98" i="2"/>
  <c r="J98" i="2"/>
  <c r="K98" i="2"/>
  <c r="F101" i="2"/>
  <c r="I101" i="2"/>
  <c r="J101" i="2"/>
  <c r="K101" i="2"/>
  <c r="F104" i="2"/>
  <c r="I104" i="2"/>
  <c r="J104" i="2"/>
  <c r="K104" i="2"/>
  <c r="F107" i="2"/>
  <c r="I107" i="2"/>
  <c r="J107" i="2"/>
  <c r="K107" i="2"/>
  <c r="F110" i="2"/>
  <c r="I110" i="2"/>
  <c r="J110" i="2"/>
  <c r="K110" i="2"/>
  <c r="F113" i="2"/>
  <c r="I113" i="2"/>
  <c r="J113" i="2"/>
  <c r="K113" i="2"/>
  <c r="F116" i="2"/>
  <c r="I116" i="2"/>
  <c r="J116" i="2"/>
  <c r="K116" i="2"/>
  <c r="F119" i="2"/>
  <c r="I119" i="2"/>
  <c r="J119" i="2"/>
  <c r="K119" i="2"/>
  <c r="F122" i="2"/>
  <c r="I122" i="2"/>
  <c r="J122" i="2"/>
  <c r="K122" i="2"/>
  <c r="E125" i="2"/>
  <c r="F125" i="2"/>
  <c r="G125" i="2"/>
  <c r="H125" i="2"/>
  <c r="I125" i="2"/>
  <c r="J125" i="2"/>
  <c r="K125" i="2"/>
  <c r="E132" i="2"/>
  <c r="F132" i="2"/>
  <c r="G132" i="2"/>
  <c r="H132" i="2"/>
  <c r="I132" i="2"/>
  <c r="J132" i="2"/>
  <c r="K132" i="2"/>
  <c r="E133" i="2"/>
  <c r="F133" i="2"/>
  <c r="G133" i="2"/>
  <c r="H133" i="2"/>
  <c r="I133" i="2"/>
  <c r="J133" i="2"/>
  <c r="K133" i="2"/>
  <c r="E134" i="2"/>
  <c r="F134" i="2"/>
  <c r="G134" i="2"/>
  <c r="H134" i="2"/>
  <c r="I134" i="2"/>
  <c r="J134" i="2"/>
  <c r="K134" i="2"/>
  <c r="E135" i="2"/>
  <c r="F135" i="2"/>
  <c r="G135" i="2"/>
  <c r="H135" i="2"/>
  <c r="I135" i="2"/>
  <c r="J135" i="2"/>
  <c r="K135" i="2"/>
  <c r="E136" i="2"/>
  <c r="F136" i="2"/>
  <c r="G136" i="2"/>
  <c r="H136" i="2"/>
  <c r="I136" i="2"/>
  <c r="J136" i="2"/>
  <c r="K136" i="2"/>
  <c r="E138" i="2"/>
  <c r="F138" i="2"/>
  <c r="G138" i="2"/>
  <c r="H138" i="2"/>
  <c r="I138" i="2"/>
  <c r="J138" i="2"/>
  <c r="K138" i="2"/>
  <c r="E141" i="2"/>
  <c r="F141" i="2"/>
  <c r="G141" i="2"/>
  <c r="H141" i="2"/>
  <c r="I141" i="2"/>
  <c r="J141" i="2"/>
  <c r="K141" i="2"/>
  <c r="E142" i="2"/>
  <c r="F142" i="2"/>
  <c r="G142" i="2"/>
  <c r="H142" i="2"/>
  <c r="I142" i="2"/>
  <c r="J142" i="2"/>
  <c r="K142" i="2"/>
  <c r="E144" i="2"/>
  <c r="F144" i="2"/>
  <c r="G144" i="2"/>
  <c r="H144" i="2"/>
  <c r="I144" i="2"/>
  <c r="J144" i="2"/>
  <c r="K144" i="2"/>
  <c r="E145" i="2"/>
  <c r="B8" i="13"/>
  <c r="C8" i="13"/>
  <c r="D8" i="13"/>
  <c r="E8" i="13"/>
  <c r="F8" i="13"/>
  <c r="G8" i="13"/>
  <c r="H8" i="13"/>
  <c r="I8" i="13"/>
  <c r="J8" i="13"/>
  <c r="K8" i="13"/>
  <c r="B9" i="13"/>
  <c r="B10" i="13"/>
  <c r="B12" i="13"/>
  <c r="B13" i="13"/>
  <c r="B14" i="13"/>
  <c r="B17" i="13"/>
  <c r="B18" i="13"/>
  <c r="B21" i="13"/>
  <c r="B22" i="13"/>
  <c r="B23" i="13"/>
  <c r="B24" i="13"/>
  <c r="B26" i="13"/>
  <c r="B27" i="13"/>
  <c r="B33" i="13"/>
  <c r="B34" i="13"/>
  <c r="B35" i="13"/>
  <c r="B37" i="13"/>
  <c r="B38" i="13"/>
  <c r="B39" i="13"/>
  <c r="B41" i="13"/>
  <c r="B42" i="13"/>
  <c r="B43" i="13"/>
  <c r="B45" i="13"/>
  <c r="B46" i="13"/>
  <c r="B47" i="13"/>
  <c r="B52" i="13"/>
  <c r="B53" i="13"/>
  <c r="B54" i="13"/>
  <c r="B55" i="13"/>
  <c r="B57" i="13"/>
  <c r="B59" i="13"/>
  <c r="B61" i="13"/>
  <c r="B63" i="13"/>
  <c r="B68" i="13"/>
  <c r="B69" i="13"/>
  <c r="B70" i="13"/>
  <c r="B71" i="13"/>
  <c r="B72" i="13"/>
  <c r="B73" i="13"/>
  <c r="B75" i="13"/>
  <c r="B77" i="13"/>
  <c r="B79" i="13"/>
  <c r="B81" i="13"/>
  <c r="F7" i="5"/>
  <c r="D9" i="5"/>
  <c r="E9" i="5"/>
  <c r="F9" i="5"/>
  <c r="G9" i="5"/>
  <c r="C10" i="5"/>
  <c r="D10" i="5"/>
  <c r="E10" i="5"/>
  <c r="F10" i="5"/>
  <c r="G10" i="5"/>
  <c r="H10" i="5"/>
  <c r="C12" i="5"/>
  <c r="D12" i="5"/>
  <c r="E12" i="5"/>
  <c r="F12" i="5"/>
  <c r="G12" i="5"/>
  <c r="H12" i="5"/>
  <c r="C13" i="5"/>
  <c r="D13" i="5"/>
  <c r="E13" i="5"/>
  <c r="F13" i="5"/>
  <c r="G13" i="5"/>
  <c r="H13" i="5"/>
  <c r="C14" i="5"/>
  <c r="D14" i="5"/>
  <c r="E14" i="5"/>
  <c r="F14" i="5"/>
  <c r="G14" i="5"/>
  <c r="H14" i="5"/>
  <c r="C15" i="5"/>
  <c r="D15" i="5"/>
  <c r="E15" i="5"/>
  <c r="F15" i="5"/>
  <c r="G15" i="5"/>
  <c r="H15" i="5"/>
  <c r="C16" i="5"/>
  <c r="D16" i="5"/>
  <c r="E16" i="5"/>
  <c r="F16" i="5"/>
  <c r="G16" i="5"/>
  <c r="H16" i="5"/>
  <c r="C18" i="5"/>
  <c r="D18" i="5"/>
  <c r="E18" i="5"/>
  <c r="F18" i="5"/>
  <c r="G18" i="5"/>
  <c r="H18" i="5"/>
  <c r="D20" i="5"/>
  <c r="F23" i="5"/>
  <c r="D25" i="5"/>
  <c r="E25" i="5"/>
  <c r="F25" i="5"/>
  <c r="G25" i="5"/>
  <c r="C26" i="5"/>
  <c r="D26" i="5"/>
  <c r="E26" i="5"/>
  <c r="F26" i="5"/>
  <c r="G26" i="5"/>
  <c r="H26" i="5"/>
  <c r="C28" i="5"/>
  <c r="D28" i="5"/>
  <c r="E28" i="5"/>
  <c r="F28" i="5"/>
  <c r="G28" i="5"/>
  <c r="H28" i="5"/>
  <c r="C29" i="5"/>
  <c r="D29" i="5"/>
  <c r="E29" i="5"/>
  <c r="F29" i="5"/>
  <c r="G29" i="5"/>
  <c r="H29" i="5"/>
  <c r="C30" i="5"/>
  <c r="D30" i="5"/>
  <c r="E30" i="5"/>
  <c r="F30" i="5"/>
  <c r="G30" i="5"/>
  <c r="H30" i="5"/>
  <c r="C31" i="5"/>
  <c r="D31" i="5"/>
  <c r="E31" i="5"/>
  <c r="F31" i="5"/>
  <c r="G31" i="5"/>
  <c r="H31" i="5"/>
  <c r="C32" i="5"/>
  <c r="D32" i="5"/>
  <c r="E32" i="5"/>
  <c r="F32" i="5"/>
  <c r="G32" i="5"/>
  <c r="H32" i="5"/>
  <c r="C34" i="5"/>
  <c r="D34" i="5"/>
  <c r="E34" i="5"/>
  <c r="F34" i="5"/>
  <c r="G34" i="5"/>
  <c r="H34" i="5"/>
  <c r="D36" i="5"/>
  <c r="F38" i="5"/>
  <c r="D40" i="5"/>
  <c r="E40" i="5"/>
  <c r="F40" i="5"/>
  <c r="G40" i="5"/>
  <c r="C41" i="5"/>
  <c r="D41" i="5"/>
  <c r="E41" i="5"/>
  <c r="F41" i="5"/>
  <c r="G41" i="5"/>
  <c r="H41" i="5"/>
  <c r="C43" i="5"/>
  <c r="D43" i="5"/>
  <c r="E43" i="5"/>
  <c r="F43" i="5"/>
  <c r="G43" i="5"/>
  <c r="H43" i="5"/>
  <c r="C44" i="5"/>
  <c r="D44" i="5"/>
  <c r="E44" i="5"/>
  <c r="F44" i="5"/>
  <c r="G44" i="5"/>
  <c r="H44" i="5"/>
  <c r="C45" i="5"/>
  <c r="D45" i="5"/>
  <c r="E45" i="5"/>
  <c r="F45" i="5"/>
  <c r="G45" i="5"/>
  <c r="H45" i="5"/>
  <c r="C46" i="5"/>
  <c r="D46" i="5"/>
  <c r="E46" i="5"/>
  <c r="F46" i="5"/>
  <c r="G46" i="5"/>
  <c r="H46" i="5"/>
  <c r="C47" i="5"/>
  <c r="D47" i="5"/>
  <c r="E47" i="5"/>
  <c r="F47" i="5"/>
  <c r="G47" i="5"/>
  <c r="H47" i="5"/>
  <c r="C49" i="5"/>
  <c r="D49" i="5"/>
  <c r="E49" i="5"/>
  <c r="F49" i="5"/>
  <c r="G49" i="5"/>
  <c r="H49" i="5"/>
  <c r="D51" i="5"/>
  <c r="F53" i="5"/>
  <c r="D55" i="5"/>
  <c r="E55" i="5"/>
  <c r="F55" i="5"/>
  <c r="G55" i="5"/>
  <c r="C56" i="5"/>
  <c r="D56" i="5"/>
  <c r="E56" i="5"/>
  <c r="F56" i="5"/>
  <c r="G56" i="5"/>
  <c r="H56" i="5"/>
  <c r="C58" i="5"/>
  <c r="D58" i="5"/>
  <c r="E58" i="5"/>
  <c r="F58" i="5"/>
  <c r="G58" i="5"/>
  <c r="H58" i="5"/>
  <c r="C59" i="5"/>
  <c r="D59" i="5"/>
  <c r="E59" i="5"/>
  <c r="F59" i="5"/>
  <c r="G59" i="5"/>
  <c r="H59" i="5"/>
  <c r="C60" i="5"/>
  <c r="D60" i="5"/>
  <c r="E60" i="5"/>
  <c r="F60" i="5"/>
  <c r="G60" i="5"/>
  <c r="H60" i="5"/>
  <c r="C61" i="5"/>
  <c r="D61" i="5"/>
  <c r="E61" i="5"/>
  <c r="F61" i="5"/>
  <c r="G61" i="5"/>
  <c r="H61" i="5"/>
  <c r="C62" i="5"/>
  <c r="D62" i="5"/>
  <c r="E62" i="5"/>
  <c r="F62" i="5"/>
  <c r="G62" i="5"/>
  <c r="H62" i="5"/>
  <c r="C64" i="5"/>
  <c r="D64" i="5"/>
  <c r="E64" i="5"/>
  <c r="F64" i="5"/>
  <c r="G64" i="5"/>
  <c r="H64" i="5"/>
  <c r="D66" i="5"/>
  <c r="G5" i="1"/>
  <c r="H5" i="1"/>
  <c r="I5" i="1"/>
  <c r="G6" i="1"/>
  <c r="H6" i="1"/>
  <c r="I6" i="1"/>
  <c r="G7" i="1"/>
  <c r="H7" i="1"/>
  <c r="I7" i="1"/>
  <c r="G8" i="1"/>
  <c r="H8" i="1"/>
  <c r="I8" i="1"/>
  <c r="H9" i="1"/>
  <c r="F11" i="1"/>
  <c r="K11" i="1"/>
  <c r="G14" i="1"/>
  <c r="H14" i="1"/>
  <c r="I14" i="1"/>
  <c r="G15" i="1"/>
  <c r="H15" i="1"/>
  <c r="I15" i="1"/>
  <c r="G16" i="1"/>
  <c r="H16" i="1"/>
  <c r="I16" i="1"/>
  <c r="G17" i="1"/>
  <c r="H17" i="1"/>
  <c r="I17" i="1"/>
  <c r="H18" i="1"/>
  <c r="F20" i="1"/>
  <c r="K20" i="1"/>
  <c r="H23" i="1"/>
  <c r="G24" i="1"/>
  <c r="H24" i="1"/>
  <c r="I24" i="1"/>
  <c r="G25" i="1"/>
  <c r="H25" i="1"/>
  <c r="I25" i="1"/>
  <c r="G26" i="1"/>
  <c r="H26" i="1"/>
  <c r="I26" i="1"/>
  <c r="G27" i="1"/>
  <c r="H27" i="1"/>
  <c r="I27" i="1"/>
  <c r="H28" i="1"/>
  <c r="E30" i="1"/>
  <c r="F30" i="1"/>
  <c r="G30" i="1"/>
  <c r="H30" i="1"/>
  <c r="I30" i="1"/>
  <c r="K30" i="1"/>
  <c r="H33" i="1"/>
  <c r="G34" i="1"/>
  <c r="H34" i="1"/>
  <c r="I34" i="1"/>
  <c r="G35" i="1"/>
  <c r="H35" i="1"/>
  <c r="I35" i="1"/>
  <c r="G36" i="1"/>
  <c r="H36" i="1"/>
  <c r="I36" i="1"/>
  <c r="G37" i="1"/>
  <c r="H37" i="1"/>
  <c r="I37" i="1"/>
  <c r="F39" i="1"/>
  <c r="K39" i="1"/>
  <c r="H42" i="1"/>
  <c r="G43" i="1"/>
  <c r="H43" i="1"/>
  <c r="I43" i="1"/>
  <c r="G44" i="1"/>
  <c r="H44" i="1"/>
  <c r="I44" i="1"/>
  <c r="F46" i="1"/>
  <c r="K46" i="1"/>
  <c r="H49" i="1"/>
  <c r="G50" i="1"/>
  <c r="H50" i="1"/>
  <c r="I50" i="1"/>
  <c r="G51" i="1"/>
  <c r="H51" i="1"/>
  <c r="I51" i="1"/>
  <c r="F53" i="1"/>
  <c r="K53" i="1"/>
  <c r="H56" i="1"/>
  <c r="G57" i="1"/>
  <c r="H57" i="1"/>
  <c r="I57" i="1"/>
  <c r="G58" i="1"/>
  <c r="H58" i="1"/>
  <c r="I58" i="1"/>
  <c r="F60" i="1"/>
  <c r="K60" i="1"/>
  <c r="H63" i="1"/>
  <c r="G64" i="1"/>
  <c r="H64" i="1"/>
  <c r="I64" i="1"/>
  <c r="G65" i="1"/>
  <c r="H65" i="1"/>
  <c r="I65" i="1"/>
  <c r="F67" i="1"/>
  <c r="K67" i="1"/>
  <c r="H70" i="1"/>
  <c r="G71" i="1"/>
  <c r="H71" i="1"/>
  <c r="I71" i="1"/>
  <c r="G72" i="1"/>
  <c r="H72" i="1"/>
  <c r="I72" i="1"/>
  <c r="G73" i="1"/>
  <c r="H73" i="1"/>
  <c r="I73" i="1"/>
  <c r="G74" i="1"/>
  <c r="H74" i="1"/>
  <c r="I74" i="1"/>
  <c r="F76" i="1"/>
  <c r="K76" i="1"/>
  <c r="H79" i="1"/>
  <c r="G80" i="1"/>
  <c r="H80" i="1"/>
  <c r="I80" i="1"/>
  <c r="G81" i="1"/>
  <c r="H81" i="1"/>
  <c r="I81" i="1"/>
  <c r="G82" i="1"/>
  <c r="H82" i="1"/>
  <c r="I82" i="1"/>
  <c r="G83" i="1"/>
  <c r="H83" i="1"/>
  <c r="I83" i="1"/>
  <c r="F85" i="1"/>
  <c r="K85" i="1"/>
  <c r="H88" i="1"/>
  <c r="G89" i="1"/>
  <c r="H89" i="1"/>
  <c r="I89" i="1"/>
  <c r="G90" i="1"/>
  <c r="H90" i="1"/>
  <c r="I90" i="1"/>
  <c r="F92" i="1"/>
  <c r="K92" i="1"/>
  <c r="H95" i="1"/>
  <c r="G96" i="1"/>
  <c r="H96" i="1"/>
  <c r="I96" i="1"/>
  <c r="G97" i="1"/>
  <c r="H97" i="1"/>
  <c r="I97" i="1"/>
  <c r="F99" i="1"/>
  <c r="K99" i="1"/>
  <c r="H102" i="1"/>
  <c r="G103" i="1"/>
  <c r="H103" i="1"/>
  <c r="I103" i="1"/>
  <c r="G104" i="1"/>
  <c r="H104" i="1"/>
  <c r="I104" i="1"/>
  <c r="G105" i="1"/>
  <c r="H105" i="1"/>
  <c r="I105" i="1"/>
  <c r="G106" i="1"/>
  <c r="H106" i="1"/>
  <c r="I106" i="1"/>
  <c r="K108" i="1"/>
  <c r="H111" i="1"/>
  <c r="G112" i="1"/>
  <c r="H112" i="1"/>
  <c r="I112" i="1"/>
  <c r="G113" i="1"/>
  <c r="H113" i="1"/>
  <c r="I113" i="1"/>
  <c r="G114" i="1"/>
  <c r="H114" i="1"/>
  <c r="I114" i="1"/>
  <c r="G115" i="1"/>
  <c r="H115" i="1"/>
  <c r="I115" i="1"/>
  <c r="F117" i="1"/>
  <c r="E120" i="1"/>
  <c r="F120" i="1"/>
  <c r="G120" i="1"/>
  <c r="H120" i="1"/>
  <c r="I120" i="1"/>
  <c r="K120" i="1"/>
  <c r="E126" i="1"/>
  <c r="F126" i="1"/>
  <c r="G126" i="1"/>
  <c r="H126" i="1"/>
  <c r="I126" i="1"/>
  <c r="J126" i="1"/>
  <c r="K126" i="1"/>
  <c r="E127" i="1"/>
  <c r="F127" i="1"/>
  <c r="G127" i="1"/>
  <c r="H127" i="1"/>
  <c r="I127" i="1"/>
  <c r="J127" i="1"/>
  <c r="K127" i="1"/>
  <c r="E128" i="1"/>
  <c r="F128" i="1"/>
  <c r="G128" i="1"/>
  <c r="H128" i="1"/>
  <c r="I128" i="1"/>
  <c r="J128" i="1"/>
  <c r="K128" i="1"/>
  <c r="E129" i="1"/>
  <c r="F129" i="1"/>
  <c r="G129" i="1"/>
  <c r="H129" i="1"/>
  <c r="I129" i="1"/>
  <c r="J129" i="1"/>
  <c r="K129" i="1"/>
  <c r="E130" i="1"/>
  <c r="F130" i="1"/>
  <c r="G130" i="1"/>
  <c r="H130" i="1"/>
  <c r="I130" i="1"/>
  <c r="J130" i="1"/>
  <c r="K130" i="1"/>
  <c r="E132" i="1"/>
  <c r="F132" i="1"/>
  <c r="G132" i="1"/>
  <c r="H132" i="1"/>
  <c r="I132" i="1"/>
  <c r="J132" i="1"/>
  <c r="K132" i="1"/>
  <c r="E135" i="1"/>
  <c r="F135" i="1"/>
  <c r="G135" i="1"/>
  <c r="H135" i="1"/>
  <c r="I135" i="1"/>
  <c r="J135" i="1"/>
  <c r="K135" i="1"/>
  <c r="E136" i="1"/>
  <c r="F136" i="1"/>
  <c r="G136" i="1"/>
  <c r="H136" i="1"/>
  <c r="I136" i="1"/>
  <c r="J136" i="1"/>
  <c r="K136" i="1"/>
  <c r="E138" i="1"/>
  <c r="F138" i="1"/>
  <c r="G138" i="1"/>
  <c r="H138" i="1"/>
  <c r="I138" i="1"/>
  <c r="J138" i="1"/>
  <c r="K138" i="1"/>
  <c r="E140" i="1"/>
  <c r="E12" i="3"/>
  <c r="F12" i="3"/>
  <c r="G12" i="3"/>
  <c r="H12" i="3"/>
  <c r="I12" i="3"/>
  <c r="J12" i="3"/>
  <c r="E20" i="3"/>
  <c r="F20" i="3"/>
  <c r="G20" i="3"/>
  <c r="H20" i="3"/>
  <c r="I20" i="3"/>
  <c r="J20" i="3"/>
  <c r="K20" i="3"/>
  <c r="E33" i="3"/>
  <c r="F33" i="3"/>
  <c r="G33" i="3"/>
  <c r="H33" i="3"/>
  <c r="I33" i="3"/>
  <c r="J33" i="3"/>
  <c r="K33" i="3"/>
  <c r="E59" i="3"/>
  <c r="F59" i="3"/>
  <c r="G59" i="3"/>
  <c r="H59" i="3"/>
  <c r="I59" i="3"/>
  <c r="J59" i="3"/>
  <c r="K59" i="3"/>
  <c r="E67" i="3"/>
  <c r="F67" i="3"/>
  <c r="G67" i="3"/>
  <c r="H67" i="3"/>
  <c r="I67" i="3"/>
  <c r="J67" i="3"/>
  <c r="K67" i="3"/>
  <c r="E78" i="3"/>
  <c r="F78" i="3"/>
  <c r="G78" i="3"/>
  <c r="H78" i="3"/>
  <c r="I78" i="3"/>
  <c r="J78" i="3"/>
  <c r="K78" i="3"/>
  <c r="E86" i="3"/>
  <c r="F86" i="3"/>
  <c r="G86" i="3"/>
  <c r="H86" i="3"/>
  <c r="I86" i="3"/>
  <c r="J86" i="3"/>
  <c r="K86" i="3"/>
  <c r="E89" i="3"/>
  <c r="F89" i="3"/>
  <c r="G89" i="3"/>
  <c r="H89" i="3"/>
  <c r="I89" i="3"/>
  <c r="J89" i="3"/>
  <c r="K89" i="3"/>
  <c r="E95" i="3"/>
  <c r="F95" i="3"/>
  <c r="G95" i="3"/>
  <c r="H95" i="3"/>
  <c r="I95" i="3"/>
  <c r="J95" i="3"/>
  <c r="K95" i="3"/>
  <c r="E96" i="3"/>
  <c r="F96" i="3"/>
  <c r="G96" i="3"/>
  <c r="H96" i="3"/>
  <c r="I96" i="3"/>
  <c r="J96" i="3"/>
  <c r="K96" i="3"/>
  <c r="E97" i="3"/>
  <c r="F97" i="3"/>
  <c r="G97" i="3"/>
  <c r="H97" i="3"/>
  <c r="I97" i="3"/>
  <c r="J97" i="3"/>
  <c r="K97" i="3"/>
  <c r="E98" i="3"/>
  <c r="F98" i="3"/>
  <c r="G98" i="3"/>
  <c r="H98" i="3"/>
  <c r="I98" i="3"/>
  <c r="J98" i="3"/>
  <c r="K98" i="3"/>
  <c r="E99" i="3"/>
  <c r="F99" i="3"/>
  <c r="G99" i="3"/>
  <c r="H99" i="3"/>
  <c r="I99" i="3"/>
  <c r="J99" i="3"/>
  <c r="K99" i="3"/>
  <c r="E101" i="3"/>
  <c r="F101" i="3"/>
  <c r="G101" i="3"/>
  <c r="H101" i="3"/>
  <c r="I101" i="3"/>
  <c r="J101" i="3"/>
  <c r="K101" i="3"/>
  <c r="E104" i="3"/>
  <c r="F104" i="3"/>
  <c r="G104" i="3"/>
  <c r="H104" i="3"/>
  <c r="I104" i="3"/>
  <c r="J104" i="3"/>
  <c r="K104" i="3"/>
  <c r="E105" i="3"/>
  <c r="F105" i="3"/>
  <c r="G105" i="3"/>
  <c r="H105" i="3"/>
  <c r="I105" i="3"/>
  <c r="J105" i="3"/>
  <c r="K105" i="3"/>
  <c r="E107" i="3"/>
  <c r="F107" i="3"/>
  <c r="G107" i="3"/>
  <c r="H107" i="3"/>
  <c r="I107" i="3"/>
  <c r="J107" i="3"/>
  <c r="K107" i="3"/>
</calcChain>
</file>

<file path=xl/sharedStrings.xml><?xml version="1.0" encoding="utf-8"?>
<sst xmlns="http://schemas.openxmlformats.org/spreadsheetml/2006/main" count="953" uniqueCount="288">
  <si>
    <t>Residential</t>
  </si>
  <si>
    <t>E1</t>
  </si>
  <si>
    <t>0 to 130% of Baseline</t>
  </si>
  <si>
    <t>100% to 130% of Baseline</t>
  </si>
  <si>
    <t>130% to 200% of Baseline</t>
  </si>
  <si>
    <t>10% rate reduction</t>
  </si>
  <si>
    <t>over 200% of Baseline</t>
  </si>
  <si>
    <t>Annual</t>
  </si>
  <si>
    <t>Sales (GWh)</t>
  </si>
  <si>
    <t>Current</t>
  </si>
  <si>
    <t>Revenue</t>
  </si>
  <si>
    <t>Total Non Care</t>
  </si>
  <si>
    <t>Revenue (MM)</t>
  </si>
  <si>
    <t>Rate (cents)</t>
  </si>
  <si>
    <t>Increase (MM)</t>
  </si>
  <si>
    <t xml:space="preserve">New Total </t>
  </si>
  <si>
    <t>New Rates</t>
  </si>
  <si>
    <t>(cents/kWh)</t>
  </si>
  <si>
    <t>Care</t>
  </si>
  <si>
    <t>Total Care</t>
  </si>
  <si>
    <t>Non Care</t>
  </si>
  <si>
    <t>Small &amp; Med Coml</t>
  </si>
  <si>
    <t>Fixed Charges</t>
  </si>
  <si>
    <t>Summer Tier 1</t>
  </si>
  <si>
    <t>Summer Tier 2</t>
  </si>
  <si>
    <t>Wniter Tier 1</t>
  </si>
  <si>
    <t>Winter Tier 2</t>
  </si>
  <si>
    <t>GS-1</t>
  </si>
  <si>
    <t>GS-2</t>
  </si>
  <si>
    <t>Summer First Block</t>
  </si>
  <si>
    <t>Summer Second Block</t>
  </si>
  <si>
    <t>Winter First Block</t>
  </si>
  <si>
    <t>Winter Second Block</t>
  </si>
  <si>
    <t>TOU-GS-2</t>
  </si>
  <si>
    <t>Off-Peak Energy</t>
  </si>
  <si>
    <t>Summer On-Peak Energy</t>
  </si>
  <si>
    <t>TOU-8-SEC</t>
  </si>
  <si>
    <t>TOU-8-PRI</t>
  </si>
  <si>
    <t>TOU-8-SUB</t>
  </si>
  <si>
    <t>Agricultural &amp; Pumping</t>
  </si>
  <si>
    <t>PA-1</t>
  </si>
  <si>
    <t>PA-2</t>
  </si>
  <si>
    <t>AG-TOU</t>
  </si>
  <si>
    <t>TOU-PA-5</t>
  </si>
  <si>
    <t>Lighting</t>
  </si>
  <si>
    <t>Street Lights</t>
  </si>
  <si>
    <t>TC-1</t>
  </si>
  <si>
    <t>Total</t>
  </si>
  <si>
    <t>Total GS-2</t>
  </si>
  <si>
    <t>Total TOU-GS-2</t>
  </si>
  <si>
    <t>Total TOU-8-SEC</t>
  </si>
  <si>
    <t>Total TOU-8_PRI</t>
  </si>
  <si>
    <t>Total PA-1</t>
  </si>
  <si>
    <t>Total PA-2</t>
  </si>
  <si>
    <t>Total AG-TOU</t>
  </si>
  <si>
    <t>Total TOU-PA-5</t>
  </si>
  <si>
    <t>Total TC-1</t>
  </si>
  <si>
    <t>Baseline</t>
  </si>
  <si>
    <t>130% of Baseline</t>
  </si>
  <si>
    <t>130%-200% of BL</t>
  </si>
  <si>
    <t>Over 200% of BL</t>
  </si>
  <si>
    <t>Streetlights</t>
  </si>
  <si>
    <t>Total Streetlights</t>
  </si>
  <si>
    <t>Agricultural</t>
  </si>
  <si>
    <t>Total System</t>
  </si>
  <si>
    <t>Increase %</t>
  </si>
  <si>
    <t>Industrial</t>
  </si>
  <si>
    <t xml:space="preserve">Residential </t>
  </si>
  <si>
    <t>Baseline CARE</t>
  </si>
  <si>
    <t>Commercial Industrial</t>
  </si>
  <si>
    <t>Schedule A/Schedule A-TC-Under 20kW</t>
  </si>
  <si>
    <t>Secondary (Includes A-TC)</t>
  </si>
  <si>
    <t>Tier 1</t>
  </si>
  <si>
    <t>Tier 2</t>
  </si>
  <si>
    <t>Primary</t>
  </si>
  <si>
    <t>Total for Schedule A/Schedule A-TC</t>
  </si>
  <si>
    <t>Schedule AL-TOU - 20-500 KW</t>
  </si>
  <si>
    <t>On-Peak Summer</t>
  </si>
  <si>
    <t>Secondary</t>
  </si>
  <si>
    <t>Semi-Peak Summer</t>
  </si>
  <si>
    <t>Off-Peak Summer</t>
  </si>
  <si>
    <t>Total Schedule AL-TOU</t>
  </si>
  <si>
    <t>Schedule A6-TOU- Over 500 KW</t>
  </si>
  <si>
    <t>Non-Peak</t>
  </si>
  <si>
    <t>Total Schedule A6-TOU</t>
  </si>
  <si>
    <t>AGRICULTURAL</t>
  </si>
  <si>
    <t>Schedule PA-TOU</t>
  </si>
  <si>
    <t>On-Peak</t>
  </si>
  <si>
    <t>Off-Peak</t>
  </si>
  <si>
    <t>Schedule PA</t>
  </si>
  <si>
    <t>Total Schedule PA-TOU, PA</t>
  </si>
  <si>
    <t>CARE</t>
  </si>
  <si>
    <t>Total CARE Residential</t>
  </si>
  <si>
    <t>Small Commercial</t>
  </si>
  <si>
    <t>Description</t>
  </si>
  <si>
    <t>Rate</t>
  </si>
  <si>
    <t>Rate Class</t>
  </si>
  <si>
    <t>Non-CARE</t>
  </si>
  <si>
    <t>Commercial</t>
  </si>
  <si>
    <t>Other</t>
  </si>
  <si>
    <t>Total TOU-8-SUB</t>
  </si>
  <si>
    <t>PGE</t>
  </si>
  <si>
    <t>SCE</t>
  </si>
  <si>
    <t>SDGE</t>
  </si>
  <si>
    <t>A6-TOU</t>
  </si>
  <si>
    <t>A-TC</t>
  </si>
  <si>
    <t>Rate Description</t>
  </si>
  <si>
    <t>California Alternative Rates for Energy</t>
  </si>
  <si>
    <t>TOTAL</t>
  </si>
  <si>
    <t>PGE Retained Gen + QF</t>
  </si>
  <si>
    <t>SCE Retained Gen + QF</t>
  </si>
  <si>
    <t>SDGE Retained Gen + QF</t>
  </si>
  <si>
    <t>In excess of 500 kW</t>
  </si>
  <si>
    <t>In excess of 500 kW, Time Of Use</t>
  </si>
  <si>
    <t>No more than 20kW in any 3 of 12 consecutive months</t>
  </si>
  <si>
    <t>Use of 20 to 500 kW</t>
  </si>
  <si>
    <t>Use of 20 to 500 kW, Time Of Use</t>
  </si>
  <si>
    <t>Q1</t>
  </si>
  <si>
    <t>Q2</t>
  </si>
  <si>
    <t>Q3</t>
  </si>
  <si>
    <t>Q4</t>
  </si>
  <si>
    <t>CONTRACTED</t>
  </si>
  <si>
    <t>Mwh</t>
  </si>
  <si>
    <t>Cost</t>
  </si>
  <si>
    <t>Avg. Price</t>
  </si>
  <si>
    <t>Cost (000)</t>
  </si>
  <si>
    <t>NON CONTRACTED</t>
  </si>
  <si>
    <t>Cash Flow (000)</t>
  </si>
  <si>
    <t xml:space="preserve">        CREDIT ACCUMULATION</t>
  </si>
  <si>
    <t>Price delta</t>
  </si>
  <si>
    <t>Cumulative plus  6.5% pa</t>
  </si>
  <si>
    <t>* From 2001 estimated (page 27 MOU slides)</t>
  </si>
  <si>
    <t>Core / Open Long / (short) position</t>
  </si>
  <si>
    <t>Less than 500 kW</t>
  </si>
  <si>
    <t>Traffic Control</t>
  </si>
  <si>
    <t xml:space="preserve">Greater than 20kW and less than 500kW </t>
  </si>
  <si>
    <t>Greater than 500kW</t>
  </si>
  <si>
    <t>Less than 500kW</t>
  </si>
  <si>
    <t>Open long (short)</t>
  </si>
  <si>
    <t>Under 500kW (core) CPUC</t>
  </si>
  <si>
    <t>Over (non core) CPUC</t>
  </si>
  <si>
    <t>Core Load</t>
  </si>
  <si>
    <t>Core Revenue</t>
  </si>
  <si>
    <t>Non Core Load</t>
  </si>
  <si>
    <t>Core</t>
  </si>
  <si>
    <t>Non-Core</t>
  </si>
  <si>
    <t>Core Load Residential</t>
  </si>
  <si>
    <t>Core Revenue Residential</t>
  </si>
  <si>
    <t>Core Revenue Non Residential</t>
  </si>
  <si>
    <t>Core Load Non Residential</t>
  </si>
  <si>
    <t>Past DWR</t>
  </si>
  <si>
    <t>Future DWR</t>
  </si>
  <si>
    <t>Past Utility</t>
  </si>
  <si>
    <t>Future Utility</t>
  </si>
  <si>
    <t>Total Gen</t>
  </si>
  <si>
    <t>Other T&amp;D (plug to total revenue)</t>
  </si>
  <si>
    <t>Total Revenue</t>
  </si>
  <si>
    <t>Non Core Revenue</t>
  </si>
  <si>
    <t>Other T&amp;D per Ghw (cents)</t>
  </si>
  <si>
    <t>Current proposed CPUC price cents</t>
  </si>
  <si>
    <t>Core Cost:</t>
  </si>
  <si>
    <t>Share of past DWR</t>
  </si>
  <si>
    <t>Cost to Core</t>
  </si>
  <si>
    <t>Cost to Core per proposed CPUC</t>
  </si>
  <si>
    <t>Share of Past Utility</t>
  </si>
  <si>
    <t>Total CPUC (demand)</t>
  </si>
  <si>
    <t>Share of Future DWR (contracts)*</t>
  </si>
  <si>
    <t xml:space="preserve">** T&amp;D component increased by a 1.25 factor per Robert Neustaedter research on PG&amp;E's core customer's average T&amp;D rate component </t>
  </si>
  <si>
    <t>* Using the % from p. 27 of MOU of DWR contract purchase of total demand and the 2001 Contract price per p. 7 of Supplemental Financial Info from MOU with SCE</t>
  </si>
  <si>
    <t>Retained Gen + QF (supply)*</t>
  </si>
  <si>
    <t xml:space="preserve">Other T&amp;D (pro rata) </t>
  </si>
  <si>
    <t xml:space="preserve">Total Core Load </t>
  </si>
  <si>
    <t>Retained Gen + QF</t>
  </si>
  <si>
    <t>Retained Gen + QF + DWR Contracts</t>
  </si>
  <si>
    <t>DWR Contracts*</t>
  </si>
  <si>
    <t>Contracted</t>
  </si>
  <si>
    <t>Non-Contracted</t>
  </si>
  <si>
    <t>Contractual/Spot</t>
  </si>
  <si>
    <t>MTM</t>
  </si>
  <si>
    <t>Present</t>
  </si>
  <si>
    <t>Spread</t>
  </si>
  <si>
    <t>Position</t>
  </si>
  <si>
    <t>Value of</t>
  </si>
  <si>
    <t>8 yr BBB- Utility Interest Rate</t>
  </si>
  <si>
    <t>Total Cost</t>
  </si>
  <si>
    <t>Avg Price</t>
  </si>
  <si>
    <t>Future</t>
  </si>
  <si>
    <t>Source: Bloomberg 5/10/01</t>
  </si>
  <si>
    <t>($1000s)</t>
  </si>
  <si>
    <t>($/Mwh)</t>
  </si>
  <si>
    <t>ENA</t>
  </si>
  <si>
    <t>Henwood</t>
  </si>
  <si>
    <t>Inflation</t>
  </si>
  <si>
    <t>At Indicated</t>
  </si>
  <si>
    <t>Curve Selection:</t>
  </si>
  <si>
    <t>SP15</t>
  </si>
  <si>
    <t>NP15</t>
  </si>
  <si>
    <t>Index</t>
  </si>
  <si>
    <t>n/a</t>
  </si>
  <si>
    <t>Point in Time</t>
  </si>
  <si>
    <t>1= DWR</t>
  </si>
  <si>
    <t>uninflated</t>
  </si>
  <si>
    <t>inflated</t>
  </si>
  <si>
    <t>DWR</t>
  </si>
  <si>
    <t>2= Henwood</t>
  </si>
  <si>
    <t>3= ENA</t>
  </si>
  <si>
    <t>NP-15 % of Blend:</t>
  </si>
  <si>
    <t>Yearly Henwood</t>
  </si>
  <si>
    <t>Reallocation of Core/Open Long/(short) position</t>
  </si>
  <si>
    <t>Net Core/Open Long/(short) position</t>
  </si>
  <si>
    <t>Net Core/ Open Long position/Total DWR Contracts</t>
  </si>
  <si>
    <t>Net Core/Open Long/(short) position sold to market</t>
  </si>
  <si>
    <t>Open Long position sold to market</t>
  </si>
  <si>
    <t>Growth Assumption</t>
  </si>
  <si>
    <t>Load Conservation</t>
  </si>
  <si>
    <t>Price Elasticity</t>
  </si>
  <si>
    <t>1=83,000 mw</t>
  </si>
  <si>
    <t>0=93,000 mw</t>
  </si>
  <si>
    <t>Toggle switch</t>
  </si>
  <si>
    <t>Non-Core Cost:</t>
  </si>
  <si>
    <t>Cost to Non-Core</t>
  </si>
  <si>
    <t>Cost to Non-Core per proposed CPUC</t>
  </si>
  <si>
    <t>PV of Future Mrkt Purchases</t>
  </si>
  <si>
    <t>NPV</t>
  </si>
  <si>
    <t>Floating</t>
  </si>
  <si>
    <t>Fixed</t>
  </si>
  <si>
    <t>Cost of short</t>
  </si>
  <si>
    <t>Value of long</t>
  </si>
  <si>
    <t>Cost of generation + QF</t>
  </si>
  <si>
    <t>Cents per kw:</t>
  </si>
  <si>
    <t xml:space="preserve">Other T&amp;D </t>
  </si>
  <si>
    <t>T&amp;D per CPUC</t>
  </si>
  <si>
    <t>Other T&amp;D (at~200% of non-core rate)</t>
  </si>
  <si>
    <t xml:space="preserve">Total Non-Core Load </t>
  </si>
  <si>
    <t>chk</t>
  </si>
  <si>
    <t>Agriculture</t>
  </si>
  <si>
    <t>EL1</t>
  </si>
  <si>
    <t>E7</t>
  </si>
  <si>
    <t>EL7</t>
  </si>
  <si>
    <t>E8</t>
  </si>
  <si>
    <t>EL8</t>
  </si>
  <si>
    <t>A1</t>
  </si>
  <si>
    <t>A6</t>
  </si>
  <si>
    <t>A15</t>
  </si>
  <si>
    <t>TC1</t>
  </si>
  <si>
    <t>A10TP</t>
  </si>
  <si>
    <t>A10S</t>
  </si>
  <si>
    <t>E19T</t>
  </si>
  <si>
    <t>E19P</t>
  </si>
  <si>
    <t>E19S</t>
  </si>
  <si>
    <t>E20T</t>
  </si>
  <si>
    <t>E20P</t>
  </si>
  <si>
    <t>E20S</t>
  </si>
  <si>
    <t>Stby T</t>
  </si>
  <si>
    <t>Stby P</t>
  </si>
  <si>
    <t>Stby S</t>
  </si>
  <si>
    <t>Other - LS12, LS3, OL1, LS3</t>
  </si>
  <si>
    <t>AG1A</t>
  </si>
  <si>
    <t>AG1B</t>
  </si>
  <si>
    <t>AGRA</t>
  </si>
  <si>
    <t>AGRB</t>
  </si>
  <si>
    <t>AGVA</t>
  </si>
  <si>
    <t>AGVB</t>
  </si>
  <si>
    <t>AG4A</t>
  </si>
  <si>
    <t>AG4B</t>
  </si>
  <si>
    <t>AG4C</t>
  </si>
  <si>
    <t>AG5A</t>
  </si>
  <si>
    <t>AG5b</t>
  </si>
  <si>
    <t>AG5C</t>
  </si>
  <si>
    <t>ARTP - E19S</t>
  </si>
  <si>
    <t>ARTP - E20T</t>
  </si>
  <si>
    <t>ARTP - E20S</t>
  </si>
  <si>
    <t>Special Contracts</t>
  </si>
  <si>
    <t>Energy Sec</t>
  </si>
  <si>
    <t>Total GS-1 &amp; TC-1</t>
  </si>
  <si>
    <t>1=15 year core</t>
  </si>
  <si>
    <t>0=20 year non-core</t>
  </si>
  <si>
    <t>Per 12/31/00 10-K (kwh)</t>
  </si>
  <si>
    <t>Electric revenue</t>
  </si>
  <si>
    <t>Generating portion per MOU</t>
  </si>
  <si>
    <t>T&amp;D and other costs</t>
  </si>
  <si>
    <t>Electric Revenue per kwh</t>
  </si>
  <si>
    <t>Total dollars T&amp;D</t>
  </si>
  <si>
    <t>Core Rate T&amp;D (cents)</t>
  </si>
  <si>
    <t>Non Core T&amp;D (cents)</t>
  </si>
  <si>
    <t>All T&amp;D  (cents)</t>
  </si>
  <si>
    <t>Core T&amp;D/non core T&amp;D</t>
  </si>
  <si>
    <t>Core T&amp;D/ All T&amp;D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</si>
</sst>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_(&quot;$&quot;* #,##0.0_);_(&quot;$&quot;* \(#,##0.0\);_(&quot;$&quot;* &quot;-&quot;??_);_(@_)"/>
    <numFmt numFmtId="167" formatCode="_(&quot;$&quot;* #,##0_);_(&quot;$&quot;* \(#,##0\);_(&quot;$&quot;* &quot;-&quot;??_);_(@_)"/>
    <numFmt numFmtId="169" formatCode="0.0%"/>
    <numFmt numFmtId="170" formatCode="_(* #,##0.000_);_(* \(#,##0.000\);_(* &quot;-&quot;??_);_(@_)"/>
    <numFmt numFmtId="182" formatCode="mm/dd/yy"/>
  </numFmts>
  <fonts count="15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0"/>
      <name val="Arial"/>
    </font>
    <font>
      <sz val="10"/>
      <name val="Arial"/>
      <family val="2"/>
    </font>
    <font>
      <sz val="10"/>
      <color indexed="9"/>
      <name val="Arial"/>
      <family val="2"/>
    </font>
    <font>
      <sz val="11"/>
      <name val="??"/>
      <family val="3"/>
      <charset val="129"/>
    </font>
    <font>
      <sz val="8"/>
      <name val="Arial"/>
      <family val="2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sz val="7"/>
      <name val="Small Fonts"/>
    </font>
    <font>
      <b/>
      <i/>
      <sz val="16"/>
      <name val="Helv"/>
    </font>
    <font>
      <sz val="8"/>
      <name val="Arial"/>
    </font>
    <font>
      <sz val="8"/>
      <color indexed="12"/>
      <name val="Arial"/>
      <family val="2"/>
    </font>
    <font>
      <u val="singleAccounting"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</fills>
  <borders count="13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0">
    <xf numFmtId="0" fontId="0" fillId="0" borderId="0"/>
    <xf numFmtId="0" fontId="3" fillId="2" borderId="1">
      <alignment horizontal="center" vertical="center"/>
    </xf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6" fontId="6" fillId="0" borderId="0">
      <protection locked="0"/>
    </xf>
    <xf numFmtId="0" fontId="1" fillId="0" borderId="0">
      <protection locked="0"/>
    </xf>
    <xf numFmtId="38" fontId="7" fillId="3" borderId="0" applyNumberFormat="0" applyBorder="0" applyAlignment="0" applyProtection="0"/>
    <xf numFmtId="0" fontId="8" fillId="0" borderId="0" applyNumberFormat="0" applyFill="0" applyBorder="0" applyAlignment="0" applyProtection="0"/>
    <xf numFmtId="0" fontId="1" fillId="0" borderId="0">
      <protection locked="0"/>
    </xf>
    <xf numFmtId="0" fontId="1" fillId="0" borderId="0">
      <protection locked="0"/>
    </xf>
    <xf numFmtId="0" fontId="9" fillId="0" borderId="2" applyNumberFormat="0" applyFill="0" applyAlignment="0" applyProtection="0"/>
    <xf numFmtId="10" fontId="7" fillId="4" borderId="3" applyNumberFormat="0" applyBorder="0" applyAlignment="0" applyProtection="0"/>
    <xf numFmtId="37" fontId="10" fillId="0" borderId="0"/>
    <xf numFmtId="0" fontId="11" fillId="0" borderId="0"/>
    <xf numFmtId="9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0" fontId="1" fillId="0" borderId="4">
      <protection locked="0"/>
    </xf>
    <xf numFmtId="37" fontId="7" fillId="5" borderId="0" applyNumberFormat="0" applyBorder="0" applyAlignment="0" applyProtection="0"/>
    <xf numFmtId="37" fontId="12" fillId="0" borderId="0"/>
    <xf numFmtId="3" fontId="13" fillId="0" borderId="2" applyProtection="0"/>
  </cellStyleXfs>
  <cellXfs count="127">
    <xf numFmtId="0" fontId="0" fillId="0" borderId="0" xfId="0"/>
    <xf numFmtId="0" fontId="0" fillId="0" borderId="0" xfId="0" applyAlignment="1">
      <alignment horizontal="center"/>
    </xf>
    <xf numFmtId="43" fontId="0" fillId="0" borderId="0" xfId="2" applyFont="1" applyAlignment="1">
      <alignment horizontal="center"/>
    </xf>
    <xf numFmtId="165" fontId="0" fillId="0" borderId="0" xfId="2" applyNumberFormat="1" applyFont="1" applyAlignment="1">
      <alignment horizontal="center"/>
    </xf>
    <xf numFmtId="166" fontId="0" fillId="0" borderId="0" xfId="3" applyNumberFormat="1" applyFont="1" applyAlignment="1">
      <alignment horizontal="center"/>
    </xf>
    <xf numFmtId="43" fontId="0" fillId="0" borderId="0" xfId="2" applyFont="1" applyAlignment="1"/>
    <xf numFmtId="166" fontId="0" fillId="0" borderId="0" xfId="3" applyNumberFormat="1" applyFont="1" applyAlignment="1"/>
    <xf numFmtId="169" fontId="0" fillId="0" borderId="0" xfId="14" applyNumberFormat="1" applyFont="1" applyAlignment="1">
      <alignment horizontal="center"/>
    </xf>
    <xf numFmtId="9" fontId="0" fillId="0" borderId="0" xfId="14" applyFont="1" applyAlignment="1">
      <alignment horizontal="center"/>
    </xf>
    <xf numFmtId="0" fontId="2" fillId="0" borderId="0" xfId="0" applyFont="1" applyAlignment="1">
      <alignment horizontal="center"/>
    </xf>
    <xf numFmtId="165" fontId="2" fillId="0" borderId="0" xfId="2" applyNumberFormat="1" applyFont="1" applyAlignment="1">
      <alignment horizontal="center"/>
    </xf>
    <xf numFmtId="43" fontId="2" fillId="0" borderId="0" xfId="2" applyFont="1" applyAlignment="1">
      <alignment horizontal="center"/>
    </xf>
    <xf numFmtId="43" fontId="2" fillId="0" borderId="0" xfId="2" applyFont="1" applyAlignment="1"/>
    <xf numFmtId="169" fontId="2" fillId="0" borderId="0" xfId="14" applyNumberFormat="1" applyFont="1" applyAlignment="1">
      <alignment horizontal="center"/>
    </xf>
    <xf numFmtId="0" fontId="2" fillId="0" borderId="0" xfId="0" applyFont="1"/>
    <xf numFmtId="164" fontId="0" fillId="0" borderId="0" xfId="2" applyNumberFormat="1" applyFont="1" applyAlignment="1">
      <alignment horizontal="center"/>
    </xf>
    <xf numFmtId="0" fontId="0" fillId="0" borderId="0" xfId="0" applyAlignment="1">
      <alignment horizontal="right"/>
    </xf>
    <xf numFmtId="0" fontId="2" fillId="0" borderId="4" xfId="0" applyFont="1" applyBorder="1" applyAlignment="1">
      <alignment horizontal="left"/>
    </xf>
    <xf numFmtId="0" fontId="2" fillId="0" borderId="4" xfId="0" applyFont="1" applyBorder="1"/>
    <xf numFmtId="0" fontId="2" fillId="0" borderId="0" xfId="0" applyFont="1" applyAlignment="1">
      <alignment horizontal="left"/>
    </xf>
    <xf numFmtId="43" fontId="0" fillId="0" borderId="0" xfId="2" applyFont="1"/>
    <xf numFmtId="43" fontId="0" fillId="0" borderId="4" xfId="2" applyFont="1" applyBorder="1"/>
    <xf numFmtId="43" fontId="2" fillId="0" borderId="4" xfId="2" applyFont="1" applyBorder="1"/>
    <xf numFmtId="165" fontId="0" fillId="0" borderId="0" xfId="2" applyNumberFormat="1" applyFont="1"/>
    <xf numFmtId="165" fontId="0" fillId="0" borderId="4" xfId="2" applyNumberFormat="1" applyFont="1" applyFill="1" applyBorder="1"/>
    <xf numFmtId="165" fontId="0" fillId="0" borderId="4" xfId="2" applyNumberFormat="1" applyFont="1" applyBorder="1"/>
    <xf numFmtId="165" fontId="2" fillId="0" borderId="4" xfId="2" applyNumberFormat="1" applyFont="1" applyBorder="1"/>
    <xf numFmtId="166" fontId="0" fillId="0" borderId="0" xfId="3" applyNumberFormat="1" applyFont="1"/>
    <xf numFmtId="166" fontId="0" fillId="6" borderId="4" xfId="3" applyNumberFormat="1" applyFont="1" applyFill="1" applyBorder="1"/>
    <xf numFmtId="166" fontId="0" fillId="0" borderId="4" xfId="3" applyNumberFormat="1" applyFont="1" applyBorder="1"/>
    <xf numFmtId="166" fontId="2" fillId="0" borderId="4" xfId="3" applyNumberFormat="1" applyFont="1" applyBorder="1"/>
    <xf numFmtId="9" fontId="0" fillId="0" borderId="0" xfId="14" applyFont="1"/>
    <xf numFmtId="9" fontId="0" fillId="0" borderId="4" xfId="14" applyFont="1" applyBorder="1"/>
    <xf numFmtId="9" fontId="2" fillId="0" borderId="4" xfId="14" applyFont="1" applyBorder="1"/>
    <xf numFmtId="166" fontId="0" fillId="3" borderId="0" xfId="3" applyNumberFormat="1" applyFont="1" applyFill="1"/>
    <xf numFmtId="166" fontId="3" fillId="0" borderId="0" xfId="3" applyNumberFormat="1" applyFont="1" applyAlignment="1">
      <alignment horizontal="center"/>
    </xf>
    <xf numFmtId="9" fontId="0" fillId="0" borderId="0" xfId="14" applyNumberFormat="1" applyFont="1" applyAlignment="1">
      <alignment horizontal="center"/>
    </xf>
    <xf numFmtId="43" fontId="0" fillId="0" borderId="0" xfId="2" applyNumberFormat="1" applyFont="1" applyAlignment="1">
      <alignment horizontal="center"/>
    </xf>
    <xf numFmtId="167" fontId="0" fillId="0" borderId="0" xfId="3" applyNumberFormat="1" applyFont="1" applyAlignment="1">
      <alignment horizontal="center"/>
    </xf>
    <xf numFmtId="167" fontId="3" fillId="0" borderId="0" xfId="3" applyNumberFormat="1" applyFont="1" applyAlignment="1">
      <alignment horizontal="left"/>
    </xf>
    <xf numFmtId="1" fontId="0" fillId="0" borderId="0" xfId="0" applyNumberFormat="1" applyAlignment="1">
      <alignment horizontal="center"/>
    </xf>
    <xf numFmtId="165" fontId="3" fillId="0" borderId="0" xfId="2" applyNumberFormat="1" applyFont="1" applyAlignment="1">
      <alignment horizontal="center"/>
    </xf>
    <xf numFmtId="165" fontId="0" fillId="0" borderId="0" xfId="0" applyNumberFormat="1"/>
    <xf numFmtId="165" fontId="0" fillId="0" borderId="0" xfId="2" applyNumberFormat="1" applyFont="1" applyAlignment="1">
      <alignment horizontal="right"/>
    </xf>
    <xf numFmtId="165" fontId="3" fillId="0" borderId="0" xfId="2" applyNumberFormat="1" applyFont="1" applyAlignment="1"/>
    <xf numFmtId="43" fontId="0" fillId="0" borderId="0" xfId="0" applyNumberFormat="1" applyAlignment="1">
      <alignment horizontal="center"/>
    </xf>
    <xf numFmtId="0" fontId="2" fillId="0" borderId="0" xfId="0" applyFont="1" applyAlignment="1">
      <alignment horizontal="right"/>
    </xf>
    <xf numFmtId="43" fontId="0" fillId="0" borderId="0" xfId="0" applyNumberFormat="1"/>
    <xf numFmtId="165" fontId="4" fillId="0" borderId="0" xfId="2" applyNumberFormat="1" applyFont="1" applyAlignment="1">
      <alignment horizontal="right"/>
    </xf>
    <xf numFmtId="43" fontId="4" fillId="0" borderId="0" xfId="0" applyNumberFormat="1" applyFont="1"/>
    <xf numFmtId="167" fontId="0" fillId="0" borderId="0" xfId="3" applyNumberFormat="1" applyFont="1"/>
    <xf numFmtId="167" fontId="4" fillId="0" borderId="0" xfId="3" applyNumberFormat="1" applyFont="1" applyAlignment="1">
      <alignment horizontal="right"/>
    </xf>
    <xf numFmtId="165" fontId="0" fillId="0" borderId="0" xfId="2" applyNumberFormat="1" applyFont="1" applyFill="1"/>
    <xf numFmtId="0" fontId="5" fillId="0" borderId="0" xfId="0" applyFont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66" fontId="0" fillId="0" borderId="0" xfId="3" applyNumberFormat="1" applyFont="1" applyBorder="1"/>
    <xf numFmtId="0" fontId="0" fillId="0" borderId="0" xfId="0" applyBorder="1"/>
    <xf numFmtId="0" fontId="0" fillId="0" borderId="9" xfId="0" applyBorder="1"/>
    <xf numFmtId="167" fontId="0" fillId="0" borderId="0" xfId="3" applyNumberFormat="1" applyFont="1" applyBorder="1"/>
    <xf numFmtId="167" fontId="0" fillId="0" borderId="9" xfId="3" applyNumberFormat="1" applyFont="1" applyBorder="1"/>
    <xf numFmtId="166" fontId="0" fillId="0" borderId="9" xfId="3" applyNumberFormat="1" applyFont="1" applyBorder="1"/>
    <xf numFmtId="165" fontId="0" fillId="0" borderId="0" xfId="2" applyNumberFormat="1" applyFont="1" applyBorder="1"/>
    <xf numFmtId="165" fontId="0" fillId="0" borderId="9" xfId="2" applyNumberFormat="1" applyFont="1" applyBorder="1"/>
    <xf numFmtId="43" fontId="0" fillId="0" borderId="0" xfId="2" applyFont="1" applyBorder="1"/>
    <xf numFmtId="43" fontId="0" fillId="0" borderId="9" xfId="2" applyFont="1" applyBorder="1"/>
    <xf numFmtId="0" fontId="0" fillId="0" borderId="10" xfId="0" applyBorder="1"/>
    <xf numFmtId="43" fontId="0" fillId="0" borderId="11" xfId="2" applyNumberFormat="1" applyFont="1" applyBorder="1"/>
    <xf numFmtId="43" fontId="0" fillId="0" borderId="12" xfId="2" applyNumberFormat="1" applyFont="1" applyBorder="1"/>
    <xf numFmtId="10" fontId="0" fillId="0" borderId="0" xfId="0" applyNumberFormat="1"/>
    <xf numFmtId="165" fontId="1" fillId="0" borderId="0" xfId="2" applyNumberFormat="1"/>
    <xf numFmtId="167" fontId="1" fillId="0" borderId="0" xfId="3" applyNumberFormat="1"/>
    <xf numFmtId="14" fontId="0" fillId="0" borderId="0" xfId="0" applyNumberFormat="1"/>
    <xf numFmtId="9" fontId="0" fillId="0" borderId="0" xfId="0" applyNumberFormat="1"/>
    <xf numFmtId="167" fontId="1" fillId="0" borderId="0" xfId="3" applyNumberFormat="1" applyBorder="1"/>
    <xf numFmtId="165" fontId="1" fillId="0" borderId="0" xfId="2" applyNumberFormat="1" applyFont="1" applyFill="1"/>
    <xf numFmtId="43" fontId="1" fillId="0" borderId="0" xfId="2" applyNumberFormat="1"/>
    <xf numFmtId="166" fontId="1" fillId="0" borderId="0" xfId="3" applyNumberFormat="1" applyBorder="1"/>
    <xf numFmtId="165" fontId="1" fillId="0" borderId="0" xfId="2" applyNumberFormat="1" applyBorder="1"/>
    <xf numFmtId="43" fontId="1" fillId="0" borderId="0" xfId="2" applyBorder="1"/>
    <xf numFmtId="43" fontId="1" fillId="0" borderId="11" xfId="2" applyNumberFormat="1" applyBorder="1"/>
    <xf numFmtId="166" fontId="1" fillId="0" borderId="0" xfId="3" applyNumberFormat="1"/>
    <xf numFmtId="10" fontId="0" fillId="0" borderId="0" xfId="14" applyNumberFormat="1" applyFont="1"/>
    <xf numFmtId="167" fontId="0" fillId="0" borderId="0" xfId="3" applyNumberFormat="1" applyFont="1" applyFill="1" applyBorder="1"/>
    <xf numFmtId="167" fontId="0" fillId="0" borderId="9" xfId="3" applyNumberFormat="1" applyFont="1" applyFill="1" applyBorder="1"/>
    <xf numFmtId="10" fontId="1" fillId="0" borderId="0" xfId="14" applyNumberFormat="1"/>
    <xf numFmtId="167" fontId="1" fillId="0" borderId="0" xfId="3" applyNumberFormat="1" applyFill="1" applyBorder="1"/>
    <xf numFmtId="169" fontId="4" fillId="0" borderId="0" xfId="14" applyNumberFormat="1" applyFont="1" applyAlignment="1">
      <alignment horizontal="right"/>
    </xf>
    <xf numFmtId="0" fontId="0" fillId="0" borderId="12" xfId="0" applyBorder="1"/>
    <xf numFmtId="0" fontId="2" fillId="0" borderId="10" xfId="0" applyFont="1" applyBorder="1" applyAlignment="1">
      <alignment horizontal="center"/>
    </xf>
    <xf numFmtId="0" fontId="0" fillId="0" borderId="11" xfId="0" applyBorder="1"/>
    <xf numFmtId="0" fontId="0" fillId="6" borderId="3" xfId="0" applyFill="1" applyBorder="1"/>
    <xf numFmtId="43" fontId="0" fillId="0" borderId="0" xfId="2" applyNumberFormat="1" applyFont="1" applyBorder="1"/>
    <xf numFmtId="182" fontId="0" fillId="0" borderId="0" xfId="0" applyNumberFormat="1"/>
    <xf numFmtId="167" fontId="1" fillId="0" borderId="0" xfId="3" applyNumberFormat="1" applyFont="1"/>
    <xf numFmtId="167" fontId="2" fillId="0" borderId="0" xfId="3" applyNumberFormat="1" applyFont="1" applyAlignment="1">
      <alignment horizontal="center"/>
    </xf>
    <xf numFmtId="6" fontId="0" fillId="0" borderId="0" xfId="0" applyNumberFormat="1"/>
    <xf numFmtId="10" fontId="0" fillId="0" borderId="0" xfId="14" applyNumberFormat="1" applyFont="1" applyAlignment="1">
      <alignment horizontal="right"/>
    </xf>
    <xf numFmtId="167" fontId="0" fillId="0" borderId="0" xfId="0" applyNumberFormat="1"/>
    <xf numFmtId="0" fontId="0" fillId="0" borderId="8" xfId="0" applyFill="1" applyBorder="1"/>
    <xf numFmtId="43" fontId="0" fillId="0" borderId="8" xfId="0" applyNumberFormat="1" applyBorder="1"/>
    <xf numFmtId="43" fontId="0" fillId="0" borderId="9" xfId="0" applyNumberFormat="1" applyBorder="1"/>
    <xf numFmtId="43" fontId="0" fillId="0" borderId="10" xfId="0" applyNumberFormat="1" applyBorder="1"/>
    <xf numFmtId="43" fontId="0" fillId="0" borderId="12" xfId="0" applyNumberFormat="1" applyBorder="1"/>
    <xf numFmtId="43" fontId="0" fillId="0" borderId="0" xfId="0" applyNumberFormat="1" applyBorder="1"/>
    <xf numFmtId="43" fontId="0" fillId="0" borderId="11" xfId="0" applyNumberFormat="1" applyBorder="1"/>
    <xf numFmtId="170" fontId="0" fillId="0" borderId="0" xfId="0" applyNumberFormat="1"/>
    <xf numFmtId="170" fontId="0" fillId="0" borderId="0" xfId="2" applyNumberFormat="1" applyFont="1"/>
    <xf numFmtId="0" fontId="13" fillId="0" borderId="0" xfId="0" applyFont="1"/>
    <xf numFmtId="43" fontId="0" fillId="0" borderId="0" xfId="2" applyFont="1" applyFill="1"/>
    <xf numFmtId="166" fontId="0" fillId="0" borderId="0" xfId="3" applyNumberFormat="1" applyFont="1" applyFill="1"/>
    <xf numFmtId="43" fontId="0" fillId="0" borderId="4" xfId="2" applyFont="1" applyFill="1" applyBorder="1"/>
    <xf numFmtId="166" fontId="0" fillId="0" borderId="4" xfId="3" applyNumberFormat="1" applyFont="1" applyFill="1" applyBorder="1"/>
    <xf numFmtId="0" fontId="2" fillId="0" borderId="0" xfId="0" applyFont="1" applyBorder="1" applyAlignment="1">
      <alignment horizontal="left"/>
    </xf>
    <xf numFmtId="9" fontId="0" fillId="0" borderId="0" xfId="14" applyFont="1" applyBorder="1"/>
    <xf numFmtId="165" fontId="2" fillId="0" borderId="4" xfId="2" applyNumberFormat="1" applyFont="1" applyFill="1" applyBorder="1"/>
    <xf numFmtId="43" fontId="2" fillId="0" borderId="4" xfId="2" applyFont="1" applyFill="1" applyBorder="1"/>
    <xf numFmtId="166" fontId="2" fillId="0" borderId="4" xfId="3" applyNumberFormat="1" applyFont="1" applyFill="1" applyBorder="1"/>
    <xf numFmtId="0" fontId="2" fillId="0" borderId="5" xfId="0" applyFon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6" borderId="3" xfId="0" applyFill="1" applyBorder="1" applyAlignment="1">
      <alignment horizontal="right"/>
    </xf>
    <xf numFmtId="0" fontId="0" fillId="0" borderId="0" xfId="0" applyAlignment="1">
      <alignment horizontal="left"/>
    </xf>
    <xf numFmtId="43" fontId="14" fillId="0" borderId="0" xfId="2" applyFont="1"/>
    <xf numFmtId="0" fontId="2" fillId="0" borderId="0" xfId="0" applyFont="1" applyAlignment="1">
      <alignment horizontal="center"/>
    </xf>
  </cellXfs>
  <cellStyles count="20">
    <cellStyle name="Actual Date" xfId="1"/>
    <cellStyle name="Comma" xfId="2" builtinId="3"/>
    <cellStyle name="Currency" xfId="3" builtinId="4"/>
    <cellStyle name="Date" xfId="4"/>
    <cellStyle name="Fixed" xfId="5"/>
    <cellStyle name="Grey" xfId="6"/>
    <cellStyle name="HEADER" xfId="7"/>
    <cellStyle name="Heading1" xfId="8"/>
    <cellStyle name="Heading2" xfId="9"/>
    <cellStyle name="HIGHLIGHT" xfId="10"/>
    <cellStyle name="Input [yellow]" xfId="11"/>
    <cellStyle name="no dec" xfId="12"/>
    <cellStyle name="Normal" xfId="0" builtinId="0"/>
    <cellStyle name="Normal - Style1" xfId="13"/>
    <cellStyle name="Percent" xfId="14" builtinId="5"/>
    <cellStyle name="Percent [2]" xfId="15"/>
    <cellStyle name="Total" xfId="16" builtinId="25" customBuiltin="1"/>
    <cellStyle name="Unprot" xfId="17"/>
    <cellStyle name="Unprot$" xfId="18"/>
    <cellStyle name="Unprotect" xfId="1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U146"/>
  <sheetViews>
    <sheetView topLeftCell="A122" zoomScale="80" workbookViewId="0">
      <selection activeCell="E122" sqref="E122"/>
    </sheetView>
  </sheetViews>
  <sheetFormatPr defaultRowHeight="12.75"/>
  <cols>
    <col min="1" max="1" width="18.5703125" style="1" customWidth="1"/>
    <col min="2" max="2" width="24" style="1" bestFit="1" customWidth="1"/>
    <col min="3" max="3" width="18.7109375" style="1" customWidth="1"/>
    <col min="4" max="4" width="28.28515625" style="1" customWidth="1"/>
    <col min="5" max="5" width="11.7109375" style="3" bestFit="1" customWidth="1"/>
    <col min="6" max="6" width="12.28515625" style="2" bestFit="1" customWidth="1"/>
    <col min="7" max="7" width="14" style="4" bestFit="1" customWidth="1"/>
    <col min="8" max="8" width="14.140625" style="4" bestFit="1" customWidth="1"/>
    <col min="9" max="9" width="11.5703125" style="4" bestFit="1" customWidth="1"/>
    <col min="10" max="10" width="12.28515625" style="2" bestFit="1" customWidth="1"/>
    <col min="11" max="11" width="10.28515625" style="8" bestFit="1" customWidth="1"/>
    <col min="13" max="13" width="9.140625" style="110"/>
  </cols>
  <sheetData>
    <row r="3" spans="1:21">
      <c r="E3" s="3" t="s">
        <v>7</v>
      </c>
      <c r="F3" s="2" t="s">
        <v>9</v>
      </c>
      <c r="G3" s="4" t="s">
        <v>9</v>
      </c>
      <c r="H3" s="4" t="s">
        <v>10</v>
      </c>
      <c r="I3" s="4" t="s">
        <v>15</v>
      </c>
      <c r="J3" s="2" t="s">
        <v>16</v>
      </c>
    </row>
    <row r="4" spans="1:21">
      <c r="A4" s="1" t="s">
        <v>96</v>
      </c>
      <c r="B4" s="1" t="s">
        <v>95</v>
      </c>
      <c r="C4" s="1" t="s">
        <v>106</v>
      </c>
      <c r="D4" s="1" t="s">
        <v>94</v>
      </c>
      <c r="E4" s="3" t="s">
        <v>8</v>
      </c>
      <c r="F4" s="2" t="s">
        <v>13</v>
      </c>
      <c r="G4" s="4" t="s">
        <v>12</v>
      </c>
      <c r="H4" s="4" t="s">
        <v>14</v>
      </c>
      <c r="I4" s="4" t="s">
        <v>10</v>
      </c>
      <c r="J4" s="2" t="s">
        <v>17</v>
      </c>
      <c r="K4" s="8" t="s">
        <v>65</v>
      </c>
      <c r="M4" s="110" t="s">
        <v>234</v>
      </c>
    </row>
    <row r="7" spans="1:21">
      <c r="D7" s="14"/>
      <c r="E7" s="23"/>
      <c r="F7" s="20"/>
      <c r="G7" s="27"/>
      <c r="H7" s="27"/>
      <c r="I7" s="27"/>
      <c r="J7" s="20"/>
      <c r="K7" s="31"/>
      <c r="N7" s="1"/>
      <c r="O7" s="3"/>
      <c r="P7" s="2"/>
      <c r="Q7" s="4"/>
      <c r="R7" s="4"/>
      <c r="S7" s="4"/>
      <c r="T7" s="2"/>
      <c r="U7" s="7"/>
    </row>
    <row r="8" spans="1:21" ht="13.5" thickBot="1">
      <c r="A8" s="1" t="s">
        <v>0</v>
      </c>
      <c r="D8" s="17" t="s">
        <v>1</v>
      </c>
      <c r="E8" s="24">
        <v>23367.450386</v>
      </c>
      <c r="F8" s="113">
        <f>100*G8/E8</f>
        <v>12.049479269192872</v>
      </c>
      <c r="G8" s="114">
        <v>2815.6560899999999</v>
      </c>
      <c r="H8" s="28">
        <v>543.54377299999999</v>
      </c>
      <c r="I8" s="29">
        <f>G8+H8</f>
        <v>3359.1998629999998</v>
      </c>
      <c r="J8" s="21">
        <f>I8/E8*100</f>
        <v>14.375551493681899</v>
      </c>
      <c r="K8" s="32">
        <f>(J8-F8)/F8</f>
        <v>0.19304338158713119</v>
      </c>
      <c r="N8" s="1"/>
      <c r="O8" s="3"/>
      <c r="P8" s="2"/>
      <c r="Q8" s="15"/>
      <c r="R8" s="15"/>
      <c r="S8" s="15"/>
      <c r="T8" s="2"/>
      <c r="U8" s="7"/>
    </row>
    <row r="9" spans="1:21" ht="13.5" thickTop="1">
      <c r="D9"/>
      <c r="E9" s="23"/>
      <c r="F9" s="111"/>
      <c r="G9" s="112"/>
      <c r="H9" s="34"/>
      <c r="I9" s="27"/>
      <c r="J9" s="20"/>
      <c r="K9" s="31"/>
      <c r="N9" s="1"/>
      <c r="O9" s="3"/>
      <c r="P9" s="2"/>
      <c r="Q9" s="4"/>
      <c r="R9" s="4"/>
      <c r="S9" s="4"/>
      <c r="T9" s="2"/>
      <c r="U9" s="7"/>
    </row>
    <row r="10" spans="1:21">
      <c r="D10" s="14"/>
      <c r="E10" s="23"/>
      <c r="F10" s="20"/>
      <c r="G10" s="27"/>
      <c r="H10" s="27"/>
      <c r="I10" s="27"/>
      <c r="J10" s="20"/>
      <c r="K10" s="31"/>
      <c r="N10" s="1"/>
      <c r="O10" s="3"/>
      <c r="P10" s="2"/>
      <c r="Q10" s="4"/>
      <c r="R10" s="4"/>
      <c r="S10" s="4"/>
      <c r="T10" s="2"/>
      <c r="U10" s="7"/>
    </row>
    <row r="11" spans="1:21" ht="13.5" thickBot="1">
      <c r="A11" s="1" t="s">
        <v>0</v>
      </c>
      <c r="D11" s="17" t="s">
        <v>236</v>
      </c>
      <c r="E11" s="25">
        <v>1922.3954000000001</v>
      </c>
      <c r="F11" s="21">
        <f>100*G11/E11</f>
        <v>8.7453398504802919</v>
      </c>
      <c r="G11" s="29">
        <v>168.12001100000001</v>
      </c>
      <c r="H11" s="29">
        <v>0</v>
      </c>
      <c r="I11" s="29">
        <f>G11+H11</f>
        <v>168.12001100000001</v>
      </c>
      <c r="J11" s="21">
        <f>I11/E11*100</f>
        <v>8.7453398504802902</v>
      </c>
      <c r="K11" s="32">
        <f>(J11-F11)/F11</f>
        <v>-2.0312038980425596E-16</v>
      </c>
      <c r="N11" s="1"/>
      <c r="O11" s="3"/>
      <c r="P11" s="2"/>
      <c r="Q11" s="4"/>
      <c r="R11" s="4"/>
      <c r="S11" s="4"/>
      <c r="T11" s="2"/>
      <c r="U11" s="7"/>
    </row>
    <row r="12" spans="1:21" ht="13.5" thickTop="1">
      <c r="D12"/>
      <c r="E12" s="23"/>
      <c r="F12" s="20"/>
      <c r="G12" s="27"/>
      <c r="H12" s="27"/>
      <c r="I12" s="27"/>
      <c r="J12" s="20"/>
      <c r="K12" s="31"/>
      <c r="N12" s="1"/>
      <c r="O12" s="3"/>
      <c r="P12" s="2"/>
      <c r="Q12" s="4"/>
      <c r="R12" s="4"/>
      <c r="S12" s="4"/>
      <c r="T12" s="2"/>
      <c r="U12" s="7"/>
    </row>
    <row r="13" spans="1:21">
      <c r="D13" s="14"/>
      <c r="E13" s="23"/>
      <c r="F13" s="20"/>
      <c r="G13" s="27"/>
      <c r="H13" s="27"/>
      <c r="I13" s="27"/>
      <c r="J13" s="20"/>
      <c r="K13" s="31"/>
      <c r="N13" s="1"/>
      <c r="O13" s="3"/>
      <c r="P13" s="2"/>
      <c r="Q13" s="4"/>
      <c r="R13" s="4"/>
      <c r="S13" s="4"/>
      <c r="T13" s="2"/>
      <c r="U13" s="7"/>
    </row>
    <row r="14" spans="1:21" ht="13.5" thickBot="1">
      <c r="A14" s="1" t="s">
        <v>0</v>
      </c>
      <c r="D14" s="17" t="s">
        <v>237</v>
      </c>
      <c r="E14" s="25">
        <v>1199.0110589999999</v>
      </c>
      <c r="F14" s="21">
        <f>100*G14/E14</f>
        <v>10.120681547441842</v>
      </c>
      <c r="G14" s="29">
        <v>121.348091</v>
      </c>
      <c r="H14" s="29">
        <v>43.721831000000002</v>
      </c>
      <c r="I14" s="29">
        <f>G14+H14</f>
        <v>165.06992199999999</v>
      </c>
      <c r="J14" s="21">
        <f>I14/E14*100</f>
        <v>13.767172601199501</v>
      </c>
      <c r="K14" s="32">
        <f>(J14-F14)/F14</f>
        <v>0.36030093790268164</v>
      </c>
      <c r="N14" s="1"/>
      <c r="O14" s="3"/>
      <c r="P14" s="2"/>
      <c r="Q14" s="4"/>
      <c r="R14" s="4"/>
      <c r="S14" s="4"/>
      <c r="T14" s="2"/>
      <c r="U14" s="7"/>
    </row>
    <row r="15" spans="1:21" ht="13.5" thickTop="1">
      <c r="D15" s="115"/>
      <c r="E15" s="64"/>
      <c r="F15" s="66"/>
      <c r="G15" s="58"/>
      <c r="H15" s="58"/>
      <c r="I15" s="58"/>
      <c r="J15" s="66"/>
      <c r="K15" s="116"/>
      <c r="N15" s="1"/>
      <c r="O15" s="3"/>
      <c r="P15" s="2"/>
      <c r="Q15" s="4"/>
      <c r="R15" s="4"/>
      <c r="S15" s="4"/>
      <c r="T15" s="2"/>
      <c r="U15" s="7"/>
    </row>
    <row r="16" spans="1:21">
      <c r="D16" s="115"/>
      <c r="E16" s="64"/>
      <c r="F16" s="66"/>
      <c r="G16" s="58"/>
      <c r="H16" s="58"/>
      <c r="I16" s="58"/>
      <c r="J16" s="66"/>
      <c r="K16" s="116"/>
      <c r="N16" s="1"/>
      <c r="O16" s="3"/>
      <c r="P16" s="2"/>
      <c r="Q16" s="4"/>
      <c r="R16" s="4"/>
      <c r="S16" s="4"/>
      <c r="T16" s="2"/>
      <c r="U16" s="7"/>
    </row>
    <row r="17" spans="1:21" ht="13.5" thickBot="1">
      <c r="A17" s="1" t="s">
        <v>0</v>
      </c>
      <c r="D17" s="17" t="s">
        <v>238</v>
      </c>
      <c r="E17" s="25">
        <v>13.845846999999999</v>
      </c>
      <c r="F17" s="21">
        <f>100*G17/E17</f>
        <v>9.1175353880481271</v>
      </c>
      <c r="G17" s="29">
        <v>1.2624</v>
      </c>
      <c r="H17" s="29">
        <v>0</v>
      </c>
      <c r="I17" s="29">
        <f>G17+H17</f>
        <v>1.2624</v>
      </c>
      <c r="J17" s="21">
        <f>I17/E17*100</f>
        <v>9.1175353880481271</v>
      </c>
      <c r="K17" s="32">
        <f>(J17-F17)/F17</f>
        <v>0</v>
      </c>
      <c r="N17" s="1"/>
      <c r="O17" s="3"/>
      <c r="P17" s="2"/>
      <c r="Q17" s="4"/>
      <c r="R17" s="4"/>
      <c r="S17" s="4"/>
      <c r="T17" s="2"/>
      <c r="U17" s="7"/>
    </row>
    <row r="18" spans="1:21" ht="13.5" thickTop="1">
      <c r="D18" s="115"/>
      <c r="E18" s="64"/>
      <c r="F18" s="66"/>
      <c r="G18" s="58"/>
      <c r="H18" s="58"/>
      <c r="I18" s="58"/>
      <c r="J18" s="66"/>
      <c r="K18" s="116"/>
      <c r="N18" s="1"/>
      <c r="O18" s="3"/>
      <c r="P18" s="2"/>
      <c r="Q18" s="4"/>
      <c r="R18" s="4"/>
      <c r="S18" s="4"/>
      <c r="T18" s="2"/>
      <c r="U18" s="7"/>
    </row>
    <row r="19" spans="1:21">
      <c r="D19" s="115"/>
      <c r="E19" s="64"/>
      <c r="F19" s="66"/>
      <c r="G19" s="58"/>
      <c r="H19" s="58"/>
      <c r="I19" s="58"/>
      <c r="J19" s="66"/>
      <c r="K19" s="116"/>
      <c r="N19" s="1"/>
      <c r="O19" s="3"/>
      <c r="P19" s="2"/>
      <c r="Q19" s="4"/>
      <c r="R19" s="4"/>
      <c r="S19" s="4"/>
      <c r="T19" s="2"/>
      <c r="U19" s="7"/>
    </row>
    <row r="20" spans="1:21" ht="13.5" thickBot="1">
      <c r="A20" s="1" t="s">
        <v>0</v>
      </c>
      <c r="D20" s="17" t="s">
        <v>239</v>
      </c>
      <c r="E20" s="25">
        <v>2248.1112509999998</v>
      </c>
      <c r="F20" s="21">
        <f>100*G20/E20</f>
        <v>10.40668307210923</v>
      </c>
      <c r="G20" s="29">
        <v>233.953813</v>
      </c>
      <c r="H20" s="29">
        <v>110.272295</v>
      </c>
      <c r="I20" s="29">
        <f>G20+H20</f>
        <v>344.22610800000001</v>
      </c>
      <c r="J20" s="21">
        <f>I20/E20*100</f>
        <v>15.311791524858128</v>
      </c>
      <c r="K20" s="32">
        <f>(J20-F20)/F20</f>
        <v>0.4713421576078351</v>
      </c>
      <c r="N20" s="1"/>
      <c r="O20" s="3"/>
      <c r="P20" s="2"/>
      <c r="Q20" s="4"/>
      <c r="R20" s="4"/>
      <c r="S20" s="4"/>
      <c r="T20" s="2"/>
      <c r="U20" s="7"/>
    </row>
    <row r="21" spans="1:21" ht="13.5" thickTop="1">
      <c r="D21" s="115"/>
      <c r="E21" s="64"/>
      <c r="F21" s="66"/>
      <c r="G21" s="58"/>
      <c r="H21" s="58"/>
      <c r="I21" s="58"/>
      <c r="J21" s="66"/>
      <c r="K21" s="116"/>
      <c r="N21" s="1"/>
      <c r="O21" s="3"/>
      <c r="P21" s="2"/>
      <c r="Q21" s="4"/>
      <c r="R21" s="4"/>
      <c r="S21" s="4"/>
      <c r="T21" s="2"/>
      <c r="U21" s="7"/>
    </row>
    <row r="22" spans="1:21">
      <c r="D22" s="115"/>
      <c r="E22" s="64"/>
      <c r="F22" s="66"/>
      <c r="G22" s="58"/>
      <c r="H22" s="58"/>
      <c r="I22" s="58"/>
      <c r="J22" s="66"/>
      <c r="K22" s="116"/>
      <c r="N22" s="1"/>
      <c r="O22" s="3"/>
      <c r="P22" s="2"/>
      <c r="Q22" s="4"/>
      <c r="R22" s="4"/>
      <c r="S22" s="4"/>
      <c r="T22" s="2"/>
      <c r="U22" s="7"/>
    </row>
    <row r="23" spans="1:21" ht="13.5" thickBot="1">
      <c r="A23" s="1" t="s">
        <v>0</v>
      </c>
      <c r="D23" s="17" t="s">
        <v>240</v>
      </c>
      <c r="E23" s="25">
        <v>96.812371999999996</v>
      </c>
      <c r="F23" s="21">
        <f>100*G23/E23</f>
        <v>8.0891933935881664</v>
      </c>
      <c r="G23" s="29">
        <v>7.83134</v>
      </c>
      <c r="H23" s="29">
        <v>0</v>
      </c>
      <c r="I23" s="29">
        <f>G23+H23</f>
        <v>7.83134</v>
      </c>
      <c r="J23" s="21">
        <f>I23/E23*100</f>
        <v>8.0891933935881664</v>
      </c>
      <c r="K23" s="32">
        <f>(J23-F23)/F23</f>
        <v>0</v>
      </c>
      <c r="N23" s="1"/>
      <c r="O23" s="3"/>
      <c r="P23" s="2"/>
      <c r="Q23" s="4"/>
      <c r="R23" s="4"/>
      <c r="S23" s="4"/>
      <c r="T23" s="2"/>
      <c r="U23" s="7"/>
    </row>
    <row r="24" spans="1:21" ht="13.5" thickTop="1">
      <c r="D24" s="115"/>
      <c r="E24" s="64"/>
      <c r="F24" s="66"/>
      <c r="G24" s="58"/>
      <c r="H24" s="58"/>
      <c r="I24" s="58"/>
      <c r="J24" s="66"/>
      <c r="K24" s="116"/>
      <c r="N24" s="1"/>
      <c r="O24" s="3"/>
      <c r="P24" s="2"/>
      <c r="Q24" s="4"/>
      <c r="R24" s="4"/>
      <c r="S24" s="4"/>
      <c r="T24" s="2"/>
      <c r="U24" s="7"/>
    </row>
    <row r="25" spans="1:21">
      <c r="D25" s="115"/>
      <c r="E25" s="64"/>
      <c r="F25" s="66"/>
      <c r="G25" s="58"/>
      <c r="H25" s="58"/>
      <c r="I25" s="58"/>
      <c r="J25" s="66"/>
      <c r="K25" s="116"/>
      <c r="N25" s="1"/>
      <c r="O25" s="3"/>
      <c r="P25" s="2"/>
      <c r="Q25" s="4"/>
      <c r="R25" s="4"/>
      <c r="S25" s="4"/>
      <c r="T25" s="2"/>
      <c r="U25" s="7"/>
    </row>
    <row r="26" spans="1:21" ht="13.5" thickBot="1">
      <c r="A26" s="1" t="s">
        <v>98</v>
      </c>
      <c r="D26" s="17" t="s">
        <v>241</v>
      </c>
      <c r="E26" s="25">
        <v>5906.3903419999997</v>
      </c>
      <c r="F26" s="21">
        <f>100*G26/E26</f>
        <v>13.026469035222462</v>
      </c>
      <c r="G26" s="29">
        <v>769.39410899999996</v>
      </c>
      <c r="H26" s="29">
        <v>264.98748799999998</v>
      </c>
      <c r="I26" s="29">
        <f>G26+H26</f>
        <v>1034.3815970000001</v>
      </c>
      <c r="J26" s="21">
        <f>I26/E26*100</f>
        <v>17.512923073244455</v>
      </c>
      <c r="K26" s="32">
        <f>(J26-F26)/F26</f>
        <v>0.34441060166734389</v>
      </c>
      <c r="N26" s="1"/>
      <c r="O26" s="3"/>
      <c r="P26" s="2"/>
      <c r="Q26" s="4"/>
      <c r="R26" s="4"/>
      <c r="S26" s="4"/>
      <c r="T26" s="2"/>
      <c r="U26" s="7"/>
    </row>
    <row r="27" spans="1:21" ht="13.5" thickTop="1">
      <c r="D27"/>
      <c r="E27" s="23"/>
      <c r="F27" s="20"/>
      <c r="G27" s="27"/>
      <c r="H27" s="27"/>
      <c r="I27" s="27"/>
      <c r="J27" s="20"/>
      <c r="K27" s="31"/>
      <c r="N27" s="1"/>
      <c r="O27" s="3"/>
      <c r="P27" s="2"/>
      <c r="Q27" s="4"/>
      <c r="R27" s="4"/>
      <c r="S27" s="4"/>
      <c r="T27" s="2"/>
      <c r="U27" s="7"/>
    </row>
    <row r="28" spans="1:21">
      <c r="D28" s="14"/>
      <c r="E28" s="23"/>
      <c r="F28" s="20"/>
      <c r="G28" s="27"/>
      <c r="H28" s="27"/>
      <c r="I28" s="27"/>
      <c r="J28" s="20"/>
      <c r="K28" s="31"/>
      <c r="N28" s="1"/>
      <c r="O28" s="3"/>
      <c r="P28" s="2"/>
      <c r="Q28" s="4"/>
      <c r="R28" s="4"/>
      <c r="S28" s="4"/>
      <c r="T28" s="2"/>
      <c r="U28" s="7"/>
    </row>
    <row r="29" spans="1:21" ht="13.5" thickBot="1">
      <c r="A29" s="1" t="s">
        <v>98</v>
      </c>
      <c r="D29" s="17" t="s">
        <v>242</v>
      </c>
      <c r="E29" s="25">
        <v>1973.440548</v>
      </c>
      <c r="F29" s="21">
        <f>100*G29/E29</f>
        <v>9.9034728559757959</v>
      </c>
      <c r="G29" s="29">
        <v>195.43914899999999</v>
      </c>
      <c r="H29" s="29">
        <v>88.537503000000001</v>
      </c>
      <c r="I29" s="29">
        <f>G29+H29</f>
        <v>283.976652</v>
      </c>
      <c r="J29" s="21">
        <f>I29/E29*100</f>
        <v>14.389926886208887</v>
      </c>
      <c r="K29" s="32">
        <f>(J29-F29)/F29</f>
        <v>0.45301825889550917</v>
      </c>
      <c r="N29" s="1"/>
      <c r="O29" s="3"/>
      <c r="P29" s="2"/>
      <c r="Q29" s="4"/>
      <c r="R29" s="4"/>
      <c r="S29" s="4"/>
      <c r="T29" s="2"/>
      <c r="U29" s="7"/>
    </row>
    <row r="30" spans="1:21" ht="13.5" thickTop="1">
      <c r="D30"/>
      <c r="E30" s="23"/>
      <c r="F30" s="20"/>
      <c r="G30" s="27"/>
      <c r="H30" s="27"/>
      <c r="I30" s="27"/>
      <c r="J30" s="20"/>
      <c r="K30" s="31"/>
      <c r="N30" s="1"/>
      <c r="O30" s="3"/>
      <c r="P30" s="2"/>
      <c r="Q30" s="4"/>
      <c r="R30" s="4"/>
      <c r="S30" s="4"/>
      <c r="T30" s="2"/>
      <c r="U30" s="7"/>
    </row>
    <row r="31" spans="1:21">
      <c r="D31" s="14"/>
      <c r="E31" s="23"/>
      <c r="F31" s="20"/>
      <c r="G31" s="27"/>
      <c r="H31" s="27"/>
      <c r="I31" s="27"/>
      <c r="J31" s="20"/>
      <c r="K31" s="31"/>
      <c r="N31" s="1"/>
      <c r="O31" s="3"/>
      <c r="P31" s="2"/>
      <c r="Q31" s="4"/>
      <c r="R31" s="4"/>
      <c r="S31" s="4"/>
      <c r="T31" s="2"/>
      <c r="U31" s="7"/>
    </row>
    <row r="32" spans="1:21" ht="13.5" thickBot="1">
      <c r="A32" s="1" t="s">
        <v>98</v>
      </c>
      <c r="D32" s="17" t="s">
        <v>243</v>
      </c>
      <c r="E32" s="25">
        <v>1.323696</v>
      </c>
      <c r="F32" s="21">
        <f>100*G32/E32</f>
        <v>29.557315274806303</v>
      </c>
      <c r="G32" s="29">
        <v>0.39124900000000001</v>
      </c>
      <c r="H32" s="29">
        <v>5.9387000000000002E-2</v>
      </c>
      <c r="I32" s="29">
        <f>G32+H32</f>
        <v>0.45063600000000004</v>
      </c>
      <c r="J32" s="21">
        <f>I32/E32*100</f>
        <v>34.04376835768938</v>
      </c>
      <c r="K32" s="32">
        <f>(J32-F32)/F32</f>
        <v>0.15178824738210187</v>
      </c>
      <c r="N32" s="1"/>
      <c r="O32" s="3"/>
      <c r="P32" s="2"/>
      <c r="Q32" s="4"/>
      <c r="R32" s="4"/>
      <c r="S32" s="4"/>
      <c r="T32" s="2"/>
      <c r="U32" s="7"/>
    </row>
    <row r="33" spans="1:21" ht="13.5" thickTop="1">
      <c r="D33" s="14"/>
      <c r="E33" s="23"/>
      <c r="F33" s="20"/>
      <c r="G33" s="27"/>
      <c r="H33" s="27"/>
      <c r="I33" s="27"/>
      <c r="J33" s="20"/>
      <c r="K33" s="31"/>
      <c r="N33" s="1"/>
      <c r="O33" s="3"/>
      <c r="P33" s="2"/>
      <c r="Q33" s="4"/>
      <c r="R33" s="4"/>
      <c r="S33" s="4"/>
      <c r="T33" s="2"/>
      <c r="U33" s="7"/>
    </row>
    <row r="34" spans="1:21">
      <c r="D34" s="14"/>
      <c r="E34" s="23"/>
      <c r="F34" s="20"/>
      <c r="G34" s="27"/>
      <c r="H34" s="27"/>
      <c r="I34" s="27"/>
      <c r="J34" s="20"/>
      <c r="K34" s="31"/>
      <c r="N34" s="1"/>
      <c r="O34" s="3"/>
      <c r="P34" s="2"/>
      <c r="Q34" s="4"/>
      <c r="R34" s="4"/>
      <c r="S34" s="4"/>
      <c r="T34" s="2"/>
      <c r="U34" s="7"/>
    </row>
    <row r="35" spans="1:21" ht="13.5" thickBot="1">
      <c r="A35" s="1" t="s">
        <v>98</v>
      </c>
      <c r="D35" s="17" t="s">
        <v>244</v>
      </c>
      <c r="E35" s="25">
        <v>121.33413</v>
      </c>
      <c r="F35" s="21">
        <f>100*G35/E35</f>
        <v>12.019679870783266</v>
      </c>
      <c r="G35" s="29">
        <v>14.583974</v>
      </c>
      <c r="H35" s="29">
        <v>5.4436</v>
      </c>
      <c r="I35" s="29">
        <f>G35+H35</f>
        <v>20.027574000000001</v>
      </c>
      <c r="J35" s="21">
        <f>I35/E35*100</f>
        <v>16.506133929505243</v>
      </c>
      <c r="K35" s="32">
        <f>(J35-F35)/F35</f>
        <v>0.3732590307689797</v>
      </c>
      <c r="N35" s="1"/>
      <c r="O35" s="3"/>
      <c r="P35" s="2"/>
      <c r="Q35" s="4"/>
      <c r="R35" s="4"/>
      <c r="S35" s="4"/>
      <c r="T35" s="2"/>
      <c r="U35" s="7"/>
    </row>
    <row r="36" spans="1:21" ht="13.5" thickTop="1">
      <c r="D36"/>
      <c r="E36" s="23"/>
      <c r="F36" s="20"/>
      <c r="G36" s="27"/>
      <c r="H36" s="27"/>
      <c r="I36" s="27"/>
      <c r="J36" s="20"/>
      <c r="K36" s="31"/>
      <c r="N36" s="1"/>
      <c r="O36" s="3"/>
      <c r="P36" s="2"/>
      <c r="Q36" s="4"/>
      <c r="R36" s="4"/>
      <c r="S36" s="4"/>
      <c r="T36" s="2"/>
      <c r="U36" s="7"/>
    </row>
    <row r="37" spans="1:21">
      <c r="D37" s="14"/>
      <c r="E37" s="23"/>
      <c r="F37" s="20"/>
      <c r="G37" s="27"/>
      <c r="H37" s="27"/>
      <c r="I37" s="27"/>
      <c r="J37" s="20"/>
      <c r="K37" s="31"/>
      <c r="N37" s="1"/>
      <c r="O37" s="3"/>
      <c r="P37" s="2"/>
      <c r="Q37" s="4"/>
      <c r="R37" s="4"/>
      <c r="S37" s="4"/>
      <c r="T37" s="2"/>
      <c r="U37" s="7"/>
    </row>
    <row r="38" spans="1:21" ht="13.5" thickBot="1">
      <c r="A38" s="1" t="s">
        <v>98</v>
      </c>
      <c r="D38" s="17" t="s">
        <v>245</v>
      </c>
      <c r="E38" s="25">
        <v>90.647375999999994</v>
      </c>
      <c r="F38" s="21">
        <f>100*G38/E38</f>
        <v>10.356021778280708</v>
      </c>
      <c r="G38" s="29">
        <v>9.3874619999999993</v>
      </c>
      <c r="H38" s="29">
        <v>4.0668530000000001</v>
      </c>
      <c r="I38" s="29">
        <f>G38+H38</f>
        <v>13.454314999999999</v>
      </c>
      <c r="J38" s="21">
        <f>I38/E38*100</f>
        <v>14.842475969740152</v>
      </c>
      <c r="K38" s="32">
        <f>(J38-F38)/F38</f>
        <v>0.43322178028523606</v>
      </c>
      <c r="N38" s="1"/>
      <c r="O38" s="3"/>
      <c r="P38" s="2"/>
      <c r="Q38" s="4"/>
      <c r="R38" s="4"/>
      <c r="S38" s="4"/>
      <c r="T38" s="2"/>
      <c r="U38" s="7"/>
    </row>
    <row r="39" spans="1:21" ht="13.5" thickTop="1">
      <c r="D39"/>
      <c r="E39" s="23"/>
      <c r="F39" s="20"/>
      <c r="G39" s="27"/>
      <c r="H39" s="27"/>
      <c r="I39" s="27"/>
      <c r="J39" s="20"/>
      <c r="K39" s="31"/>
      <c r="N39" s="1"/>
      <c r="O39" s="3"/>
      <c r="P39" s="2"/>
      <c r="Q39" s="4"/>
      <c r="R39" s="4"/>
      <c r="S39" s="4"/>
      <c r="T39" s="2"/>
      <c r="U39" s="7"/>
    </row>
    <row r="40" spans="1:21">
      <c r="D40" s="14"/>
      <c r="E40" s="23"/>
      <c r="F40" s="20"/>
      <c r="G40" s="27"/>
      <c r="H40" s="27"/>
      <c r="I40" s="27"/>
      <c r="J40" s="20"/>
      <c r="K40" s="31"/>
      <c r="N40" s="1"/>
      <c r="O40" s="3"/>
      <c r="P40" s="2"/>
      <c r="Q40" s="4"/>
      <c r="R40" s="4"/>
      <c r="S40" s="4"/>
      <c r="T40" s="2"/>
      <c r="U40" s="7"/>
    </row>
    <row r="41" spans="1:21" ht="13.5" thickBot="1">
      <c r="A41" s="1" t="s">
        <v>98</v>
      </c>
      <c r="D41" s="17" t="s">
        <v>246</v>
      </c>
      <c r="E41" s="25">
        <v>12859.851253000001</v>
      </c>
      <c r="F41" s="21">
        <f>100*G41/E41</f>
        <v>10.896062500513899</v>
      </c>
      <c r="G41" s="29">
        <v>1401.2174299999999</v>
      </c>
      <c r="H41" s="29">
        <v>576.95131600000002</v>
      </c>
      <c r="I41" s="29">
        <f>G41+H41</f>
        <v>1978.1687459999998</v>
      </c>
      <c r="J41" s="21">
        <f>I41/E41*100</f>
        <v>15.382516539905733</v>
      </c>
      <c r="K41" s="32">
        <f>(J41-F41)/F41</f>
        <v>0.41175002797388838</v>
      </c>
      <c r="N41" s="1"/>
      <c r="O41" s="3"/>
      <c r="P41" s="2"/>
      <c r="Q41" s="4"/>
      <c r="R41" s="4"/>
      <c r="S41" s="4"/>
      <c r="T41" s="2"/>
      <c r="U41" s="7"/>
    </row>
    <row r="42" spans="1:21" ht="13.5" thickTop="1">
      <c r="D42"/>
      <c r="E42" s="23"/>
      <c r="F42" s="20"/>
      <c r="G42" s="27"/>
      <c r="H42" s="27"/>
      <c r="I42" s="27"/>
      <c r="J42" s="20"/>
      <c r="K42" s="31"/>
      <c r="N42" s="1"/>
      <c r="O42" s="3"/>
      <c r="P42" s="2"/>
      <c r="Q42" s="4"/>
      <c r="R42" s="4"/>
      <c r="S42" s="4"/>
      <c r="T42" s="2"/>
      <c r="U42" s="7"/>
    </row>
    <row r="43" spans="1:21">
      <c r="D43" s="14"/>
      <c r="E43" s="23"/>
      <c r="F43" s="20"/>
      <c r="G43" s="27"/>
      <c r="H43" s="27"/>
      <c r="I43" s="27"/>
      <c r="J43" s="20"/>
      <c r="K43" s="31"/>
      <c r="N43" s="1"/>
      <c r="O43" s="3"/>
      <c r="P43" s="2"/>
      <c r="Q43" s="4"/>
      <c r="R43" s="4"/>
      <c r="S43" s="4"/>
      <c r="T43" s="2"/>
      <c r="U43" s="7"/>
    </row>
    <row r="44" spans="1:21" ht="13.5" thickBot="1">
      <c r="A44" s="1" t="s">
        <v>98</v>
      </c>
      <c r="D44" s="17" t="s">
        <v>247</v>
      </c>
      <c r="E44" s="25">
        <v>10.848269999999999</v>
      </c>
      <c r="F44" s="21">
        <f>100*G44/E44</f>
        <v>9.4448884476511008</v>
      </c>
      <c r="G44" s="29">
        <v>1.024607</v>
      </c>
      <c r="H44" s="29">
        <v>0.43979200000000002</v>
      </c>
      <c r="I44" s="29">
        <f>G44+H44</f>
        <v>1.464399</v>
      </c>
      <c r="J44" s="21">
        <f>I44/E44*100</f>
        <v>13.498917338893667</v>
      </c>
      <c r="K44" s="32">
        <f>(J44-F44)/F44</f>
        <v>0.42922993889364403</v>
      </c>
      <c r="N44" s="1"/>
      <c r="O44" s="3"/>
      <c r="P44" s="2"/>
      <c r="Q44" s="4"/>
      <c r="R44" s="4"/>
      <c r="S44" s="4"/>
      <c r="T44" s="2"/>
      <c r="U44" s="7"/>
    </row>
    <row r="45" spans="1:21" ht="13.5" thickTop="1">
      <c r="D45" s="115"/>
      <c r="E45" s="64"/>
      <c r="F45" s="66"/>
      <c r="G45" s="58"/>
      <c r="H45" s="58"/>
      <c r="I45" s="58"/>
      <c r="J45" s="66"/>
      <c r="K45" s="116"/>
      <c r="N45" s="1"/>
      <c r="O45" s="3"/>
      <c r="P45" s="2"/>
      <c r="Q45" s="4"/>
      <c r="R45" s="4"/>
      <c r="S45" s="4"/>
      <c r="T45" s="2"/>
      <c r="U45" s="7"/>
    </row>
    <row r="46" spans="1:21">
      <c r="D46"/>
      <c r="E46" s="23"/>
      <c r="F46" s="20"/>
      <c r="G46" s="27"/>
      <c r="H46" s="27"/>
      <c r="I46" s="27"/>
      <c r="J46" s="20"/>
      <c r="K46" s="31"/>
      <c r="N46" s="1"/>
      <c r="O46" s="3"/>
      <c r="P46" s="2"/>
      <c r="Q46" s="4"/>
      <c r="R46" s="4"/>
      <c r="S46" s="4"/>
      <c r="T46" s="2"/>
      <c r="U46" s="7"/>
    </row>
    <row r="47" spans="1:21" ht="13.5" thickBot="1">
      <c r="A47" s="1" t="s">
        <v>98</v>
      </c>
      <c r="D47" s="17" t="s">
        <v>248</v>
      </c>
      <c r="E47" s="26">
        <v>783.953305</v>
      </c>
      <c r="F47" s="22">
        <f>100*G47/E47</f>
        <v>8.7242728060187211</v>
      </c>
      <c r="G47" s="30">
        <v>68.394225000000006</v>
      </c>
      <c r="H47" s="30">
        <v>31.781687000000002</v>
      </c>
      <c r="I47" s="29">
        <f>G47+H47</f>
        <v>100.17591200000001</v>
      </c>
      <c r="J47" s="22">
        <f>I47/E47*100</f>
        <v>12.778300870866282</v>
      </c>
      <c r="K47" s="33">
        <f>(J47-F47)/F47</f>
        <v>0.46468377995364368</v>
      </c>
      <c r="N47" s="1"/>
      <c r="O47" s="3"/>
      <c r="P47" s="2"/>
      <c r="Q47" s="4"/>
      <c r="R47" s="4"/>
      <c r="S47" s="4"/>
      <c r="T47" s="2"/>
      <c r="U47" s="7"/>
    </row>
    <row r="48" spans="1:21" ht="13.5" thickTop="1">
      <c r="D48"/>
      <c r="E48" s="23"/>
      <c r="F48" s="20"/>
      <c r="G48" s="27"/>
      <c r="H48" s="27"/>
      <c r="I48" s="27"/>
      <c r="J48" s="20"/>
      <c r="K48" s="31"/>
      <c r="N48" s="1"/>
      <c r="O48" s="3"/>
      <c r="P48" s="2"/>
      <c r="Q48" s="4"/>
      <c r="R48" s="4"/>
      <c r="S48" s="4"/>
      <c r="T48" s="2"/>
      <c r="U48" s="7"/>
    </row>
    <row r="49" spans="1:21">
      <c r="E49" s="23"/>
      <c r="F49" s="20"/>
      <c r="G49" s="27"/>
      <c r="H49" s="27"/>
      <c r="I49" s="27"/>
      <c r="J49" s="20"/>
      <c r="K49" s="31"/>
      <c r="N49" s="1"/>
      <c r="O49" s="3"/>
      <c r="P49" s="2"/>
      <c r="Q49" s="4"/>
      <c r="R49" s="4"/>
      <c r="S49" s="4"/>
      <c r="T49" s="2"/>
      <c r="U49" s="7"/>
    </row>
    <row r="50" spans="1:21" ht="13.5" thickBot="1">
      <c r="A50" s="1" t="s">
        <v>98</v>
      </c>
      <c r="D50" s="17" t="s">
        <v>249</v>
      </c>
      <c r="E50" s="25">
        <v>10174.449648</v>
      </c>
      <c r="F50" s="21">
        <f>100*G50/E50</f>
        <v>9.8044924444251382</v>
      </c>
      <c r="G50" s="29">
        <v>997.55314699999997</v>
      </c>
      <c r="H50" s="29">
        <v>412.47504099999998</v>
      </c>
      <c r="I50" s="29">
        <f>G50+H50</f>
        <v>1410.028188</v>
      </c>
      <c r="J50" s="21">
        <f>I50/E50*100</f>
        <v>13.85852047807982</v>
      </c>
      <c r="K50" s="32">
        <f>(J50-F50)/F50</f>
        <v>0.41348678237391201</v>
      </c>
      <c r="N50" s="1"/>
      <c r="O50" s="3"/>
      <c r="P50" s="2"/>
      <c r="Q50" s="4"/>
      <c r="R50" s="4"/>
      <c r="S50" s="4"/>
      <c r="T50" s="2"/>
      <c r="U50" s="7"/>
    </row>
    <row r="51" spans="1:21" ht="13.5" thickTop="1">
      <c r="D51"/>
      <c r="E51" s="23"/>
      <c r="F51" s="20"/>
      <c r="G51" s="27"/>
      <c r="H51" s="27"/>
      <c r="I51" s="27"/>
      <c r="J51" s="20"/>
      <c r="K51" s="31"/>
      <c r="N51" s="1"/>
      <c r="O51" s="3"/>
      <c r="P51" s="2"/>
      <c r="Q51" s="4"/>
      <c r="R51" s="4"/>
      <c r="S51" s="4"/>
      <c r="T51" s="2"/>
      <c r="U51" s="7"/>
    </row>
    <row r="52" spans="1:21">
      <c r="E52" s="23"/>
      <c r="F52" s="20"/>
      <c r="G52" s="27"/>
      <c r="H52" s="27"/>
      <c r="I52" s="27"/>
      <c r="J52" s="20"/>
      <c r="K52" s="31"/>
      <c r="N52" s="1"/>
      <c r="O52" s="3"/>
      <c r="P52" s="2"/>
      <c r="Q52" s="4"/>
      <c r="R52" s="4"/>
      <c r="S52" s="4"/>
      <c r="T52" s="2"/>
      <c r="U52" s="7"/>
    </row>
    <row r="53" spans="1:21" ht="13.5" thickBot="1">
      <c r="A53" s="1" t="s">
        <v>66</v>
      </c>
      <c r="D53" s="17" t="s">
        <v>250</v>
      </c>
      <c r="E53" s="25">
        <v>7042.1307360000001</v>
      </c>
      <c r="F53" s="21">
        <f>100*G53/E53</f>
        <v>5.6955507081060235</v>
      </c>
      <c r="G53" s="29">
        <v>401.08812699999999</v>
      </c>
      <c r="H53" s="29">
        <v>285.48995400000001</v>
      </c>
      <c r="I53" s="29">
        <f>G53+H53</f>
        <v>686.578081</v>
      </c>
      <c r="J53" s="21">
        <f>I53/E53*100</f>
        <v>9.7495787388631054</v>
      </c>
      <c r="K53" s="32">
        <f>(J53-F53)/F53</f>
        <v>0.71178859403135619</v>
      </c>
      <c r="N53" s="1"/>
      <c r="O53" s="3"/>
      <c r="P53" s="2"/>
      <c r="Q53" s="4"/>
      <c r="R53" s="4"/>
      <c r="S53" s="4"/>
      <c r="T53" s="2"/>
      <c r="U53" s="7"/>
    </row>
    <row r="54" spans="1:21" ht="13.5" thickTop="1">
      <c r="D54"/>
      <c r="E54" s="23"/>
      <c r="F54" s="20"/>
      <c r="G54" s="27"/>
      <c r="H54" s="27"/>
      <c r="I54" s="27"/>
      <c r="J54" s="20"/>
      <c r="K54" s="31"/>
      <c r="N54" s="1"/>
      <c r="O54" s="3"/>
      <c r="P54" s="2"/>
      <c r="Q54" s="4"/>
      <c r="R54" s="4"/>
      <c r="S54" s="4"/>
      <c r="T54" s="2"/>
      <c r="U54" s="7"/>
    </row>
    <row r="55" spans="1:21">
      <c r="D55" s="19"/>
      <c r="E55" s="23"/>
      <c r="F55" s="20"/>
      <c r="G55" s="27"/>
      <c r="H55" s="27"/>
      <c r="I55" s="27"/>
      <c r="J55" s="20"/>
      <c r="K55" s="31"/>
      <c r="N55" s="1"/>
      <c r="O55" s="3"/>
      <c r="P55" s="2"/>
      <c r="Q55" s="4"/>
      <c r="R55" s="4"/>
      <c r="S55" s="4"/>
      <c r="T55" s="2"/>
      <c r="U55" s="7"/>
    </row>
    <row r="56" spans="1:21" ht="13.5" thickBot="1">
      <c r="A56" s="1" t="s">
        <v>66</v>
      </c>
      <c r="D56" s="17" t="s">
        <v>251</v>
      </c>
      <c r="E56" s="25">
        <v>6260.9461719999999</v>
      </c>
      <c r="F56" s="21">
        <f>100*G56/E56</f>
        <v>7.787453822562588</v>
      </c>
      <c r="G56" s="29">
        <v>487.56829199999999</v>
      </c>
      <c r="H56" s="29">
        <v>253.82051300000001</v>
      </c>
      <c r="I56" s="29">
        <f>G56+H56</f>
        <v>741.38880500000005</v>
      </c>
      <c r="J56" s="21">
        <f>I56/E56*100</f>
        <v>11.841481856458293</v>
      </c>
      <c r="K56" s="32">
        <f>(J56-F56)/F56</f>
        <v>0.52058453587871945</v>
      </c>
      <c r="N56" s="1"/>
      <c r="O56" s="3"/>
      <c r="P56" s="2"/>
      <c r="Q56" s="4"/>
      <c r="R56" s="4"/>
      <c r="S56" s="4"/>
      <c r="T56" s="2"/>
      <c r="U56" s="7"/>
    </row>
    <row r="57" spans="1:21" ht="13.5" thickTop="1">
      <c r="D57"/>
      <c r="E57" s="23"/>
      <c r="F57" s="20"/>
      <c r="G57" s="27"/>
      <c r="H57" s="27"/>
      <c r="I57" s="27"/>
      <c r="J57" s="20"/>
      <c r="K57" s="31"/>
      <c r="N57" s="1"/>
      <c r="O57" s="3"/>
      <c r="P57" s="2"/>
      <c r="Q57" s="4"/>
      <c r="R57" s="4"/>
      <c r="S57" s="4"/>
      <c r="T57" s="2"/>
      <c r="U57" s="7"/>
    </row>
    <row r="58" spans="1:21">
      <c r="D58" s="14"/>
      <c r="E58" s="23"/>
      <c r="F58" s="20"/>
      <c r="G58" s="27"/>
      <c r="H58" s="27"/>
      <c r="I58" s="27"/>
      <c r="J58" s="20"/>
      <c r="K58" s="31"/>
      <c r="N58" s="1"/>
      <c r="O58" s="3"/>
      <c r="P58" s="2"/>
      <c r="Q58" s="4"/>
      <c r="R58" s="4"/>
      <c r="S58" s="4"/>
      <c r="T58" s="2"/>
      <c r="U58" s="7"/>
    </row>
    <row r="59" spans="1:21" ht="13.5" thickBot="1">
      <c r="A59" s="1" t="s">
        <v>66</v>
      </c>
      <c r="D59" s="17" t="s">
        <v>252</v>
      </c>
      <c r="E59" s="25">
        <v>3187.593124</v>
      </c>
      <c r="F59" s="21">
        <f>100*G59/E59</f>
        <v>9.2442404829331029</v>
      </c>
      <c r="G59" s="29">
        <v>294.66877399999998</v>
      </c>
      <c r="H59" s="29">
        <v>129.225919</v>
      </c>
      <c r="I59" s="29">
        <f>G59+H59</f>
        <v>423.89469299999996</v>
      </c>
      <c r="J59" s="21">
        <f>I59/E59*100</f>
        <v>13.298268521425005</v>
      </c>
      <c r="K59" s="32">
        <f>(J59-F59)/F59</f>
        <v>0.43854636256775531</v>
      </c>
      <c r="N59" s="1"/>
      <c r="O59" s="3"/>
      <c r="P59" s="2"/>
      <c r="Q59" s="4"/>
      <c r="R59" s="4"/>
      <c r="S59" s="4"/>
      <c r="T59" s="2"/>
      <c r="U59" s="7"/>
    </row>
    <row r="60" spans="1:21" ht="13.5" thickTop="1">
      <c r="D60"/>
      <c r="E60" s="23"/>
      <c r="F60" s="20"/>
      <c r="G60" s="27"/>
      <c r="H60" s="27"/>
      <c r="I60" s="27"/>
      <c r="J60" s="20"/>
      <c r="K60" s="31"/>
      <c r="N60" s="1"/>
      <c r="O60" s="3"/>
      <c r="P60" s="2"/>
      <c r="Q60" s="4"/>
      <c r="R60" s="4"/>
      <c r="S60" s="4"/>
      <c r="T60" s="2"/>
      <c r="U60" s="7"/>
    </row>
    <row r="61" spans="1:21">
      <c r="D61" s="14"/>
      <c r="E61" s="23"/>
      <c r="F61" s="20"/>
      <c r="G61" s="27"/>
      <c r="H61" s="27"/>
      <c r="I61" s="27"/>
      <c r="J61" s="20"/>
      <c r="K61" s="31"/>
      <c r="N61" s="1"/>
      <c r="O61" s="3"/>
      <c r="P61" s="2"/>
      <c r="Q61" s="4"/>
      <c r="R61" s="4"/>
      <c r="S61" s="4"/>
      <c r="T61" s="2"/>
      <c r="U61" s="7"/>
    </row>
    <row r="62" spans="1:21" ht="13.5" thickBot="1">
      <c r="A62" s="1" t="s">
        <v>99</v>
      </c>
      <c r="D62" s="17" t="s">
        <v>253</v>
      </c>
      <c r="E62" s="25">
        <v>129.286012</v>
      </c>
      <c r="F62" s="21">
        <f>100*G62/E62</f>
        <v>10.242861385499307</v>
      </c>
      <c r="G62" s="29">
        <v>13.242587</v>
      </c>
      <c r="H62" s="29">
        <v>5.2412910000000004</v>
      </c>
      <c r="I62" s="29">
        <f>G62+H62</f>
        <v>18.483878000000001</v>
      </c>
      <c r="J62" s="21">
        <f>I62/E62*100</f>
        <v>14.296889287605222</v>
      </c>
      <c r="K62" s="32">
        <f>(J62-F62)/F62</f>
        <v>0.39579056569535859</v>
      </c>
      <c r="N62" s="1"/>
      <c r="O62" s="3"/>
      <c r="P62" s="2"/>
      <c r="Q62" s="4"/>
      <c r="R62" s="4"/>
      <c r="S62" s="4"/>
      <c r="T62" s="2"/>
      <c r="U62" s="7"/>
    </row>
    <row r="63" spans="1:21" ht="13.5" thickTop="1">
      <c r="D63"/>
      <c r="E63" s="23"/>
      <c r="F63" s="20"/>
      <c r="G63" s="27"/>
      <c r="H63" s="27"/>
      <c r="I63" s="27"/>
      <c r="J63" s="20"/>
      <c r="K63" s="31"/>
      <c r="N63" s="1"/>
      <c r="O63" s="3"/>
      <c r="P63" s="2"/>
      <c r="Q63" s="4"/>
      <c r="R63" s="4"/>
      <c r="S63" s="4"/>
      <c r="T63" s="2"/>
      <c r="U63" s="7"/>
    </row>
    <row r="64" spans="1:21">
      <c r="D64" s="19"/>
      <c r="E64" s="23"/>
      <c r="F64" s="20"/>
      <c r="G64" s="27"/>
      <c r="H64" s="27"/>
      <c r="I64" s="27"/>
      <c r="J64" s="20"/>
      <c r="K64" s="31"/>
      <c r="N64" s="1"/>
      <c r="O64" s="3"/>
      <c r="P64" s="2"/>
      <c r="Q64" s="4"/>
      <c r="R64" s="4"/>
      <c r="S64" s="4"/>
      <c r="T64" s="2"/>
      <c r="U64" s="7"/>
    </row>
    <row r="65" spans="1:21" ht="13.5" thickBot="1">
      <c r="A65" s="1" t="s">
        <v>99</v>
      </c>
      <c r="D65" s="17" t="s">
        <v>254</v>
      </c>
      <c r="E65" s="25">
        <v>29.728442999999999</v>
      </c>
      <c r="F65" s="21">
        <f>100*G65/E65</f>
        <v>14.55134397721401</v>
      </c>
      <c r="G65" s="29">
        <v>4.325888</v>
      </c>
      <c r="H65" s="29">
        <v>1.2051989999999999</v>
      </c>
      <c r="I65" s="29">
        <f>G65+H65</f>
        <v>5.5310869999999994</v>
      </c>
      <c r="J65" s="21">
        <f>I65/E65*100</f>
        <v>18.605370620990811</v>
      </c>
      <c r="K65" s="32">
        <f>(J65-F65)/F65</f>
        <v>0.27860152643803987</v>
      </c>
      <c r="N65" s="1"/>
      <c r="O65" s="3"/>
      <c r="P65" s="2"/>
      <c r="Q65" s="4"/>
      <c r="R65" s="4"/>
      <c r="S65" s="4"/>
      <c r="T65" s="2"/>
      <c r="U65" s="7"/>
    </row>
    <row r="66" spans="1:21" ht="13.5" thickTop="1">
      <c r="D66"/>
      <c r="E66" s="23"/>
      <c r="F66" s="20"/>
      <c r="G66" s="27"/>
      <c r="H66" s="27"/>
      <c r="I66" s="27"/>
      <c r="J66" s="20"/>
      <c r="K66" s="31"/>
      <c r="N66" s="1"/>
      <c r="O66" s="3"/>
      <c r="P66" s="2"/>
      <c r="Q66" s="4"/>
      <c r="R66" s="4"/>
      <c r="S66" s="4"/>
      <c r="T66" s="2"/>
      <c r="U66" s="7"/>
    </row>
    <row r="67" spans="1:21">
      <c r="D67" s="14"/>
      <c r="E67" s="23"/>
      <c r="F67" s="20"/>
      <c r="G67" s="27"/>
      <c r="H67" s="27"/>
      <c r="I67" s="27"/>
      <c r="J67" s="20"/>
      <c r="K67" s="31"/>
      <c r="N67" s="1"/>
      <c r="O67" s="3"/>
      <c r="P67" s="2"/>
      <c r="Q67" s="4"/>
      <c r="R67" s="4"/>
      <c r="S67" s="4"/>
      <c r="T67" s="2"/>
      <c r="U67" s="7"/>
    </row>
    <row r="68" spans="1:21" ht="13.5" thickBot="1">
      <c r="A68" s="1" t="s">
        <v>99</v>
      </c>
      <c r="D68" s="17" t="s">
        <v>255</v>
      </c>
      <c r="E68" s="25">
        <v>7.3520849999999998</v>
      </c>
      <c r="F68" s="21">
        <f>100*G68/E68</f>
        <v>11.985280366045822</v>
      </c>
      <c r="G68" s="29">
        <v>0.88116799999999995</v>
      </c>
      <c r="H68" s="29">
        <v>0.29805599999999999</v>
      </c>
      <c r="I68" s="29">
        <f>G68+H68</f>
        <v>1.179224</v>
      </c>
      <c r="J68" s="21">
        <f>I68/E68*100</f>
        <v>16.039314017724223</v>
      </c>
      <c r="K68" s="32">
        <f>(J68-F68)/F68</f>
        <v>0.33825104860821087</v>
      </c>
      <c r="N68" s="1"/>
      <c r="O68" s="3"/>
      <c r="P68" s="2"/>
      <c r="Q68" s="4"/>
      <c r="R68" s="4"/>
      <c r="S68" s="4"/>
      <c r="T68" s="2"/>
      <c r="U68" s="7"/>
    </row>
    <row r="69" spans="1:21" ht="13.5" thickTop="1">
      <c r="D69"/>
      <c r="E69" s="23"/>
      <c r="F69" s="20"/>
      <c r="G69" s="27"/>
      <c r="H69" s="27"/>
      <c r="I69" s="27"/>
      <c r="J69" s="20"/>
      <c r="K69" s="31"/>
      <c r="N69" s="1"/>
      <c r="O69" s="3"/>
      <c r="P69" s="2"/>
      <c r="Q69" s="4"/>
      <c r="R69" s="4"/>
      <c r="S69" s="4"/>
      <c r="T69" s="2"/>
      <c r="U69" s="7"/>
    </row>
    <row r="70" spans="1:21">
      <c r="D70" s="14"/>
      <c r="E70" s="23"/>
      <c r="F70" s="20"/>
      <c r="G70" s="27"/>
      <c r="H70" s="27"/>
      <c r="I70" s="27"/>
      <c r="J70" s="20"/>
      <c r="K70" s="31"/>
      <c r="N70" s="1"/>
      <c r="O70" s="3"/>
      <c r="P70" s="2"/>
      <c r="Q70" s="4"/>
      <c r="R70" s="4"/>
      <c r="S70" s="4"/>
      <c r="T70" s="2"/>
      <c r="U70" s="7"/>
    </row>
    <row r="71" spans="1:21" ht="13.5" thickBot="1">
      <c r="A71" s="1" t="s">
        <v>99</v>
      </c>
      <c r="D71" s="17" t="s">
        <v>256</v>
      </c>
      <c r="E71" s="25">
        <v>351.291855</v>
      </c>
      <c r="F71" s="21">
        <f>100*G71/E71</f>
        <v>13.231842508844961</v>
      </c>
      <c r="G71" s="29">
        <v>46.482385000000001</v>
      </c>
      <c r="H71" s="29">
        <v>15.760548</v>
      </c>
      <c r="I71" s="29">
        <f>G71+H71</f>
        <v>62.242933000000001</v>
      </c>
      <c r="J71" s="21">
        <f>I71/E71*100</f>
        <v>17.718296656778453</v>
      </c>
      <c r="K71" s="32">
        <f>(J71-F71)/F71</f>
        <v>0.33906495976916856</v>
      </c>
      <c r="N71" s="1"/>
      <c r="O71" s="3"/>
      <c r="P71" s="2"/>
      <c r="Q71" s="4"/>
      <c r="R71" s="4"/>
      <c r="S71" s="4"/>
      <c r="T71" s="2"/>
      <c r="U71" s="7"/>
    </row>
    <row r="72" spans="1:21" ht="13.5" thickTop="1">
      <c r="D72"/>
      <c r="E72" s="23"/>
      <c r="F72" s="20"/>
      <c r="G72" s="27"/>
      <c r="H72" s="27"/>
      <c r="I72" s="27"/>
      <c r="J72" s="20"/>
      <c r="K72" s="31"/>
      <c r="N72" s="1"/>
      <c r="O72" s="3"/>
      <c r="P72" s="2"/>
      <c r="Q72" s="4"/>
      <c r="R72" s="4"/>
      <c r="S72" s="4"/>
      <c r="T72" s="2"/>
      <c r="U72" s="7"/>
    </row>
    <row r="73" spans="1:21">
      <c r="D73" s="14"/>
      <c r="E73" s="23"/>
      <c r="F73" s="20"/>
      <c r="G73" s="27"/>
      <c r="H73" s="27"/>
      <c r="I73" s="27"/>
      <c r="J73" s="20"/>
      <c r="K73" s="31"/>
      <c r="N73" s="1"/>
      <c r="O73" s="3"/>
      <c r="P73" s="2"/>
      <c r="Q73" s="4"/>
      <c r="R73" s="4"/>
      <c r="S73" s="4"/>
      <c r="T73" s="2"/>
      <c r="U73" s="7"/>
    </row>
    <row r="74" spans="1:21" ht="13.5" thickBot="1">
      <c r="A74" s="1" t="s">
        <v>235</v>
      </c>
      <c r="D74" s="17" t="s">
        <v>257</v>
      </c>
      <c r="E74" s="25">
        <v>179.72642099999999</v>
      </c>
      <c r="F74" s="21">
        <f>100*G74/E74</f>
        <v>22.082577385770122</v>
      </c>
      <c r="G74" s="29">
        <v>39.688226</v>
      </c>
      <c r="H74" s="29">
        <v>5.9532340000000001</v>
      </c>
      <c r="I74" s="29">
        <f>G74+H74</f>
        <v>45.641460000000002</v>
      </c>
      <c r="J74" s="21">
        <f>I74/E74*100</f>
        <v>25.394964049275764</v>
      </c>
      <c r="K74" s="32">
        <f>(J74-F74)/F74</f>
        <v>0.15000000251963899</v>
      </c>
      <c r="N74" s="1"/>
      <c r="O74" s="3"/>
      <c r="P74" s="2"/>
      <c r="Q74" s="4"/>
      <c r="R74" s="4"/>
      <c r="S74" s="4"/>
      <c r="T74" s="2"/>
      <c r="U74" s="7"/>
    </row>
    <row r="75" spans="1:21" ht="13.5" thickTop="1">
      <c r="D75"/>
      <c r="E75" s="23"/>
      <c r="F75" s="20"/>
      <c r="G75" s="27"/>
      <c r="H75" s="27"/>
      <c r="I75" s="27"/>
      <c r="J75" s="20"/>
      <c r="K75" s="31"/>
      <c r="N75" s="1"/>
      <c r="O75" s="3"/>
      <c r="P75" s="2"/>
      <c r="Q75" s="4"/>
      <c r="R75" s="4"/>
      <c r="S75" s="4"/>
      <c r="T75" s="2"/>
      <c r="U75" s="7"/>
    </row>
    <row r="76" spans="1:21">
      <c r="D76" s="14"/>
      <c r="E76" s="23"/>
      <c r="F76" s="20"/>
      <c r="G76" s="27"/>
      <c r="H76" s="27"/>
      <c r="I76" s="27"/>
      <c r="J76" s="20"/>
      <c r="K76" s="31"/>
      <c r="N76" s="1"/>
      <c r="O76" s="3"/>
      <c r="P76" s="2"/>
      <c r="Q76" s="4"/>
      <c r="R76" s="4"/>
      <c r="S76" s="4"/>
      <c r="T76" s="2"/>
      <c r="U76" s="7"/>
    </row>
    <row r="77" spans="1:21" ht="13.5" thickBot="1">
      <c r="A77" s="1" t="s">
        <v>235</v>
      </c>
      <c r="D77" s="17" t="s">
        <v>258</v>
      </c>
      <c r="E77" s="25">
        <v>248.92627999999999</v>
      </c>
      <c r="F77" s="21">
        <f>100*G77/E77</f>
        <v>17.245223766650916</v>
      </c>
      <c r="G77" s="29">
        <v>42.927894000000002</v>
      </c>
      <c r="H77" s="29">
        <v>6.439184</v>
      </c>
      <c r="I77" s="29">
        <f>G77+H77</f>
        <v>49.367077999999999</v>
      </c>
      <c r="J77" s="21">
        <f>I77/E77*100</f>
        <v>19.832007291476014</v>
      </c>
      <c r="K77" s="32">
        <f>(J77-F77)/F77</f>
        <v>0.14999999767051211</v>
      </c>
      <c r="N77" s="1"/>
      <c r="O77" s="3"/>
      <c r="P77" s="2"/>
      <c r="Q77" s="4"/>
      <c r="R77" s="4"/>
      <c r="S77" s="4"/>
      <c r="T77" s="2"/>
      <c r="U77" s="7"/>
    </row>
    <row r="78" spans="1:21" ht="13.5" thickTop="1">
      <c r="D78"/>
      <c r="E78" s="23"/>
      <c r="F78" s="20"/>
      <c r="G78" s="27"/>
      <c r="H78" s="27"/>
      <c r="I78" s="27"/>
      <c r="J78" s="20"/>
      <c r="K78" s="31"/>
      <c r="N78" s="1"/>
      <c r="O78" s="3"/>
      <c r="P78" s="2"/>
      <c r="Q78" s="4"/>
      <c r="R78" s="4"/>
      <c r="S78" s="4"/>
      <c r="T78" s="2"/>
      <c r="U78" s="7"/>
    </row>
    <row r="79" spans="1:21">
      <c r="D79" s="14"/>
      <c r="E79" s="23"/>
      <c r="F79" s="20"/>
      <c r="G79" s="27"/>
      <c r="H79" s="27"/>
      <c r="I79" s="27"/>
      <c r="J79" s="20"/>
      <c r="K79" s="31"/>
      <c r="N79" s="1"/>
      <c r="O79" s="3"/>
      <c r="P79" s="2"/>
      <c r="Q79" s="4"/>
      <c r="R79" s="4"/>
      <c r="S79" s="4"/>
      <c r="T79" s="2"/>
      <c r="U79" s="7"/>
    </row>
    <row r="80" spans="1:21" ht="13.5" thickBot="1">
      <c r="A80" s="1" t="s">
        <v>235</v>
      </c>
      <c r="D80" s="17" t="s">
        <v>259</v>
      </c>
      <c r="E80" s="25">
        <v>28.756665999999999</v>
      </c>
      <c r="F80" s="21">
        <f>100*G80/E80</f>
        <v>16.025174823813025</v>
      </c>
      <c r="G80" s="29">
        <v>4.6083059999999998</v>
      </c>
      <c r="H80" s="29">
        <v>0.92166099999999995</v>
      </c>
      <c r="I80" s="29">
        <f>G80+H80</f>
        <v>5.5299670000000001</v>
      </c>
      <c r="J80" s="21">
        <f>I80/E80*100</f>
        <v>19.230209093084714</v>
      </c>
      <c r="K80" s="32">
        <f>(J80-F80)/F80</f>
        <v>0.19999995660010428</v>
      </c>
      <c r="N80" s="1"/>
      <c r="O80" s="3"/>
      <c r="P80" s="2"/>
      <c r="Q80" s="4"/>
      <c r="R80" s="4"/>
      <c r="S80" s="4"/>
      <c r="T80" s="2"/>
      <c r="U80" s="7"/>
    </row>
    <row r="81" spans="1:21" ht="13.5" thickTop="1">
      <c r="D81"/>
      <c r="E81" s="23"/>
      <c r="F81" s="20"/>
      <c r="G81" s="27"/>
      <c r="H81" s="27"/>
      <c r="I81" s="27"/>
      <c r="J81" s="20"/>
      <c r="K81" s="31"/>
      <c r="N81" s="1"/>
      <c r="O81" s="3"/>
      <c r="P81" s="2"/>
      <c r="Q81" s="4"/>
      <c r="R81" s="4"/>
      <c r="S81" s="4"/>
      <c r="T81" s="2"/>
      <c r="U81" s="7"/>
    </row>
    <row r="82" spans="1:21">
      <c r="D82" s="14"/>
      <c r="E82" s="23"/>
      <c r="F82" s="20"/>
      <c r="G82" s="27"/>
      <c r="H82" s="27"/>
      <c r="I82" s="27"/>
      <c r="J82" s="20"/>
      <c r="K82" s="31"/>
      <c r="N82" s="1"/>
      <c r="O82" s="3"/>
      <c r="P82" s="2"/>
      <c r="Q82" s="4"/>
      <c r="R82" s="4"/>
      <c r="S82" s="4"/>
      <c r="T82" s="2"/>
      <c r="U82" s="7"/>
    </row>
    <row r="83" spans="1:21" ht="13.5" thickBot="1">
      <c r="A83" s="1" t="s">
        <v>235</v>
      </c>
      <c r="D83" s="17" t="s">
        <v>260</v>
      </c>
      <c r="E83" s="25">
        <v>25.772790000000001</v>
      </c>
      <c r="F83" s="21">
        <f>100*G83/E83</f>
        <v>15.070832455469509</v>
      </c>
      <c r="G83" s="29">
        <v>3.8841739999999998</v>
      </c>
      <c r="H83" s="29">
        <v>0.77683500000000005</v>
      </c>
      <c r="I83" s="29">
        <f>G83+H83</f>
        <v>4.661009</v>
      </c>
      <c r="J83" s="21">
        <f>I83/E83*100</f>
        <v>18.084999722575631</v>
      </c>
      <c r="K83" s="32">
        <f>(J83-F83)/F83</f>
        <v>0.20000005149099914</v>
      </c>
      <c r="N83" s="1"/>
      <c r="O83" s="3"/>
      <c r="P83" s="2"/>
      <c r="Q83" s="4"/>
      <c r="R83" s="4"/>
      <c r="S83" s="4"/>
      <c r="T83" s="2"/>
      <c r="U83" s="7"/>
    </row>
    <row r="84" spans="1:21" ht="13.5" thickTop="1">
      <c r="D84"/>
      <c r="E84" s="23"/>
      <c r="F84" s="20"/>
      <c r="G84" s="27"/>
      <c r="H84" s="27"/>
      <c r="I84" s="27"/>
      <c r="J84" s="20"/>
      <c r="K84" s="31"/>
      <c r="N84" s="1"/>
      <c r="O84" s="3"/>
      <c r="P84" s="2"/>
      <c r="Q84" s="4"/>
      <c r="R84" s="4"/>
      <c r="S84" s="4"/>
      <c r="T84" s="2"/>
      <c r="U84" s="7"/>
    </row>
    <row r="85" spans="1:21">
      <c r="D85" s="14"/>
      <c r="E85" s="23"/>
      <c r="F85" s="20"/>
      <c r="G85" s="27"/>
      <c r="H85" s="27"/>
      <c r="I85" s="27"/>
      <c r="J85" s="20"/>
      <c r="K85" s="31"/>
      <c r="N85" s="1"/>
      <c r="O85" s="3"/>
      <c r="P85" s="2"/>
      <c r="Q85" s="4"/>
      <c r="R85" s="4"/>
      <c r="S85" s="4"/>
      <c r="T85" s="2"/>
      <c r="U85" s="7"/>
    </row>
    <row r="86" spans="1:21" ht="13.5" thickBot="1">
      <c r="A86" s="1" t="s">
        <v>235</v>
      </c>
      <c r="D86" s="17" t="s">
        <v>261</v>
      </c>
      <c r="E86" s="25">
        <v>31.177676000000002</v>
      </c>
      <c r="F86" s="21">
        <f>100*G86/E86</f>
        <v>15.803179172174344</v>
      </c>
      <c r="G86" s="29">
        <v>4.9270639999999997</v>
      </c>
      <c r="H86" s="29">
        <v>0.98541299999999998</v>
      </c>
      <c r="I86" s="29">
        <f>G86+H86</f>
        <v>5.912477</v>
      </c>
      <c r="J86" s="21">
        <f>I86/E86*100</f>
        <v>18.963815648093846</v>
      </c>
      <c r="K86" s="32">
        <f>(J86-F86)/F86</f>
        <v>0.20000004059212551</v>
      </c>
      <c r="N86" s="1"/>
      <c r="O86" s="3"/>
      <c r="P86" s="2"/>
      <c r="Q86" s="4"/>
      <c r="R86" s="4"/>
      <c r="S86" s="4"/>
      <c r="T86" s="2"/>
      <c r="U86" s="7"/>
    </row>
    <row r="87" spans="1:21" ht="13.5" thickTop="1">
      <c r="D87"/>
      <c r="E87" s="23"/>
      <c r="F87" s="20"/>
      <c r="G87" s="27"/>
      <c r="H87" s="27"/>
      <c r="I87" s="27"/>
      <c r="J87" s="20"/>
      <c r="K87" s="31"/>
      <c r="N87" s="1"/>
      <c r="O87" s="3"/>
      <c r="P87" s="2"/>
      <c r="Q87" s="4"/>
      <c r="R87" s="4"/>
      <c r="S87" s="4"/>
      <c r="T87" s="2"/>
      <c r="U87" s="7"/>
    </row>
    <row r="88" spans="1:21">
      <c r="D88" s="14"/>
      <c r="E88" s="23"/>
      <c r="F88" s="20"/>
      <c r="G88" s="27"/>
      <c r="H88" s="27"/>
      <c r="I88" s="27"/>
      <c r="J88" s="20"/>
      <c r="K88" s="31"/>
      <c r="N88" s="1"/>
      <c r="O88" s="3"/>
      <c r="P88" s="2"/>
      <c r="Q88" s="4"/>
      <c r="R88" s="4"/>
      <c r="S88" s="4"/>
      <c r="T88" s="2"/>
      <c r="U88" s="7"/>
    </row>
    <row r="89" spans="1:21" ht="13.5" thickBot="1">
      <c r="A89" s="1" t="s">
        <v>235</v>
      </c>
      <c r="D89" s="17" t="s">
        <v>262</v>
      </c>
      <c r="E89" s="25">
        <v>18.241910000000001</v>
      </c>
      <c r="F89" s="21">
        <f>100*G89/E89</f>
        <v>14.246243951428333</v>
      </c>
      <c r="G89" s="29">
        <v>2.5987870000000002</v>
      </c>
      <c r="H89" s="29">
        <v>0.51975700000000002</v>
      </c>
      <c r="I89" s="29">
        <f>G89+H89</f>
        <v>3.118544</v>
      </c>
      <c r="J89" s="21">
        <f>I89/E89*100</f>
        <v>17.095490548961155</v>
      </c>
      <c r="K89" s="32">
        <f>(J89-F89)/F89</f>
        <v>0.19999984608203736</v>
      </c>
      <c r="N89" s="1"/>
      <c r="O89" s="3"/>
      <c r="P89" s="2"/>
      <c r="Q89" s="4"/>
      <c r="R89" s="4"/>
      <c r="S89" s="4"/>
      <c r="T89" s="2"/>
      <c r="U89" s="7"/>
    </row>
    <row r="90" spans="1:21" ht="13.5" thickTop="1">
      <c r="D90"/>
      <c r="E90" s="23"/>
      <c r="F90" s="20"/>
      <c r="G90" s="27"/>
      <c r="H90" s="27"/>
      <c r="I90" s="27"/>
      <c r="J90" s="20"/>
      <c r="K90" s="31"/>
      <c r="N90" s="1"/>
      <c r="O90" s="3"/>
      <c r="P90" s="2"/>
      <c r="Q90" s="4"/>
      <c r="R90" s="4"/>
      <c r="S90" s="4"/>
      <c r="T90" s="2"/>
      <c r="U90" s="7"/>
    </row>
    <row r="91" spans="1:21">
      <c r="D91" s="14"/>
      <c r="E91" s="23"/>
      <c r="F91" s="20"/>
      <c r="G91" s="27"/>
      <c r="H91" s="27"/>
      <c r="I91" s="27"/>
      <c r="J91" s="20"/>
      <c r="K91" s="31"/>
      <c r="N91" s="1"/>
      <c r="O91" s="3"/>
      <c r="P91" s="2"/>
      <c r="Q91" s="4"/>
      <c r="R91" s="4"/>
      <c r="S91" s="4"/>
      <c r="T91" s="2"/>
      <c r="U91" s="7"/>
    </row>
    <row r="92" spans="1:21" ht="13.5" thickBot="1">
      <c r="A92" s="1" t="s">
        <v>235</v>
      </c>
      <c r="D92" s="17" t="s">
        <v>263</v>
      </c>
      <c r="E92" s="25">
        <v>136.21237099999999</v>
      </c>
      <c r="F92" s="21">
        <f>100*G92/E92</f>
        <v>15.253406021395811</v>
      </c>
      <c r="G92" s="29">
        <v>20.777025999999999</v>
      </c>
      <c r="H92" s="29">
        <v>4.155405</v>
      </c>
      <c r="I92" s="29">
        <f>G92+H92</f>
        <v>24.932431000000001</v>
      </c>
      <c r="J92" s="21">
        <f>I92/E92*100</f>
        <v>18.304087078845434</v>
      </c>
      <c r="K92" s="32">
        <f>(J92-F92)/F92</f>
        <v>0.19999999037398342</v>
      </c>
      <c r="N92" s="1"/>
      <c r="O92" s="3"/>
      <c r="P92" s="2"/>
      <c r="Q92" s="4"/>
      <c r="R92" s="4"/>
      <c r="S92" s="4"/>
      <c r="T92" s="2"/>
      <c r="U92" s="7"/>
    </row>
    <row r="93" spans="1:21" ht="13.5" thickTop="1">
      <c r="D93"/>
      <c r="E93" s="23"/>
      <c r="F93" s="20"/>
      <c r="G93" s="27"/>
      <c r="H93" s="27"/>
      <c r="I93" s="27"/>
      <c r="J93" s="20"/>
      <c r="K93" s="31"/>
      <c r="N93" s="1"/>
      <c r="O93" s="3"/>
      <c r="P93" s="2"/>
      <c r="Q93" s="4"/>
      <c r="R93" s="4"/>
      <c r="S93" s="4"/>
      <c r="T93" s="2"/>
      <c r="U93" s="7"/>
    </row>
    <row r="94" spans="1:21">
      <c r="D94" s="14"/>
      <c r="E94" s="23"/>
      <c r="F94" s="20"/>
      <c r="G94" s="27"/>
      <c r="H94" s="27"/>
      <c r="I94" s="27"/>
      <c r="J94" s="20"/>
      <c r="K94" s="31"/>
      <c r="N94" s="1"/>
      <c r="O94" s="3"/>
      <c r="P94" s="2"/>
      <c r="Q94" s="4"/>
      <c r="R94" s="4"/>
      <c r="S94" s="4"/>
      <c r="T94" s="2"/>
      <c r="U94" s="7"/>
    </row>
    <row r="95" spans="1:21" ht="13.5" thickBot="1">
      <c r="A95" s="1" t="s">
        <v>235</v>
      </c>
      <c r="D95" s="17" t="s">
        <v>264</v>
      </c>
      <c r="E95" s="25">
        <v>375.224737</v>
      </c>
      <c r="F95" s="21">
        <f>100*G95/E95</f>
        <v>13.888158978175259</v>
      </c>
      <c r="G95" s="29">
        <v>52.111808000000003</v>
      </c>
      <c r="H95" s="29">
        <v>10.422362</v>
      </c>
      <c r="I95" s="29">
        <f>G95+H95</f>
        <v>62.534170000000003</v>
      </c>
      <c r="J95" s="21">
        <f>I95/E95*100</f>
        <v>16.665790880413091</v>
      </c>
      <c r="K95" s="32">
        <f>(J95-F95)/F95</f>
        <v>0.20000000767580359</v>
      </c>
      <c r="N95" s="1"/>
      <c r="O95" s="3"/>
      <c r="P95" s="2"/>
      <c r="Q95" s="4"/>
      <c r="R95" s="4"/>
      <c r="S95" s="4"/>
      <c r="T95" s="2"/>
      <c r="U95" s="7"/>
    </row>
    <row r="96" spans="1:21" ht="13.5" thickTop="1">
      <c r="D96"/>
      <c r="E96" s="23"/>
      <c r="F96" s="20"/>
      <c r="G96" s="27"/>
      <c r="H96" s="27"/>
      <c r="I96" s="27"/>
      <c r="J96" s="20"/>
      <c r="K96" s="31"/>
      <c r="N96" s="1"/>
      <c r="O96" s="3"/>
      <c r="P96" s="2"/>
      <c r="Q96" s="4"/>
      <c r="R96" s="4"/>
      <c r="S96" s="4"/>
      <c r="T96" s="2"/>
      <c r="U96" s="7"/>
    </row>
    <row r="97" spans="1:21">
      <c r="D97" s="14"/>
      <c r="E97" s="23"/>
      <c r="F97" s="20"/>
      <c r="G97" s="27"/>
      <c r="H97" s="27"/>
      <c r="I97" s="27"/>
      <c r="J97" s="20"/>
      <c r="K97" s="31"/>
      <c r="N97" s="1"/>
      <c r="O97" s="3"/>
      <c r="P97" s="2"/>
      <c r="Q97" s="4"/>
      <c r="R97" s="4"/>
      <c r="S97" s="4"/>
      <c r="T97" s="2"/>
      <c r="U97" s="7"/>
    </row>
    <row r="98" spans="1:21" ht="13.5" thickBot="1">
      <c r="A98" s="1" t="s">
        <v>235</v>
      </c>
      <c r="D98" s="17" t="s">
        <v>265</v>
      </c>
      <c r="E98" s="25">
        <v>37.452913000000002</v>
      </c>
      <c r="F98" s="21">
        <f>100*G98/E98</f>
        <v>14.679007745005038</v>
      </c>
      <c r="G98" s="29">
        <v>5.4977159999999996</v>
      </c>
      <c r="H98" s="29">
        <v>1.0995429999999999</v>
      </c>
      <c r="I98" s="29">
        <f>G98+H98</f>
        <v>6.5972589999999993</v>
      </c>
      <c r="J98" s="21">
        <f>I98/E98*100</f>
        <v>17.614808760002191</v>
      </c>
      <c r="K98" s="32">
        <f>(J98-F98)/F98</f>
        <v>0.19999996362125674</v>
      </c>
      <c r="N98" s="1"/>
      <c r="O98" s="3"/>
      <c r="P98" s="2"/>
      <c r="Q98" s="4"/>
      <c r="R98" s="4"/>
      <c r="S98" s="4"/>
      <c r="T98" s="2"/>
      <c r="U98" s="7"/>
    </row>
    <row r="99" spans="1:21" ht="13.5" thickTop="1">
      <c r="D99"/>
      <c r="E99" s="23"/>
      <c r="F99" s="20"/>
      <c r="G99" s="27"/>
      <c r="H99" s="27"/>
      <c r="I99" s="27"/>
      <c r="J99" s="20"/>
      <c r="K99" s="31"/>
      <c r="N99" s="1"/>
      <c r="O99" s="3"/>
      <c r="P99" s="2"/>
      <c r="Q99" s="4"/>
      <c r="R99" s="4"/>
      <c r="S99" s="4"/>
      <c r="T99" s="2"/>
      <c r="U99" s="7"/>
    </row>
    <row r="100" spans="1:21">
      <c r="D100" s="14"/>
      <c r="E100" s="23"/>
      <c r="F100" s="20"/>
      <c r="G100" s="27"/>
      <c r="H100" s="27"/>
      <c r="I100" s="27"/>
      <c r="J100" s="20"/>
      <c r="K100" s="31"/>
      <c r="N100" s="1"/>
      <c r="O100" s="3"/>
      <c r="P100" s="2"/>
      <c r="Q100" s="4"/>
      <c r="R100" s="4"/>
      <c r="S100" s="4"/>
      <c r="T100" s="2"/>
      <c r="U100" s="7"/>
    </row>
    <row r="101" spans="1:21" ht="13.5" thickBot="1">
      <c r="A101" s="1" t="s">
        <v>235</v>
      </c>
      <c r="D101" s="17" t="s">
        <v>266</v>
      </c>
      <c r="E101" s="25">
        <v>83.553832</v>
      </c>
      <c r="F101" s="21">
        <f>100*G101/E101</f>
        <v>12.350557422668539</v>
      </c>
      <c r="G101" s="29">
        <v>10.319364</v>
      </c>
      <c r="H101" s="29">
        <v>2.0638730000000001</v>
      </c>
      <c r="I101" s="29">
        <f>G101+H101</f>
        <v>12.383237000000001</v>
      </c>
      <c r="J101" s="21">
        <f>I101/E101*100</f>
        <v>14.820669146568887</v>
      </c>
      <c r="K101" s="32">
        <f>(J101-F101)/F101</f>
        <v>0.20000001938103948</v>
      </c>
      <c r="N101" s="1"/>
      <c r="O101" s="3"/>
      <c r="P101" s="2"/>
      <c r="Q101" s="4"/>
      <c r="R101" s="4"/>
      <c r="S101" s="4"/>
      <c r="T101" s="2"/>
      <c r="U101" s="7"/>
    </row>
    <row r="102" spans="1:21" ht="13.5" thickTop="1">
      <c r="D102"/>
      <c r="E102" s="23"/>
      <c r="F102" s="20"/>
      <c r="G102" s="27"/>
      <c r="H102" s="27"/>
      <c r="I102" s="27"/>
      <c r="J102" s="20"/>
      <c r="K102" s="31"/>
      <c r="N102" s="1"/>
      <c r="O102" s="3"/>
      <c r="P102" s="2"/>
      <c r="Q102" s="4"/>
      <c r="R102" s="4"/>
      <c r="S102" s="4"/>
      <c r="T102" s="2"/>
      <c r="U102" s="7"/>
    </row>
    <row r="103" spans="1:21">
      <c r="D103" s="14"/>
      <c r="E103" s="23"/>
      <c r="F103" s="20"/>
      <c r="G103" s="27"/>
      <c r="H103" s="27"/>
      <c r="I103" s="27"/>
      <c r="J103" s="20"/>
      <c r="K103" s="31"/>
      <c r="N103" s="1"/>
      <c r="O103" s="3"/>
      <c r="P103" s="2"/>
      <c r="Q103" s="4"/>
      <c r="R103" s="4"/>
      <c r="S103" s="4"/>
      <c r="T103" s="2"/>
      <c r="U103" s="7"/>
    </row>
    <row r="104" spans="1:21" ht="13.5" thickBot="1">
      <c r="A104" s="1" t="s">
        <v>235</v>
      </c>
      <c r="D104" s="17" t="s">
        <v>267</v>
      </c>
      <c r="E104" s="25">
        <v>2101.5126479999999</v>
      </c>
      <c r="F104" s="21">
        <f>100*G104/E104</f>
        <v>9.7643096840405033</v>
      </c>
      <c r="G104" s="29">
        <v>205.19820300000001</v>
      </c>
      <c r="H104" s="29">
        <v>41.039641000000003</v>
      </c>
      <c r="I104" s="29">
        <f>G104+H104</f>
        <v>246.237844</v>
      </c>
      <c r="J104" s="21">
        <f>I104/E104*100</f>
        <v>11.717171639882512</v>
      </c>
      <c r="K104" s="32">
        <f>(J104-F104)/F104</f>
        <v>0.20000000194933473</v>
      </c>
      <c r="N104" s="1"/>
      <c r="O104" s="3"/>
      <c r="P104" s="2"/>
      <c r="Q104" s="4"/>
      <c r="R104" s="4"/>
      <c r="S104" s="4"/>
      <c r="T104" s="2"/>
      <c r="U104" s="7"/>
    </row>
    <row r="105" spans="1:21" ht="13.5" thickTop="1">
      <c r="D105"/>
      <c r="E105" s="23"/>
      <c r="F105" s="20"/>
      <c r="G105" s="27"/>
      <c r="H105" s="27"/>
      <c r="I105" s="27"/>
      <c r="J105" s="20"/>
      <c r="K105" s="31"/>
      <c r="N105" s="1"/>
      <c r="O105" s="3"/>
      <c r="P105" s="2"/>
      <c r="Q105" s="4"/>
      <c r="R105" s="4"/>
      <c r="S105" s="4"/>
      <c r="T105" s="2"/>
      <c r="U105" s="7"/>
    </row>
    <row r="106" spans="1:21">
      <c r="D106" s="14"/>
      <c r="E106" s="23"/>
      <c r="F106" s="20"/>
      <c r="G106" s="27"/>
      <c r="H106" s="27"/>
      <c r="I106" s="27"/>
      <c r="J106" s="20"/>
      <c r="K106" s="31"/>
      <c r="N106" s="1"/>
      <c r="O106" s="3"/>
      <c r="P106" s="2"/>
      <c r="Q106" s="4"/>
      <c r="R106" s="4"/>
      <c r="S106" s="4"/>
      <c r="T106" s="2"/>
      <c r="U106" s="7"/>
    </row>
    <row r="107" spans="1:21" ht="13.5" thickBot="1">
      <c r="A107" s="1" t="s">
        <v>235</v>
      </c>
      <c r="D107" s="17" t="s">
        <v>268</v>
      </c>
      <c r="E107" s="25">
        <v>156.31595899999999</v>
      </c>
      <c r="F107" s="21">
        <f>100*G107/E107</f>
        <v>9.6191995341947134</v>
      </c>
      <c r="G107" s="29">
        <v>15.036344</v>
      </c>
      <c r="H107" s="29">
        <v>3.0072619999999999</v>
      </c>
      <c r="I107" s="29">
        <f>G107+H107</f>
        <v>18.043606</v>
      </c>
      <c r="J107" s="21">
        <f>I107/E107*100</f>
        <v>11.543035090870026</v>
      </c>
      <c r="K107" s="32">
        <f>(J107-F107)/F107</f>
        <v>0.19999954776240841</v>
      </c>
      <c r="N107" s="1"/>
      <c r="O107" s="3"/>
      <c r="P107" s="2"/>
      <c r="Q107" s="4"/>
      <c r="R107" s="4"/>
      <c r="S107" s="4"/>
      <c r="T107" s="2"/>
      <c r="U107" s="7"/>
    </row>
    <row r="108" spans="1:21" ht="13.5" thickTop="1">
      <c r="D108"/>
      <c r="E108" s="23"/>
      <c r="F108" s="20"/>
      <c r="G108" s="27"/>
      <c r="H108" s="27"/>
      <c r="I108" s="27"/>
      <c r="J108" s="20"/>
      <c r="K108" s="31"/>
      <c r="N108" s="1"/>
      <c r="O108" s="3"/>
      <c r="P108" s="2"/>
      <c r="Q108" s="4"/>
      <c r="R108" s="4"/>
      <c r="S108" s="4"/>
      <c r="T108" s="2"/>
      <c r="U108" s="7"/>
    </row>
    <row r="109" spans="1:21">
      <c r="D109" s="14"/>
      <c r="E109" s="23"/>
      <c r="F109" s="20"/>
      <c r="G109" s="27"/>
      <c r="H109" s="27"/>
      <c r="I109" s="27"/>
      <c r="J109" s="20"/>
      <c r="K109" s="31"/>
      <c r="N109" s="1"/>
      <c r="O109" s="3"/>
      <c r="P109" s="2"/>
      <c r="Q109" s="4"/>
      <c r="R109" s="4"/>
      <c r="S109" s="4"/>
      <c r="T109" s="2"/>
      <c r="U109" s="7"/>
    </row>
    <row r="110" spans="1:21" ht="13.5" thickBot="1">
      <c r="A110" s="1" t="s">
        <v>98</v>
      </c>
      <c r="D110" s="17" t="s">
        <v>269</v>
      </c>
      <c r="E110" s="25">
        <v>46.126944000000002</v>
      </c>
      <c r="F110" s="21">
        <f>100*G110/E110</f>
        <v>7.7291181483863314</v>
      </c>
      <c r="G110" s="29">
        <v>3.5652059999999999</v>
      </c>
      <c r="H110" s="29">
        <v>1.869999</v>
      </c>
      <c r="I110" s="29">
        <f>G110+H110</f>
        <v>5.4352049999999998</v>
      </c>
      <c r="J110" s="21">
        <f>I110/E110*100</f>
        <v>11.783145659942267</v>
      </c>
      <c r="K110" s="32">
        <f>(J110-F110)/F110</f>
        <v>0.52451359051903312</v>
      </c>
      <c r="N110" s="1"/>
      <c r="O110" s="3"/>
      <c r="P110" s="2"/>
      <c r="Q110" s="4"/>
      <c r="R110" s="4"/>
      <c r="S110" s="4"/>
      <c r="T110" s="2"/>
      <c r="U110" s="7"/>
    </row>
    <row r="111" spans="1:21" ht="13.5" thickTop="1">
      <c r="D111"/>
      <c r="E111" s="23"/>
      <c r="F111" s="20"/>
      <c r="G111" s="27"/>
      <c r="H111" s="27"/>
      <c r="I111" s="27"/>
      <c r="J111" s="20"/>
      <c r="K111" s="31"/>
      <c r="N111" s="1"/>
      <c r="O111" s="3"/>
      <c r="P111" s="2"/>
      <c r="Q111" s="4"/>
      <c r="R111" s="4"/>
      <c r="S111" s="4"/>
      <c r="T111" s="2"/>
      <c r="U111" s="7"/>
    </row>
    <row r="112" spans="1:21">
      <c r="D112" s="14"/>
      <c r="E112" s="23"/>
      <c r="F112" s="20"/>
      <c r="G112" s="27"/>
      <c r="H112" s="27"/>
      <c r="I112" s="27"/>
      <c r="J112" s="20"/>
      <c r="K112" s="31"/>
      <c r="N112" s="1"/>
      <c r="O112" s="3"/>
      <c r="P112" s="2"/>
      <c r="Q112" s="4"/>
      <c r="R112" s="4"/>
      <c r="S112" s="4"/>
      <c r="T112" s="2"/>
      <c r="U112" s="7"/>
    </row>
    <row r="113" spans="1:21" ht="13.5" thickBot="1">
      <c r="A113" s="1" t="s">
        <v>66</v>
      </c>
      <c r="D113" s="17" t="s">
        <v>270</v>
      </c>
      <c r="E113" s="25">
        <v>3.48</v>
      </c>
      <c r="F113" s="21">
        <f>100*G113/E113</f>
        <v>7.4495689655172423</v>
      </c>
      <c r="G113" s="29">
        <v>0.259245</v>
      </c>
      <c r="H113" s="29">
        <v>0.14108000000000001</v>
      </c>
      <c r="I113" s="29">
        <f>G113+H113</f>
        <v>0.40032500000000004</v>
      </c>
      <c r="J113" s="21">
        <f>I113/E113*100</f>
        <v>11.503591954022991</v>
      </c>
      <c r="K113" s="32">
        <f>(J113-F113)/F113</f>
        <v>0.54419564504619189</v>
      </c>
      <c r="N113" s="1"/>
      <c r="O113" s="3"/>
      <c r="P113" s="2"/>
      <c r="Q113" s="4"/>
      <c r="R113" s="4"/>
      <c r="S113" s="4"/>
      <c r="T113" s="2"/>
      <c r="U113" s="7"/>
    </row>
    <row r="114" spans="1:21" ht="13.5" thickTop="1">
      <c r="D114"/>
      <c r="E114" s="23"/>
      <c r="F114" s="20"/>
      <c r="G114" s="27"/>
      <c r="H114" s="27"/>
      <c r="I114" s="27"/>
      <c r="J114" s="20"/>
      <c r="K114" s="31"/>
      <c r="N114" s="1"/>
      <c r="O114" s="3"/>
      <c r="P114" s="2"/>
      <c r="Q114" s="4"/>
      <c r="R114" s="4"/>
      <c r="S114" s="4"/>
      <c r="T114" s="2"/>
      <c r="U114" s="7"/>
    </row>
    <row r="115" spans="1:21">
      <c r="D115" s="14"/>
      <c r="E115" s="23"/>
      <c r="F115" s="20"/>
      <c r="G115" s="27"/>
      <c r="H115" s="27"/>
      <c r="I115" s="27"/>
      <c r="J115" s="20"/>
      <c r="K115" s="31"/>
      <c r="N115" s="1"/>
      <c r="O115" s="3"/>
      <c r="P115" s="2"/>
      <c r="Q115" s="4"/>
      <c r="R115" s="4"/>
      <c r="S115" s="4"/>
      <c r="T115" s="2"/>
      <c r="U115" s="7"/>
    </row>
    <row r="116" spans="1:21" ht="13.5" thickBot="1">
      <c r="A116" s="1" t="s">
        <v>66</v>
      </c>
      <c r="D116" s="17" t="s">
        <v>271</v>
      </c>
      <c r="E116" s="25">
        <v>352.91379599999999</v>
      </c>
      <c r="F116" s="21">
        <f>100*G116/E116</f>
        <v>8.2148392407986233</v>
      </c>
      <c r="G116" s="29">
        <v>28.991301</v>
      </c>
      <c r="H116" s="29">
        <v>14.307224</v>
      </c>
      <c r="I116" s="29">
        <f>G116+H116</f>
        <v>43.298524999999998</v>
      </c>
      <c r="J116" s="21">
        <f>I116/E116*100</f>
        <v>12.26886721084715</v>
      </c>
      <c r="K116" s="32">
        <f>(J116-F116)/F116</f>
        <v>0.493500584882341</v>
      </c>
      <c r="N116" s="1"/>
      <c r="O116" s="3"/>
      <c r="P116" s="2"/>
      <c r="Q116" s="4"/>
      <c r="R116" s="4"/>
      <c r="S116" s="4"/>
      <c r="T116" s="2"/>
      <c r="U116" s="7"/>
    </row>
    <row r="117" spans="1:21" ht="13.5" thickTop="1">
      <c r="D117"/>
      <c r="E117" s="23"/>
      <c r="F117" s="20"/>
      <c r="G117" s="27"/>
      <c r="H117" s="27"/>
      <c r="I117" s="27"/>
      <c r="J117" s="20"/>
      <c r="K117" s="31"/>
      <c r="N117" s="1"/>
      <c r="O117" s="3"/>
      <c r="P117" s="2"/>
      <c r="Q117" s="4"/>
      <c r="R117" s="4"/>
      <c r="S117" s="4"/>
      <c r="T117" s="2"/>
      <c r="U117" s="7"/>
    </row>
    <row r="118" spans="1:21">
      <c r="D118" s="14"/>
      <c r="E118" s="23"/>
      <c r="F118" s="20"/>
      <c r="G118" s="27"/>
      <c r="H118" s="27"/>
      <c r="I118" s="27"/>
      <c r="J118" s="20"/>
      <c r="K118" s="31"/>
      <c r="N118" s="1"/>
      <c r="O118" s="3"/>
      <c r="P118" s="2"/>
      <c r="Q118" s="4"/>
      <c r="R118" s="4"/>
      <c r="S118" s="4"/>
      <c r="T118" s="2"/>
      <c r="U118" s="7"/>
    </row>
    <row r="119" spans="1:21" ht="13.5" thickBot="1">
      <c r="A119" s="1" t="s">
        <v>66</v>
      </c>
      <c r="D119" s="17" t="s">
        <v>272</v>
      </c>
      <c r="E119" s="25">
        <v>358.84800000000001</v>
      </c>
      <c r="F119" s="21">
        <f>100*G119/E119</f>
        <v>5.9119532504012842</v>
      </c>
      <c r="G119" s="29">
        <v>21.214925999999998</v>
      </c>
      <c r="H119" s="29">
        <v>14.547798999999999</v>
      </c>
      <c r="I119" s="29">
        <f>G119+H119</f>
        <v>35.762724999999996</v>
      </c>
      <c r="J119" s="21">
        <f>I119/E119*100</f>
        <v>9.9659814183163888</v>
      </c>
      <c r="K119" s="32">
        <f>(J119-F119)/F119</f>
        <v>0.68573413831375107</v>
      </c>
      <c r="N119" s="1"/>
      <c r="O119" s="3"/>
      <c r="P119" s="2"/>
      <c r="Q119" s="4"/>
      <c r="R119" s="4"/>
      <c r="S119" s="4"/>
      <c r="T119" s="2"/>
      <c r="U119" s="7"/>
    </row>
    <row r="120" spans="1:21" ht="13.5" thickTop="1">
      <c r="D120"/>
      <c r="E120" s="23"/>
      <c r="F120" s="20"/>
      <c r="G120" s="27"/>
      <c r="H120" s="27"/>
      <c r="I120" s="27"/>
      <c r="J120" s="20"/>
      <c r="K120" s="31"/>
      <c r="N120" s="1"/>
      <c r="O120" s="3"/>
      <c r="P120" s="2"/>
      <c r="Q120" s="4"/>
      <c r="R120" s="4"/>
      <c r="S120" s="4"/>
      <c r="T120" s="2"/>
      <c r="U120" s="7"/>
    </row>
    <row r="121" spans="1:21">
      <c r="D121" s="14"/>
      <c r="E121" s="23"/>
      <c r="F121" s="20"/>
      <c r="G121" s="27"/>
      <c r="H121" s="27"/>
      <c r="I121" s="27"/>
      <c r="J121" s="20"/>
      <c r="K121" s="31"/>
      <c r="N121" s="1"/>
      <c r="O121" s="3"/>
      <c r="P121" s="2"/>
      <c r="Q121" s="4"/>
      <c r="R121" s="4"/>
      <c r="S121" s="4"/>
      <c r="T121" s="2"/>
      <c r="U121" s="7"/>
    </row>
    <row r="122" spans="1:21" ht="13.5" thickBot="1">
      <c r="A122" s="1" t="s">
        <v>66</v>
      </c>
      <c r="D122" s="17" t="s">
        <v>273</v>
      </c>
      <c r="E122" s="25">
        <v>28.534673999999999</v>
      </c>
      <c r="F122" s="21">
        <f>100*G122/E122</f>
        <v>7.2478276780032616</v>
      </c>
      <c r="G122" s="29">
        <v>2.0681440000000002</v>
      </c>
      <c r="H122" s="29">
        <v>1.1568039999999999</v>
      </c>
      <c r="I122" s="29">
        <f>G122+H122</f>
        <v>3.2249480000000004</v>
      </c>
      <c r="J122" s="21">
        <f>I122/E122*100</f>
        <v>11.301856821633919</v>
      </c>
      <c r="K122" s="32">
        <f>(J122-F122)/F122</f>
        <v>0.55934403020292578</v>
      </c>
      <c r="N122" s="1"/>
      <c r="O122" s="3"/>
      <c r="P122" s="2"/>
      <c r="Q122" s="4"/>
      <c r="R122" s="4"/>
      <c r="S122" s="4"/>
      <c r="T122" s="2"/>
      <c r="U122" s="7"/>
    </row>
    <row r="123" spans="1:21" ht="13.5" thickTop="1">
      <c r="D123"/>
      <c r="E123" s="23"/>
      <c r="F123" s="20"/>
      <c r="G123" s="27"/>
      <c r="H123" s="27"/>
      <c r="I123" s="27"/>
      <c r="J123" s="20"/>
      <c r="K123" s="31"/>
      <c r="N123" s="1"/>
      <c r="O123" s="3"/>
      <c r="P123" s="2"/>
      <c r="Q123" s="4"/>
      <c r="R123" s="4"/>
      <c r="S123" s="4"/>
      <c r="T123" s="2"/>
      <c r="U123" s="7"/>
    </row>
    <row r="124" spans="1:21">
      <c r="D124"/>
      <c r="E124" s="23"/>
      <c r="F124" s="20"/>
      <c r="G124" s="27"/>
      <c r="H124" s="27"/>
      <c r="I124" s="27"/>
      <c r="J124" s="20"/>
      <c r="K124" s="31"/>
      <c r="N124" s="1"/>
      <c r="O124" s="3"/>
      <c r="P124" s="2"/>
      <c r="Q124" s="4"/>
      <c r="R124" s="4"/>
      <c r="S124" s="4"/>
      <c r="T124" s="2"/>
      <c r="U124" s="7"/>
    </row>
    <row r="125" spans="1:21" ht="13.5" thickBot="1">
      <c r="D125" s="18" t="s">
        <v>64</v>
      </c>
      <c r="E125" s="117">
        <f>E8+E11+E14+E17+E20+E23+E26+E29++E32+E35+E38+E41+E44+E47+E50+E53+E56+E59+E62+E65+E68+E71+E74+E77+E80+E83+E86+E89++E92+E95+E98+E101+E104+E107+E110+E113+E116+E119+E122</f>
        <v>81990.970927000017</v>
      </c>
      <c r="F125" s="118">
        <f>G125/E125*100</f>
        <v>10.388324416335399</v>
      </c>
      <c r="G125" s="117">
        <f>G8+G11+G14+G17+G20+G23+G26+G29++G32+G35+G38+G41+G44+G47+G50+G53+G56+G59+G62+G65+G68+G71+G74+G77+G80+G83+G86+G89++G92+G95+G98+G101+G104+G107+G110+G113+G116+G119+G122</f>
        <v>8517.4880520000006</v>
      </c>
      <c r="H125" s="117">
        <f>H8+H11+H14+H17+H20+H23+H26+H29++H32+H35+H38+H41+H44+H47+H50+H53+H56+H59+H62+H65+H68+H71+H74+H77+H80+H83+H86+H89++H92+H95+H98+H101+H104+H107+H110+H113+H116+H119+H122</f>
        <v>2882.7291219999997</v>
      </c>
      <c r="I125" s="119">
        <f>G125+H125</f>
        <v>11400.217174000001</v>
      </c>
      <c r="J125" s="118">
        <f>I125/E125*100</f>
        <v>13.904234875020677</v>
      </c>
      <c r="K125" s="33">
        <f>(J125-F125)/F125</f>
        <v>0.33844827305899211</v>
      </c>
      <c r="N125" s="1"/>
      <c r="O125" s="3"/>
      <c r="P125" s="2"/>
      <c r="Q125" s="4"/>
      <c r="R125" s="4"/>
      <c r="S125" s="4"/>
      <c r="T125" s="2"/>
      <c r="U125" s="7"/>
    </row>
    <row r="126" spans="1:21" ht="13.5" thickTop="1">
      <c r="D126"/>
      <c r="E126" s="52"/>
      <c r="F126" s="111"/>
      <c r="G126" s="112"/>
      <c r="H126" s="112"/>
      <c r="I126" s="112"/>
      <c r="J126" s="111"/>
      <c r="K126" s="31"/>
      <c r="N126" s="1"/>
      <c r="O126" s="3"/>
      <c r="P126" s="2"/>
      <c r="Q126" s="4"/>
      <c r="R126" s="4"/>
      <c r="S126" s="4"/>
      <c r="T126" s="2"/>
      <c r="U126" s="7"/>
    </row>
    <row r="127" spans="1:21">
      <c r="D127"/>
      <c r="E127" s="23"/>
      <c r="F127" s="20"/>
      <c r="G127" s="27"/>
      <c r="H127" s="27"/>
      <c r="I127" s="27"/>
      <c r="J127" s="20"/>
      <c r="K127" s="31"/>
      <c r="N127" s="1"/>
      <c r="O127" s="3"/>
      <c r="P127" s="2"/>
      <c r="Q127" s="4"/>
      <c r="R127" s="4"/>
      <c r="S127" s="4"/>
      <c r="T127" s="2"/>
      <c r="U127" s="7"/>
    </row>
    <row r="128" spans="1:21">
      <c r="D128"/>
      <c r="E128" s="23"/>
      <c r="F128" s="20"/>
      <c r="G128" s="27"/>
      <c r="H128" s="27"/>
      <c r="I128" s="27"/>
      <c r="J128" s="20"/>
      <c r="K128" s="31"/>
      <c r="N128" s="1"/>
      <c r="O128" s="3"/>
      <c r="P128" s="2"/>
      <c r="Q128" s="4"/>
      <c r="R128" s="4"/>
      <c r="S128" s="4"/>
      <c r="T128" s="2"/>
      <c r="U128" s="7"/>
    </row>
    <row r="129" spans="4:21">
      <c r="E129" s="3" t="s">
        <v>7</v>
      </c>
      <c r="F129" s="2" t="s">
        <v>9</v>
      </c>
      <c r="G129" s="4" t="s">
        <v>9</v>
      </c>
      <c r="H129" s="4" t="s">
        <v>10</v>
      </c>
      <c r="I129" s="4" t="s">
        <v>15</v>
      </c>
      <c r="J129" s="2" t="s">
        <v>16</v>
      </c>
      <c r="N129" s="1"/>
      <c r="O129" s="3"/>
      <c r="P129" s="2"/>
      <c r="Q129" s="4"/>
      <c r="R129" s="4"/>
      <c r="S129" s="4"/>
      <c r="T129" s="2"/>
      <c r="U129" s="7"/>
    </row>
    <row r="130" spans="4:21">
      <c r="D130" s="1" t="s">
        <v>94</v>
      </c>
      <c r="E130" s="3" t="s">
        <v>8</v>
      </c>
      <c r="F130" s="2" t="s">
        <v>13</v>
      </c>
      <c r="G130" s="4" t="s">
        <v>12</v>
      </c>
      <c r="H130" s="4" t="s">
        <v>14</v>
      </c>
      <c r="I130" s="4" t="s">
        <v>10</v>
      </c>
      <c r="J130" s="2" t="s">
        <v>17</v>
      </c>
      <c r="K130" s="8" t="s">
        <v>65</v>
      </c>
      <c r="N130" s="1"/>
      <c r="O130" s="3"/>
      <c r="P130" s="2"/>
      <c r="Q130" s="4"/>
      <c r="R130" s="4"/>
      <c r="S130" s="4"/>
      <c r="T130" s="2"/>
      <c r="U130" s="7"/>
    </row>
    <row r="131" spans="4:21">
      <c r="D131"/>
      <c r="E131" s="23"/>
      <c r="F131" s="20"/>
      <c r="G131" s="27"/>
      <c r="H131" s="27"/>
      <c r="I131" s="27"/>
      <c r="J131" s="20"/>
      <c r="K131" s="31"/>
      <c r="N131" s="1"/>
      <c r="O131" s="3"/>
      <c r="P131" s="2"/>
      <c r="Q131" s="4"/>
      <c r="R131" s="4"/>
      <c r="S131" s="4"/>
      <c r="T131" s="2"/>
      <c r="U131" s="7"/>
    </row>
    <row r="132" spans="4:21">
      <c r="D132" s="1" t="s">
        <v>0</v>
      </c>
      <c r="E132" s="3">
        <f>E8+E11+E14+E17+E20+E23</f>
        <v>28847.626315000001</v>
      </c>
      <c r="F132" s="2">
        <f t="shared" ref="F132:F138" si="0">+G132/E132*100</f>
        <v>11.606402927020167</v>
      </c>
      <c r="G132" s="3">
        <f>G8+G11+G14+G17+G20+G23</f>
        <v>3348.1717450000001</v>
      </c>
      <c r="H132" s="3">
        <f>H8+H11+H14+H17+H20+H23</f>
        <v>697.53789899999992</v>
      </c>
      <c r="I132" s="3">
        <f>I8+I11+I14+I17+I20+I23</f>
        <v>4045.709644</v>
      </c>
      <c r="J132" s="5">
        <f>I132/E132*100</f>
        <v>14.024410881585561</v>
      </c>
      <c r="K132" s="7">
        <f>(J132-F132)/F132</f>
        <v>0.20833396615381813</v>
      </c>
      <c r="N132" s="1"/>
      <c r="O132" s="3"/>
      <c r="P132" s="2"/>
      <c r="Q132" s="4"/>
      <c r="R132" s="4"/>
      <c r="S132" s="4"/>
      <c r="T132" s="2"/>
      <c r="U132" s="7"/>
    </row>
    <row r="133" spans="4:21">
      <c r="D133" s="1" t="s">
        <v>98</v>
      </c>
      <c r="E133" s="3">
        <f>E26+E29+E35+E38+E41+E44+E47+E50+E110+E32</f>
        <v>31968.365512</v>
      </c>
      <c r="F133" s="2">
        <f t="shared" si="0"/>
        <v>10.826173007502868</v>
      </c>
      <c r="G133" s="3">
        <f>G26+G29+G35+G38+G41+G44+G47+G50+G110+G32</f>
        <v>3460.950558</v>
      </c>
      <c r="H133" s="3">
        <f>H26+H29+H35+H38+H41+H44+H47+H50+H110+H32</f>
        <v>1386.612666</v>
      </c>
      <c r="I133" s="3">
        <f>I26+I29+I35+I38+I41+I44+I47+I50+I110+I32</f>
        <v>4847.5632239999995</v>
      </c>
      <c r="J133" s="5">
        <f>I133/E133*100</f>
        <v>15.163625497776433</v>
      </c>
      <c r="K133" s="7">
        <f>(J133-F133)/F133</f>
        <v>0.40064503747239011</v>
      </c>
      <c r="N133" s="1"/>
      <c r="O133" s="3"/>
      <c r="P133" s="2"/>
      <c r="Q133" s="4"/>
      <c r="R133" s="4"/>
      <c r="S133" s="4"/>
      <c r="T133" s="2"/>
      <c r="U133" s="7"/>
    </row>
    <row r="134" spans="4:21">
      <c r="D134" s="1" t="s">
        <v>63</v>
      </c>
      <c r="E134" s="3">
        <f>E74+E77+E80+E83+E86+E89+E95+E98+E101+E104+E107+E92</f>
        <v>3422.8742029999999</v>
      </c>
      <c r="F134" s="2">
        <f t="shared" si="0"/>
        <v>11.907387996987397</v>
      </c>
      <c r="G134" s="3">
        <f>G74+G77+G80+G83+G86+G89+G95+G98+G101+G104+G107+G92</f>
        <v>407.57491199999998</v>
      </c>
      <c r="H134" s="3">
        <f>H74+H77+H80+H83+H86+H89+H95+H98+H101+H104+H107+H92</f>
        <v>77.384169999999997</v>
      </c>
      <c r="I134" s="3">
        <f>I74+I77+I80+I83+I86+I89+I95+I98+I101+I104+I107+I92</f>
        <v>484.95908200000002</v>
      </c>
      <c r="J134" s="5">
        <f>I134/E134*100</f>
        <v>14.168183030943835</v>
      </c>
      <c r="K134" s="7">
        <f>(J134-F134)/F134</f>
        <v>0.18986490022231786</v>
      </c>
      <c r="N134" s="1"/>
      <c r="O134" s="3"/>
      <c r="P134" s="2"/>
      <c r="Q134" s="4"/>
      <c r="R134" s="4"/>
      <c r="S134" s="4"/>
      <c r="T134" s="2"/>
      <c r="U134" s="7"/>
    </row>
    <row r="135" spans="4:21">
      <c r="D135" s="1" t="s">
        <v>99</v>
      </c>
      <c r="E135" s="3">
        <f>E62+E65+E68+E71</f>
        <v>517.65839499999993</v>
      </c>
      <c r="F135" s="2">
        <f t="shared" si="0"/>
        <v>12.543412533665183</v>
      </c>
      <c r="G135" s="3">
        <f>G62+G65+G68+G71</f>
        <v>64.932028000000003</v>
      </c>
      <c r="H135" s="3">
        <f>H62+H65+H68+H71</f>
        <v>22.505094</v>
      </c>
      <c r="I135" s="3">
        <f>I62+I65+I68+I71</f>
        <v>87.437122000000002</v>
      </c>
      <c r="J135" s="5">
        <f>I135/E135*100</f>
        <v>16.890892303601106</v>
      </c>
      <c r="K135" s="7">
        <f>(J135-F135)/F135</f>
        <v>0.34659465741621354</v>
      </c>
      <c r="N135" s="1"/>
      <c r="O135" s="3"/>
      <c r="P135" s="2"/>
      <c r="Q135" s="4"/>
      <c r="R135" s="4"/>
      <c r="S135" s="4"/>
      <c r="T135" s="2"/>
      <c r="U135" s="7"/>
    </row>
    <row r="136" spans="4:21">
      <c r="D136" s="1" t="s">
        <v>66</v>
      </c>
      <c r="E136" s="3">
        <f>E116+E119+E122+E53+E56+E59+E113</f>
        <v>17234.446501999999</v>
      </c>
      <c r="F136" s="2">
        <f t="shared" si="0"/>
        <v>7.1708645175032615</v>
      </c>
      <c r="G136" s="3">
        <f>G116+G119+G122+G53+G56+G59+G113</f>
        <v>1235.8588089999998</v>
      </c>
      <c r="H136" s="3">
        <f>H116+H119+H122+H53+H56+H59+H113</f>
        <v>698.68929300000002</v>
      </c>
      <c r="I136" s="3">
        <f>I116+I119+I122+I53+I56+I59+I113</f>
        <v>1934.548102</v>
      </c>
      <c r="J136" s="5">
        <f>I136/E136*100</f>
        <v>11.224892553268258</v>
      </c>
      <c r="K136" s="7">
        <f>(J136-F136)/F136</f>
        <v>0.56534718036710596</v>
      </c>
      <c r="N136" s="1"/>
      <c r="O136" s="3"/>
      <c r="P136" s="2"/>
      <c r="Q136" s="4"/>
      <c r="R136" s="4"/>
      <c r="S136" s="4"/>
      <c r="T136" s="2"/>
      <c r="U136" s="7"/>
    </row>
    <row r="137" spans="4:21">
      <c r="G137" s="3"/>
      <c r="H137" s="3"/>
      <c r="I137" s="3"/>
      <c r="J137" s="5"/>
      <c r="K137" s="7"/>
      <c r="N137" s="1"/>
      <c r="O137" s="3"/>
      <c r="P137" s="2"/>
      <c r="Q137" s="4"/>
      <c r="R137" s="4"/>
      <c r="S137" s="4"/>
      <c r="T137" s="2"/>
      <c r="U137" s="7"/>
    </row>
    <row r="138" spans="4:21">
      <c r="D138" s="1" t="s">
        <v>47</v>
      </c>
      <c r="E138" s="3">
        <f>SUM(E132:E137)</f>
        <v>81990.970927000002</v>
      </c>
      <c r="F138" s="2">
        <f t="shared" si="0"/>
        <v>10.388324416335399</v>
      </c>
      <c r="G138" s="3">
        <f>SUM(G132:G137)</f>
        <v>8517.4880520000006</v>
      </c>
      <c r="H138" s="3">
        <f>SUM(H132:H137)</f>
        <v>2882.7291219999997</v>
      </c>
      <c r="I138" s="3">
        <f>SUM(I132:I137)</f>
        <v>11400.217173999999</v>
      </c>
      <c r="J138" s="5">
        <f>I138/E138*100</f>
        <v>13.904234875020679</v>
      </c>
      <c r="K138" s="7">
        <f>(J138-F138)/F138</f>
        <v>0.33844827305899228</v>
      </c>
      <c r="N138" s="1"/>
      <c r="O138" s="3"/>
      <c r="P138" s="2"/>
      <c r="Q138" s="4"/>
      <c r="R138" s="4"/>
      <c r="S138" s="4"/>
      <c r="T138" s="2"/>
      <c r="U138" s="7"/>
    </row>
    <row r="139" spans="4:21">
      <c r="D139"/>
      <c r="E139" s="23"/>
      <c r="F139" s="20"/>
      <c r="G139" s="27"/>
      <c r="H139" s="27"/>
      <c r="I139" s="27"/>
      <c r="J139" s="20"/>
      <c r="K139" s="31"/>
      <c r="N139" s="1"/>
      <c r="O139" s="3"/>
      <c r="P139" s="2"/>
      <c r="Q139" s="4"/>
      <c r="R139" s="4"/>
      <c r="S139" s="4"/>
      <c r="T139" s="2"/>
      <c r="U139" s="7"/>
    </row>
    <row r="140" spans="4:21">
      <c r="E140" s="23"/>
      <c r="F140" s="20"/>
      <c r="G140" s="27"/>
      <c r="H140" s="27"/>
      <c r="I140" s="27"/>
      <c r="J140" s="20"/>
      <c r="K140" s="31"/>
      <c r="N140" s="1"/>
      <c r="O140" s="3"/>
      <c r="P140" s="2"/>
      <c r="Q140" s="4"/>
      <c r="R140" s="4"/>
      <c r="S140" s="4"/>
      <c r="T140" s="2"/>
      <c r="U140" s="7"/>
    </row>
    <row r="141" spans="4:21">
      <c r="D141" s="1" t="s">
        <v>144</v>
      </c>
      <c r="E141" s="23">
        <f>E8+E11+E14+E17+E20+E23+E26+E29+E32+E35+E38+E41+E62+E65+E68+E71+E74+E77+E80+E83+E86+E89+E92+E95+E98+E101+E107+E119+E122</f>
        <v>52027.016283999998</v>
      </c>
      <c r="F141" s="2">
        <f>+G141/E141*100</f>
        <v>11.588550248756372</v>
      </c>
      <c r="G141" s="23">
        <f>G8+G11+G14+G17+G20+G23+G26+G29+G32+G35+G38+G41+G62+G65+G68+G71+G74+G77+G80+G83+G86+G89+G92+G95+G98+G101+G107+G119+G122</f>
        <v>6029.1769249999998</v>
      </c>
      <c r="H141" s="23">
        <f>H8+H11+H14+H17+H20+H23+H26+H29+H32+H35+H38+H41+H62+H65+H68+H71+H74+H77+H80+H83+H86+H89+H92+H95+H98+H101+H107+H119+H122</f>
        <v>1712.1382720000004</v>
      </c>
      <c r="I141" s="23">
        <f>I8+I11+I14+I17+I20+I23+I26+I29+I32+I35+I38+I41+I62+I65+I68+I71+I74+I77+I80+I83+I86+I89+I92+I95+I98+I101+I107+I119+I122</f>
        <v>7741.3151970000008</v>
      </c>
      <c r="J141" s="5">
        <f>I141/E141*100</f>
        <v>14.879414100440558</v>
      </c>
      <c r="K141" s="7">
        <f>(J141-F141)/F141</f>
        <v>0.28397545689870446</v>
      </c>
      <c r="N141" s="1"/>
      <c r="O141" s="3"/>
      <c r="P141" s="2"/>
      <c r="Q141" s="4"/>
      <c r="R141" s="4"/>
      <c r="S141" s="4"/>
      <c r="T141" s="2"/>
      <c r="U141" s="7"/>
    </row>
    <row r="142" spans="4:21">
      <c r="D142" s="1" t="s">
        <v>145</v>
      </c>
      <c r="E142" s="23">
        <f>E44+E47+E50+E53+E56+E59+E104+E110+E113+E116</f>
        <v>29963.954642999997</v>
      </c>
      <c r="F142" s="2">
        <f>+G142/E142*100</f>
        <v>8.3043481965131871</v>
      </c>
      <c r="G142" s="23">
        <f>G44+G47+G50+G53+G56+G59+G104+G110+G113+G116</f>
        <v>2488.3111269999999</v>
      </c>
      <c r="H142" s="23">
        <f>H44+H47+H50+H53+H56+H59+H104+H110+H113+H116</f>
        <v>1170.59085</v>
      </c>
      <c r="I142" s="23">
        <f>I44+I47+I50+I53+I56+I59+I104+I110+I113+I116</f>
        <v>3658.9019770000004</v>
      </c>
      <c r="J142" s="5">
        <f>I142/E142*100</f>
        <v>12.211011599080669</v>
      </c>
      <c r="K142" s="7">
        <f>(J142-F142)/F142</f>
        <v>0.47043588613105164</v>
      </c>
      <c r="N142" s="1"/>
      <c r="O142" s="3"/>
      <c r="P142" s="2"/>
      <c r="Q142" s="4"/>
      <c r="R142" s="4"/>
      <c r="S142" s="4"/>
      <c r="T142" s="2"/>
      <c r="U142" s="7"/>
    </row>
    <row r="143" spans="4:21">
      <c r="D143"/>
      <c r="E143" s="23"/>
      <c r="G143" s="23"/>
      <c r="H143" s="23"/>
      <c r="I143" s="23"/>
      <c r="K143" s="31"/>
      <c r="N143" s="1"/>
      <c r="O143" s="3"/>
      <c r="P143" s="2"/>
      <c r="Q143" s="4"/>
      <c r="R143" s="4"/>
      <c r="S143" s="4"/>
      <c r="T143" s="2"/>
      <c r="U143" s="7"/>
    </row>
    <row r="144" spans="4:21">
      <c r="D144" s="1" t="s">
        <v>47</v>
      </c>
      <c r="E144" s="23">
        <f>+E141+E142</f>
        <v>81990.970926999988</v>
      </c>
      <c r="F144" s="2">
        <f>+G144/E144*100</f>
        <v>10.388324416335402</v>
      </c>
      <c r="G144" s="23">
        <f>+G141+G142</f>
        <v>8517.4880520000006</v>
      </c>
      <c r="H144" s="23">
        <f>+H141+H142</f>
        <v>2882.7291220000006</v>
      </c>
      <c r="I144" s="23">
        <f>+I141+I142</f>
        <v>11400.217174000001</v>
      </c>
      <c r="J144" s="5">
        <f>I144/E144*100</f>
        <v>13.904234875020682</v>
      </c>
      <c r="K144" s="7">
        <f>(J144-F144)/F144</f>
        <v>0.33844827305899217</v>
      </c>
      <c r="N144" s="1"/>
      <c r="O144" s="3"/>
      <c r="P144" s="2"/>
      <c r="Q144" s="4"/>
      <c r="R144" s="4"/>
      <c r="S144" s="4"/>
      <c r="T144" s="2"/>
      <c r="U144" s="7"/>
    </row>
    <row r="145" spans="4:21">
      <c r="D145"/>
      <c r="E145" s="23">
        <f>+E144-E138</f>
        <v>0</v>
      </c>
      <c r="F145" s="20"/>
      <c r="G145" s="27"/>
      <c r="H145" s="27"/>
      <c r="I145" s="27"/>
      <c r="J145" s="20"/>
      <c r="K145" s="31"/>
      <c r="N145" s="1"/>
      <c r="O145" s="3"/>
      <c r="P145" s="2"/>
      <c r="Q145" s="4"/>
      <c r="R145" s="4"/>
      <c r="S145" s="4"/>
      <c r="T145" s="2"/>
      <c r="U145" s="7"/>
    </row>
    <row r="146" spans="4:21">
      <c r="D146"/>
      <c r="E146" s="23"/>
      <c r="F146" s="20"/>
      <c r="G146" s="27"/>
      <c r="H146" s="27"/>
      <c r="I146" s="27"/>
      <c r="J146" s="20"/>
      <c r="K146" s="31"/>
      <c r="N146" s="1"/>
      <c r="O146" s="3"/>
      <c r="P146" s="2"/>
      <c r="Q146" s="4"/>
      <c r="R146" s="4"/>
      <c r="S146" s="4"/>
      <c r="T146" s="2"/>
      <c r="U146" s="7"/>
    </row>
  </sheetData>
  <phoneticPr fontId="0" type="noConversion"/>
  <pageMargins left="0.75" right="0.75" top="0.71" bottom="1" header="0.5" footer="0.5"/>
  <pageSetup scale="52" fitToHeight="2" orientation="landscape" verticalDpi="196" r:id="rId1"/>
  <headerFooter alignWithMargins="0">
    <oddFooter>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N140"/>
  <sheetViews>
    <sheetView topLeftCell="A85" zoomScale="80" workbookViewId="0">
      <selection activeCell="E11" sqref="E11"/>
    </sheetView>
  </sheetViews>
  <sheetFormatPr defaultRowHeight="12.75"/>
  <cols>
    <col min="1" max="1" width="21" style="1" customWidth="1"/>
    <col min="2" max="2" width="11.28515625" style="1" customWidth="1"/>
    <col min="3" max="3" width="60.7109375" style="1" customWidth="1"/>
    <col min="4" max="4" width="24" style="1" customWidth="1"/>
    <col min="5" max="5" width="14.140625" style="3" customWidth="1"/>
    <col min="6" max="6" width="13.5703125" style="2" customWidth="1"/>
    <col min="7" max="7" width="14.85546875" style="4" customWidth="1"/>
    <col min="8" max="8" width="17" style="4" customWidth="1"/>
    <col min="9" max="9" width="17" style="6" customWidth="1"/>
    <col min="10" max="10" width="12" style="5" customWidth="1"/>
    <col min="11" max="11" width="17" style="1" customWidth="1"/>
    <col min="12" max="14" width="9.140625" style="1"/>
  </cols>
  <sheetData>
    <row r="2" spans="1:11">
      <c r="E2" s="1" t="s">
        <v>7</v>
      </c>
      <c r="F2" s="2" t="s">
        <v>9</v>
      </c>
      <c r="G2" s="4" t="s">
        <v>9</v>
      </c>
      <c r="H2" s="4" t="s">
        <v>10</v>
      </c>
      <c r="I2" s="6" t="s">
        <v>15</v>
      </c>
      <c r="J2" s="5" t="s">
        <v>16</v>
      </c>
    </row>
    <row r="3" spans="1:11">
      <c r="A3" s="1" t="s">
        <v>96</v>
      </c>
      <c r="B3" s="1" t="s">
        <v>95</v>
      </c>
      <c r="C3" s="1" t="s">
        <v>106</v>
      </c>
      <c r="D3" s="1" t="s">
        <v>94</v>
      </c>
      <c r="E3" s="1" t="s">
        <v>8</v>
      </c>
      <c r="F3" s="2" t="s">
        <v>13</v>
      </c>
      <c r="G3" s="4" t="s">
        <v>12</v>
      </c>
      <c r="H3" s="4" t="s">
        <v>14</v>
      </c>
      <c r="I3" s="6" t="s">
        <v>10</v>
      </c>
      <c r="J3" s="5" t="s">
        <v>17</v>
      </c>
      <c r="K3" s="1" t="s">
        <v>65</v>
      </c>
    </row>
    <row r="5" spans="1:11">
      <c r="A5" s="1" t="s">
        <v>0</v>
      </c>
      <c r="B5" s="1" t="s">
        <v>20</v>
      </c>
      <c r="D5" s="1" t="s">
        <v>2</v>
      </c>
      <c r="E5" s="3">
        <v>12138</v>
      </c>
      <c r="F5" s="2">
        <v>13.01</v>
      </c>
      <c r="G5" s="4">
        <f>+E5*F5/100</f>
        <v>1579.1538</v>
      </c>
      <c r="H5" s="4">
        <f>+I5-G5</f>
        <v>0</v>
      </c>
      <c r="I5" s="6">
        <f>+E5*J5/100</f>
        <v>1579.1538</v>
      </c>
      <c r="J5" s="5">
        <v>13.01</v>
      </c>
    </row>
    <row r="6" spans="1:11">
      <c r="A6" s="1" t="s">
        <v>0</v>
      </c>
      <c r="B6" s="1" t="s">
        <v>20</v>
      </c>
      <c r="D6" s="1" t="s">
        <v>3</v>
      </c>
      <c r="E6" s="3">
        <v>2434</v>
      </c>
      <c r="F6" s="2">
        <v>15.16</v>
      </c>
      <c r="G6" s="4">
        <f>+E6*F6/100</f>
        <v>368.99440000000004</v>
      </c>
      <c r="H6" s="4">
        <f>+I6-G6</f>
        <v>0</v>
      </c>
      <c r="I6" s="6">
        <f>+E6*J6/100</f>
        <v>368.99440000000004</v>
      </c>
      <c r="J6" s="5">
        <v>15.16</v>
      </c>
    </row>
    <row r="7" spans="1:11">
      <c r="A7" s="1" t="s">
        <v>0</v>
      </c>
      <c r="B7" s="1" t="s">
        <v>20</v>
      </c>
      <c r="D7" s="1" t="s">
        <v>4</v>
      </c>
      <c r="E7" s="3">
        <v>3594</v>
      </c>
      <c r="F7" s="2">
        <v>15.16</v>
      </c>
      <c r="G7" s="4">
        <f>+E7*F7/100</f>
        <v>544.85040000000004</v>
      </c>
      <c r="H7" s="4">
        <f>+I7-G7</f>
        <v>186.5286000000001</v>
      </c>
      <c r="I7" s="6">
        <f>+E7*J7/100</f>
        <v>731.37900000000013</v>
      </c>
      <c r="J7" s="5">
        <v>20.350000000000001</v>
      </c>
    </row>
    <row r="8" spans="1:11">
      <c r="A8" s="1" t="s">
        <v>0</v>
      </c>
      <c r="B8" s="1" t="s">
        <v>20</v>
      </c>
      <c r="D8" s="1" t="s">
        <v>6</v>
      </c>
      <c r="E8" s="3">
        <v>4200</v>
      </c>
      <c r="F8" s="2">
        <v>15.16</v>
      </c>
      <c r="G8" s="4">
        <f>+E8*F8/100</f>
        <v>636.72</v>
      </c>
      <c r="H8" s="4">
        <f>+I8-G8</f>
        <v>435.53999999999996</v>
      </c>
      <c r="I8" s="6">
        <f>+E8*J8/100</f>
        <v>1072.26</v>
      </c>
      <c r="J8" s="5">
        <v>25.53</v>
      </c>
    </row>
    <row r="9" spans="1:11">
      <c r="A9" s="1" t="s">
        <v>0</v>
      </c>
      <c r="B9" s="1" t="s">
        <v>20</v>
      </c>
      <c r="D9" s="1" t="s">
        <v>5</v>
      </c>
      <c r="G9" s="4">
        <v>-290.60000000000002</v>
      </c>
      <c r="H9" s="4">
        <f>+I9-G9</f>
        <v>4.9000000000000341</v>
      </c>
      <c r="I9" s="6">
        <v>-285.7</v>
      </c>
    </row>
    <row r="11" spans="1:11">
      <c r="A11" s="1" t="s">
        <v>11</v>
      </c>
      <c r="E11" s="3">
        <v>22261.8</v>
      </c>
      <c r="F11" s="2">
        <f>+G11/E11*100</f>
        <v>14.177200406076778</v>
      </c>
      <c r="G11" s="4">
        <v>3156.1</v>
      </c>
      <c r="H11" s="4">
        <v>590.5</v>
      </c>
      <c r="I11" s="6">
        <v>3746.6</v>
      </c>
      <c r="K11" s="7">
        <f>+H11/G11</f>
        <v>0.18709800069706284</v>
      </c>
    </row>
    <row r="14" spans="1:11">
      <c r="A14" s="1" t="s">
        <v>0</v>
      </c>
      <c r="B14" s="1" t="s">
        <v>18</v>
      </c>
      <c r="C14" s="1" t="s">
        <v>107</v>
      </c>
      <c r="D14" s="1" t="s">
        <v>2</v>
      </c>
      <c r="E14" s="3">
        <v>1510</v>
      </c>
      <c r="F14" s="2">
        <v>10.14</v>
      </c>
      <c r="G14" s="4">
        <f>+E14*F14/100</f>
        <v>153.114</v>
      </c>
      <c r="H14" s="4">
        <f>+I14-G14</f>
        <v>0</v>
      </c>
      <c r="I14" s="6">
        <f>+E14*J14/100</f>
        <v>153.114</v>
      </c>
      <c r="J14" s="5">
        <v>10.14</v>
      </c>
    </row>
    <row r="15" spans="1:11">
      <c r="A15" s="1" t="s">
        <v>0</v>
      </c>
      <c r="B15" s="1" t="s">
        <v>18</v>
      </c>
      <c r="C15" s="1" t="s">
        <v>107</v>
      </c>
      <c r="D15" s="1" t="s">
        <v>3</v>
      </c>
      <c r="E15" s="3">
        <v>303</v>
      </c>
      <c r="F15" s="2">
        <v>11.97</v>
      </c>
      <c r="G15" s="4">
        <f>+E15*F15/100</f>
        <v>36.269100000000002</v>
      </c>
      <c r="H15" s="4">
        <f>+I15-G15</f>
        <v>0</v>
      </c>
      <c r="I15" s="6">
        <f>+E15*J15/100</f>
        <v>36.269100000000002</v>
      </c>
      <c r="J15" s="5">
        <v>11.97</v>
      </c>
    </row>
    <row r="16" spans="1:11">
      <c r="A16" s="1" t="s">
        <v>0</v>
      </c>
      <c r="B16" s="1" t="s">
        <v>18</v>
      </c>
      <c r="C16" s="1" t="s">
        <v>107</v>
      </c>
      <c r="D16" s="1" t="s">
        <v>4</v>
      </c>
      <c r="E16" s="3">
        <v>447</v>
      </c>
      <c r="F16" s="2">
        <v>11.97</v>
      </c>
      <c r="G16" s="4">
        <f>+E16*F16/100</f>
        <v>53.505900000000004</v>
      </c>
      <c r="H16" s="4">
        <f>+I16-G16</f>
        <v>0</v>
      </c>
      <c r="I16" s="6">
        <f>+E16*J16/100</f>
        <v>53.505900000000004</v>
      </c>
      <c r="J16" s="5">
        <v>11.97</v>
      </c>
    </row>
    <row r="17" spans="1:11">
      <c r="A17" s="1" t="s">
        <v>0</v>
      </c>
      <c r="B17" s="1" t="s">
        <v>18</v>
      </c>
      <c r="C17" s="1" t="s">
        <v>107</v>
      </c>
      <c r="D17" s="1" t="s">
        <v>6</v>
      </c>
      <c r="E17" s="3">
        <v>523</v>
      </c>
      <c r="F17" s="2">
        <v>11.97</v>
      </c>
      <c r="G17" s="4">
        <f>+E17*F17/100</f>
        <v>62.603100000000005</v>
      </c>
      <c r="H17" s="4">
        <f>+I17-G17</f>
        <v>36.453099999999999</v>
      </c>
      <c r="I17" s="6">
        <f>+E17*J17/100</f>
        <v>99.056200000000004</v>
      </c>
      <c r="J17" s="5">
        <v>18.940000000000001</v>
      </c>
    </row>
    <row r="18" spans="1:11">
      <c r="A18" s="1" t="s">
        <v>0</v>
      </c>
      <c r="B18" s="1" t="s">
        <v>18</v>
      </c>
      <c r="C18" s="1" t="s">
        <v>107</v>
      </c>
      <c r="D18" s="1" t="s">
        <v>5</v>
      </c>
      <c r="G18" s="4">
        <v>-30.5</v>
      </c>
      <c r="H18" s="4">
        <f>+I18-G18</f>
        <v>-3.7000000000000028</v>
      </c>
      <c r="I18" s="6">
        <v>-34.200000000000003</v>
      </c>
    </row>
    <row r="20" spans="1:11">
      <c r="A20" s="1" t="s">
        <v>19</v>
      </c>
      <c r="E20" s="3">
        <v>2656.5</v>
      </c>
      <c r="F20" s="2">
        <f>+G20/E20*100</f>
        <v>10.87521174477696</v>
      </c>
      <c r="G20" s="4">
        <v>288.89999999999998</v>
      </c>
      <c r="H20" s="4">
        <v>0</v>
      </c>
      <c r="I20" s="6">
        <v>288.89999999999998</v>
      </c>
      <c r="K20" s="7">
        <f>+H20/G20</f>
        <v>0</v>
      </c>
    </row>
    <row r="23" spans="1:11">
      <c r="A23" s="1" t="s">
        <v>21</v>
      </c>
      <c r="B23" s="1" t="s">
        <v>27</v>
      </c>
      <c r="C23" s="1" t="s">
        <v>114</v>
      </c>
      <c r="D23" s="1" t="s">
        <v>22</v>
      </c>
      <c r="E23" s="3">
        <v>0</v>
      </c>
      <c r="F23" s="2">
        <v>0</v>
      </c>
      <c r="G23" s="4">
        <v>75.099999999999994</v>
      </c>
      <c r="H23" s="4">
        <f t="shared" ref="H23:H28" si="0">+I23-G23</f>
        <v>0</v>
      </c>
      <c r="I23" s="6">
        <v>75.099999999999994</v>
      </c>
      <c r="J23" s="5">
        <v>0</v>
      </c>
    </row>
    <row r="24" spans="1:11">
      <c r="A24" s="1" t="s">
        <v>21</v>
      </c>
      <c r="B24" s="1" t="s">
        <v>27</v>
      </c>
      <c r="C24" s="1" t="s">
        <v>114</v>
      </c>
      <c r="D24" s="1" t="s">
        <v>23</v>
      </c>
      <c r="E24" s="3">
        <v>989</v>
      </c>
      <c r="F24" s="2">
        <v>11.76</v>
      </c>
      <c r="G24" s="4">
        <f>+E24*F24/100</f>
        <v>116.3064</v>
      </c>
      <c r="H24" s="4">
        <f t="shared" si="0"/>
        <v>37.087500000000006</v>
      </c>
      <c r="I24" s="6">
        <f>+E24*J24/100</f>
        <v>153.3939</v>
      </c>
      <c r="J24" s="5">
        <v>15.51</v>
      </c>
    </row>
    <row r="25" spans="1:11">
      <c r="A25" s="1" t="s">
        <v>21</v>
      </c>
      <c r="B25" s="1" t="s">
        <v>27</v>
      </c>
      <c r="C25" s="1" t="s">
        <v>114</v>
      </c>
      <c r="D25" s="1" t="s">
        <v>24</v>
      </c>
      <c r="E25" s="3">
        <v>809</v>
      </c>
      <c r="F25" s="2">
        <v>11.76</v>
      </c>
      <c r="G25" s="4">
        <f>+E25*F25/100</f>
        <v>95.138400000000004</v>
      </c>
      <c r="H25" s="4">
        <f t="shared" si="0"/>
        <v>71.596499999999978</v>
      </c>
      <c r="I25" s="6">
        <f>+E25*J25/100</f>
        <v>166.73489999999998</v>
      </c>
      <c r="J25" s="5">
        <v>20.61</v>
      </c>
    </row>
    <row r="26" spans="1:11">
      <c r="A26" s="1" t="s">
        <v>21</v>
      </c>
      <c r="B26" s="1" t="s">
        <v>27</v>
      </c>
      <c r="C26" s="1" t="s">
        <v>114</v>
      </c>
      <c r="D26" s="1" t="s">
        <v>25</v>
      </c>
      <c r="E26" s="3">
        <v>1730</v>
      </c>
      <c r="F26" s="2">
        <v>11.76</v>
      </c>
      <c r="G26" s="4">
        <f>+E26*F26/100</f>
        <v>203.44799999999998</v>
      </c>
      <c r="H26" s="4">
        <f t="shared" si="0"/>
        <v>28.890999999999991</v>
      </c>
      <c r="I26" s="6">
        <f>+E26*J26/100</f>
        <v>232.33899999999997</v>
      </c>
      <c r="J26" s="5">
        <v>13.43</v>
      </c>
    </row>
    <row r="27" spans="1:11">
      <c r="A27" s="1" t="s">
        <v>21</v>
      </c>
      <c r="B27" s="1" t="s">
        <v>27</v>
      </c>
      <c r="C27" s="1" t="s">
        <v>114</v>
      </c>
      <c r="D27" s="1" t="s">
        <v>26</v>
      </c>
      <c r="E27" s="3">
        <v>1416</v>
      </c>
      <c r="F27" s="2">
        <v>11.76</v>
      </c>
      <c r="G27" s="4">
        <f>+E27*F27/100</f>
        <v>166.52160000000001</v>
      </c>
      <c r="H27" s="4">
        <f t="shared" si="0"/>
        <v>41.347200000000015</v>
      </c>
      <c r="I27" s="6">
        <f>+E27*J27/100</f>
        <v>207.86880000000002</v>
      </c>
      <c r="J27" s="5">
        <v>14.68</v>
      </c>
    </row>
    <row r="28" spans="1:11">
      <c r="A28" s="1" t="s">
        <v>21</v>
      </c>
      <c r="B28" s="1" t="s">
        <v>27</v>
      </c>
      <c r="C28" s="1" t="s">
        <v>114</v>
      </c>
      <c r="D28" s="1" t="s">
        <v>5</v>
      </c>
      <c r="G28" s="4">
        <v>-65.599999999999994</v>
      </c>
      <c r="H28" s="4">
        <f t="shared" si="0"/>
        <v>1.7999999999999972</v>
      </c>
      <c r="I28" s="6">
        <v>-63.8</v>
      </c>
    </row>
    <row r="30" spans="1:11">
      <c r="A30" s="1" t="s">
        <v>274</v>
      </c>
      <c r="E30" s="3">
        <f>4952+186.2</f>
        <v>5138.2</v>
      </c>
      <c r="F30" s="2">
        <f>+G30/E30*100</f>
        <v>14.057452026001323</v>
      </c>
      <c r="G30" s="4">
        <f>706.7+15.6</f>
        <v>722.30000000000007</v>
      </c>
      <c r="H30" s="4">
        <f>202.8+7.6</f>
        <v>210.4</v>
      </c>
      <c r="I30" s="6">
        <f>909.5+23.2</f>
        <v>932.7</v>
      </c>
      <c r="K30" s="7">
        <f>+H30/G30</f>
        <v>0.29129170704693341</v>
      </c>
    </row>
    <row r="33" spans="1:11">
      <c r="A33" s="1" t="s">
        <v>21</v>
      </c>
      <c r="B33" s="1" t="s">
        <v>28</v>
      </c>
      <c r="C33" s="1" t="s">
        <v>115</v>
      </c>
      <c r="D33" s="1" t="s">
        <v>22</v>
      </c>
      <c r="E33" s="3">
        <v>0</v>
      </c>
      <c r="F33" s="2">
        <v>0</v>
      </c>
      <c r="G33" s="4">
        <v>579.5</v>
      </c>
      <c r="H33" s="4">
        <f>+I33-G33</f>
        <v>0</v>
      </c>
      <c r="I33" s="6">
        <v>579.5</v>
      </c>
      <c r="J33" s="5">
        <v>0</v>
      </c>
    </row>
    <row r="34" spans="1:11">
      <c r="A34" s="1" t="s">
        <v>21</v>
      </c>
      <c r="B34" s="1" t="s">
        <v>28</v>
      </c>
      <c r="C34" s="1" t="s">
        <v>115</v>
      </c>
      <c r="D34" s="1" t="s">
        <v>29</v>
      </c>
      <c r="E34" s="3">
        <v>6988</v>
      </c>
      <c r="F34" s="2">
        <v>7.69</v>
      </c>
      <c r="G34" s="4">
        <f>+E34*F34/100</f>
        <v>537.37720000000002</v>
      </c>
      <c r="H34" s="4">
        <f>+I34-G34</f>
        <v>204.74839999999995</v>
      </c>
      <c r="I34" s="6">
        <f>+E34*J34/100</f>
        <v>742.12559999999996</v>
      </c>
      <c r="J34" s="5">
        <v>10.62</v>
      </c>
    </row>
    <row r="35" spans="1:11">
      <c r="A35" s="1" t="s">
        <v>21</v>
      </c>
      <c r="B35" s="1" t="s">
        <v>28</v>
      </c>
      <c r="C35" s="1" t="s">
        <v>115</v>
      </c>
      <c r="D35" s="1" t="s">
        <v>30</v>
      </c>
      <c r="E35" s="3">
        <v>1842</v>
      </c>
      <c r="F35" s="2">
        <v>4.3899999999999997</v>
      </c>
      <c r="G35" s="4">
        <f>+E35*F35/100</f>
        <v>80.863799999999998</v>
      </c>
      <c r="H35" s="4">
        <f>+I35-G35</f>
        <v>331.92840000000001</v>
      </c>
      <c r="I35" s="6">
        <f>+E35*J35/100</f>
        <v>412.79220000000004</v>
      </c>
      <c r="J35" s="5">
        <v>22.41</v>
      </c>
    </row>
    <row r="36" spans="1:11">
      <c r="A36" s="1" t="s">
        <v>21</v>
      </c>
      <c r="B36" s="1" t="s">
        <v>28</v>
      </c>
      <c r="C36" s="1" t="s">
        <v>115</v>
      </c>
      <c r="D36" s="1" t="s">
        <v>31</v>
      </c>
      <c r="E36" s="3">
        <v>12542</v>
      </c>
      <c r="F36" s="2">
        <v>7.69</v>
      </c>
      <c r="G36" s="4">
        <f>+E36*F36/100</f>
        <v>964.47980000000007</v>
      </c>
      <c r="H36" s="4">
        <f>+I36-G36</f>
        <v>183.11320000000001</v>
      </c>
      <c r="I36" s="6">
        <f>+E36*J36/100</f>
        <v>1147.5930000000001</v>
      </c>
      <c r="J36" s="5">
        <v>9.15</v>
      </c>
    </row>
    <row r="37" spans="1:11">
      <c r="A37" s="1" t="s">
        <v>21</v>
      </c>
      <c r="B37" s="1" t="s">
        <v>28</v>
      </c>
      <c r="C37" s="1" t="s">
        <v>115</v>
      </c>
      <c r="D37" s="1" t="s">
        <v>32</v>
      </c>
      <c r="E37" s="3">
        <v>3054</v>
      </c>
      <c r="F37" s="2">
        <v>4.3899999999999997</v>
      </c>
      <c r="G37" s="4">
        <f>+E37*F37/100</f>
        <v>134.07059999999998</v>
      </c>
      <c r="H37" s="4">
        <f>+I37-G37</f>
        <v>164.91599999999997</v>
      </c>
      <c r="I37" s="6">
        <f>+E37*J37/100</f>
        <v>298.98659999999995</v>
      </c>
      <c r="J37" s="5">
        <v>9.7899999999999991</v>
      </c>
    </row>
    <row r="39" spans="1:11">
      <c r="A39" s="1" t="s">
        <v>48</v>
      </c>
      <c r="E39" s="3">
        <v>24468.1</v>
      </c>
      <c r="F39" s="2">
        <f>+G39/E39*100</f>
        <v>11.01679329412582</v>
      </c>
      <c r="G39" s="4">
        <v>2695.6</v>
      </c>
      <c r="H39" s="4">
        <v>1002.1</v>
      </c>
      <c r="I39" s="6">
        <v>3697.7</v>
      </c>
      <c r="K39" s="7">
        <f>+H39/G39</f>
        <v>0.37175396943166644</v>
      </c>
    </row>
    <row r="42" spans="1:11">
      <c r="A42" s="1" t="s">
        <v>21</v>
      </c>
      <c r="B42" s="1" t="s">
        <v>33</v>
      </c>
      <c r="C42" s="1" t="s">
        <v>116</v>
      </c>
      <c r="D42" s="1" t="s">
        <v>22</v>
      </c>
      <c r="E42" s="3">
        <v>0</v>
      </c>
      <c r="F42" s="2">
        <v>0</v>
      </c>
      <c r="G42" s="4">
        <v>19.7</v>
      </c>
      <c r="H42" s="4">
        <f>+I42-G42</f>
        <v>0</v>
      </c>
      <c r="I42" s="6">
        <v>19.7</v>
      </c>
      <c r="J42" s="5">
        <v>0</v>
      </c>
    </row>
    <row r="43" spans="1:11">
      <c r="A43" s="1" t="s">
        <v>21</v>
      </c>
      <c r="B43" s="1" t="s">
        <v>33</v>
      </c>
      <c r="C43" s="1" t="s">
        <v>116</v>
      </c>
      <c r="D43" s="1" t="s">
        <v>34</v>
      </c>
      <c r="E43" s="3">
        <v>723</v>
      </c>
      <c r="F43" s="2">
        <v>8.26</v>
      </c>
      <c r="G43" s="4">
        <f>+E43*F43/100</f>
        <v>59.719799999999992</v>
      </c>
      <c r="H43" s="4">
        <f>+I43-G43</f>
        <v>28.92</v>
      </c>
      <c r="I43" s="6">
        <f>+E43*J43/100</f>
        <v>88.639799999999994</v>
      </c>
      <c r="J43" s="5">
        <v>12.26</v>
      </c>
    </row>
    <row r="44" spans="1:11">
      <c r="A44" s="1" t="s">
        <v>21</v>
      </c>
      <c r="B44" s="1" t="s">
        <v>33</v>
      </c>
      <c r="C44" s="1" t="s">
        <v>116</v>
      </c>
      <c r="D44" s="1" t="s">
        <v>35</v>
      </c>
      <c r="E44" s="3">
        <v>41</v>
      </c>
      <c r="F44" s="2">
        <v>11.55</v>
      </c>
      <c r="G44" s="4">
        <f>+E44*F44/100</f>
        <v>4.7355</v>
      </c>
      <c r="H44" s="4">
        <f>+I44-G44</f>
        <v>2.0500000000000007</v>
      </c>
      <c r="I44" s="6">
        <f>+E44*J44/100</f>
        <v>6.7855000000000008</v>
      </c>
      <c r="J44" s="5">
        <v>16.55</v>
      </c>
    </row>
    <row r="46" spans="1:11">
      <c r="A46" s="1" t="s">
        <v>49</v>
      </c>
      <c r="E46" s="3">
        <v>765.4</v>
      </c>
      <c r="F46" s="2">
        <f>+G46/E46*100</f>
        <v>11.196759864123335</v>
      </c>
      <c r="G46" s="4">
        <v>85.7</v>
      </c>
      <c r="H46" s="4">
        <v>31.3</v>
      </c>
      <c r="I46" s="6">
        <v>117</v>
      </c>
      <c r="K46" s="7">
        <f>+H46/G46</f>
        <v>0.36522753792298718</v>
      </c>
    </row>
    <row r="49" spans="1:11">
      <c r="A49" s="1" t="s">
        <v>66</v>
      </c>
      <c r="B49" s="1" t="s">
        <v>36</v>
      </c>
      <c r="C49" s="1" t="s">
        <v>112</v>
      </c>
      <c r="D49" s="1" t="s">
        <v>22</v>
      </c>
      <c r="E49" s="3">
        <v>0</v>
      </c>
      <c r="F49" s="2">
        <v>0</v>
      </c>
      <c r="G49" s="4">
        <v>131.1</v>
      </c>
      <c r="H49" s="4">
        <f>+I49-G49</f>
        <v>0</v>
      </c>
      <c r="I49" s="6">
        <v>131.1</v>
      </c>
      <c r="J49" s="5">
        <v>0</v>
      </c>
    </row>
    <row r="50" spans="1:11">
      <c r="A50" s="1" t="s">
        <v>66</v>
      </c>
      <c r="B50" s="1" t="s">
        <v>36</v>
      </c>
      <c r="C50" s="1" t="s">
        <v>112</v>
      </c>
      <c r="D50" s="1" t="s">
        <v>34</v>
      </c>
      <c r="E50" s="3">
        <v>7889</v>
      </c>
      <c r="F50" s="2">
        <v>8.17</v>
      </c>
      <c r="G50" s="4">
        <f>+E50*F50/100</f>
        <v>644.53129999999999</v>
      </c>
      <c r="H50" s="4">
        <f>+I50-G50</f>
        <v>315.56000000000006</v>
      </c>
      <c r="I50" s="6">
        <f>+E50*J50/100</f>
        <v>960.09130000000005</v>
      </c>
      <c r="J50" s="5">
        <v>12.17</v>
      </c>
    </row>
    <row r="51" spans="1:11">
      <c r="A51" s="1" t="s">
        <v>66</v>
      </c>
      <c r="B51" s="1" t="s">
        <v>36</v>
      </c>
      <c r="C51" s="1" t="s">
        <v>112</v>
      </c>
      <c r="D51" s="1" t="s">
        <v>35</v>
      </c>
      <c r="E51" s="3">
        <v>694</v>
      </c>
      <c r="F51" s="2">
        <v>9.49</v>
      </c>
      <c r="G51" s="4">
        <f>+E51*F51/100</f>
        <v>65.860600000000005</v>
      </c>
      <c r="H51" s="4">
        <f>+I51-G51</f>
        <v>34.699999999999989</v>
      </c>
      <c r="I51" s="6">
        <f>+E51*J51/100</f>
        <v>100.56059999999999</v>
      </c>
      <c r="J51" s="5">
        <v>14.49</v>
      </c>
    </row>
    <row r="53" spans="1:11">
      <c r="A53" s="1" t="s">
        <v>50</v>
      </c>
      <c r="E53" s="3">
        <v>8890.5</v>
      </c>
      <c r="F53" s="2">
        <f>+G53/E53*100</f>
        <v>9.9893144367583382</v>
      </c>
      <c r="G53" s="4">
        <v>888.1</v>
      </c>
      <c r="H53" s="4">
        <v>377.8</v>
      </c>
      <c r="I53" s="6">
        <v>1265.9000000000001</v>
      </c>
      <c r="K53" s="7">
        <f>+H53/G53</f>
        <v>0.42540254475847317</v>
      </c>
    </row>
    <row r="56" spans="1:11">
      <c r="A56" s="1" t="s">
        <v>66</v>
      </c>
      <c r="B56" s="1" t="s">
        <v>37</v>
      </c>
      <c r="C56" s="1" t="s">
        <v>113</v>
      </c>
      <c r="D56" s="1" t="s">
        <v>22</v>
      </c>
      <c r="E56" s="3">
        <v>0</v>
      </c>
      <c r="F56" s="2">
        <v>0</v>
      </c>
      <c r="G56" s="4">
        <v>123</v>
      </c>
      <c r="H56" s="4">
        <f>+I56-G56</f>
        <v>0</v>
      </c>
      <c r="I56" s="6">
        <v>123</v>
      </c>
      <c r="J56" s="5">
        <v>0</v>
      </c>
    </row>
    <row r="57" spans="1:11">
      <c r="A57" s="1" t="s">
        <v>66</v>
      </c>
      <c r="B57" s="1" t="s">
        <v>37</v>
      </c>
      <c r="C57" s="1" t="s">
        <v>113</v>
      </c>
      <c r="D57" s="1" t="s">
        <v>34</v>
      </c>
      <c r="E57" s="3">
        <v>6847</v>
      </c>
      <c r="F57" s="2">
        <v>7.01</v>
      </c>
      <c r="G57" s="4">
        <f>+E57*F57/100</f>
        <v>479.97469999999998</v>
      </c>
      <c r="H57" s="4">
        <f>+I57-G57</f>
        <v>273.88</v>
      </c>
      <c r="I57" s="6">
        <f>+E57*J57/100</f>
        <v>753.85469999999998</v>
      </c>
      <c r="J57" s="5">
        <v>11.01</v>
      </c>
    </row>
    <row r="58" spans="1:11">
      <c r="A58" s="1" t="s">
        <v>66</v>
      </c>
      <c r="B58" s="1" t="s">
        <v>37</v>
      </c>
      <c r="C58" s="1" t="s">
        <v>113</v>
      </c>
      <c r="D58" s="1" t="s">
        <v>35</v>
      </c>
      <c r="E58" s="3">
        <v>513</v>
      </c>
      <c r="F58" s="2">
        <v>9.42</v>
      </c>
      <c r="G58" s="4">
        <f>+E58*F58/100</f>
        <v>48.324600000000004</v>
      </c>
      <c r="H58" s="4">
        <f>+I58-G58</f>
        <v>25.701300000000003</v>
      </c>
      <c r="I58" s="6">
        <f>+E58*J58/100</f>
        <v>74.025900000000007</v>
      </c>
      <c r="J58" s="5">
        <v>14.43</v>
      </c>
    </row>
    <row r="60" spans="1:11">
      <c r="A60" s="1" t="s">
        <v>51</v>
      </c>
      <c r="E60" s="3">
        <v>7623.3</v>
      </c>
      <c r="F60" s="2">
        <f>+G60/E60*100</f>
        <v>9.170569176078601</v>
      </c>
      <c r="G60" s="4">
        <v>699.1</v>
      </c>
      <c r="H60" s="4">
        <v>323.89999999999998</v>
      </c>
      <c r="I60" s="6">
        <v>1023</v>
      </c>
      <c r="K60" s="7">
        <f>+H60/G60</f>
        <v>0.46330996996137885</v>
      </c>
    </row>
    <row r="63" spans="1:11">
      <c r="A63" s="1" t="s">
        <v>66</v>
      </c>
      <c r="B63" s="1" t="s">
        <v>38</v>
      </c>
      <c r="C63" s="1" t="s">
        <v>113</v>
      </c>
      <c r="D63" s="1" t="s">
        <v>22</v>
      </c>
      <c r="E63" s="3">
        <v>0</v>
      </c>
      <c r="F63" s="2">
        <v>0</v>
      </c>
      <c r="G63" s="4">
        <v>46.8</v>
      </c>
      <c r="H63" s="4">
        <f>+I63-G63</f>
        <v>0</v>
      </c>
      <c r="I63" s="6">
        <v>46.8</v>
      </c>
      <c r="J63" s="5">
        <v>0</v>
      </c>
    </row>
    <row r="64" spans="1:11">
      <c r="A64" s="1" t="s">
        <v>66</v>
      </c>
      <c r="B64" s="1" t="s">
        <v>38</v>
      </c>
      <c r="C64" s="1" t="s">
        <v>113</v>
      </c>
      <c r="D64" s="1" t="s">
        <v>34</v>
      </c>
      <c r="E64" s="3">
        <v>7618</v>
      </c>
      <c r="F64" s="2">
        <v>5.0599999999999996</v>
      </c>
      <c r="G64" s="4">
        <f>+E64*F64/100</f>
        <v>385.47079999999994</v>
      </c>
      <c r="H64" s="4">
        <f>+I64-G64</f>
        <v>303.19639999999993</v>
      </c>
      <c r="I64" s="6">
        <f>+E64*J64/100</f>
        <v>688.66719999999987</v>
      </c>
      <c r="J64" s="5">
        <v>9.0399999999999991</v>
      </c>
    </row>
    <row r="65" spans="1:11">
      <c r="A65" s="1" t="s">
        <v>66</v>
      </c>
      <c r="B65" s="1" t="s">
        <v>38</v>
      </c>
      <c r="C65" s="1" t="s">
        <v>113</v>
      </c>
      <c r="D65" s="1" t="s">
        <v>35</v>
      </c>
      <c r="E65" s="3">
        <v>425</v>
      </c>
      <c r="F65" s="2">
        <v>7.4</v>
      </c>
      <c r="G65" s="4">
        <f>+E65*F65/100</f>
        <v>31.45</v>
      </c>
      <c r="H65" s="4">
        <f>+I65-G65</f>
        <v>23.12</v>
      </c>
      <c r="I65" s="6">
        <f>+E65*J65/100</f>
        <v>54.57</v>
      </c>
      <c r="J65" s="5">
        <v>12.84</v>
      </c>
    </row>
    <row r="67" spans="1:11">
      <c r="A67" s="1" t="s">
        <v>100</v>
      </c>
      <c r="E67" s="3">
        <v>8331.1</v>
      </c>
      <c r="F67" s="2">
        <f>+G67/E67*100</f>
        <v>6.6869921138865207</v>
      </c>
      <c r="G67" s="4">
        <v>557.1</v>
      </c>
      <c r="H67" s="4">
        <v>354</v>
      </c>
      <c r="I67" s="6">
        <v>911.1</v>
      </c>
      <c r="K67" s="7">
        <f>+H67/G67</f>
        <v>0.63543349488422185</v>
      </c>
    </row>
    <row r="70" spans="1:11">
      <c r="A70" s="1" t="s">
        <v>39</v>
      </c>
      <c r="B70" s="1" t="s">
        <v>40</v>
      </c>
      <c r="C70" s="1" t="s">
        <v>133</v>
      </c>
      <c r="D70" s="1" t="s">
        <v>22</v>
      </c>
      <c r="E70" s="3">
        <v>0</v>
      </c>
      <c r="F70" s="2">
        <v>0</v>
      </c>
      <c r="G70" s="4">
        <v>30.6</v>
      </c>
      <c r="H70" s="4">
        <f>+I70-G70</f>
        <v>0</v>
      </c>
      <c r="I70" s="6">
        <v>30.6</v>
      </c>
      <c r="J70" s="5">
        <v>0</v>
      </c>
    </row>
    <row r="71" spans="1:11">
      <c r="A71" s="1" t="s">
        <v>39</v>
      </c>
      <c r="B71" s="1" t="s">
        <v>40</v>
      </c>
      <c r="C71" s="1" t="s">
        <v>133</v>
      </c>
      <c r="D71" s="1" t="s">
        <v>23</v>
      </c>
      <c r="E71" s="3">
        <v>176</v>
      </c>
      <c r="F71" s="2">
        <v>9.17</v>
      </c>
      <c r="G71" s="4">
        <f>+E71*F71/100</f>
        <v>16.139200000000002</v>
      </c>
      <c r="H71" s="4">
        <f>+I71-G71</f>
        <v>6.3711999999999982</v>
      </c>
      <c r="I71" s="6">
        <f>+E71*J71/100</f>
        <v>22.510400000000001</v>
      </c>
      <c r="J71" s="5">
        <v>12.79</v>
      </c>
    </row>
    <row r="72" spans="1:11">
      <c r="A72" s="1" t="s">
        <v>39</v>
      </c>
      <c r="B72" s="1" t="s">
        <v>40</v>
      </c>
      <c r="C72" s="1" t="s">
        <v>133</v>
      </c>
      <c r="D72" s="1" t="s">
        <v>24</v>
      </c>
      <c r="E72" s="3">
        <v>144</v>
      </c>
      <c r="F72" s="2">
        <v>9.17</v>
      </c>
      <c r="G72" s="4">
        <f>+E72*F72/100</f>
        <v>13.204800000000001</v>
      </c>
      <c r="H72" s="4">
        <f>+I72-G72</f>
        <v>5.2127999999999961</v>
      </c>
      <c r="I72" s="6">
        <f>+E72*J72/100</f>
        <v>18.417599999999997</v>
      </c>
      <c r="J72" s="5">
        <v>12.79</v>
      </c>
    </row>
    <row r="73" spans="1:11">
      <c r="A73" s="1" t="s">
        <v>39</v>
      </c>
      <c r="B73" s="1" t="s">
        <v>40</v>
      </c>
      <c r="C73" s="1" t="s">
        <v>133</v>
      </c>
      <c r="D73" s="1" t="s">
        <v>25</v>
      </c>
      <c r="E73" s="3">
        <v>177</v>
      </c>
      <c r="F73" s="2">
        <v>9.17</v>
      </c>
      <c r="G73" s="4">
        <f>+E73*F73/100</f>
        <v>16.230899999999998</v>
      </c>
      <c r="H73" s="4">
        <f>+I73-G73</f>
        <v>6.4074000000000026</v>
      </c>
      <c r="I73" s="6">
        <f>+E73*J73/100</f>
        <v>22.638300000000001</v>
      </c>
      <c r="J73" s="5">
        <v>12.79</v>
      </c>
    </row>
    <row r="74" spans="1:11">
      <c r="A74" s="1" t="s">
        <v>39</v>
      </c>
      <c r="B74" s="1" t="s">
        <v>40</v>
      </c>
      <c r="C74" s="1" t="s">
        <v>133</v>
      </c>
      <c r="D74" s="1" t="s">
        <v>26</v>
      </c>
      <c r="E74" s="3">
        <v>145</v>
      </c>
      <c r="F74" s="2">
        <v>9.17</v>
      </c>
      <c r="G74" s="4">
        <f>+E74*F74/100</f>
        <v>13.296500000000002</v>
      </c>
      <c r="H74" s="4">
        <f>+I74-G74</f>
        <v>5.2489999999999988</v>
      </c>
      <c r="I74" s="6">
        <f>+E74*J74/100</f>
        <v>18.545500000000001</v>
      </c>
      <c r="J74" s="5">
        <v>12.79</v>
      </c>
    </row>
    <row r="76" spans="1:11">
      <c r="A76" s="1" t="s">
        <v>52</v>
      </c>
      <c r="E76" s="3">
        <v>679.4</v>
      </c>
      <c r="F76" s="2">
        <f>+G76/E76*100</f>
        <v>13.850456284957316</v>
      </c>
      <c r="G76" s="4">
        <v>94.1</v>
      </c>
      <c r="H76" s="4">
        <v>14.1</v>
      </c>
      <c r="I76" s="6">
        <v>108.2</v>
      </c>
      <c r="K76" s="7">
        <f>+H76/G76</f>
        <v>0.14984059511158343</v>
      </c>
    </row>
    <row r="79" spans="1:11">
      <c r="A79" s="1" t="s">
        <v>39</v>
      </c>
      <c r="B79" s="1" t="s">
        <v>41</v>
      </c>
      <c r="C79" s="1" t="s">
        <v>133</v>
      </c>
      <c r="D79" s="1" t="s">
        <v>22</v>
      </c>
      <c r="E79" s="3">
        <v>0</v>
      </c>
      <c r="F79" s="2">
        <v>0</v>
      </c>
      <c r="G79" s="4">
        <v>12.7</v>
      </c>
      <c r="H79" s="4">
        <f>+I79-G79</f>
        <v>0</v>
      </c>
      <c r="I79" s="6">
        <v>12.7</v>
      </c>
      <c r="J79" s="5">
        <v>0</v>
      </c>
    </row>
    <row r="80" spans="1:11">
      <c r="A80" s="1" t="s">
        <v>39</v>
      </c>
      <c r="B80" s="1" t="s">
        <v>41</v>
      </c>
      <c r="C80" s="1" t="s">
        <v>133</v>
      </c>
      <c r="D80" s="1" t="s">
        <v>29</v>
      </c>
      <c r="E80" s="3">
        <v>171</v>
      </c>
      <c r="F80" s="2">
        <v>8.1199999999999992</v>
      </c>
      <c r="G80" s="4">
        <f>+E80*F80/100</f>
        <v>13.885199999999998</v>
      </c>
      <c r="H80" s="4">
        <f>+I80-G80</f>
        <v>5.4036000000000008</v>
      </c>
      <c r="I80" s="6">
        <f>+E80*J80/100</f>
        <v>19.288799999999998</v>
      </c>
      <c r="J80" s="5">
        <v>11.28</v>
      </c>
    </row>
    <row r="81" spans="1:11">
      <c r="A81" s="1" t="s">
        <v>39</v>
      </c>
      <c r="B81" s="1" t="s">
        <v>41</v>
      </c>
      <c r="C81" s="1" t="s">
        <v>133</v>
      </c>
      <c r="D81" s="1" t="s">
        <v>30</v>
      </c>
      <c r="E81" s="3">
        <v>114</v>
      </c>
      <c r="F81" s="2">
        <v>5.09</v>
      </c>
      <c r="G81" s="4">
        <f>+E81*F81/100</f>
        <v>5.8026</v>
      </c>
      <c r="H81" s="4">
        <f>+I81-G81</f>
        <v>9.724199999999998</v>
      </c>
      <c r="I81" s="6">
        <f>+E81*J81/100</f>
        <v>15.526799999999998</v>
      </c>
      <c r="J81" s="5">
        <v>13.62</v>
      </c>
    </row>
    <row r="82" spans="1:11">
      <c r="A82" s="1" t="s">
        <v>39</v>
      </c>
      <c r="B82" s="1" t="s">
        <v>41</v>
      </c>
      <c r="C82" s="1" t="s">
        <v>133</v>
      </c>
      <c r="D82" s="1" t="s">
        <v>31</v>
      </c>
      <c r="E82" s="3">
        <v>257</v>
      </c>
      <c r="F82" s="2">
        <v>8.1199999999999992</v>
      </c>
      <c r="G82" s="4">
        <f>+E82*F82/100</f>
        <v>20.868399999999998</v>
      </c>
      <c r="H82" s="4">
        <f>+I82-G82</f>
        <v>4.1633999999999993</v>
      </c>
      <c r="I82" s="6">
        <f>+E82*J82/100</f>
        <v>25.031799999999997</v>
      </c>
      <c r="J82" s="5">
        <v>9.74</v>
      </c>
    </row>
    <row r="83" spans="1:11">
      <c r="A83" s="1" t="s">
        <v>39</v>
      </c>
      <c r="B83" s="1" t="s">
        <v>41</v>
      </c>
      <c r="C83" s="1" t="s">
        <v>133</v>
      </c>
      <c r="D83" s="1" t="s">
        <v>32</v>
      </c>
      <c r="E83" s="3">
        <v>129</v>
      </c>
      <c r="F83" s="2">
        <v>5.09</v>
      </c>
      <c r="G83" s="4">
        <f>+E83*F83/100</f>
        <v>6.5661000000000005</v>
      </c>
      <c r="H83" s="4">
        <f>+I83-G83</f>
        <v>4.9793999999999983</v>
      </c>
      <c r="I83" s="6">
        <f>+E83*J83/100</f>
        <v>11.545499999999999</v>
      </c>
      <c r="J83" s="5">
        <v>8.9499999999999993</v>
      </c>
    </row>
    <row r="85" spans="1:11">
      <c r="A85" s="1" t="s">
        <v>53</v>
      </c>
      <c r="E85" s="3">
        <v>709.4</v>
      </c>
      <c r="F85" s="2">
        <f>+G85/E85*100</f>
        <v>9.6137581054412191</v>
      </c>
      <c r="G85" s="4">
        <v>68.2</v>
      </c>
      <c r="H85" s="4">
        <v>10.199999999999999</v>
      </c>
      <c r="I85" s="6">
        <v>78.5</v>
      </c>
      <c r="K85" s="7">
        <f>+H85/G85</f>
        <v>0.14956011730205276</v>
      </c>
    </row>
    <row r="88" spans="1:11">
      <c r="A88" s="1" t="s">
        <v>39</v>
      </c>
      <c r="B88" s="1" t="s">
        <v>42</v>
      </c>
      <c r="C88" s="1" t="s">
        <v>133</v>
      </c>
      <c r="D88" s="1" t="s">
        <v>22</v>
      </c>
      <c r="E88" s="3">
        <v>0</v>
      </c>
      <c r="F88" s="2">
        <v>0</v>
      </c>
      <c r="G88" s="4">
        <v>21.9</v>
      </c>
      <c r="H88" s="4">
        <f>+I88-G88</f>
        <v>0</v>
      </c>
      <c r="I88" s="6">
        <v>21.9</v>
      </c>
      <c r="J88" s="5">
        <v>0</v>
      </c>
    </row>
    <row r="89" spans="1:11">
      <c r="A89" s="1" t="s">
        <v>39</v>
      </c>
      <c r="B89" s="1" t="s">
        <v>42</v>
      </c>
      <c r="C89" s="1" t="s">
        <v>133</v>
      </c>
      <c r="D89" s="1" t="s">
        <v>34</v>
      </c>
      <c r="E89" s="3">
        <v>941</v>
      </c>
      <c r="F89" s="2">
        <v>6.89</v>
      </c>
      <c r="G89" s="4">
        <f>+E89*F89/100</f>
        <v>64.834900000000005</v>
      </c>
      <c r="H89" s="4">
        <f>+I89-G89</f>
        <v>24.654199999999989</v>
      </c>
      <c r="I89" s="6">
        <f>+E89*J89/100</f>
        <v>89.489099999999993</v>
      </c>
      <c r="J89" s="5">
        <v>9.51</v>
      </c>
    </row>
    <row r="90" spans="1:11">
      <c r="A90" s="1" t="s">
        <v>39</v>
      </c>
      <c r="B90" s="1" t="s">
        <v>42</v>
      </c>
      <c r="C90" s="1" t="s">
        <v>133</v>
      </c>
      <c r="D90" s="1" t="s">
        <v>35</v>
      </c>
      <c r="E90" s="3">
        <v>111</v>
      </c>
      <c r="F90" s="2">
        <v>13.09</v>
      </c>
      <c r="G90" s="4">
        <f>+E90*F90/100</f>
        <v>14.5299</v>
      </c>
      <c r="H90" s="4">
        <f>+I90-G90</f>
        <v>2.9082000000000026</v>
      </c>
      <c r="I90" s="6">
        <f>+E90*J90/100</f>
        <v>17.438100000000002</v>
      </c>
      <c r="J90" s="5">
        <v>15.71</v>
      </c>
    </row>
    <row r="92" spans="1:11">
      <c r="A92" s="1" t="s">
        <v>54</v>
      </c>
      <c r="E92" s="3">
        <v>1112.9000000000001</v>
      </c>
      <c r="F92" s="2">
        <f>+G92/E92*100</f>
        <v>9.2281426902686672</v>
      </c>
      <c r="G92" s="4">
        <v>102.7</v>
      </c>
      <c r="H92" s="4">
        <v>20.5</v>
      </c>
      <c r="I92" s="6">
        <v>123.3</v>
      </c>
      <c r="K92" s="7">
        <f>+H92/G92</f>
        <v>0.19961051606621227</v>
      </c>
    </row>
    <row r="95" spans="1:11">
      <c r="A95" s="1" t="s">
        <v>39</v>
      </c>
      <c r="B95" s="1" t="s">
        <v>43</v>
      </c>
      <c r="C95" s="1" t="s">
        <v>133</v>
      </c>
      <c r="D95" s="1" t="s">
        <v>22</v>
      </c>
      <c r="E95" s="3">
        <v>0</v>
      </c>
      <c r="F95" s="2">
        <v>0</v>
      </c>
      <c r="G95" s="4">
        <v>8.4</v>
      </c>
      <c r="H95" s="4">
        <f>+I95-G95</f>
        <v>0</v>
      </c>
      <c r="I95" s="6">
        <v>8.4</v>
      </c>
      <c r="J95" s="5">
        <v>0</v>
      </c>
    </row>
    <row r="96" spans="1:11">
      <c r="A96" s="1" t="s">
        <v>39</v>
      </c>
      <c r="B96" s="1" t="s">
        <v>43</v>
      </c>
      <c r="C96" s="1" t="s">
        <v>133</v>
      </c>
      <c r="D96" s="1" t="s">
        <v>34</v>
      </c>
      <c r="E96" s="3">
        <v>537</v>
      </c>
      <c r="F96" s="2">
        <v>7.02</v>
      </c>
      <c r="G96" s="4">
        <f>+E96*F96/100</f>
        <v>37.697399999999995</v>
      </c>
      <c r="H96" s="4">
        <f>+I96-G96</f>
        <v>19.439400000000006</v>
      </c>
      <c r="I96" s="6">
        <f>+E96*J96/100</f>
        <v>57.136800000000001</v>
      </c>
      <c r="J96" s="5">
        <v>10.64</v>
      </c>
    </row>
    <row r="97" spans="1:11">
      <c r="A97" s="1" t="s">
        <v>39</v>
      </c>
      <c r="B97" s="1" t="s">
        <v>43</v>
      </c>
      <c r="C97" s="1" t="s">
        <v>133</v>
      </c>
      <c r="D97" s="1" t="s">
        <v>35</v>
      </c>
      <c r="E97" s="3">
        <v>44</v>
      </c>
      <c r="F97" s="2">
        <v>7.95</v>
      </c>
      <c r="G97" s="4">
        <f>+E97*F97/100</f>
        <v>3.4980000000000002</v>
      </c>
      <c r="H97" s="4">
        <f>+I97-G97</f>
        <v>9.1828000000000003</v>
      </c>
      <c r="I97" s="6">
        <f>+E97*J97/100</f>
        <v>12.6808</v>
      </c>
      <c r="J97" s="5">
        <v>28.82</v>
      </c>
    </row>
    <row r="99" spans="1:11">
      <c r="A99" s="1" t="s">
        <v>55</v>
      </c>
      <c r="E99" s="3">
        <v>614.1</v>
      </c>
      <c r="F99" s="2">
        <f>+G99/E99*100</f>
        <v>8.1257124246865313</v>
      </c>
      <c r="G99" s="4">
        <v>49.9</v>
      </c>
      <c r="H99" s="4">
        <v>10</v>
      </c>
      <c r="I99" s="6">
        <v>59.8</v>
      </c>
      <c r="K99" s="7">
        <f>+H99/G99</f>
        <v>0.20040080160320642</v>
      </c>
    </row>
    <row r="102" spans="1:11">
      <c r="A102" s="1" t="s">
        <v>44</v>
      </c>
      <c r="B102" s="1" t="s">
        <v>46</v>
      </c>
      <c r="D102" s="1" t="s">
        <v>22</v>
      </c>
      <c r="E102" s="3">
        <v>0</v>
      </c>
      <c r="F102" s="2">
        <v>0</v>
      </c>
      <c r="G102" s="4">
        <v>2.6</v>
      </c>
      <c r="H102" s="4">
        <f>+I102-G102</f>
        <v>0</v>
      </c>
      <c r="I102" s="6">
        <v>2.6</v>
      </c>
      <c r="J102" s="5">
        <v>0</v>
      </c>
    </row>
    <row r="103" spans="1:11">
      <c r="A103" s="1" t="s">
        <v>44</v>
      </c>
      <c r="B103" s="1" t="s">
        <v>46</v>
      </c>
      <c r="D103" s="1" t="s">
        <v>23</v>
      </c>
      <c r="E103" s="3">
        <v>34</v>
      </c>
      <c r="F103" s="2">
        <v>6.49</v>
      </c>
      <c r="G103" s="4">
        <f>+E103*F103/100</f>
        <v>2.2065999999999999</v>
      </c>
      <c r="H103" s="4">
        <f>+I103-G103</f>
        <v>1.3735999999999997</v>
      </c>
      <c r="I103" s="6">
        <f>+E103*J103/100</f>
        <v>3.5801999999999996</v>
      </c>
      <c r="J103" s="5">
        <v>10.53</v>
      </c>
    </row>
    <row r="104" spans="1:11">
      <c r="A104" s="1" t="s">
        <v>44</v>
      </c>
      <c r="B104" s="1" t="s">
        <v>46</v>
      </c>
      <c r="D104" s="1" t="s">
        <v>24</v>
      </c>
      <c r="E104" s="3">
        <v>28</v>
      </c>
      <c r="F104" s="2">
        <v>6.49</v>
      </c>
      <c r="G104" s="4">
        <f>+E104*F104/100</f>
        <v>1.8171999999999999</v>
      </c>
      <c r="H104" s="4">
        <f>+I104-G104</f>
        <v>1.1312</v>
      </c>
      <c r="I104" s="6">
        <f>+E104*J104/100</f>
        <v>2.9483999999999999</v>
      </c>
      <c r="J104" s="5">
        <v>10.53</v>
      </c>
    </row>
    <row r="105" spans="1:11">
      <c r="A105" s="1" t="s">
        <v>44</v>
      </c>
      <c r="B105" s="1" t="s">
        <v>46</v>
      </c>
      <c r="D105" s="1" t="s">
        <v>25</v>
      </c>
      <c r="E105" s="3">
        <v>68</v>
      </c>
      <c r="F105" s="2">
        <v>6.49</v>
      </c>
      <c r="G105" s="4">
        <f>+E105*F105/100</f>
        <v>4.4131999999999998</v>
      </c>
      <c r="H105" s="4">
        <f>+I105-G105</f>
        <v>2.7471999999999994</v>
      </c>
      <c r="I105" s="6">
        <f>+E105*J105/100</f>
        <v>7.1603999999999992</v>
      </c>
      <c r="J105" s="5">
        <v>10.53</v>
      </c>
    </row>
    <row r="106" spans="1:11">
      <c r="A106" s="1" t="s">
        <v>44</v>
      </c>
      <c r="B106" s="1" t="s">
        <v>46</v>
      </c>
      <c r="D106" s="1" t="s">
        <v>26</v>
      </c>
      <c r="E106" s="3">
        <v>56</v>
      </c>
      <c r="F106" s="2">
        <v>6.49</v>
      </c>
      <c r="G106" s="4">
        <f>+E106*F106/100</f>
        <v>3.6343999999999999</v>
      </c>
      <c r="H106" s="4">
        <f>+I106-G106</f>
        <v>2.2624</v>
      </c>
      <c r="I106" s="6">
        <f>+E106*J106/100</f>
        <v>5.8967999999999998</v>
      </c>
      <c r="J106" s="5">
        <v>10.53</v>
      </c>
    </row>
    <row r="108" spans="1:11">
      <c r="A108" s="1" t="s">
        <v>56</v>
      </c>
      <c r="E108" s="3">
        <v>0</v>
      </c>
      <c r="F108" s="2">
        <v>0</v>
      </c>
      <c r="G108" s="4">
        <v>0</v>
      </c>
      <c r="H108" s="4">
        <v>0</v>
      </c>
      <c r="I108" s="6">
        <v>0</v>
      </c>
      <c r="K108" s="7" t="e">
        <f>+H108/G108</f>
        <v>#DIV/0!</v>
      </c>
    </row>
    <row r="111" spans="1:11">
      <c r="A111" s="1" t="s">
        <v>45</v>
      </c>
      <c r="D111" s="1" t="s">
        <v>22</v>
      </c>
      <c r="E111" s="3">
        <v>0</v>
      </c>
      <c r="F111" s="2">
        <v>0</v>
      </c>
      <c r="G111" s="4">
        <v>5.9</v>
      </c>
      <c r="H111" s="4">
        <f>+I111-G111</f>
        <v>0</v>
      </c>
      <c r="I111" s="6">
        <v>5.9</v>
      </c>
      <c r="J111" s="5">
        <v>0</v>
      </c>
    </row>
    <row r="112" spans="1:11">
      <c r="A112" s="1" t="s">
        <v>45</v>
      </c>
      <c r="D112" s="1" t="s">
        <v>23</v>
      </c>
      <c r="E112" s="3">
        <v>89</v>
      </c>
      <c r="F112" s="2">
        <v>5.04</v>
      </c>
      <c r="G112" s="4">
        <f>+E112*F112/100</f>
        <v>4.4855999999999998</v>
      </c>
      <c r="H112" s="4">
        <f>+I112-G112</f>
        <v>4.1118000000000006</v>
      </c>
      <c r="I112" s="6">
        <f>+E112*J112/100</f>
        <v>8.5974000000000004</v>
      </c>
      <c r="J112" s="5">
        <v>9.66</v>
      </c>
    </row>
    <row r="113" spans="1:14">
      <c r="A113" s="1" t="s">
        <v>45</v>
      </c>
      <c r="D113" s="1" t="s">
        <v>24</v>
      </c>
      <c r="E113" s="3">
        <v>72</v>
      </c>
      <c r="F113" s="2">
        <v>5.04</v>
      </c>
      <c r="G113" s="4">
        <f>+E113*F113/100</f>
        <v>3.6288</v>
      </c>
      <c r="H113" s="4">
        <f>+I113-G113</f>
        <v>3.3263999999999996</v>
      </c>
      <c r="I113" s="6">
        <f>+E113*J113/100</f>
        <v>6.9551999999999996</v>
      </c>
      <c r="J113" s="5">
        <v>9.66</v>
      </c>
    </row>
    <row r="114" spans="1:14">
      <c r="A114" s="1" t="s">
        <v>45</v>
      </c>
      <c r="D114" s="1" t="s">
        <v>25</v>
      </c>
      <c r="E114" s="3">
        <v>187</v>
      </c>
      <c r="F114" s="2">
        <v>5.04</v>
      </c>
      <c r="G114" s="4">
        <f>+E114*F114/100</f>
        <v>9.4247999999999994</v>
      </c>
      <c r="H114" s="4">
        <f>+I114-G114</f>
        <v>8.6394000000000002</v>
      </c>
      <c r="I114" s="6">
        <f>+E114*J114/100</f>
        <v>18.0642</v>
      </c>
      <c r="J114" s="5">
        <v>9.66</v>
      </c>
    </row>
    <row r="115" spans="1:14">
      <c r="A115" s="1" t="s">
        <v>45</v>
      </c>
      <c r="D115" s="1" t="s">
        <v>26</v>
      </c>
      <c r="E115" s="3">
        <v>153</v>
      </c>
      <c r="F115" s="2">
        <v>5.04</v>
      </c>
      <c r="G115" s="4">
        <f>+E115*F115/100</f>
        <v>7.7111999999999998</v>
      </c>
      <c r="H115" s="4">
        <f>+I115-G115</f>
        <v>7.0686</v>
      </c>
      <c r="I115" s="6">
        <f>+E115*J115/100</f>
        <v>14.7798</v>
      </c>
      <c r="J115" s="5">
        <v>9.66</v>
      </c>
    </row>
    <row r="117" spans="1:14">
      <c r="A117" s="1" t="s">
        <v>47</v>
      </c>
      <c r="E117" s="3">
        <v>529.29999999999995</v>
      </c>
      <c r="F117" s="2">
        <f>+G117/E117*100</f>
        <v>14.774230115246553</v>
      </c>
      <c r="G117" s="4">
        <v>78.2</v>
      </c>
      <c r="H117" s="4">
        <v>16.2</v>
      </c>
      <c r="I117" s="6">
        <v>94.4</v>
      </c>
    </row>
    <row r="120" spans="1:14" s="14" customFormat="1">
      <c r="A120" s="9"/>
      <c r="B120" s="9"/>
      <c r="C120" s="9"/>
      <c r="D120" s="9" t="s">
        <v>47</v>
      </c>
      <c r="E120" s="10">
        <f>+E11+E20+E30+E39+E46+E53+E60+E67+E76+E85+E92+E99+E108+E117</f>
        <v>83780</v>
      </c>
      <c r="F120" s="11">
        <f>+G120/E120*100</f>
        <v>11.322511339221773</v>
      </c>
      <c r="G120" s="10">
        <f>+G11+G20+G30+G39+G46+G53+G60+G67+G76+G85+G92+G99+G108+G117</f>
        <v>9486.0000000000018</v>
      </c>
      <c r="H120" s="10">
        <f>+H11+H20+H30+H39+H46+H53+H60+H67+H76+H85+H92+H99+H108+H117</f>
        <v>2960.9999999999995</v>
      </c>
      <c r="I120" s="10">
        <f>+I11+I20+I30+I39+I46+I53+I60+I67+I76+I85+I92+I99+I108+I117</f>
        <v>12447.099999999999</v>
      </c>
      <c r="J120" s="12"/>
      <c r="K120" s="13">
        <f>+H120/G120</f>
        <v>0.31214421252371904</v>
      </c>
      <c r="L120" s="9"/>
      <c r="M120" s="9"/>
      <c r="N120" s="9"/>
    </row>
    <row r="123" spans="1:14">
      <c r="E123" s="1" t="s">
        <v>7</v>
      </c>
      <c r="F123" s="2" t="s">
        <v>9</v>
      </c>
      <c r="G123" s="4" t="s">
        <v>9</v>
      </c>
      <c r="H123" s="4" t="s">
        <v>10</v>
      </c>
      <c r="I123" s="6" t="s">
        <v>15</v>
      </c>
      <c r="J123" s="5" t="s">
        <v>16</v>
      </c>
    </row>
    <row r="124" spans="1:14">
      <c r="D124" s="1" t="s">
        <v>94</v>
      </c>
      <c r="E124" s="1" t="s">
        <v>8</v>
      </c>
      <c r="F124" s="2" t="s">
        <v>13</v>
      </c>
      <c r="G124" s="4" t="s">
        <v>12</v>
      </c>
      <c r="H124" s="4" t="s">
        <v>14</v>
      </c>
      <c r="I124" s="6" t="s">
        <v>10</v>
      </c>
      <c r="J124" s="5" t="s">
        <v>17</v>
      </c>
      <c r="K124" s="1" t="s">
        <v>65</v>
      </c>
    </row>
    <row r="126" spans="1:14">
      <c r="D126" s="1" t="s">
        <v>0</v>
      </c>
      <c r="E126" s="3">
        <f>+E11+E20</f>
        <v>24918.3</v>
      </c>
      <c r="F126" s="2">
        <f t="shared" ref="F126:F132" si="1">+G126/E126*100</f>
        <v>13.825180690496545</v>
      </c>
      <c r="G126" s="3">
        <f>+G11+G20</f>
        <v>3445</v>
      </c>
      <c r="H126" s="3">
        <f>+H11+H20</f>
        <v>590.5</v>
      </c>
      <c r="I126" s="3">
        <f>+I11+I20</f>
        <v>4035.5</v>
      </c>
      <c r="J126" s="5">
        <f>I126/E126*100</f>
        <v>16.194925014948851</v>
      </c>
      <c r="K126" s="7">
        <f>(J126-F126)/F126</f>
        <v>0.17140783744557295</v>
      </c>
    </row>
    <row r="127" spans="1:14">
      <c r="D127" s="1" t="s">
        <v>98</v>
      </c>
      <c r="E127" s="3">
        <f>+E30+E39+E46</f>
        <v>30371.7</v>
      </c>
      <c r="F127" s="2">
        <f t="shared" si="1"/>
        <v>11.535738862164449</v>
      </c>
      <c r="G127" s="3">
        <f>+G30+G39+G46</f>
        <v>3503.6</v>
      </c>
      <c r="H127" s="3">
        <f>+H30+H39+H46</f>
        <v>1243.8</v>
      </c>
      <c r="I127" s="3">
        <f>+I30+I39+I46</f>
        <v>4747.3999999999996</v>
      </c>
      <c r="J127" s="5">
        <f>I127/E127*100</f>
        <v>15.63099859408594</v>
      </c>
      <c r="K127" s="7">
        <f>(J127-F127)/F127</f>
        <v>0.35500627925562267</v>
      </c>
    </row>
    <row r="128" spans="1:14">
      <c r="D128" s="1" t="s">
        <v>63</v>
      </c>
      <c r="E128" s="3">
        <f>+E76+E85+E92+E99</f>
        <v>3115.7999999999997</v>
      </c>
      <c r="F128" s="2">
        <f t="shared" si="1"/>
        <v>10.106553694075359</v>
      </c>
      <c r="G128" s="3">
        <f>+G76+G85+G92+G99</f>
        <v>314.89999999999998</v>
      </c>
      <c r="H128" s="3">
        <f>+H76+H85+H92+H99</f>
        <v>54.8</v>
      </c>
      <c r="I128" s="3">
        <f>+I76+I85+I92+I99</f>
        <v>369.8</v>
      </c>
      <c r="J128" s="5">
        <f>I128/E128*100</f>
        <v>11.868540984658837</v>
      </c>
      <c r="K128" s="7">
        <f>(J128-F128)/F128</f>
        <v>0.17434106065417598</v>
      </c>
    </row>
    <row r="129" spans="4:11">
      <c r="D129" s="1" t="s">
        <v>99</v>
      </c>
      <c r="E129" s="3">
        <f>+E108+E117</f>
        <v>529.29999999999995</v>
      </c>
      <c r="F129" s="2">
        <f t="shared" si="1"/>
        <v>14.774230115246553</v>
      </c>
      <c r="G129" s="3">
        <f>+G108+G117</f>
        <v>78.2</v>
      </c>
      <c r="H129" s="3">
        <f>+H108+H117</f>
        <v>16.2</v>
      </c>
      <c r="I129" s="3">
        <f>+I108+I117</f>
        <v>94.4</v>
      </c>
      <c r="J129" s="5">
        <f>I129/E129*100</f>
        <v>17.834876251653128</v>
      </c>
      <c r="K129" s="7">
        <f>(J129-F129)/F129</f>
        <v>0.20716112531969311</v>
      </c>
    </row>
    <row r="130" spans="4:11">
      <c r="D130" s="1" t="s">
        <v>66</v>
      </c>
      <c r="E130" s="3">
        <f>+E53+E60+E67</f>
        <v>24844.9</v>
      </c>
      <c r="F130" s="2">
        <f t="shared" si="1"/>
        <v>8.6307451428663438</v>
      </c>
      <c r="G130" s="3">
        <f>+G53+G60+G67</f>
        <v>2144.3000000000002</v>
      </c>
      <c r="H130" s="3">
        <f>+H53+H60+H67</f>
        <v>1055.7</v>
      </c>
      <c r="I130" s="3">
        <f>+I53+I60+I67</f>
        <v>3200</v>
      </c>
      <c r="J130" s="5">
        <f>I130/E130*100</f>
        <v>12.87990694267234</v>
      </c>
      <c r="K130" s="7">
        <f>(J130-F130)/F130</f>
        <v>0.49232849881080071</v>
      </c>
    </row>
    <row r="131" spans="4:11">
      <c r="G131" s="3"/>
      <c r="H131" s="3"/>
      <c r="I131" s="3"/>
      <c r="K131" s="7"/>
    </row>
    <row r="132" spans="4:11">
      <c r="D132" s="1" t="s">
        <v>47</v>
      </c>
      <c r="E132" s="3">
        <f>SUM(E126:E131)</f>
        <v>83780</v>
      </c>
      <c r="F132" s="2">
        <f t="shared" si="1"/>
        <v>11.322511339221771</v>
      </c>
      <c r="G132" s="3">
        <f>SUM(G126:G131)</f>
        <v>9486</v>
      </c>
      <c r="H132" s="3">
        <f>SUM(H126:H131)</f>
        <v>2961</v>
      </c>
      <c r="I132" s="3">
        <f>SUM(I126:I131)</f>
        <v>12447.099999999999</v>
      </c>
      <c r="J132" s="5">
        <f>I132/E132*100</f>
        <v>14.856887085223203</v>
      </c>
      <c r="K132" s="7">
        <f>(J132-F132)/F132</f>
        <v>0.31215475437486823</v>
      </c>
    </row>
    <row r="133" spans="4:11">
      <c r="K133" s="7"/>
    </row>
    <row r="134" spans="4:11">
      <c r="K134" s="7"/>
    </row>
    <row r="135" spans="4:11">
      <c r="D135" s="1" t="s">
        <v>144</v>
      </c>
      <c r="E135" s="23">
        <f>+E11+E20+E30+E39+E46+E76+E85+E92+E99</f>
        <v>58405.8</v>
      </c>
      <c r="F135" s="2">
        <f>+G135/E135*100</f>
        <v>12.4362648915005</v>
      </c>
      <c r="G135" s="23">
        <f>+G11+G20+G30+G39+G46+G76+G85+G92+G99</f>
        <v>7263.4999999999991</v>
      </c>
      <c r="H135" s="23">
        <f>+H11+H20+H30+H39+H46+H76+H85+H92+H99</f>
        <v>1889.1</v>
      </c>
      <c r="I135" s="23">
        <f>+I11+I20+I30+I39+I46+I76+I85+I92+I99</f>
        <v>9152.6999999999989</v>
      </c>
      <c r="J135" s="5">
        <f>I135/E135*100</f>
        <v>15.670875152810163</v>
      </c>
      <c r="K135" s="7">
        <f>(J135-F135)/F135</f>
        <v>0.26009499552557303</v>
      </c>
    </row>
    <row r="136" spans="4:11">
      <c r="D136" s="1" t="s">
        <v>145</v>
      </c>
      <c r="E136" s="23">
        <f>+E53+E60+E67+E108+E117</f>
        <v>25374.2</v>
      </c>
      <c r="F136" s="2">
        <f>+G136/E136*100</f>
        <v>8.7588968322154006</v>
      </c>
      <c r="G136" s="23">
        <f>+G53+G60+G67+G108+G117</f>
        <v>2222.5</v>
      </c>
      <c r="H136" s="23">
        <f>+H53+H60+H67+H108+H117</f>
        <v>1071.9000000000001</v>
      </c>
      <c r="I136" s="23">
        <f>+I53+I60+I67+I108+I117</f>
        <v>3294.4</v>
      </c>
      <c r="J136" s="5">
        <f>I136/E136*100</f>
        <v>12.983266467514246</v>
      </c>
      <c r="K136" s="7">
        <f>(J136-F136)/F136</f>
        <v>0.4822947131608547</v>
      </c>
    </row>
    <row r="137" spans="4:11">
      <c r="D137"/>
      <c r="E137" s="23"/>
      <c r="G137" s="23"/>
      <c r="H137" s="23"/>
      <c r="I137" s="23"/>
      <c r="J137" s="2"/>
      <c r="K137" s="31"/>
    </row>
    <row r="138" spans="4:11">
      <c r="D138" s="1" t="s">
        <v>47</v>
      </c>
      <c r="E138" s="23">
        <f>+E135+E136</f>
        <v>83780</v>
      </c>
      <c r="F138" s="2">
        <f>+G138/E138*100</f>
        <v>11.322511339221771</v>
      </c>
      <c r="G138" s="23">
        <f>+G135+G136</f>
        <v>9486</v>
      </c>
      <c r="H138" s="23">
        <f>+H135+H136</f>
        <v>2961</v>
      </c>
      <c r="I138" s="23">
        <f>+I135+I136</f>
        <v>12447.099999999999</v>
      </c>
      <c r="J138" s="5">
        <f>I138/E138*100</f>
        <v>14.856887085223203</v>
      </c>
      <c r="K138" s="7">
        <f>(J138-F138)/F138</f>
        <v>0.31215475437486823</v>
      </c>
    </row>
    <row r="140" spans="4:11">
      <c r="E140" s="3">
        <f>+E132-E138</f>
        <v>0</v>
      </c>
    </row>
  </sheetData>
  <phoneticPr fontId="0" type="noConversion"/>
  <pageMargins left="0.75" right="0.75" top="1" bottom="1" header="0.5" footer="0.5"/>
  <pageSetup scale="52" fitToHeight="2" orientation="landscape" verticalDpi="196" r:id="rId1"/>
  <headerFooter alignWithMargins="0">
    <oddFooter>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Q107"/>
  <sheetViews>
    <sheetView zoomScale="80" workbookViewId="0">
      <selection activeCell="E12" sqref="E12"/>
    </sheetView>
  </sheetViews>
  <sheetFormatPr defaultRowHeight="12.75"/>
  <cols>
    <col min="1" max="1" width="26.42578125" style="1" customWidth="1"/>
    <col min="2" max="2" width="36" style="1" customWidth="1"/>
    <col min="3" max="3" width="60.7109375" style="1" customWidth="1"/>
    <col min="4" max="4" width="34.85546875" style="1" customWidth="1"/>
    <col min="5" max="5" width="12.85546875" style="3" bestFit="1" customWidth="1"/>
    <col min="6" max="6" width="12.28515625" style="2" bestFit="1" customWidth="1"/>
    <col min="7" max="8" width="14" style="4" bestFit="1" customWidth="1"/>
    <col min="9" max="9" width="10.85546875" style="4" bestFit="1" customWidth="1"/>
    <col min="10" max="10" width="12.28515625" style="2" bestFit="1" customWidth="1"/>
    <col min="11" max="11" width="10.28515625" style="7" bestFit="1" customWidth="1"/>
    <col min="12" max="17" width="9.140625" style="1"/>
  </cols>
  <sheetData>
    <row r="3" spans="1:11">
      <c r="E3" s="3" t="s">
        <v>7</v>
      </c>
      <c r="F3" s="2" t="s">
        <v>9</v>
      </c>
      <c r="G3" s="4" t="s">
        <v>9</v>
      </c>
      <c r="H3" s="4" t="s">
        <v>10</v>
      </c>
      <c r="I3" s="4" t="s">
        <v>15</v>
      </c>
      <c r="J3" s="2" t="s">
        <v>16</v>
      </c>
    </row>
    <row r="4" spans="1:11">
      <c r="A4" s="1" t="s">
        <v>96</v>
      </c>
      <c r="B4" s="1" t="s">
        <v>95</v>
      </c>
      <c r="C4" s="1" t="s">
        <v>106</v>
      </c>
      <c r="D4" s="1" t="s">
        <v>94</v>
      </c>
      <c r="E4" s="3" t="s">
        <v>8</v>
      </c>
      <c r="F4" s="2" t="s">
        <v>13</v>
      </c>
      <c r="G4" s="4" t="s">
        <v>12</v>
      </c>
      <c r="H4" s="4" t="s">
        <v>14</v>
      </c>
      <c r="I4" s="4" t="s">
        <v>10</v>
      </c>
      <c r="J4" s="2" t="s">
        <v>17</v>
      </c>
      <c r="K4" s="7" t="s">
        <v>65</v>
      </c>
    </row>
    <row r="6" spans="1:11">
      <c r="D6" s="1" t="s">
        <v>67</v>
      </c>
    </row>
    <row r="7" spans="1:11">
      <c r="A7" s="1" t="s">
        <v>0</v>
      </c>
      <c r="B7" s="1" t="s">
        <v>97</v>
      </c>
      <c r="D7" s="1" t="s">
        <v>57</v>
      </c>
      <c r="E7" s="3">
        <v>2916</v>
      </c>
      <c r="F7" s="2">
        <v>12.8</v>
      </c>
      <c r="G7" s="4">
        <v>374</v>
      </c>
      <c r="I7" s="4">
        <v>374</v>
      </c>
      <c r="J7" s="2">
        <v>12.8</v>
      </c>
    </row>
    <row r="8" spans="1:11">
      <c r="A8" s="1" t="s">
        <v>0</v>
      </c>
      <c r="B8" s="1" t="s">
        <v>97</v>
      </c>
      <c r="D8" s="1" t="s">
        <v>58</v>
      </c>
      <c r="E8" s="3">
        <v>583</v>
      </c>
      <c r="F8" s="2">
        <v>14.9</v>
      </c>
      <c r="G8" s="4">
        <v>87.1</v>
      </c>
      <c r="I8" s="4">
        <v>87.1</v>
      </c>
      <c r="J8" s="2">
        <v>14.9</v>
      </c>
    </row>
    <row r="9" spans="1:11">
      <c r="A9" s="1" t="s">
        <v>0</v>
      </c>
      <c r="B9" s="1" t="s">
        <v>97</v>
      </c>
      <c r="D9" s="1" t="s">
        <v>59</v>
      </c>
      <c r="E9" s="3">
        <v>1019</v>
      </c>
      <c r="F9" s="2">
        <v>14.9</v>
      </c>
      <c r="G9" s="4">
        <v>152.1</v>
      </c>
      <c r="H9" s="4">
        <v>39.200000000000003</v>
      </c>
      <c r="I9" s="4">
        <v>191.4</v>
      </c>
      <c r="J9" s="2">
        <v>18.8</v>
      </c>
    </row>
    <row r="10" spans="1:11">
      <c r="A10" s="1" t="s">
        <v>0</v>
      </c>
      <c r="B10" s="1" t="s">
        <v>97</v>
      </c>
      <c r="D10" s="1" t="s">
        <v>60</v>
      </c>
      <c r="E10" s="3">
        <v>1284</v>
      </c>
      <c r="F10" s="2">
        <v>14.9</v>
      </c>
      <c r="G10" s="4">
        <v>191.6</v>
      </c>
      <c r="H10" s="4">
        <v>117.7</v>
      </c>
      <c r="I10" s="4">
        <v>309.2</v>
      </c>
      <c r="J10" s="2">
        <v>24.1</v>
      </c>
    </row>
    <row r="12" spans="1:11">
      <c r="E12" s="3">
        <f>SUM(E7:E11)</f>
        <v>5802</v>
      </c>
      <c r="F12" s="2">
        <f>+G12/E12*100</f>
        <v>13.87107893829714</v>
      </c>
      <c r="G12" s="4">
        <f>SUM(G7:G11)</f>
        <v>804.80000000000007</v>
      </c>
      <c r="H12" s="4">
        <f>SUM(H7:H10)</f>
        <v>156.9</v>
      </c>
      <c r="I12" s="4">
        <f>SUM(I7:I10)</f>
        <v>961.7</v>
      </c>
      <c r="J12" s="2">
        <f>+I12/E12*100</f>
        <v>16.575318855567048</v>
      </c>
    </row>
    <row r="15" spans="1:11">
      <c r="A15" s="1" t="s">
        <v>0</v>
      </c>
      <c r="B15" s="1" t="s">
        <v>91</v>
      </c>
      <c r="C15" s="1" t="s">
        <v>107</v>
      </c>
      <c r="D15" s="1" t="s">
        <v>68</v>
      </c>
      <c r="E15" s="3">
        <v>332</v>
      </c>
      <c r="F15" s="2">
        <v>10.9</v>
      </c>
      <c r="G15" s="4">
        <v>36.200000000000003</v>
      </c>
      <c r="I15" s="4">
        <v>36.200000000000003</v>
      </c>
      <c r="J15" s="2">
        <v>10.9</v>
      </c>
    </row>
    <row r="16" spans="1:11">
      <c r="A16" s="1" t="s">
        <v>0</v>
      </c>
      <c r="B16" s="1" t="s">
        <v>91</v>
      </c>
      <c r="C16" s="1" t="s">
        <v>107</v>
      </c>
      <c r="D16" s="1" t="s">
        <v>58</v>
      </c>
      <c r="E16" s="3">
        <v>25</v>
      </c>
      <c r="F16" s="2">
        <v>12.7</v>
      </c>
      <c r="G16" s="4">
        <v>3.2</v>
      </c>
      <c r="I16" s="4">
        <v>3.2</v>
      </c>
      <c r="J16" s="2">
        <v>12.7</v>
      </c>
    </row>
    <row r="17" spans="1:11">
      <c r="A17" s="1" t="s">
        <v>0</v>
      </c>
      <c r="B17" s="1" t="s">
        <v>91</v>
      </c>
      <c r="C17" s="1" t="s">
        <v>107</v>
      </c>
      <c r="D17" s="1" t="s">
        <v>59</v>
      </c>
      <c r="E17" s="3">
        <v>44</v>
      </c>
      <c r="F17" s="2">
        <v>12.7</v>
      </c>
      <c r="G17" s="4">
        <v>5.6</v>
      </c>
      <c r="I17" s="4">
        <v>5.6</v>
      </c>
      <c r="J17" s="2">
        <v>12.7</v>
      </c>
    </row>
    <row r="18" spans="1:11">
      <c r="A18" s="1" t="s">
        <v>0</v>
      </c>
      <c r="B18" s="1" t="s">
        <v>91</v>
      </c>
      <c r="C18" s="1" t="s">
        <v>107</v>
      </c>
      <c r="D18" s="1" t="s">
        <v>60</v>
      </c>
      <c r="E18" s="3">
        <v>56</v>
      </c>
      <c r="F18" s="2">
        <v>12.7</v>
      </c>
      <c r="G18" s="4">
        <v>7.1</v>
      </c>
      <c r="H18" s="4">
        <v>1.9</v>
      </c>
      <c r="I18" s="4">
        <v>8.9</v>
      </c>
      <c r="J18" s="2">
        <v>16</v>
      </c>
    </row>
    <row r="19" spans="1:11">
      <c r="A19" s="1" t="s">
        <v>0</v>
      </c>
    </row>
    <row r="20" spans="1:11">
      <c r="A20" s="1" t="s">
        <v>0</v>
      </c>
      <c r="B20" s="1" t="s">
        <v>91</v>
      </c>
      <c r="D20" s="1" t="s">
        <v>92</v>
      </c>
      <c r="E20" s="3">
        <f>SUM(E15:E19)</f>
        <v>457</v>
      </c>
      <c r="F20" s="2">
        <f>+G20/E20*100</f>
        <v>11.40043763676149</v>
      </c>
      <c r="G20" s="4">
        <f>SUM(G15:G19)</f>
        <v>52.100000000000009</v>
      </c>
      <c r="H20" s="4">
        <f>SUM(H15:H18)</f>
        <v>1.9</v>
      </c>
      <c r="I20" s="4">
        <f>SUM(I15:I18)</f>
        <v>53.900000000000006</v>
      </c>
      <c r="J20" s="2">
        <f>+I20/E20*100</f>
        <v>11.794310722100658</v>
      </c>
      <c r="K20" s="7">
        <f>(J20-F20)/F20</f>
        <v>3.4548944337811839E-2</v>
      </c>
    </row>
    <row r="23" spans="1:11">
      <c r="D23" s="1" t="s">
        <v>69</v>
      </c>
    </row>
    <row r="24" spans="1:11">
      <c r="D24" s="1" t="s">
        <v>70</v>
      </c>
    </row>
    <row r="25" spans="1:11">
      <c r="A25" s="1" t="s">
        <v>93</v>
      </c>
      <c r="C25" s="1" t="s">
        <v>134</v>
      </c>
      <c r="D25" s="1" t="s">
        <v>22</v>
      </c>
      <c r="G25" s="4">
        <v>10.4</v>
      </c>
      <c r="I25" s="4">
        <v>10.4</v>
      </c>
    </row>
    <row r="26" spans="1:11">
      <c r="A26" s="1" t="s">
        <v>93</v>
      </c>
      <c r="D26" s="1" t="s">
        <v>71</v>
      </c>
    </row>
    <row r="27" spans="1:11">
      <c r="A27" s="1" t="s">
        <v>93</v>
      </c>
      <c r="B27" s="1" t="s">
        <v>105</v>
      </c>
      <c r="D27" s="1" t="s">
        <v>72</v>
      </c>
      <c r="E27" s="3">
        <v>1135</v>
      </c>
      <c r="F27" s="2">
        <v>13.6</v>
      </c>
      <c r="G27" s="4">
        <v>154.5</v>
      </c>
      <c r="H27" s="4">
        <v>18.600000000000001</v>
      </c>
      <c r="I27" s="4">
        <v>173.1</v>
      </c>
      <c r="J27" s="2">
        <v>15.3</v>
      </c>
    </row>
    <row r="28" spans="1:11">
      <c r="A28" s="1" t="s">
        <v>93</v>
      </c>
      <c r="B28" s="1" t="s">
        <v>105</v>
      </c>
      <c r="D28" s="1" t="s">
        <v>73</v>
      </c>
      <c r="E28" s="3">
        <v>929</v>
      </c>
      <c r="F28" s="2">
        <v>13.6</v>
      </c>
      <c r="G28" s="4">
        <v>126.4</v>
      </c>
      <c r="H28" s="4">
        <v>43.4</v>
      </c>
      <c r="I28" s="4">
        <v>169.8</v>
      </c>
      <c r="J28" s="2">
        <v>18.3</v>
      </c>
    </row>
    <row r="29" spans="1:11">
      <c r="A29" s="1" t="s">
        <v>93</v>
      </c>
      <c r="B29" s="1" t="s">
        <v>105</v>
      </c>
      <c r="D29" s="1" t="s">
        <v>74</v>
      </c>
    </row>
    <row r="30" spans="1:11">
      <c r="A30" s="1" t="s">
        <v>93</v>
      </c>
      <c r="B30" s="1" t="s">
        <v>105</v>
      </c>
      <c r="D30" s="1" t="s">
        <v>72</v>
      </c>
      <c r="E30" s="3">
        <v>3</v>
      </c>
      <c r="F30" s="2">
        <v>13.2</v>
      </c>
      <c r="G30" s="4">
        <v>0.3</v>
      </c>
      <c r="H30" s="4">
        <v>0</v>
      </c>
      <c r="I30" s="4">
        <v>0.4</v>
      </c>
      <c r="J30" s="2">
        <v>14.9</v>
      </c>
    </row>
    <row r="31" spans="1:11">
      <c r="A31" s="1" t="s">
        <v>93</v>
      </c>
      <c r="B31" s="1" t="s">
        <v>105</v>
      </c>
      <c r="D31" s="1" t="s">
        <v>73</v>
      </c>
      <c r="E31" s="3">
        <v>2</v>
      </c>
      <c r="F31" s="2">
        <v>13.2</v>
      </c>
      <c r="G31" s="4">
        <v>0.3</v>
      </c>
      <c r="H31" s="4">
        <v>0.1</v>
      </c>
      <c r="I31" s="4">
        <v>0.4</v>
      </c>
      <c r="J31" s="2">
        <v>17.899999999999999</v>
      </c>
    </row>
    <row r="33" spans="1:11">
      <c r="D33" s="1" t="s">
        <v>75</v>
      </c>
      <c r="E33" s="3">
        <f>SUM(E24:E31)</f>
        <v>2069</v>
      </c>
      <c r="F33" s="2">
        <f>100*G33/E33</f>
        <v>14.108264862252298</v>
      </c>
      <c r="G33" s="4">
        <f>SUM(G24:G31)</f>
        <v>291.90000000000003</v>
      </c>
      <c r="H33" s="4">
        <f>SUM(H24:H31)</f>
        <v>62.1</v>
      </c>
      <c r="I33" s="4">
        <f>SUM(I24:I31)</f>
        <v>354.09999999999997</v>
      </c>
      <c r="J33" s="2">
        <f>I33/E33*100</f>
        <v>17.114548090865149</v>
      </c>
      <c r="K33" s="7">
        <f>(J33-F33)/F33</f>
        <v>0.21308667351832777</v>
      </c>
    </row>
    <row r="37" spans="1:11">
      <c r="D37" s="1" t="s">
        <v>76</v>
      </c>
    </row>
    <row r="38" spans="1:11">
      <c r="A38" s="1" t="s">
        <v>66</v>
      </c>
      <c r="C38" s="1" t="s">
        <v>135</v>
      </c>
      <c r="D38" s="1" t="s">
        <v>22</v>
      </c>
      <c r="G38" s="4">
        <v>278.5</v>
      </c>
      <c r="I38" s="4">
        <v>278.5</v>
      </c>
    </row>
    <row r="39" spans="1:11">
      <c r="A39" s="1" t="s">
        <v>66</v>
      </c>
      <c r="C39" s="1" t="s">
        <v>135</v>
      </c>
      <c r="D39" s="1" t="s">
        <v>77</v>
      </c>
    </row>
    <row r="40" spans="1:11">
      <c r="A40" s="1" t="s">
        <v>66</v>
      </c>
      <c r="C40" s="1" t="s">
        <v>135</v>
      </c>
      <c r="D40" s="1" t="s">
        <v>78</v>
      </c>
      <c r="E40" s="3">
        <v>757</v>
      </c>
      <c r="F40" s="2">
        <v>8.3000000000000007</v>
      </c>
      <c r="G40" s="4">
        <v>62.8</v>
      </c>
      <c r="H40" s="4">
        <v>41.2</v>
      </c>
      <c r="I40" s="4">
        <v>104</v>
      </c>
      <c r="J40" s="2">
        <v>13.7</v>
      </c>
    </row>
    <row r="41" spans="1:11">
      <c r="A41" s="1" t="s">
        <v>66</v>
      </c>
      <c r="C41" s="1" t="s">
        <v>135</v>
      </c>
      <c r="D41" s="1" t="s">
        <v>74</v>
      </c>
      <c r="E41" s="3">
        <v>165</v>
      </c>
      <c r="F41" s="2">
        <v>8.3000000000000007</v>
      </c>
      <c r="G41" s="4">
        <v>13.6</v>
      </c>
      <c r="H41" s="4">
        <v>8.6</v>
      </c>
      <c r="I41" s="4">
        <v>22.2</v>
      </c>
      <c r="J41" s="2">
        <v>13.5</v>
      </c>
    </row>
    <row r="42" spans="1:11">
      <c r="A42" s="1" t="s">
        <v>66</v>
      </c>
      <c r="C42" s="1" t="s">
        <v>135</v>
      </c>
      <c r="D42" s="1" t="s">
        <v>79</v>
      </c>
    </row>
    <row r="43" spans="1:11">
      <c r="A43" s="1" t="s">
        <v>66</v>
      </c>
      <c r="C43" s="1" t="s">
        <v>135</v>
      </c>
      <c r="D43" s="1" t="s">
        <v>78</v>
      </c>
      <c r="E43" s="3">
        <v>823</v>
      </c>
      <c r="F43" s="2">
        <v>8.8000000000000007</v>
      </c>
      <c r="G43" s="4">
        <v>72.7</v>
      </c>
      <c r="H43" s="4">
        <v>31.3</v>
      </c>
      <c r="I43" s="4">
        <v>104</v>
      </c>
      <c r="J43" s="2">
        <v>12.6</v>
      </c>
    </row>
    <row r="44" spans="1:11">
      <c r="A44" s="1" t="s">
        <v>66</v>
      </c>
      <c r="C44" s="1" t="s">
        <v>135</v>
      </c>
      <c r="D44" s="1" t="s">
        <v>74</v>
      </c>
      <c r="E44" s="3">
        <v>212</v>
      </c>
      <c r="F44" s="2">
        <v>8</v>
      </c>
      <c r="G44" s="4">
        <v>16.899999999999999</v>
      </c>
      <c r="H44" s="4">
        <v>8.8000000000000007</v>
      </c>
      <c r="I44" s="4">
        <v>25.7</v>
      </c>
      <c r="J44" s="2">
        <v>12.1</v>
      </c>
    </row>
    <row r="45" spans="1:11">
      <c r="A45" s="1" t="s">
        <v>66</v>
      </c>
      <c r="C45" s="1" t="s">
        <v>135</v>
      </c>
      <c r="D45" s="1" t="s">
        <v>80</v>
      </c>
    </row>
    <row r="46" spans="1:11">
      <c r="A46" s="1" t="s">
        <v>66</v>
      </c>
      <c r="C46" s="1" t="s">
        <v>135</v>
      </c>
      <c r="D46" s="1" t="s">
        <v>78</v>
      </c>
      <c r="E46" s="3">
        <v>1241</v>
      </c>
      <c r="F46" s="2">
        <v>8.6</v>
      </c>
      <c r="G46" s="4">
        <v>106.3</v>
      </c>
      <c r="H46" s="4">
        <v>35.299999999999997</v>
      </c>
      <c r="I46" s="4">
        <v>141.6</v>
      </c>
      <c r="J46" s="2">
        <v>11.4</v>
      </c>
    </row>
    <row r="47" spans="1:11">
      <c r="A47" s="1" t="s">
        <v>66</v>
      </c>
      <c r="C47" s="1" t="s">
        <v>135</v>
      </c>
      <c r="D47" s="1" t="s">
        <v>74</v>
      </c>
      <c r="E47" s="3">
        <v>325</v>
      </c>
      <c r="F47" s="2">
        <v>7.7</v>
      </c>
      <c r="G47" s="4">
        <v>25</v>
      </c>
      <c r="H47" s="4">
        <v>9.9</v>
      </c>
      <c r="I47" s="4">
        <v>34.9</v>
      </c>
      <c r="J47" s="2">
        <v>10.7</v>
      </c>
    </row>
    <row r="49" spans="1:11">
      <c r="A49" s="1" t="s">
        <v>66</v>
      </c>
      <c r="C49" s="1" t="s">
        <v>135</v>
      </c>
      <c r="D49" s="1" t="s">
        <v>77</v>
      </c>
    </row>
    <row r="50" spans="1:11">
      <c r="A50" s="1" t="s">
        <v>66</v>
      </c>
      <c r="C50" s="1" t="s">
        <v>135</v>
      </c>
      <c r="D50" s="1" t="s">
        <v>78</v>
      </c>
      <c r="E50" s="3">
        <v>361</v>
      </c>
      <c r="F50" s="2">
        <v>9.3000000000000007</v>
      </c>
      <c r="G50" s="4">
        <v>33.5</v>
      </c>
      <c r="H50" s="4">
        <v>11.4</v>
      </c>
      <c r="I50" s="4">
        <v>44.8</v>
      </c>
      <c r="J50" s="2">
        <v>12.4</v>
      </c>
    </row>
    <row r="51" spans="1:11">
      <c r="A51" s="1" t="s">
        <v>66</v>
      </c>
      <c r="C51" s="1" t="s">
        <v>135</v>
      </c>
      <c r="D51" s="1" t="s">
        <v>74</v>
      </c>
      <c r="E51" s="3">
        <v>81</v>
      </c>
      <c r="F51" s="2">
        <v>8.1999999999999993</v>
      </c>
      <c r="G51" s="4">
        <v>6.6</v>
      </c>
      <c r="H51" s="4">
        <v>2.7</v>
      </c>
      <c r="I51" s="4">
        <v>9.4</v>
      </c>
      <c r="J51" s="2">
        <v>11.6</v>
      </c>
    </row>
    <row r="52" spans="1:11">
      <c r="A52" s="1" t="s">
        <v>66</v>
      </c>
      <c r="C52" s="1" t="s">
        <v>135</v>
      </c>
      <c r="D52" s="1" t="s">
        <v>79</v>
      </c>
    </row>
    <row r="53" spans="1:11">
      <c r="A53" s="1" t="s">
        <v>66</v>
      </c>
      <c r="C53" s="1" t="s">
        <v>135</v>
      </c>
      <c r="D53" s="1" t="s">
        <v>78</v>
      </c>
      <c r="E53" s="3">
        <v>1613</v>
      </c>
      <c r="F53" s="2">
        <v>8.8000000000000007</v>
      </c>
      <c r="G53" s="4">
        <v>141.4</v>
      </c>
      <c r="H53" s="4">
        <v>50.7</v>
      </c>
      <c r="I53" s="4">
        <v>192.1</v>
      </c>
      <c r="J53" s="2">
        <v>11.9</v>
      </c>
    </row>
    <row r="54" spans="1:11">
      <c r="A54" s="1" t="s">
        <v>66</v>
      </c>
      <c r="C54" s="1" t="s">
        <v>135</v>
      </c>
      <c r="D54" s="1" t="s">
        <v>74</v>
      </c>
      <c r="E54" s="3">
        <v>389</v>
      </c>
      <c r="F54" s="2">
        <v>7.9</v>
      </c>
      <c r="G54" s="4">
        <v>30.7</v>
      </c>
      <c r="H54" s="4">
        <v>11.8</v>
      </c>
      <c r="I54" s="4">
        <v>42.6</v>
      </c>
      <c r="J54" s="2">
        <v>10.9</v>
      </c>
    </row>
    <row r="55" spans="1:11">
      <c r="A55" s="1" t="s">
        <v>66</v>
      </c>
      <c r="C55" s="1" t="s">
        <v>135</v>
      </c>
      <c r="D55" s="1" t="s">
        <v>80</v>
      </c>
    </row>
    <row r="56" spans="1:11">
      <c r="A56" s="1" t="s">
        <v>66</v>
      </c>
      <c r="C56" s="1" t="s">
        <v>135</v>
      </c>
      <c r="D56" s="1" t="s">
        <v>78</v>
      </c>
      <c r="E56" s="3">
        <v>1616</v>
      </c>
      <c r="F56" s="2">
        <v>8.6</v>
      </c>
      <c r="G56" s="4">
        <v>138.5</v>
      </c>
      <c r="H56" s="4">
        <v>46.3</v>
      </c>
      <c r="I56" s="4">
        <v>184.8</v>
      </c>
      <c r="J56" s="2">
        <v>11.4</v>
      </c>
    </row>
    <row r="57" spans="1:11">
      <c r="A57" s="1" t="s">
        <v>66</v>
      </c>
      <c r="C57" s="1" t="s">
        <v>135</v>
      </c>
      <c r="D57" s="1" t="s">
        <v>74</v>
      </c>
      <c r="E57" s="3">
        <v>423</v>
      </c>
      <c r="F57" s="2">
        <v>7.7</v>
      </c>
      <c r="G57" s="4">
        <v>32.5</v>
      </c>
      <c r="H57" s="4">
        <v>13</v>
      </c>
      <c r="I57" s="4">
        <v>45.5</v>
      </c>
      <c r="J57" s="2">
        <v>10.8</v>
      </c>
    </row>
    <row r="59" spans="1:11">
      <c r="D59" s="1" t="s">
        <v>81</v>
      </c>
      <c r="E59" s="3">
        <f>SUM(E38:E57)</f>
        <v>8006</v>
      </c>
      <c r="F59" s="2">
        <f>100*G59/E59</f>
        <v>11.978516112915313</v>
      </c>
      <c r="G59" s="4">
        <f>SUM(G38:G57)</f>
        <v>959</v>
      </c>
      <c r="H59" s="4">
        <f>SUM(H38:H57)</f>
        <v>271</v>
      </c>
      <c r="I59" s="4">
        <f>SUM(I38:I57)</f>
        <v>1230.0999999999999</v>
      </c>
      <c r="J59" s="2">
        <f>I59/E59*100</f>
        <v>15.364726455158632</v>
      </c>
      <c r="K59" s="7">
        <f>(J59-F59)/F59</f>
        <v>0.28269030239833165</v>
      </c>
    </row>
    <row r="62" spans="1:11">
      <c r="D62" s="1" t="s">
        <v>82</v>
      </c>
    </row>
    <row r="63" spans="1:11">
      <c r="A63" s="1" t="s">
        <v>66</v>
      </c>
      <c r="B63" s="1" t="s">
        <v>104</v>
      </c>
      <c r="C63" s="1" t="s">
        <v>136</v>
      </c>
      <c r="D63" s="1" t="s">
        <v>22</v>
      </c>
      <c r="G63" s="4">
        <v>6.5</v>
      </c>
      <c r="I63" s="4">
        <v>6.5</v>
      </c>
    </row>
    <row r="64" spans="1:11">
      <c r="A64" s="1" t="s">
        <v>66</v>
      </c>
      <c r="B64" s="1" t="s">
        <v>104</v>
      </c>
      <c r="C64" s="1" t="s">
        <v>136</v>
      </c>
      <c r="D64" s="1" t="s">
        <v>77</v>
      </c>
      <c r="E64" s="3">
        <v>63</v>
      </c>
      <c r="F64" s="2">
        <v>7.5</v>
      </c>
      <c r="G64" s="4">
        <v>4.7</v>
      </c>
      <c r="H64" s="4">
        <v>12.5</v>
      </c>
      <c r="I64" s="4">
        <v>17.2</v>
      </c>
      <c r="J64" s="2">
        <v>27.3</v>
      </c>
    </row>
    <row r="65" spans="1:11">
      <c r="A65" s="1" t="s">
        <v>66</v>
      </c>
      <c r="B65" s="1" t="s">
        <v>104</v>
      </c>
      <c r="C65" s="1" t="s">
        <v>136</v>
      </c>
      <c r="D65" s="1" t="s">
        <v>83</v>
      </c>
      <c r="E65" s="3">
        <v>594</v>
      </c>
      <c r="F65" s="2">
        <v>7.2</v>
      </c>
      <c r="G65" s="4">
        <v>42.5</v>
      </c>
      <c r="H65" s="4">
        <v>12.5</v>
      </c>
      <c r="I65" s="4">
        <v>55.1</v>
      </c>
      <c r="J65" s="2">
        <v>9.3000000000000007</v>
      </c>
    </row>
    <row r="67" spans="1:11">
      <c r="D67" s="1" t="s">
        <v>84</v>
      </c>
      <c r="E67" s="3">
        <f>SUM(E62:E66)</f>
        <v>657</v>
      </c>
      <c r="F67" s="2">
        <f>+G67/E67*100</f>
        <v>8.1735159817351608</v>
      </c>
      <c r="G67" s="4">
        <f>SUM(G62:G66)</f>
        <v>53.7</v>
      </c>
      <c r="H67" s="4">
        <f>SUM(H62:H65)</f>
        <v>25</v>
      </c>
      <c r="I67" s="4">
        <f>SUM(I62:I65)</f>
        <v>78.8</v>
      </c>
      <c r="J67" s="2">
        <f>+I67/E67*100</f>
        <v>11.993911719939117</v>
      </c>
      <c r="K67" s="7">
        <f>(J67-F67)/F67</f>
        <v>0.46741154562383591</v>
      </c>
    </row>
    <row r="70" spans="1:11">
      <c r="D70" s="1" t="s">
        <v>85</v>
      </c>
    </row>
    <row r="71" spans="1:11">
      <c r="D71" s="1" t="s">
        <v>86</v>
      </c>
    </row>
    <row r="72" spans="1:11">
      <c r="A72" s="1" t="s">
        <v>63</v>
      </c>
      <c r="C72" s="1" t="s">
        <v>137</v>
      </c>
      <c r="D72" s="1" t="s">
        <v>87</v>
      </c>
      <c r="E72" s="3">
        <v>0</v>
      </c>
      <c r="F72" s="2">
        <v>13.8</v>
      </c>
      <c r="G72" s="4">
        <v>0</v>
      </c>
      <c r="H72" s="4">
        <v>0</v>
      </c>
      <c r="I72" s="4">
        <v>0</v>
      </c>
      <c r="J72" s="2">
        <v>18</v>
      </c>
    </row>
    <row r="73" spans="1:11">
      <c r="A73" s="1" t="s">
        <v>63</v>
      </c>
      <c r="C73" s="1" t="s">
        <v>137</v>
      </c>
      <c r="D73" s="1" t="s">
        <v>88</v>
      </c>
      <c r="E73" s="3">
        <v>1</v>
      </c>
      <c r="F73" s="2">
        <v>12.9</v>
      </c>
      <c r="G73" s="4">
        <v>0.1</v>
      </c>
      <c r="H73" s="4">
        <v>0</v>
      </c>
      <c r="I73" s="4">
        <v>0.1</v>
      </c>
      <c r="J73" s="2">
        <v>15</v>
      </c>
    </row>
    <row r="74" spans="1:11">
      <c r="A74" s="1" t="s">
        <v>63</v>
      </c>
      <c r="C74" s="1" t="s">
        <v>137</v>
      </c>
      <c r="D74" s="1" t="s">
        <v>89</v>
      </c>
    </row>
    <row r="75" spans="1:11">
      <c r="A75" s="1" t="s">
        <v>63</v>
      </c>
      <c r="C75" s="1" t="s">
        <v>137</v>
      </c>
      <c r="D75" s="1" t="s">
        <v>72</v>
      </c>
      <c r="E75" s="3">
        <v>70</v>
      </c>
      <c r="F75" s="2">
        <v>12.7</v>
      </c>
      <c r="G75" s="4">
        <v>8.9</v>
      </c>
      <c r="H75" s="4">
        <v>1.4</v>
      </c>
      <c r="I75" s="4">
        <v>10.3</v>
      </c>
      <c r="J75" s="2">
        <v>14.8</v>
      </c>
    </row>
    <row r="76" spans="1:11">
      <c r="A76" s="1" t="s">
        <v>63</v>
      </c>
      <c r="C76" s="1" t="s">
        <v>137</v>
      </c>
      <c r="D76" s="1" t="s">
        <v>73</v>
      </c>
      <c r="E76" s="3">
        <v>57</v>
      </c>
      <c r="F76" s="2">
        <v>12.7</v>
      </c>
      <c r="G76" s="4">
        <v>7.3</v>
      </c>
      <c r="H76" s="4">
        <v>2.4</v>
      </c>
      <c r="I76" s="4">
        <v>9.6</v>
      </c>
      <c r="J76" s="2">
        <v>16.899999999999999</v>
      </c>
    </row>
    <row r="78" spans="1:11">
      <c r="D78" s="1" t="s">
        <v>90</v>
      </c>
      <c r="E78" s="3">
        <f>SUM(E73:E77)</f>
        <v>128</v>
      </c>
      <c r="F78" s="2">
        <f>+G78/E78*100</f>
        <v>12.734375</v>
      </c>
      <c r="G78" s="4">
        <f>SUM(G73:G77)</f>
        <v>16.3</v>
      </c>
      <c r="H78" s="4">
        <f>SUM(H73:H76)</f>
        <v>3.8</v>
      </c>
      <c r="I78" s="4">
        <f>SUM(I73:I76)</f>
        <v>20</v>
      </c>
      <c r="J78" s="2">
        <f>+I78/E78*100</f>
        <v>15.625</v>
      </c>
      <c r="K78" s="7">
        <f>(J78-F78)/F78</f>
        <v>0.22699386503067484</v>
      </c>
    </row>
    <row r="79" spans="1:11">
      <c r="J79" s="2">
        <v>15.8</v>
      </c>
      <c r="K79" s="7">
        <v>0.24</v>
      </c>
    </row>
    <row r="81" spans="1:11">
      <c r="D81" s="1" t="s">
        <v>61</v>
      </c>
    </row>
    <row r="82" spans="1:11">
      <c r="A82" s="1" t="s">
        <v>61</v>
      </c>
      <c r="D82" s="1" t="s">
        <v>22</v>
      </c>
      <c r="G82" s="4">
        <v>9.9</v>
      </c>
      <c r="I82" s="4">
        <v>9.9</v>
      </c>
    </row>
    <row r="83" spans="1:11">
      <c r="A83" s="1" t="s">
        <v>61</v>
      </c>
      <c r="D83" s="1" t="s">
        <v>72</v>
      </c>
      <c r="E83" s="3">
        <v>47</v>
      </c>
      <c r="F83" s="2">
        <v>3.1</v>
      </c>
      <c r="G83" s="4">
        <v>1.5</v>
      </c>
      <c r="I83" s="4">
        <v>1.5</v>
      </c>
      <c r="J83" s="2">
        <v>3.1</v>
      </c>
    </row>
    <row r="84" spans="1:11">
      <c r="A84" s="1" t="s">
        <v>61</v>
      </c>
      <c r="D84" s="1" t="s">
        <v>73</v>
      </c>
      <c r="E84" s="3">
        <v>39</v>
      </c>
      <c r="F84" s="2">
        <v>3.1</v>
      </c>
      <c r="G84" s="4">
        <v>1.2</v>
      </c>
      <c r="H84" s="4">
        <v>2.6</v>
      </c>
      <c r="I84" s="4">
        <v>3.8</v>
      </c>
      <c r="J84" s="2">
        <v>9.6999999999999993</v>
      </c>
    </row>
    <row r="86" spans="1:11">
      <c r="D86" s="1" t="s">
        <v>62</v>
      </c>
      <c r="E86" s="3">
        <f>SUM(E82:E84)</f>
        <v>86</v>
      </c>
      <c r="F86" s="2">
        <f>+G86/E86*100</f>
        <v>14.651162790697676</v>
      </c>
      <c r="G86" s="4">
        <f>SUM(G82:G84)</f>
        <v>12.6</v>
      </c>
      <c r="H86" s="4">
        <f>SUM(H82:H84)</f>
        <v>2.6</v>
      </c>
      <c r="I86" s="4">
        <f>SUM(I82:I84)</f>
        <v>15.2</v>
      </c>
      <c r="J86" s="2">
        <f>AVERAGE(J83:J84)</f>
        <v>6.3999999999999995</v>
      </c>
      <c r="K86" s="7">
        <f>(J86-F86)/F86</f>
        <v>-0.56317460317460333</v>
      </c>
    </row>
    <row r="87" spans="1:11">
      <c r="F87" s="2">
        <v>3.1</v>
      </c>
      <c r="K87" s="7">
        <v>0.21</v>
      </c>
    </row>
    <row r="89" spans="1:11">
      <c r="D89" s="1" t="s">
        <v>64</v>
      </c>
      <c r="E89" s="3">
        <f>E86+E78+E67+E59+E33+E20+E12</f>
        <v>17205</v>
      </c>
      <c r="F89" s="2">
        <f>G89/E89*100</f>
        <v>12.731182795698926</v>
      </c>
      <c r="G89" s="4">
        <f>G86+G78+G67+G59+G33+G20+G12</f>
        <v>2190.4</v>
      </c>
      <c r="H89" s="4">
        <f>H86+H78+H67+H59+H33+H20+H12</f>
        <v>523.29999999999995</v>
      </c>
      <c r="I89" s="4">
        <f>I86+I78+I67+I59+I33+I20+I12</f>
        <v>2713.8</v>
      </c>
      <c r="J89" s="2">
        <f>I89/E89*100</f>
        <v>15.773321708805582</v>
      </c>
      <c r="K89" s="7">
        <f>(J89-F89)/F89</f>
        <v>0.23895178962746541</v>
      </c>
    </row>
    <row r="92" spans="1:11">
      <c r="E92" s="3" t="s">
        <v>7</v>
      </c>
      <c r="F92" s="2" t="s">
        <v>9</v>
      </c>
      <c r="G92" s="4" t="s">
        <v>9</v>
      </c>
      <c r="H92" s="4" t="s">
        <v>10</v>
      </c>
      <c r="I92" s="4" t="s">
        <v>15</v>
      </c>
      <c r="J92" s="2" t="s">
        <v>16</v>
      </c>
    </row>
    <row r="93" spans="1:11">
      <c r="D93" s="1" t="s">
        <v>94</v>
      </c>
      <c r="E93" s="3" t="s">
        <v>8</v>
      </c>
      <c r="F93" s="2" t="s">
        <v>13</v>
      </c>
      <c r="G93" s="4" t="s">
        <v>12</v>
      </c>
      <c r="H93" s="4" t="s">
        <v>14</v>
      </c>
      <c r="I93" s="4" t="s">
        <v>10</v>
      </c>
      <c r="J93" s="2" t="s">
        <v>17</v>
      </c>
      <c r="K93" s="7" t="s">
        <v>65</v>
      </c>
    </row>
    <row r="95" spans="1:11">
      <c r="D95" s="1" t="s">
        <v>0</v>
      </c>
      <c r="E95" s="3">
        <f>+E12+E20</f>
        <v>6259</v>
      </c>
      <c r="F95" s="2">
        <f t="shared" ref="F95:F101" si="0">+G95/E95*100</f>
        <v>13.690685413005275</v>
      </c>
      <c r="G95" s="38">
        <f>+G12+G20</f>
        <v>856.90000000000009</v>
      </c>
      <c r="H95" s="38">
        <f>+H12+H20</f>
        <v>158.80000000000001</v>
      </c>
      <c r="I95" s="38">
        <f>+I12+I20</f>
        <v>1015.6</v>
      </c>
      <c r="J95" s="2">
        <f>I95/E95*100</f>
        <v>16.226234222719285</v>
      </c>
      <c r="K95" s="7">
        <f>(J95-F95)/F95</f>
        <v>0.18520247403430956</v>
      </c>
    </row>
    <row r="96" spans="1:11">
      <c r="D96" s="1" t="s">
        <v>98</v>
      </c>
      <c r="E96" s="3">
        <f>+E33</f>
        <v>2069</v>
      </c>
      <c r="F96" s="2">
        <f t="shared" si="0"/>
        <v>14.108264862252298</v>
      </c>
      <c r="G96" s="38">
        <f>+G33</f>
        <v>291.90000000000003</v>
      </c>
      <c r="H96" s="38">
        <f>+H33</f>
        <v>62.1</v>
      </c>
      <c r="I96" s="38">
        <f>+I33</f>
        <v>354.09999999999997</v>
      </c>
      <c r="J96" s="2">
        <f>I96/E96*100</f>
        <v>17.114548090865149</v>
      </c>
      <c r="K96" s="7">
        <f>(J96-F96)/F96</f>
        <v>0.21308667351832777</v>
      </c>
    </row>
    <row r="97" spans="4:11">
      <c r="D97" s="1" t="s">
        <v>63</v>
      </c>
      <c r="E97" s="3">
        <f>+E78</f>
        <v>128</v>
      </c>
      <c r="F97" s="2">
        <f t="shared" si="0"/>
        <v>12.734375</v>
      </c>
      <c r="G97" s="38">
        <f>+G78</f>
        <v>16.3</v>
      </c>
      <c r="H97" s="38">
        <f>+H78</f>
        <v>3.8</v>
      </c>
      <c r="I97" s="38">
        <f>+I78</f>
        <v>20</v>
      </c>
      <c r="J97" s="2">
        <f>I97/E97*100</f>
        <v>15.625</v>
      </c>
      <c r="K97" s="7">
        <f>(J97-F97)/F97</f>
        <v>0.22699386503067484</v>
      </c>
    </row>
    <row r="98" spans="4:11">
      <c r="D98" s="1" t="s">
        <v>99</v>
      </c>
      <c r="E98" s="3">
        <f>+E86</f>
        <v>86</v>
      </c>
      <c r="F98" s="2">
        <f t="shared" si="0"/>
        <v>14.651162790697676</v>
      </c>
      <c r="G98" s="38">
        <f>+G86</f>
        <v>12.6</v>
      </c>
      <c r="H98" s="38">
        <f>+H86</f>
        <v>2.6</v>
      </c>
      <c r="I98" s="38">
        <f>+I86</f>
        <v>15.2</v>
      </c>
      <c r="J98" s="2">
        <f>I98/E98*100</f>
        <v>17.674418604651162</v>
      </c>
      <c r="K98" s="7">
        <f>(J98-F98)/F98</f>
        <v>0.20634920634920623</v>
      </c>
    </row>
    <row r="99" spans="4:11">
      <c r="D99" s="1" t="s">
        <v>66</v>
      </c>
      <c r="E99" s="3">
        <f>+E59+E67</f>
        <v>8663</v>
      </c>
      <c r="F99" s="2">
        <f t="shared" si="0"/>
        <v>11.689945746277273</v>
      </c>
      <c r="G99" s="38">
        <f>+G59+G67</f>
        <v>1012.7</v>
      </c>
      <c r="H99" s="38">
        <f>+H59+H67</f>
        <v>296</v>
      </c>
      <c r="I99" s="38">
        <f>+I59+I67</f>
        <v>1308.8999999999999</v>
      </c>
      <c r="J99" s="2">
        <f>I99/E99*100</f>
        <v>15.109084612720766</v>
      </c>
      <c r="K99" s="7">
        <f>(J99-F99)/F99</f>
        <v>0.29248543497580703</v>
      </c>
    </row>
    <row r="100" spans="4:11">
      <c r="G100" s="38"/>
      <c r="H100" s="38"/>
      <c r="I100" s="38"/>
      <c r="K100" s="8"/>
    </row>
    <row r="101" spans="4:11">
      <c r="D101" s="1" t="s">
        <v>47</v>
      </c>
      <c r="E101" s="3">
        <f>SUM(E95:E100)</f>
        <v>17205</v>
      </c>
      <c r="F101" s="2">
        <f t="shared" si="0"/>
        <v>12.731182795698926</v>
      </c>
      <c r="G101" s="38">
        <f>SUM(G95:G100)</f>
        <v>2190.4</v>
      </c>
      <c r="H101" s="38">
        <f>SUM(H95:H100)</f>
        <v>523.29999999999995</v>
      </c>
      <c r="I101" s="38">
        <f>SUM(I95:I100)</f>
        <v>2713.8</v>
      </c>
      <c r="J101" s="2">
        <f>I101/E101*100</f>
        <v>15.773321708805582</v>
      </c>
      <c r="K101" s="7">
        <f>(J101-F101)/F101</f>
        <v>0.23895178962746541</v>
      </c>
    </row>
    <row r="102" spans="4:11">
      <c r="K102" s="8"/>
    </row>
    <row r="104" spans="4:11">
      <c r="D104" s="1" t="s">
        <v>144</v>
      </c>
      <c r="E104" s="23">
        <f>+E12+E20+E33+E59+E86+E78</f>
        <v>16548</v>
      </c>
      <c r="F104" s="2">
        <f>+G104/E104*100</f>
        <v>12.912134396905973</v>
      </c>
      <c r="G104" s="23">
        <f>+G12+G20+G33+G59+G86+G78</f>
        <v>2136.7000000000003</v>
      </c>
      <c r="H104" s="23">
        <f>+H12+H20+H33+H59+H86+H78</f>
        <v>498.3</v>
      </c>
      <c r="I104" s="23">
        <f>+I12+I20+I33+I59+I86+I78</f>
        <v>2635</v>
      </c>
      <c r="J104" s="5">
        <f>I104/E104*100</f>
        <v>15.923374425912499</v>
      </c>
      <c r="K104" s="7">
        <f>(J104-F104)/F104</f>
        <v>0.23321009032620388</v>
      </c>
    </row>
    <row r="105" spans="4:11">
      <c r="D105" s="1" t="s">
        <v>145</v>
      </c>
      <c r="E105" s="23">
        <f>+E67</f>
        <v>657</v>
      </c>
      <c r="F105" s="2">
        <f>+G105/E105*100</f>
        <v>8.1735159817351608</v>
      </c>
      <c r="G105" s="23">
        <f>+G67</f>
        <v>53.7</v>
      </c>
      <c r="H105" s="23">
        <f>+H67</f>
        <v>25</v>
      </c>
      <c r="I105" s="23">
        <f>+I67</f>
        <v>78.8</v>
      </c>
      <c r="J105" s="5">
        <f>I105/E105*100</f>
        <v>11.993911719939117</v>
      </c>
      <c r="K105" s="7">
        <f>(J105-F105)/F105</f>
        <v>0.46741154562383591</v>
      </c>
    </row>
    <row r="106" spans="4:11">
      <c r="D106"/>
      <c r="E106" s="23"/>
      <c r="G106" s="23"/>
      <c r="H106" s="23"/>
      <c r="I106" s="23"/>
      <c r="K106" s="31"/>
    </row>
    <row r="107" spans="4:11">
      <c r="D107" s="1" t="s">
        <v>47</v>
      </c>
      <c r="E107" s="23">
        <f>+E104+E105</f>
        <v>17205</v>
      </c>
      <c r="F107" s="2">
        <f>+G107/E107*100</f>
        <v>12.731182795698926</v>
      </c>
      <c r="G107" s="23">
        <f>+G104+G105</f>
        <v>2190.4</v>
      </c>
      <c r="H107" s="23">
        <f>+H104+H105</f>
        <v>523.29999999999995</v>
      </c>
      <c r="I107" s="23">
        <f>+I104+I105</f>
        <v>2713.8</v>
      </c>
      <c r="J107" s="5">
        <f>I107/E107*100</f>
        <v>15.773321708805582</v>
      </c>
      <c r="K107" s="7">
        <f>(J107-F107)/F107</f>
        <v>0.23895178962746541</v>
      </c>
    </row>
  </sheetData>
  <phoneticPr fontId="0" type="noConversion"/>
  <pageMargins left="0.75" right="0.75" top="1" bottom="1" header="0.5" footer="0.5"/>
  <pageSetup scale="50" fitToHeight="2" orientation="landscape" verticalDpi="196" r:id="rId1"/>
  <headerFooter alignWithMargins="0">
    <oddFooter>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5:H61"/>
  <sheetViews>
    <sheetView topLeftCell="A5" workbookViewId="0">
      <selection activeCell="D29" sqref="D29"/>
    </sheetView>
  </sheetViews>
  <sheetFormatPr defaultRowHeight="12.75"/>
  <cols>
    <col min="1" max="1" width="11.28515625" bestFit="1" customWidth="1"/>
    <col min="2" max="2" width="13" style="3" bestFit="1" customWidth="1"/>
    <col min="3" max="3" width="12.42578125" style="15" bestFit="1" customWidth="1"/>
    <col min="4" max="4" width="16.42578125" style="4" bestFit="1" customWidth="1"/>
    <col min="5" max="5" width="16" style="4" bestFit="1" customWidth="1"/>
    <col min="6" max="6" width="13" style="4" bestFit="1" customWidth="1"/>
    <col min="7" max="7" width="12.28515625" style="15" bestFit="1" customWidth="1"/>
    <col min="8" max="8" width="10.5703125" style="36" bestFit="1" customWidth="1"/>
  </cols>
  <sheetData>
    <row r="5" spans="1:8">
      <c r="D5" s="35" t="s">
        <v>101</v>
      </c>
    </row>
    <row r="7" spans="1:8">
      <c r="B7" s="3" t="str">
        <f>+PGE!E129</f>
        <v>Annual</v>
      </c>
      <c r="C7" s="15" t="str">
        <f>+PGE!F129</f>
        <v>Current</v>
      </c>
      <c r="D7" s="4" t="str">
        <f>+PGE!G129</f>
        <v>Current</v>
      </c>
      <c r="E7" s="4" t="str">
        <f>+PGE!H129</f>
        <v>Revenue</v>
      </c>
      <c r="F7" s="4" t="str">
        <f>+PGE!I129</f>
        <v xml:space="preserve">New Total </v>
      </c>
      <c r="G7" s="15" t="str">
        <f>+PGE!J129</f>
        <v>New Rates</v>
      </c>
    </row>
    <row r="8" spans="1:8">
      <c r="A8" t="str">
        <f>+PGE!D130</f>
        <v>Description</v>
      </c>
      <c r="B8" s="3" t="str">
        <f>+PGE!E130</f>
        <v>Sales (GWh)</v>
      </c>
      <c r="C8" s="15" t="str">
        <f>+PGE!F130</f>
        <v>Rate (cents)</v>
      </c>
      <c r="D8" s="4" t="str">
        <f>+PGE!G130</f>
        <v>Revenue (MM)</v>
      </c>
      <c r="E8" s="4" t="str">
        <f>+PGE!H130</f>
        <v>Increase (MM)</v>
      </c>
      <c r="F8" s="4" t="str">
        <f>+PGE!I130</f>
        <v>Revenue</v>
      </c>
      <c r="G8" s="15" t="str">
        <f>+PGE!J130</f>
        <v>(cents/kWh)</v>
      </c>
      <c r="H8" s="36" t="str">
        <f>+PGE!K130</f>
        <v>Increase %</v>
      </c>
    </row>
    <row r="10" spans="1:8">
      <c r="A10" t="str">
        <f>+PGE!D132</f>
        <v>Residential</v>
      </c>
      <c r="B10" s="3">
        <f>+PGE!E132</f>
        <v>28847.626315000001</v>
      </c>
      <c r="C10" s="15">
        <f>+PGE!F132</f>
        <v>11.606402927020167</v>
      </c>
      <c r="D10" s="4">
        <f>+PGE!G132</f>
        <v>3348.1717450000001</v>
      </c>
      <c r="E10" s="4">
        <f>+PGE!H132</f>
        <v>697.53789899999992</v>
      </c>
      <c r="F10" s="4">
        <f>+PGE!I132</f>
        <v>4045.709644</v>
      </c>
      <c r="G10" s="15">
        <f>+PGE!J132</f>
        <v>14.024410881585561</v>
      </c>
      <c r="H10" s="36">
        <f>+PGE!K132</f>
        <v>0.20833396615381813</v>
      </c>
    </row>
    <row r="11" spans="1:8">
      <c r="A11" t="str">
        <f>+PGE!D133</f>
        <v>Commercial</v>
      </c>
      <c r="B11" s="3">
        <f>+PGE!E133</f>
        <v>31968.365512</v>
      </c>
      <c r="C11" s="15">
        <f>+PGE!F133</f>
        <v>10.826173007502868</v>
      </c>
      <c r="D11" s="4">
        <f>+PGE!G133</f>
        <v>3460.950558</v>
      </c>
      <c r="E11" s="4">
        <f>+PGE!H133</f>
        <v>1386.612666</v>
      </c>
      <c r="F11" s="4">
        <f>+PGE!I133</f>
        <v>4847.5632239999995</v>
      </c>
      <c r="G11" s="15">
        <f>+PGE!J133</f>
        <v>15.163625497776433</v>
      </c>
      <c r="H11" s="36">
        <f>+PGE!K133</f>
        <v>0.40064503747239011</v>
      </c>
    </row>
    <row r="12" spans="1:8">
      <c r="A12" t="str">
        <f>+PGE!D134</f>
        <v>Agricultural</v>
      </c>
      <c r="B12" s="3">
        <f>+PGE!E134</f>
        <v>3422.8742029999999</v>
      </c>
      <c r="C12" s="15">
        <f>+PGE!F134</f>
        <v>11.907387996987397</v>
      </c>
      <c r="D12" s="4">
        <f>+PGE!G134</f>
        <v>407.57491199999998</v>
      </c>
      <c r="E12" s="4">
        <f>+PGE!H134</f>
        <v>77.384169999999997</v>
      </c>
      <c r="F12" s="4">
        <f>+PGE!I134</f>
        <v>484.95908200000002</v>
      </c>
      <c r="G12" s="15">
        <f>+PGE!J134</f>
        <v>14.168183030943835</v>
      </c>
      <c r="H12" s="36">
        <f>+PGE!K134</f>
        <v>0.18986490022231786</v>
      </c>
    </row>
    <row r="13" spans="1:8">
      <c r="A13" t="str">
        <f>+PGE!D135</f>
        <v>Other</v>
      </c>
      <c r="B13" s="3">
        <f>+PGE!E135</f>
        <v>517.65839499999993</v>
      </c>
      <c r="C13" s="15">
        <f>+PGE!F135</f>
        <v>12.543412533665183</v>
      </c>
      <c r="D13" s="4">
        <f>+PGE!G135</f>
        <v>64.932028000000003</v>
      </c>
      <c r="E13" s="4">
        <f>+PGE!H135</f>
        <v>22.505094</v>
      </c>
      <c r="F13" s="4">
        <f>+PGE!I135</f>
        <v>87.437122000000002</v>
      </c>
      <c r="G13" s="15">
        <f>+PGE!J135</f>
        <v>16.890892303601106</v>
      </c>
      <c r="H13" s="36">
        <f>+PGE!K135</f>
        <v>0.34659465741621354</v>
      </c>
    </row>
    <row r="14" spans="1:8">
      <c r="A14" t="str">
        <f>+PGE!D136</f>
        <v>Industrial</v>
      </c>
      <c r="B14" s="3">
        <f>+PGE!E136</f>
        <v>17234.446501999999</v>
      </c>
      <c r="C14" s="15">
        <f>+PGE!F136</f>
        <v>7.1708645175032615</v>
      </c>
      <c r="D14" s="4">
        <f>+PGE!G136</f>
        <v>1235.8588089999998</v>
      </c>
      <c r="E14" s="4">
        <f>+PGE!H136</f>
        <v>698.68929300000002</v>
      </c>
      <c r="F14" s="4">
        <f>+PGE!I136</f>
        <v>1934.548102</v>
      </c>
      <c r="G14" s="15">
        <f>+PGE!J136</f>
        <v>11.224892553268258</v>
      </c>
      <c r="H14" s="36">
        <f>+PGE!K136</f>
        <v>0.56534718036710596</v>
      </c>
    </row>
    <row r="16" spans="1:8">
      <c r="A16" t="str">
        <f>+PGE!D138</f>
        <v>Total</v>
      </c>
      <c r="B16" s="3">
        <f>+PGE!E138</f>
        <v>81990.970927000002</v>
      </c>
      <c r="C16" s="15">
        <f>+PGE!F138</f>
        <v>10.388324416335399</v>
      </c>
      <c r="D16" s="4">
        <f>+PGE!G138</f>
        <v>8517.4880520000006</v>
      </c>
      <c r="E16" s="4">
        <f>+PGE!H138</f>
        <v>2882.7291219999997</v>
      </c>
      <c r="F16" s="4">
        <f>+PGE!I138</f>
        <v>11400.217173999999</v>
      </c>
      <c r="G16" s="15">
        <f>+PGE!J138</f>
        <v>13.904234875020679</v>
      </c>
      <c r="H16" s="36">
        <f>+PGE!K138</f>
        <v>0.33844827305899228</v>
      </c>
    </row>
    <row r="20" spans="1:8">
      <c r="D20" s="35" t="s">
        <v>102</v>
      </c>
    </row>
    <row r="22" spans="1:8">
      <c r="B22" s="3" t="str">
        <f>+SCE!E123</f>
        <v>Annual</v>
      </c>
      <c r="C22" s="15" t="str">
        <f>+SCE!F123</f>
        <v>Current</v>
      </c>
      <c r="D22" s="4" t="str">
        <f>+SCE!G123</f>
        <v>Current</v>
      </c>
      <c r="E22" s="4" t="str">
        <f>+SCE!H123</f>
        <v>Revenue</v>
      </c>
      <c r="F22" s="4" t="str">
        <f>+SCE!I123</f>
        <v xml:space="preserve">New Total </v>
      </c>
      <c r="G22" s="15" t="str">
        <f>+SCE!J123</f>
        <v>New Rates</v>
      </c>
    </row>
    <row r="23" spans="1:8">
      <c r="A23" t="str">
        <f>+SCE!D124</f>
        <v>Description</v>
      </c>
      <c r="B23" s="3" t="str">
        <f>+SCE!E124</f>
        <v>Sales (GWh)</v>
      </c>
      <c r="C23" s="15" t="str">
        <f>+SCE!F124</f>
        <v>Rate (cents)</v>
      </c>
      <c r="D23" s="4" t="str">
        <f>+SCE!G124</f>
        <v>Revenue (MM)</v>
      </c>
      <c r="E23" s="4" t="str">
        <f>+SCE!H124</f>
        <v>Increase (MM)</v>
      </c>
      <c r="F23" s="4" t="str">
        <f>+SCE!I124</f>
        <v>Revenue</v>
      </c>
      <c r="G23" s="15" t="str">
        <f>+SCE!J124</f>
        <v>(cents/kWh)</v>
      </c>
      <c r="H23" s="36" t="str">
        <f>+SCE!K124</f>
        <v>Increase %</v>
      </c>
    </row>
    <row r="25" spans="1:8">
      <c r="A25" t="str">
        <f>+SCE!D126</f>
        <v>Residential</v>
      </c>
      <c r="B25" s="3">
        <f>+SCE!E126</f>
        <v>24918.3</v>
      </c>
      <c r="C25" s="15">
        <f>+SCE!F126</f>
        <v>13.825180690496545</v>
      </c>
      <c r="D25" s="4">
        <f>+SCE!G126</f>
        <v>3445</v>
      </c>
      <c r="E25" s="4">
        <f>+SCE!H126</f>
        <v>590.5</v>
      </c>
      <c r="F25" s="4">
        <f>+SCE!I126</f>
        <v>4035.5</v>
      </c>
      <c r="G25" s="15">
        <f>+SCE!J126</f>
        <v>16.194925014948851</v>
      </c>
      <c r="H25" s="36">
        <f>+SCE!K126</f>
        <v>0.17140783744557295</v>
      </c>
    </row>
    <row r="26" spans="1:8">
      <c r="A26" t="str">
        <f>+SCE!D127</f>
        <v>Commercial</v>
      </c>
      <c r="B26" s="3">
        <f>+SCE!E127</f>
        <v>30371.7</v>
      </c>
      <c r="C26" s="15">
        <f>+SCE!F127</f>
        <v>11.535738862164449</v>
      </c>
      <c r="D26" s="4">
        <f>+SCE!G127</f>
        <v>3503.6</v>
      </c>
      <c r="E26" s="4">
        <f>+SCE!H127</f>
        <v>1243.8</v>
      </c>
      <c r="F26" s="4">
        <f>+SCE!I127</f>
        <v>4747.3999999999996</v>
      </c>
      <c r="G26" s="15">
        <f>+SCE!J127</f>
        <v>15.63099859408594</v>
      </c>
      <c r="H26" s="36">
        <f>+SCE!K127</f>
        <v>0.35500627925562267</v>
      </c>
    </row>
    <row r="27" spans="1:8">
      <c r="A27" t="str">
        <f>+SCE!D128</f>
        <v>Agricultural</v>
      </c>
      <c r="B27" s="3">
        <f>+SCE!E128</f>
        <v>3115.7999999999997</v>
      </c>
      <c r="C27" s="15">
        <f>+SCE!F128</f>
        <v>10.106553694075359</v>
      </c>
      <c r="D27" s="4">
        <f>+SCE!G128</f>
        <v>314.89999999999998</v>
      </c>
      <c r="E27" s="4">
        <f>+SCE!H128</f>
        <v>54.8</v>
      </c>
      <c r="F27" s="4">
        <f>+SCE!I128</f>
        <v>369.8</v>
      </c>
      <c r="G27" s="15">
        <f>+SCE!J128</f>
        <v>11.868540984658837</v>
      </c>
      <c r="H27" s="36">
        <f>+SCE!K128</f>
        <v>0.17434106065417598</v>
      </c>
    </row>
    <row r="28" spans="1:8">
      <c r="A28" t="str">
        <f>+SCE!D129</f>
        <v>Other</v>
      </c>
      <c r="B28" s="3">
        <f>+SCE!E129</f>
        <v>529.29999999999995</v>
      </c>
      <c r="C28" s="15">
        <f>+SCE!F129</f>
        <v>14.774230115246553</v>
      </c>
      <c r="D28" s="4">
        <f>+SCE!G129</f>
        <v>78.2</v>
      </c>
      <c r="E28" s="4">
        <f>+SCE!H129</f>
        <v>16.2</v>
      </c>
      <c r="F28" s="4">
        <f>+SCE!I129</f>
        <v>94.4</v>
      </c>
      <c r="G28" s="15">
        <f>+SCE!J129</f>
        <v>17.834876251653128</v>
      </c>
      <c r="H28" s="36">
        <f>+SCE!K129</f>
        <v>0.20716112531969311</v>
      </c>
    </row>
    <row r="29" spans="1:8">
      <c r="A29" t="str">
        <f>+SCE!D130</f>
        <v>Industrial</v>
      </c>
      <c r="B29" s="3">
        <f>+SCE!E130</f>
        <v>24844.9</v>
      </c>
      <c r="C29" s="15">
        <f>+SCE!F130</f>
        <v>8.6307451428663438</v>
      </c>
      <c r="D29" s="4">
        <f>+SCE!G130</f>
        <v>2144.3000000000002</v>
      </c>
      <c r="E29" s="4">
        <f>+SCE!H130</f>
        <v>1055.7</v>
      </c>
      <c r="F29" s="4">
        <f>+SCE!I130</f>
        <v>3200</v>
      </c>
      <c r="G29" s="15">
        <f>+SCE!J130</f>
        <v>12.87990694267234</v>
      </c>
      <c r="H29" s="36">
        <f>+SCE!K130</f>
        <v>0.49232849881080071</v>
      </c>
    </row>
    <row r="31" spans="1:8">
      <c r="A31" t="str">
        <f>+SCE!D132</f>
        <v>Total</v>
      </c>
      <c r="B31" s="3">
        <f>+SCE!E132</f>
        <v>83780</v>
      </c>
      <c r="C31" s="15">
        <f>+SCE!F132</f>
        <v>11.322511339221771</v>
      </c>
      <c r="D31" s="4">
        <f>+SCE!G132</f>
        <v>9486</v>
      </c>
      <c r="E31" s="4">
        <f>+SCE!H132</f>
        <v>2961</v>
      </c>
      <c r="F31" s="4">
        <f>+SCE!I132</f>
        <v>12447.099999999999</v>
      </c>
      <c r="G31" s="15">
        <f>+SCE!J132</f>
        <v>14.856887085223203</v>
      </c>
      <c r="H31" s="36">
        <f>+SCE!K132</f>
        <v>0.31215475437486823</v>
      </c>
    </row>
    <row r="35" spans="1:8">
      <c r="D35" s="35" t="s">
        <v>103</v>
      </c>
    </row>
    <row r="37" spans="1:8">
      <c r="B37" s="3" t="str">
        <f>+SDGE!E92</f>
        <v>Annual</v>
      </c>
      <c r="C37" s="15" t="str">
        <f>+SDGE!F92</f>
        <v>Current</v>
      </c>
      <c r="D37" s="4" t="str">
        <f>+SDGE!G92</f>
        <v>Current</v>
      </c>
      <c r="E37" s="4" t="str">
        <f>+SDGE!H92</f>
        <v>Revenue</v>
      </c>
      <c r="F37" s="4" t="str">
        <f>+SDGE!I92</f>
        <v xml:space="preserve">New Total </v>
      </c>
      <c r="G37" s="15" t="str">
        <f>+SDGE!J92</f>
        <v>New Rates</v>
      </c>
    </row>
    <row r="38" spans="1:8">
      <c r="A38" t="str">
        <f>+SDGE!D93</f>
        <v>Description</v>
      </c>
      <c r="B38" s="3" t="str">
        <f>+SDGE!E93</f>
        <v>Sales (GWh)</v>
      </c>
      <c r="C38" s="15" t="str">
        <f>+SDGE!F93</f>
        <v>Rate (cents)</v>
      </c>
      <c r="D38" s="4" t="str">
        <f>+SDGE!G93</f>
        <v>Revenue (MM)</v>
      </c>
      <c r="E38" s="4" t="str">
        <f>+SDGE!H93</f>
        <v>Increase (MM)</v>
      </c>
      <c r="F38" s="4" t="str">
        <f>+SDGE!I93</f>
        <v>Revenue</v>
      </c>
      <c r="G38" s="15" t="str">
        <f>+SDGE!J93</f>
        <v>(cents/kWh)</v>
      </c>
      <c r="H38" s="36" t="str">
        <f>+SDGE!K93</f>
        <v>Increase %</v>
      </c>
    </row>
    <row r="40" spans="1:8">
      <c r="A40" t="str">
        <f>+SDGE!D95</f>
        <v>Residential</v>
      </c>
      <c r="B40" s="3">
        <f>+SDGE!E95</f>
        <v>6259</v>
      </c>
      <c r="C40" s="15">
        <f>+SDGE!F95</f>
        <v>13.690685413005275</v>
      </c>
      <c r="D40" s="4">
        <f>+SDGE!G95</f>
        <v>856.90000000000009</v>
      </c>
      <c r="E40" s="4">
        <f>+SDGE!H95</f>
        <v>158.80000000000001</v>
      </c>
      <c r="F40" s="4">
        <f>+SDGE!I95</f>
        <v>1015.6</v>
      </c>
      <c r="G40" s="15">
        <f>+SDGE!J95</f>
        <v>16.226234222719285</v>
      </c>
      <c r="H40" s="36">
        <f>+SDGE!K95</f>
        <v>0.18520247403430956</v>
      </c>
    </row>
    <row r="41" spans="1:8">
      <c r="A41" t="str">
        <f>+SDGE!D96</f>
        <v>Commercial</v>
      </c>
      <c r="B41" s="3">
        <f>+SDGE!E96</f>
        <v>2069</v>
      </c>
      <c r="C41" s="15">
        <f>+SDGE!F96</f>
        <v>14.108264862252298</v>
      </c>
      <c r="D41" s="4">
        <f>+SDGE!G96</f>
        <v>291.90000000000003</v>
      </c>
      <c r="E41" s="4">
        <f>+SDGE!H96</f>
        <v>62.1</v>
      </c>
      <c r="F41" s="4">
        <f>+SDGE!I96</f>
        <v>354.09999999999997</v>
      </c>
      <c r="G41" s="15">
        <f>+SDGE!J96</f>
        <v>17.114548090865149</v>
      </c>
      <c r="H41" s="36">
        <f>+SDGE!K96</f>
        <v>0.21308667351832777</v>
      </c>
    </row>
    <row r="42" spans="1:8">
      <c r="A42" t="str">
        <f>+SDGE!D97</f>
        <v>Agricultural</v>
      </c>
      <c r="B42" s="3">
        <f>+SDGE!E97</f>
        <v>128</v>
      </c>
      <c r="C42" s="15">
        <f>+SDGE!F97</f>
        <v>12.734375</v>
      </c>
      <c r="D42" s="4">
        <f>+SDGE!G97</f>
        <v>16.3</v>
      </c>
      <c r="E42" s="4">
        <f>+SDGE!H97</f>
        <v>3.8</v>
      </c>
      <c r="F42" s="4">
        <f>+SDGE!I97</f>
        <v>20</v>
      </c>
      <c r="G42" s="15">
        <f>+SDGE!J97</f>
        <v>15.625</v>
      </c>
      <c r="H42" s="36">
        <f>+SDGE!K97</f>
        <v>0.22699386503067484</v>
      </c>
    </row>
    <row r="43" spans="1:8">
      <c r="A43" t="str">
        <f>+SDGE!D98</f>
        <v>Other</v>
      </c>
      <c r="B43" s="3">
        <f>+SDGE!E98</f>
        <v>86</v>
      </c>
      <c r="C43" s="15">
        <f>+SDGE!F98</f>
        <v>14.651162790697676</v>
      </c>
      <c r="D43" s="4">
        <f>+SDGE!G98</f>
        <v>12.6</v>
      </c>
      <c r="E43" s="4">
        <f>+SDGE!H98</f>
        <v>2.6</v>
      </c>
      <c r="F43" s="4">
        <f>+SDGE!I98</f>
        <v>15.2</v>
      </c>
      <c r="G43" s="15">
        <f>+SDGE!J98</f>
        <v>17.674418604651162</v>
      </c>
      <c r="H43" s="36">
        <f>+SDGE!K98</f>
        <v>0.20634920634920623</v>
      </c>
    </row>
    <row r="44" spans="1:8">
      <c r="A44" t="str">
        <f>+SDGE!D99</f>
        <v>Industrial</v>
      </c>
      <c r="B44" s="3">
        <f>+SDGE!E99</f>
        <v>8663</v>
      </c>
      <c r="C44" s="15">
        <f>+SDGE!F99</f>
        <v>11.689945746277273</v>
      </c>
      <c r="D44" s="4">
        <f>+SDGE!G99</f>
        <v>1012.7</v>
      </c>
      <c r="E44" s="4">
        <f>+SDGE!H99</f>
        <v>296</v>
      </c>
      <c r="F44" s="4">
        <f>+SDGE!I99</f>
        <v>1308.8999999999999</v>
      </c>
      <c r="G44" s="15">
        <f>+SDGE!J99</f>
        <v>15.109084612720766</v>
      </c>
      <c r="H44" s="36">
        <f>+SDGE!K99</f>
        <v>0.29248543497580703</v>
      </c>
    </row>
    <row r="46" spans="1:8">
      <c r="A46" t="str">
        <f>+SDGE!D101</f>
        <v>Total</v>
      </c>
      <c r="B46" s="3">
        <f>+SDGE!E101</f>
        <v>17205</v>
      </c>
      <c r="C46" s="15">
        <f>+SDGE!F101</f>
        <v>12.731182795698926</v>
      </c>
      <c r="D46" s="4">
        <f>+SDGE!G101</f>
        <v>2190.4</v>
      </c>
      <c r="E46" s="4">
        <f>+SDGE!H101</f>
        <v>523.29999999999995</v>
      </c>
      <c r="F46" s="4">
        <f>+SDGE!I101</f>
        <v>2713.8</v>
      </c>
      <c r="G46" s="15">
        <f>+SDGE!J101</f>
        <v>15.773321708805582</v>
      </c>
      <c r="H46" s="36">
        <f>+SDGE!K101</f>
        <v>0.23895178962746541</v>
      </c>
    </row>
    <row r="50" spans="1:8">
      <c r="D50" s="35" t="s">
        <v>108</v>
      </c>
    </row>
    <row r="52" spans="1:8">
      <c r="B52" s="3" t="str">
        <f t="shared" ref="B52:G52" si="0">+B37</f>
        <v>Annual</v>
      </c>
      <c r="C52" s="3" t="str">
        <f t="shared" si="0"/>
        <v>Current</v>
      </c>
      <c r="D52" s="3" t="str">
        <f t="shared" si="0"/>
        <v>Current</v>
      </c>
      <c r="E52" s="3" t="str">
        <f t="shared" si="0"/>
        <v>Revenue</v>
      </c>
      <c r="F52" s="3" t="str">
        <f t="shared" si="0"/>
        <v xml:space="preserve">New Total </v>
      </c>
      <c r="G52" s="3" t="str">
        <f t="shared" si="0"/>
        <v>New Rates</v>
      </c>
      <c r="H52" s="3"/>
    </row>
    <row r="53" spans="1:8">
      <c r="A53" s="3" t="str">
        <f>+A38</f>
        <v>Description</v>
      </c>
      <c r="B53" s="3" t="str">
        <f>+B38</f>
        <v>Sales (GWh)</v>
      </c>
      <c r="C53" s="3" t="str">
        <f t="shared" ref="C53:H53" si="1">+C38</f>
        <v>Rate (cents)</v>
      </c>
      <c r="D53" s="3" t="str">
        <f t="shared" si="1"/>
        <v>Revenue (MM)</v>
      </c>
      <c r="E53" s="3" t="str">
        <f t="shared" si="1"/>
        <v>Increase (MM)</v>
      </c>
      <c r="F53" s="3" t="str">
        <f t="shared" si="1"/>
        <v>Revenue</v>
      </c>
      <c r="G53" s="3" t="str">
        <f t="shared" si="1"/>
        <v>(cents/kWh)</v>
      </c>
      <c r="H53" s="3" t="str">
        <f t="shared" si="1"/>
        <v>Increase %</v>
      </c>
    </row>
    <row r="55" spans="1:8">
      <c r="A55" t="str">
        <f>+A40</f>
        <v>Residential</v>
      </c>
      <c r="B55" s="3">
        <f>+B10+B25+B40</f>
        <v>60024.926315000004</v>
      </c>
      <c r="C55" s="15">
        <f>+D55/B55*100</f>
        <v>12.744824883005771</v>
      </c>
      <c r="D55" s="4">
        <f>+D10+D25+D40</f>
        <v>7650.0717449999993</v>
      </c>
      <c r="E55" s="4">
        <f>+E10+E25+E40</f>
        <v>1446.8378989999999</v>
      </c>
      <c r="F55" s="4">
        <f>+F10+F25+F40</f>
        <v>9096.8096440000008</v>
      </c>
      <c r="G55" s="15">
        <f>+F55/B55*100</f>
        <v>15.155053412746536</v>
      </c>
      <c r="H55" s="36">
        <f>+E55/D55</f>
        <v>0.18912736340618463</v>
      </c>
    </row>
    <row r="56" spans="1:8">
      <c r="A56" t="str">
        <f>+A41</f>
        <v>Commercial</v>
      </c>
      <c r="B56" s="3">
        <f t="shared" ref="B56:B61" si="2">+B11+B26+B41</f>
        <v>64409.065512000001</v>
      </c>
      <c r="C56" s="15">
        <f t="shared" ref="C56:C61" si="3">+D56/B56*100</f>
        <v>11.266194440669313</v>
      </c>
      <c r="D56" s="4">
        <f t="shared" ref="D56:F61" si="4">+D11+D26+D41</f>
        <v>7256.4505579999995</v>
      </c>
      <c r="E56" s="4">
        <f t="shared" si="4"/>
        <v>2692.5126660000001</v>
      </c>
      <c r="F56" s="4">
        <f t="shared" si="4"/>
        <v>9949.0632239999995</v>
      </c>
      <c r="G56" s="15">
        <f t="shared" ref="G56:G61" si="5">+F56/B56*100</f>
        <v>15.446681526758679</v>
      </c>
      <c r="H56" s="36">
        <f t="shared" ref="H56:H61" si="6">+E56/D56</f>
        <v>0.37105092144968765</v>
      </c>
    </row>
    <row r="57" spans="1:8">
      <c r="A57" t="str">
        <f>+A42</f>
        <v>Agricultural</v>
      </c>
      <c r="B57" s="3">
        <f t="shared" si="2"/>
        <v>6666.6742029999996</v>
      </c>
      <c r="C57" s="15">
        <f t="shared" si="3"/>
        <v>11.081611152792672</v>
      </c>
      <c r="D57" s="4">
        <f t="shared" si="4"/>
        <v>738.77491199999986</v>
      </c>
      <c r="E57" s="4">
        <f t="shared" si="4"/>
        <v>135.98417000000001</v>
      </c>
      <c r="F57" s="4">
        <f t="shared" si="4"/>
        <v>874.75908200000003</v>
      </c>
      <c r="G57" s="15">
        <f t="shared" si="5"/>
        <v>13.121371396945705</v>
      </c>
      <c r="H57" s="36">
        <f t="shared" si="6"/>
        <v>0.1840671194855085</v>
      </c>
    </row>
    <row r="58" spans="1:8">
      <c r="A58" t="str">
        <f>+A43</f>
        <v>Other</v>
      </c>
      <c r="B58" s="3">
        <f t="shared" si="2"/>
        <v>1132.9583949999999</v>
      </c>
      <c r="C58" s="15">
        <f t="shared" si="3"/>
        <v>13.745608725552538</v>
      </c>
      <c r="D58" s="4">
        <f t="shared" si="4"/>
        <v>155.73202799999999</v>
      </c>
      <c r="E58" s="4">
        <f t="shared" si="4"/>
        <v>41.305094000000004</v>
      </c>
      <c r="F58" s="4">
        <f t="shared" si="4"/>
        <v>197.03712200000001</v>
      </c>
      <c r="G58" s="15">
        <f t="shared" si="5"/>
        <v>17.391381966855015</v>
      </c>
      <c r="H58" s="36">
        <f t="shared" si="6"/>
        <v>0.26523185070189936</v>
      </c>
    </row>
    <row r="59" spans="1:8">
      <c r="A59" t="str">
        <f>+A44</f>
        <v>Industrial</v>
      </c>
      <c r="B59" s="3">
        <f t="shared" si="2"/>
        <v>50742.346502</v>
      </c>
      <c r="C59" s="15">
        <f t="shared" si="3"/>
        <v>8.6571849979914841</v>
      </c>
      <c r="D59" s="4">
        <f t="shared" si="4"/>
        <v>4392.8588090000003</v>
      </c>
      <c r="E59" s="4">
        <f t="shared" si="4"/>
        <v>2050.3892930000002</v>
      </c>
      <c r="F59" s="4">
        <f t="shared" si="4"/>
        <v>6443.4481019999994</v>
      </c>
      <c r="G59" s="15">
        <f t="shared" si="5"/>
        <v>12.698364475016998</v>
      </c>
      <c r="H59" s="36">
        <f t="shared" si="6"/>
        <v>0.46675510917837926</v>
      </c>
    </row>
    <row r="61" spans="1:8">
      <c r="A61" t="str">
        <f>+A46</f>
        <v>Total</v>
      </c>
      <c r="B61" s="3">
        <f t="shared" si="2"/>
        <v>182975.97092699999</v>
      </c>
      <c r="C61" s="15">
        <f t="shared" si="3"/>
        <v>11.036360648719578</v>
      </c>
      <c r="D61" s="4">
        <f t="shared" si="4"/>
        <v>20193.888052000002</v>
      </c>
      <c r="E61" s="4">
        <f t="shared" si="4"/>
        <v>6367.0291219999999</v>
      </c>
      <c r="F61" s="4">
        <f t="shared" si="4"/>
        <v>26561.117173999995</v>
      </c>
      <c r="G61" s="15">
        <f t="shared" si="5"/>
        <v>14.516177746965916</v>
      </c>
      <c r="H61" s="36">
        <f t="shared" si="6"/>
        <v>0.31529486078186958</v>
      </c>
    </row>
  </sheetData>
  <phoneticPr fontId="0" type="noConversion"/>
  <pageMargins left="2.35" right="0.75" top="0.64" bottom="0.54" header="0.31" footer="0.16"/>
  <pageSetup scale="73" orientation="landscape" r:id="rId1"/>
  <headerFooter alignWithMargins="0">
    <oddFooter>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C7:H66"/>
  <sheetViews>
    <sheetView topLeftCell="B1" zoomScaleNormal="100" workbookViewId="0">
      <selection activeCell="D10" sqref="D10"/>
    </sheetView>
  </sheetViews>
  <sheetFormatPr defaultRowHeight="12.75"/>
  <cols>
    <col min="3" max="3" width="23.5703125" customWidth="1"/>
    <col min="4" max="4" width="11.85546875" style="3" bestFit="1" customWidth="1"/>
    <col min="5" max="5" width="12" style="37" bestFit="1" customWidth="1"/>
    <col min="6" max="6" width="13.28515625" style="38" bestFit="1" customWidth="1"/>
    <col min="7" max="7" width="12" style="2" bestFit="1" customWidth="1"/>
    <col min="8" max="8" width="12" style="8" bestFit="1" customWidth="1"/>
  </cols>
  <sheetData>
    <row r="7" spans="3:8">
      <c r="F7" s="39" t="str">
        <f>+'All Summary'!D5</f>
        <v>PGE</v>
      </c>
    </row>
    <row r="9" spans="3:8">
      <c r="D9" s="3" t="str">
        <f>+'All Summary'!B7</f>
        <v>Annual</v>
      </c>
      <c r="E9" s="37" t="str">
        <f>+'All Summary'!C7</f>
        <v>Current</v>
      </c>
      <c r="F9" s="38" t="str">
        <f>+'All Summary'!E7</f>
        <v>Revenue</v>
      </c>
      <c r="G9" s="2" t="str">
        <f>+'All Summary'!G7</f>
        <v>New Rates</v>
      </c>
    </row>
    <row r="10" spans="3:8">
      <c r="C10" t="str">
        <f>+'All Summary'!A8</f>
        <v>Description</v>
      </c>
      <c r="D10" s="3" t="str">
        <f>+'All Summary'!B8</f>
        <v>Sales (GWh)</v>
      </c>
      <c r="E10" s="37" t="str">
        <f>+'All Summary'!C8</f>
        <v>Rate (cents)</v>
      </c>
      <c r="F10" s="38" t="str">
        <f>+'All Summary'!E8</f>
        <v>Increase (MM)</v>
      </c>
      <c r="G10" s="2" t="str">
        <f>+'All Summary'!G8</f>
        <v>(cents/kWh)</v>
      </c>
      <c r="H10" s="8" t="str">
        <f>+'All Summary'!H8</f>
        <v>Increase %</v>
      </c>
    </row>
    <row r="12" spans="3:8">
      <c r="C12" t="str">
        <f>+'All Summary'!A10</f>
        <v>Residential</v>
      </c>
      <c r="D12" s="3">
        <f>+'All Summary'!B10</f>
        <v>28847.626315000001</v>
      </c>
      <c r="E12" s="37">
        <f>+'All Summary'!C10</f>
        <v>11.606402927020167</v>
      </c>
      <c r="F12" s="38">
        <f>+'All Summary'!E10</f>
        <v>697.53789899999992</v>
      </c>
      <c r="G12" s="2">
        <f>+'All Summary'!G10</f>
        <v>14.024410881585561</v>
      </c>
      <c r="H12" s="8">
        <f>+'All Summary'!H10</f>
        <v>0.20833396615381813</v>
      </c>
    </row>
    <row r="13" spans="3:8">
      <c r="C13" t="str">
        <f>+'All Summary'!A11</f>
        <v>Commercial</v>
      </c>
      <c r="D13" s="3">
        <f>+'All Summary'!B11</f>
        <v>31968.365512</v>
      </c>
      <c r="E13" s="37">
        <f>+'All Summary'!C11</f>
        <v>10.826173007502868</v>
      </c>
      <c r="F13" s="38">
        <f>+'All Summary'!E11</f>
        <v>1386.612666</v>
      </c>
      <c r="G13" s="2">
        <f>+'All Summary'!G11</f>
        <v>15.163625497776433</v>
      </c>
      <c r="H13" s="8">
        <f>+'All Summary'!H11</f>
        <v>0.40064503747239011</v>
      </c>
    </row>
    <row r="14" spans="3:8">
      <c r="C14" t="str">
        <f>+'All Summary'!A12</f>
        <v>Agricultural</v>
      </c>
      <c r="D14" s="3">
        <f>+'All Summary'!B12</f>
        <v>3422.8742029999999</v>
      </c>
      <c r="E14" s="37">
        <f>+'All Summary'!C12</f>
        <v>11.907387996987397</v>
      </c>
      <c r="F14" s="38">
        <f>+'All Summary'!E12</f>
        <v>77.384169999999997</v>
      </c>
      <c r="G14" s="2">
        <f>+'All Summary'!G12</f>
        <v>14.168183030943835</v>
      </c>
      <c r="H14" s="8">
        <f>+'All Summary'!H12</f>
        <v>0.18986490022231786</v>
      </c>
    </row>
    <row r="15" spans="3:8">
      <c r="C15" t="str">
        <f>+'All Summary'!A13</f>
        <v>Other</v>
      </c>
      <c r="D15" s="3">
        <f>+'All Summary'!B13</f>
        <v>517.65839499999993</v>
      </c>
      <c r="E15" s="37">
        <f>+'All Summary'!C13</f>
        <v>12.543412533665183</v>
      </c>
      <c r="F15" s="38">
        <f>+'All Summary'!E13</f>
        <v>22.505094</v>
      </c>
      <c r="G15" s="2">
        <f>+'All Summary'!G13</f>
        <v>16.890892303601106</v>
      </c>
      <c r="H15" s="8">
        <f>+'All Summary'!H13</f>
        <v>0.34659465741621354</v>
      </c>
    </row>
    <row r="16" spans="3:8">
      <c r="C16" t="str">
        <f>+'All Summary'!A14</f>
        <v>Industrial</v>
      </c>
      <c r="D16" s="3">
        <f>+'All Summary'!B14</f>
        <v>17234.446501999999</v>
      </c>
      <c r="E16" s="37">
        <f>+'All Summary'!C14</f>
        <v>7.1708645175032615</v>
      </c>
      <c r="F16" s="38">
        <f>+'All Summary'!E14</f>
        <v>698.68929300000002</v>
      </c>
      <c r="G16" s="2">
        <f>+'All Summary'!G14</f>
        <v>11.224892553268258</v>
      </c>
      <c r="H16" s="8">
        <f>+'All Summary'!H14</f>
        <v>0.56534718036710596</v>
      </c>
    </row>
    <row r="18" spans="3:8">
      <c r="C18" t="str">
        <f>+'All Summary'!A16</f>
        <v>Total</v>
      </c>
      <c r="D18" s="3">
        <f>+'All Summary'!B16</f>
        <v>81990.970927000002</v>
      </c>
      <c r="E18" s="37">
        <f>+'All Summary'!C16</f>
        <v>10.388324416335399</v>
      </c>
      <c r="F18" s="38">
        <f>+'All Summary'!E16</f>
        <v>2882.7291219999997</v>
      </c>
      <c r="G18" s="2">
        <f>+'All Summary'!G16</f>
        <v>13.904234875020679</v>
      </c>
      <c r="H18" s="8">
        <f>+'All Summary'!H16</f>
        <v>0.33844827305899228</v>
      </c>
    </row>
    <row r="20" spans="3:8">
      <c r="C20" t="s">
        <v>109</v>
      </c>
      <c r="D20" s="3">
        <f>93000*0.58</f>
        <v>53939.999999999993</v>
      </c>
    </row>
    <row r="23" spans="3:8">
      <c r="F23" s="39" t="str">
        <f>+'All Summary'!D20</f>
        <v>SCE</v>
      </c>
    </row>
    <row r="25" spans="3:8">
      <c r="D25" s="3" t="str">
        <f>+'All Summary'!B22</f>
        <v>Annual</v>
      </c>
      <c r="E25" s="37" t="str">
        <f>+'All Summary'!C22</f>
        <v>Current</v>
      </c>
      <c r="F25" s="38" t="str">
        <f>+'All Summary'!E22</f>
        <v>Revenue</v>
      </c>
      <c r="G25" s="2" t="str">
        <f>+'All Summary'!G22</f>
        <v>New Rates</v>
      </c>
    </row>
    <row r="26" spans="3:8">
      <c r="C26" t="str">
        <f>+'All Summary'!A23</f>
        <v>Description</v>
      </c>
      <c r="D26" s="3" t="str">
        <f>+'All Summary'!B23</f>
        <v>Sales (GWh)</v>
      </c>
      <c r="E26" s="37" t="str">
        <f>+'All Summary'!C23</f>
        <v>Rate (cents)</v>
      </c>
      <c r="F26" s="38" t="str">
        <f>+'All Summary'!E23</f>
        <v>Increase (MM)</v>
      </c>
      <c r="G26" s="2" t="str">
        <f>+'All Summary'!G23</f>
        <v>(cents/kWh)</v>
      </c>
      <c r="H26" s="8" t="str">
        <f>+'All Summary'!H23</f>
        <v>Increase %</v>
      </c>
    </row>
    <row r="28" spans="3:8">
      <c r="C28" t="str">
        <f>+'All Summary'!A25</f>
        <v>Residential</v>
      </c>
      <c r="D28" s="3">
        <f>+'All Summary'!B25</f>
        <v>24918.3</v>
      </c>
      <c r="E28" s="37">
        <f>+'All Summary'!C25</f>
        <v>13.825180690496545</v>
      </c>
      <c r="F28" s="38">
        <f>+'All Summary'!E25</f>
        <v>590.5</v>
      </c>
      <c r="G28" s="2">
        <f>+'All Summary'!G25</f>
        <v>16.194925014948851</v>
      </c>
      <c r="H28" s="8">
        <f>+'All Summary'!H25</f>
        <v>0.17140783744557295</v>
      </c>
    </row>
    <row r="29" spans="3:8">
      <c r="C29" t="str">
        <f>+'All Summary'!A26</f>
        <v>Commercial</v>
      </c>
      <c r="D29" s="3">
        <f>+'All Summary'!B26</f>
        <v>30371.7</v>
      </c>
      <c r="E29" s="37">
        <f>+'All Summary'!C26</f>
        <v>11.535738862164449</v>
      </c>
      <c r="F29" s="38">
        <f>+'All Summary'!E26</f>
        <v>1243.8</v>
      </c>
      <c r="G29" s="2">
        <f>+'All Summary'!G26</f>
        <v>15.63099859408594</v>
      </c>
      <c r="H29" s="8">
        <f>+'All Summary'!H26</f>
        <v>0.35500627925562267</v>
      </c>
    </row>
    <row r="30" spans="3:8">
      <c r="C30" t="str">
        <f>+'All Summary'!A27</f>
        <v>Agricultural</v>
      </c>
      <c r="D30" s="3">
        <f>+'All Summary'!B27</f>
        <v>3115.7999999999997</v>
      </c>
      <c r="E30" s="37">
        <f>+'All Summary'!C27</f>
        <v>10.106553694075359</v>
      </c>
      <c r="F30" s="38">
        <f>+'All Summary'!E27</f>
        <v>54.8</v>
      </c>
      <c r="G30" s="2">
        <f>+'All Summary'!G27</f>
        <v>11.868540984658837</v>
      </c>
      <c r="H30" s="8">
        <f>+'All Summary'!H27</f>
        <v>0.17434106065417598</v>
      </c>
    </row>
    <row r="31" spans="3:8">
      <c r="C31" t="str">
        <f>+'All Summary'!A28</f>
        <v>Other</v>
      </c>
      <c r="D31" s="3">
        <f>+'All Summary'!B28</f>
        <v>529.29999999999995</v>
      </c>
      <c r="E31" s="37">
        <f>+'All Summary'!C28</f>
        <v>14.774230115246553</v>
      </c>
      <c r="F31" s="38">
        <f>+'All Summary'!E28</f>
        <v>16.2</v>
      </c>
      <c r="G31" s="2">
        <f>+'All Summary'!G28</f>
        <v>17.834876251653128</v>
      </c>
      <c r="H31" s="8">
        <f>+'All Summary'!H28</f>
        <v>0.20716112531969311</v>
      </c>
    </row>
    <row r="32" spans="3:8">
      <c r="C32" t="str">
        <f>+'All Summary'!A29</f>
        <v>Industrial</v>
      </c>
      <c r="D32" s="3">
        <f>+'All Summary'!B29</f>
        <v>24844.9</v>
      </c>
      <c r="E32" s="37">
        <f>+'All Summary'!C29</f>
        <v>8.6307451428663438</v>
      </c>
      <c r="F32" s="38">
        <f>+'All Summary'!E29</f>
        <v>1055.7</v>
      </c>
      <c r="G32" s="2">
        <f>+'All Summary'!G29</f>
        <v>12.87990694267234</v>
      </c>
      <c r="H32" s="8">
        <f>+'All Summary'!H29</f>
        <v>0.49232849881080071</v>
      </c>
    </row>
    <row r="34" spans="3:8">
      <c r="C34" t="str">
        <f>+'All Summary'!A31</f>
        <v>Total</v>
      </c>
      <c r="D34" s="3">
        <f>+'All Summary'!B31</f>
        <v>83780</v>
      </c>
      <c r="E34" s="37">
        <f>+'All Summary'!C31</f>
        <v>11.322511339221771</v>
      </c>
      <c r="F34" s="38">
        <f>+'All Summary'!E31</f>
        <v>2961</v>
      </c>
      <c r="G34" s="2">
        <f>+'All Summary'!G31</f>
        <v>14.856887085223203</v>
      </c>
      <c r="H34" s="8">
        <f>+'All Summary'!H31</f>
        <v>0.31215475437486823</v>
      </c>
    </row>
    <row r="36" spans="3:8">
      <c r="C36" t="s">
        <v>110</v>
      </c>
      <c r="D36" s="3">
        <f>83000*0.66</f>
        <v>54780</v>
      </c>
    </row>
    <row r="38" spans="3:8">
      <c r="F38" s="39" t="str">
        <f>+'All Summary'!D35</f>
        <v>SDGE</v>
      </c>
    </row>
    <row r="40" spans="3:8">
      <c r="D40" s="3" t="str">
        <f>+'All Summary'!B37</f>
        <v>Annual</v>
      </c>
      <c r="E40" s="37" t="str">
        <f>+'All Summary'!C37</f>
        <v>Current</v>
      </c>
      <c r="F40" s="38" t="str">
        <f>+'All Summary'!E37</f>
        <v>Revenue</v>
      </c>
      <c r="G40" s="2" t="str">
        <f>+'All Summary'!G37</f>
        <v>New Rates</v>
      </c>
    </row>
    <row r="41" spans="3:8">
      <c r="C41" t="str">
        <f>+'All Summary'!A38</f>
        <v>Description</v>
      </c>
      <c r="D41" s="3" t="str">
        <f>+'All Summary'!B38</f>
        <v>Sales (GWh)</v>
      </c>
      <c r="E41" s="37" t="str">
        <f>+'All Summary'!C38</f>
        <v>Rate (cents)</v>
      </c>
      <c r="F41" s="38" t="str">
        <f>+'All Summary'!E38</f>
        <v>Increase (MM)</v>
      </c>
      <c r="G41" s="2" t="str">
        <f>+'All Summary'!G38</f>
        <v>(cents/kWh)</v>
      </c>
      <c r="H41" s="8" t="str">
        <f>+'All Summary'!H38</f>
        <v>Increase %</v>
      </c>
    </row>
    <row r="43" spans="3:8">
      <c r="C43" t="str">
        <f>+'All Summary'!A40</f>
        <v>Residential</v>
      </c>
      <c r="D43" s="3">
        <f>+'All Summary'!B40</f>
        <v>6259</v>
      </c>
      <c r="E43" s="37">
        <f>+'All Summary'!C40</f>
        <v>13.690685413005275</v>
      </c>
      <c r="F43" s="38">
        <f>+'All Summary'!E40</f>
        <v>158.80000000000001</v>
      </c>
      <c r="G43" s="2">
        <f>+'All Summary'!G40</f>
        <v>16.226234222719285</v>
      </c>
      <c r="H43" s="8">
        <f>+'All Summary'!H40</f>
        <v>0.18520247403430956</v>
      </c>
    </row>
    <row r="44" spans="3:8">
      <c r="C44" t="str">
        <f>+'All Summary'!A41</f>
        <v>Commercial</v>
      </c>
      <c r="D44" s="3">
        <f>+'All Summary'!B41</f>
        <v>2069</v>
      </c>
      <c r="E44" s="37">
        <f>+'All Summary'!C41</f>
        <v>14.108264862252298</v>
      </c>
      <c r="F44" s="38">
        <f>+'All Summary'!E41</f>
        <v>62.1</v>
      </c>
      <c r="G44" s="2">
        <f>+'All Summary'!G41</f>
        <v>17.114548090865149</v>
      </c>
      <c r="H44" s="8">
        <f>+'All Summary'!H41</f>
        <v>0.21308667351832777</v>
      </c>
    </row>
    <row r="45" spans="3:8">
      <c r="C45" t="str">
        <f>+'All Summary'!A42</f>
        <v>Agricultural</v>
      </c>
      <c r="D45" s="3">
        <f>+'All Summary'!B42</f>
        <v>128</v>
      </c>
      <c r="E45" s="37">
        <f>+'All Summary'!C42</f>
        <v>12.734375</v>
      </c>
      <c r="F45" s="38">
        <f>+'All Summary'!E42</f>
        <v>3.8</v>
      </c>
      <c r="G45" s="2">
        <f>+'All Summary'!G42</f>
        <v>15.625</v>
      </c>
      <c r="H45" s="8">
        <f>+'All Summary'!H42</f>
        <v>0.22699386503067484</v>
      </c>
    </row>
    <row r="46" spans="3:8">
      <c r="C46" t="str">
        <f>+'All Summary'!A43</f>
        <v>Other</v>
      </c>
      <c r="D46" s="3">
        <f>+'All Summary'!B43</f>
        <v>86</v>
      </c>
      <c r="E46" s="37">
        <f>+'All Summary'!C43</f>
        <v>14.651162790697676</v>
      </c>
      <c r="F46" s="38">
        <f>+'All Summary'!E43</f>
        <v>2.6</v>
      </c>
      <c r="G46" s="2">
        <f>+'All Summary'!G43</f>
        <v>17.674418604651162</v>
      </c>
      <c r="H46" s="8">
        <f>+'All Summary'!H43</f>
        <v>0.20634920634920623</v>
      </c>
    </row>
    <row r="47" spans="3:8">
      <c r="C47" t="str">
        <f>+'All Summary'!A44</f>
        <v>Industrial</v>
      </c>
      <c r="D47" s="3">
        <f>+'All Summary'!B44</f>
        <v>8663</v>
      </c>
      <c r="E47" s="37">
        <f>+'All Summary'!C44</f>
        <v>11.689945746277273</v>
      </c>
      <c r="F47" s="38">
        <f>+'All Summary'!E44</f>
        <v>296</v>
      </c>
      <c r="G47" s="2">
        <f>+'All Summary'!G44</f>
        <v>15.109084612720766</v>
      </c>
      <c r="H47" s="8">
        <f>+'All Summary'!H44</f>
        <v>0.29248543497580703</v>
      </c>
    </row>
    <row r="49" spans="3:8">
      <c r="C49" t="str">
        <f>+'All Summary'!A46</f>
        <v>Total</v>
      </c>
      <c r="D49" s="3">
        <f>+'All Summary'!B46</f>
        <v>17205</v>
      </c>
      <c r="E49" s="37">
        <f>+'All Summary'!C46</f>
        <v>12.731182795698926</v>
      </c>
      <c r="F49" s="38">
        <f>+'All Summary'!E46</f>
        <v>523.29999999999995</v>
      </c>
      <c r="G49" s="2">
        <f>+'All Summary'!G46</f>
        <v>15.773321708805582</v>
      </c>
      <c r="H49" s="8">
        <f>+'All Summary'!H46</f>
        <v>0.23895178962746541</v>
      </c>
    </row>
    <row r="51" spans="3:8">
      <c r="C51" t="s">
        <v>111</v>
      </c>
      <c r="D51" s="3">
        <f>16000*0.33</f>
        <v>5280</v>
      </c>
    </row>
    <row r="53" spans="3:8">
      <c r="F53" s="39" t="str">
        <f>+'All Summary'!D50</f>
        <v>TOTAL</v>
      </c>
    </row>
    <row r="55" spans="3:8">
      <c r="D55" s="3" t="str">
        <f>+'All Summary'!B52</f>
        <v>Annual</v>
      </c>
      <c r="E55" s="37" t="str">
        <f>+'All Summary'!C52</f>
        <v>Current</v>
      </c>
      <c r="F55" s="38" t="str">
        <f>+'All Summary'!E52</f>
        <v>Revenue</v>
      </c>
      <c r="G55" s="2" t="str">
        <f>+'All Summary'!G52</f>
        <v>New Rates</v>
      </c>
    </row>
    <row r="56" spans="3:8">
      <c r="C56" t="str">
        <f>+'All Summary'!A53</f>
        <v>Description</v>
      </c>
      <c r="D56" s="3" t="str">
        <f>+'All Summary'!B53</f>
        <v>Sales (GWh)</v>
      </c>
      <c r="E56" s="37" t="str">
        <f>+'All Summary'!C53</f>
        <v>Rate (cents)</v>
      </c>
      <c r="F56" s="38" t="str">
        <f>+'All Summary'!E53</f>
        <v>Increase (MM)</v>
      </c>
      <c r="G56" s="2" t="str">
        <f>+'All Summary'!G53</f>
        <v>(cents/kWh)</v>
      </c>
      <c r="H56" s="8" t="str">
        <f>+'All Summary'!H53</f>
        <v>Increase %</v>
      </c>
    </row>
    <row r="58" spans="3:8">
      <c r="C58" t="str">
        <f>+'All Summary'!A55</f>
        <v>Residential</v>
      </c>
      <c r="D58" s="3">
        <f>+'All Summary'!B55</f>
        <v>60024.926315000004</v>
      </c>
      <c r="E58" s="37">
        <f>+'All Summary'!C55</f>
        <v>12.744824883005771</v>
      </c>
      <c r="F58" s="38">
        <f>+'All Summary'!E55</f>
        <v>1446.8378989999999</v>
      </c>
      <c r="G58" s="2">
        <f>+'All Summary'!G55</f>
        <v>15.155053412746536</v>
      </c>
      <c r="H58" s="8">
        <f>+'All Summary'!H55</f>
        <v>0.18912736340618463</v>
      </c>
    </row>
    <row r="59" spans="3:8">
      <c r="C59" t="str">
        <f>+'All Summary'!A56</f>
        <v>Commercial</v>
      </c>
      <c r="D59" s="3">
        <f>+'All Summary'!B56</f>
        <v>64409.065512000001</v>
      </c>
      <c r="E59" s="37">
        <f>+'All Summary'!C56</f>
        <v>11.266194440669313</v>
      </c>
      <c r="F59" s="38">
        <f>+'All Summary'!E56</f>
        <v>2692.5126660000001</v>
      </c>
      <c r="G59" s="2">
        <f>+'All Summary'!G56</f>
        <v>15.446681526758679</v>
      </c>
      <c r="H59" s="8">
        <f>+'All Summary'!H56</f>
        <v>0.37105092144968765</v>
      </c>
    </row>
    <row r="60" spans="3:8">
      <c r="C60" t="str">
        <f>+'All Summary'!A57</f>
        <v>Agricultural</v>
      </c>
      <c r="D60" s="3">
        <f>+'All Summary'!B57</f>
        <v>6666.6742029999996</v>
      </c>
      <c r="E60" s="37">
        <f>+'All Summary'!C57</f>
        <v>11.081611152792672</v>
      </c>
      <c r="F60" s="38">
        <f>+'All Summary'!E57</f>
        <v>135.98417000000001</v>
      </c>
      <c r="G60" s="2">
        <f>+'All Summary'!G57</f>
        <v>13.121371396945705</v>
      </c>
      <c r="H60" s="8">
        <f>+'All Summary'!H57</f>
        <v>0.1840671194855085</v>
      </c>
    </row>
    <row r="61" spans="3:8">
      <c r="C61" t="str">
        <f>+'All Summary'!A58</f>
        <v>Other</v>
      </c>
      <c r="D61" s="3">
        <f>+'All Summary'!B58</f>
        <v>1132.9583949999999</v>
      </c>
      <c r="E61" s="37">
        <f>+'All Summary'!C58</f>
        <v>13.745608725552538</v>
      </c>
      <c r="F61" s="38">
        <f>+'All Summary'!E58</f>
        <v>41.305094000000004</v>
      </c>
      <c r="G61" s="2">
        <f>+'All Summary'!G58</f>
        <v>17.391381966855015</v>
      </c>
      <c r="H61" s="8">
        <f>+'All Summary'!H58</f>
        <v>0.26523185070189936</v>
      </c>
    </row>
    <row r="62" spans="3:8">
      <c r="C62" t="str">
        <f>+'All Summary'!A59</f>
        <v>Industrial</v>
      </c>
      <c r="D62" s="3">
        <f>+'All Summary'!B59</f>
        <v>50742.346502</v>
      </c>
      <c r="E62" s="37">
        <f>+'All Summary'!C59</f>
        <v>8.6571849979914841</v>
      </c>
      <c r="F62" s="38">
        <f>+'All Summary'!E59</f>
        <v>2050.3892930000002</v>
      </c>
      <c r="G62" s="2">
        <f>+'All Summary'!G59</f>
        <v>12.698364475016998</v>
      </c>
      <c r="H62" s="8">
        <f>+'All Summary'!H59</f>
        <v>0.46675510917837926</v>
      </c>
    </row>
    <row r="64" spans="3:8">
      <c r="C64" t="str">
        <f>+'All Summary'!A61</f>
        <v>Total</v>
      </c>
      <c r="D64" s="3">
        <f>+'All Summary'!B61</f>
        <v>182975.97092699999</v>
      </c>
      <c r="E64" s="37">
        <f>+'All Summary'!C61</f>
        <v>11.036360648719578</v>
      </c>
      <c r="F64" s="38">
        <f>+'All Summary'!E61</f>
        <v>6367.0291219999999</v>
      </c>
      <c r="G64" s="2">
        <f>+'All Summary'!G61</f>
        <v>14.516177746965916</v>
      </c>
      <c r="H64" s="8">
        <f>+'All Summary'!H61</f>
        <v>0.31529486078186958</v>
      </c>
    </row>
    <row r="66" spans="3:4">
      <c r="C66" t="s">
        <v>111</v>
      </c>
      <c r="D66" s="3">
        <f>+D20+D36+D51</f>
        <v>114000</v>
      </c>
    </row>
  </sheetData>
  <phoneticPr fontId="0" type="noConversion"/>
  <pageMargins left="3.22" right="0.75" top="0.43" bottom="0.74" header="0.17" footer="0.2"/>
  <pageSetup scale="71" orientation="landscape" r:id="rId1"/>
  <headerFooter alignWithMargins="0">
    <oddFooter>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N62"/>
  <sheetViews>
    <sheetView topLeftCell="J2" workbookViewId="0">
      <selection activeCell="I29" sqref="I29"/>
    </sheetView>
  </sheetViews>
  <sheetFormatPr defaultRowHeight="12.75"/>
  <cols>
    <col min="1" max="1" width="9.140625" style="1"/>
    <col min="2" max="2" width="12.42578125" style="1" bestFit="1" customWidth="1"/>
    <col min="3" max="5" width="14" style="3" customWidth="1"/>
    <col min="6" max="6" width="8" style="3" customWidth="1"/>
    <col min="7" max="8" width="14" style="3" customWidth="1"/>
    <col min="9" max="9" width="14" style="23" customWidth="1"/>
    <col min="10" max="10" width="8" style="23" customWidth="1"/>
    <col min="11" max="11" width="14.42578125" style="43" customWidth="1"/>
    <col min="12" max="12" width="16" style="3" customWidth="1"/>
    <col min="13" max="13" width="25.85546875" style="1" customWidth="1"/>
    <col min="14" max="14" width="12" bestFit="1" customWidth="1"/>
  </cols>
  <sheetData>
    <row r="3" spans="1:14">
      <c r="D3" s="41" t="s">
        <v>121</v>
      </c>
      <c r="H3" s="41" t="s">
        <v>126</v>
      </c>
      <c r="L3" s="44" t="s">
        <v>128</v>
      </c>
    </row>
    <row r="5" spans="1:14">
      <c r="C5" s="3" t="s">
        <v>122</v>
      </c>
      <c r="D5" s="3" t="s">
        <v>125</v>
      </c>
      <c r="E5" s="3" t="s">
        <v>124</v>
      </c>
      <c r="G5" s="3" t="s">
        <v>122</v>
      </c>
      <c r="H5" s="3" t="s">
        <v>125</v>
      </c>
      <c r="I5" s="3" t="s">
        <v>124</v>
      </c>
      <c r="K5" s="43" t="s">
        <v>129</v>
      </c>
      <c r="L5" s="3" t="s">
        <v>127</v>
      </c>
      <c r="M5" s="1" t="s">
        <v>130</v>
      </c>
    </row>
    <row r="6" spans="1:14">
      <c r="A6" s="1" t="s">
        <v>117</v>
      </c>
      <c r="B6" s="40">
        <v>2001</v>
      </c>
      <c r="G6" s="3">
        <v>13308090</v>
      </c>
      <c r="H6" s="3">
        <v>3798465</v>
      </c>
      <c r="I6" s="3">
        <f>+H6/G6*1000</f>
        <v>285.42525636661611</v>
      </c>
    </row>
    <row r="7" spans="1:14">
      <c r="A7" s="1" t="s">
        <v>118</v>
      </c>
      <c r="B7" s="40">
        <v>2001</v>
      </c>
      <c r="C7" s="3">
        <v>6835030</v>
      </c>
      <c r="D7" s="3">
        <v>925468</v>
      </c>
      <c r="E7" s="3">
        <f>+D7/C7*1000</f>
        <v>135.40072245476611</v>
      </c>
      <c r="G7" s="3">
        <v>10466630</v>
      </c>
      <c r="H7" s="3">
        <v>3625020</v>
      </c>
      <c r="I7" s="3">
        <f>+H7/G7*1000</f>
        <v>346.3407037413188</v>
      </c>
      <c r="K7" s="43">
        <f>+E7-I7</f>
        <v>-210.93998128655269</v>
      </c>
      <c r="L7" s="3">
        <f>+(C7*(E7-I7))/1000</f>
        <v>-1441781.1002930263</v>
      </c>
      <c r="M7" s="45">
        <f>(M6*1.01625)+L7</f>
        <v>-1441781.1002930263</v>
      </c>
      <c r="N7" s="42"/>
    </row>
    <row r="8" spans="1:14">
      <c r="A8" s="1" t="s">
        <v>119</v>
      </c>
      <c r="B8" s="40">
        <v>2001</v>
      </c>
      <c r="C8" s="3">
        <v>8241181</v>
      </c>
      <c r="D8" s="3">
        <v>1139357</v>
      </c>
      <c r="E8" s="3">
        <f t="shared" ref="E8:E45" si="0">+D8/C8*1000</f>
        <v>138.25166562899176</v>
      </c>
      <c r="G8" s="3">
        <v>13009708</v>
      </c>
      <c r="H8" s="3">
        <v>2533473</v>
      </c>
      <c r="I8" s="3">
        <f t="shared" ref="I8:I45" si="1">+H8/G8*1000</f>
        <v>194.73711477613486</v>
      </c>
      <c r="K8" s="43">
        <f t="shared" ref="K8:K45" si="2">+E8-I8</f>
        <v>-56.4854491471431</v>
      </c>
      <c r="L8" s="3">
        <f t="shared" ref="L8:L45" si="3">+(C8*(E8-I8))/1000</f>
        <v>-465506.81028790196</v>
      </c>
      <c r="M8" s="45">
        <f>(M7*1.01625)+L8</f>
        <v>-1930716.85346069</v>
      </c>
    </row>
    <row r="9" spans="1:14">
      <c r="A9" s="1" t="s">
        <v>120</v>
      </c>
      <c r="B9" s="40">
        <v>2001</v>
      </c>
      <c r="C9" s="3">
        <v>7583534</v>
      </c>
      <c r="D9" s="3">
        <v>943585</v>
      </c>
      <c r="E9" s="3">
        <f t="shared" si="0"/>
        <v>124.42549871867126</v>
      </c>
      <c r="G9" s="3">
        <v>9910986</v>
      </c>
      <c r="H9" s="3">
        <v>2145508</v>
      </c>
      <c r="I9" s="3">
        <f t="shared" si="1"/>
        <v>216.47775508915058</v>
      </c>
      <c r="K9" s="43">
        <f t="shared" si="2"/>
        <v>-92.052256370479313</v>
      </c>
      <c r="L9" s="3">
        <f t="shared" si="3"/>
        <v>-698081.41596224636</v>
      </c>
      <c r="M9" s="45">
        <f t="shared" ref="M9:M45" si="4">(M8*1.01625)+L9</f>
        <v>-2660172.4182916726</v>
      </c>
    </row>
    <row r="10" spans="1:14">
      <c r="A10" s="1" t="s">
        <v>117</v>
      </c>
      <c r="B10" s="40">
        <f>+B6+1</f>
        <v>2002</v>
      </c>
      <c r="C10" s="3">
        <v>8874797</v>
      </c>
      <c r="D10" s="3">
        <v>887776</v>
      </c>
      <c r="E10" s="3">
        <f t="shared" si="0"/>
        <v>100.03338667915448</v>
      </c>
      <c r="G10" s="3">
        <v>4732711</v>
      </c>
      <c r="H10" s="3">
        <v>948103</v>
      </c>
      <c r="I10" s="3">
        <f t="shared" si="1"/>
        <v>200.32978983926972</v>
      </c>
      <c r="K10" s="43">
        <f t="shared" si="2"/>
        <v>-100.29640316011525</v>
      </c>
      <c r="L10" s="3">
        <f t="shared" si="3"/>
        <v>-890110.21787618136</v>
      </c>
      <c r="M10" s="45">
        <f t="shared" si="4"/>
        <v>-3593510.4379650941</v>
      </c>
    </row>
    <row r="11" spans="1:14">
      <c r="A11" s="1" t="s">
        <v>118</v>
      </c>
      <c r="B11" s="40">
        <f t="shared" ref="B11:B45" si="5">+B7+1</f>
        <v>2002</v>
      </c>
      <c r="C11" s="3">
        <v>9736927</v>
      </c>
      <c r="D11" s="3">
        <v>1036213</v>
      </c>
      <c r="E11" s="3">
        <f t="shared" si="0"/>
        <v>106.42094780006053</v>
      </c>
      <c r="G11" s="3">
        <v>5341672</v>
      </c>
      <c r="H11" s="3">
        <v>885326</v>
      </c>
      <c r="I11" s="3">
        <f t="shared" si="1"/>
        <v>165.7394913053441</v>
      </c>
      <c r="K11" s="43">
        <f t="shared" si="2"/>
        <v>-59.318543505283571</v>
      </c>
      <c r="L11" s="3">
        <f t="shared" si="3"/>
        <v>-577580.32785727025</v>
      </c>
      <c r="M11" s="45">
        <f t="shared" si="4"/>
        <v>-4229485.310439297</v>
      </c>
    </row>
    <row r="12" spans="1:14">
      <c r="A12" s="1" t="s">
        <v>119</v>
      </c>
      <c r="B12" s="40">
        <f t="shared" si="5"/>
        <v>2002</v>
      </c>
      <c r="C12" s="3">
        <v>12465863</v>
      </c>
      <c r="D12" s="3">
        <v>1399825</v>
      </c>
      <c r="E12" s="3">
        <f t="shared" si="0"/>
        <v>112.29266678127298</v>
      </c>
      <c r="G12" s="3">
        <v>9081049</v>
      </c>
      <c r="H12" s="3">
        <v>1423856</v>
      </c>
      <c r="I12" s="3">
        <f t="shared" si="1"/>
        <v>156.7942205795828</v>
      </c>
      <c r="K12" s="43">
        <f t="shared" si="2"/>
        <v>-44.501553798309814</v>
      </c>
      <c r="L12" s="3">
        <f t="shared" si="3"/>
        <v>-554750.27293685975</v>
      </c>
      <c r="M12" s="45">
        <f t="shared" si="4"/>
        <v>-4852964.7196707958</v>
      </c>
    </row>
    <row r="13" spans="1:14">
      <c r="A13" s="1" t="s">
        <v>120</v>
      </c>
      <c r="B13" s="40">
        <f t="shared" si="5"/>
        <v>2002</v>
      </c>
      <c r="C13" s="3">
        <v>11409290</v>
      </c>
      <c r="D13" s="3">
        <v>1059733</v>
      </c>
      <c r="E13" s="3">
        <f t="shared" si="0"/>
        <v>92.883343310582873</v>
      </c>
      <c r="G13" s="3">
        <v>6853444</v>
      </c>
      <c r="H13" s="3">
        <v>1153909</v>
      </c>
      <c r="I13" s="3">
        <f t="shared" si="1"/>
        <v>168.36921699513414</v>
      </c>
      <c r="K13" s="43">
        <f t="shared" si="2"/>
        <v>-75.485873684551265</v>
      </c>
      <c r="L13" s="3">
        <f t="shared" si="3"/>
        <v>-861240.2237704139</v>
      </c>
      <c r="M13" s="45">
        <f t="shared" si="4"/>
        <v>-5793065.6201358605</v>
      </c>
    </row>
    <row r="14" spans="1:14">
      <c r="A14" s="1" t="s">
        <v>117</v>
      </c>
      <c r="B14" s="40">
        <f t="shared" si="5"/>
        <v>2003</v>
      </c>
      <c r="C14" s="3">
        <v>12528689</v>
      </c>
      <c r="D14" s="3">
        <v>1085230</v>
      </c>
      <c r="E14" s="3">
        <f t="shared" si="0"/>
        <v>86.619597629089526</v>
      </c>
      <c r="G14" s="3">
        <v>3497698</v>
      </c>
      <c r="H14" s="3">
        <v>479487</v>
      </c>
      <c r="I14" s="3">
        <f t="shared" si="1"/>
        <v>137.08644943045397</v>
      </c>
      <c r="K14" s="43">
        <f t="shared" si="2"/>
        <v>-50.466851801364442</v>
      </c>
      <c r="L14" s="3">
        <f t="shared" si="3"/>
        <v>-632283.49102838489</v>
      </c>
      <c r="M14" s="45">
        <f t="shared" si="4"/>
        <v>-6519486.4274914544</v>
      </c>
    </row>
    <row r="15" spans="1:14">
      <c r="A15" s="1" t="s">
        <v>118</v>
      </c>
      <c r="B15" s="40">
        <f t="shared" si="5"/>
        <v>2003</v>
      </c>
      <c r="C15" s="3">
        <v>13882979</v>
      </c>
      <c r="D15" s="3">
        <v>1211480</v>
      </c>
      <c r="E15" s="3">
        <f t="shared" si="0"/>
        <v>87.263691748003083</v>
      </c>
      <c r="G15" s="3">
        <v>2669802</v>
      </c>
      <c r="H15" s="3">
        <v>313163</v>
      </c>
      <c r="I15" s="3">
        <f t="shared" si="1"/>
        <v>117.29821162767875</v>
      </c>
      <c r="K15" s="43">
        <f t="shared" si="2"/>
        <v>-30.03451987967567</v>
      </c>
      <c r="L15" s="3">
        <f t="shared" si="3"/>
        <v>-416968.60876461992</v>
      </c>
      <c r="M15" s="45">
        <f t="shared" si="4"/>
        <v>-7042396.6907028109</v>
      </c>
    </row>
    <row r="16" spans="1:14">
      <c r="A16" s="1" t="s">
        <v>119</v>
      </c>
      <c r="B16" s="40">
        <f t="shared" si="5"/>
        <v>2003</v>
      </c>
      <c r="C16" s="3">
        <v>18336722</v>
      </c>
      <c r="D16" s="3">
        <v>1681729</v>
      </c>
      <c r="E16" s="3">
        <f t="shared" si="0"/>
        <v>91.713720696643605</v>
      </c>
      <c r="G16" s="3">
        <v>5748729</v>
      </c>
      <c r="H16" s="3">
        <v>689927</v>
      </c>
      <c r="I16" s="3">
        <f t="shared" si="1"/>
        <v>120.01383262282846</v>
      </c>
      <c r="K16" s="43">
        <f t="shared" si="2"/>
        <v>-28.300111926184854</v>
      </c>
      <c r="L16" s="3">
        <f t="shared" si="3"/>
        <v>-518931.28495933622</v>
      </c>
      <c r="M16" s="45">
        <f t="shared" si="4"/>
        <v>-7675766.9218860678</v>
      </c>
    </row>
    <row r="17" spans="1:13">
      <c r="A17" s="1" t="s">
        <v>120</v>
      </c>
      <c r="B17" s="40">
        <f t="shared" si="5"/>
        <v>2003</v>
      </c>
      <c r="C17" s="3">
        <v>19737558</v>
      </c>
      <c r="D17" s="3">
        <v>1593041</v>
      </c>
      <c r="E17" s="3">
        <f t="shared" si="0"/>
        <v>80.71114977850857</v>
      </c>
      <c r="G17" s="3">
        <v>2574043</v>
      </c>
      <c r="H17" s="3">
        <v>264705</v>
      </c>
      <c r="I17" s="3">
        <f t="shared" si="1"/>
        <v>102.83627740484522</v>
      </c>
      <c r="K17" s="43">
        <f t="shared" si="2"/>
        <v>-22.125127626336649</v>
      </c>
      <c r="L17" s="3">
        <f t="shared" si="3"/>
        <v>-436695.98978222191</v>
      </c>
      <c r="M17" s="45">
        <f t="shared" si="4"/>
        <v>-8237194.1241489388</v>
      </c>
    </row>
    <row r="18" spans="1:13">
      <c r="A18" s="1" t="s">
        <v>117</v>
      </c>
      <c r="B18" s="40">
        <f t="shared" si="5"/>
        <v>2004</v>
      </c>
      <c r="C18" s="3">
        <v>21398531</v>
      </c>
      <c r="D18" s="3">
        <v>1635107</v>
      </c>
      <c r="E18" s="3">
        <f t="shared" si="0"/>
        <v>76.412114457763479</v>
      </c>
      <c r="G18" s="3">
        <v>245274</v>
      </c>
      <c r="H18" s="3">
        <v>22338</v>
      </c>
      <c r="I18" s="3">
        <f t="shared" si="1"/>
        <v>91.073656400596875</v>
      </c>
      <c r="K18" s="43">
        <f t="shared" si="2"/>
        <v>-14.661541942833395</v>
      </c>
      <c r="L18" s="3">
        <f t="shared" si="3"/>
        <v>-313735.45977152063</v>
      </c>
      <c r="M18" s="45">
        <f t="shared" si="4"/>
        <v>-8684783.9884378817</v>
      </c>
    </row>
    <row r="19" spans="1:13">
      <c r="A19" s="1" t="s">
        <v>118</v>
      </c>
      <c r="B19" s="40">
        <f t="shared" si="5"/>
        <v>2004</v>
      </c>
      <c r="C19" s="3">
        <v>20019949</v>
      </c>
      <c r="D19" s="3">
        <v>1535004</v>
      </c>
      <c r="E19" s="3">
        <f t="shared" si="0"/>
        <v>76.673721796194386</v>
      </c>
      <c r="G19" s="3">
        <v>841694</v>
      </c>
      <c r="H19" s="3">
        <v>76644</v>
      </c>
      <c r="I19" s="3">
        <f t="shared" si="1"/>
        <v>91.059221047078864</v>
      </c>
      <c r="K19" s="43">
        <f t="shared" si="2"/>
        <v>-14.385499250884479</v>
      </c>
      <c r="L19" s="3">
        <f t="shared" si="3"/>
        <v>-287996.96134224546</v>
      </c>
      <c r="M19" s="45">
        <f t="shared" si="4"/>
        <v>-9113908.6895922441</v>
      </c>
    </row>
    <row r="20" spans="1:13">
      <c r="A20" s="1" t="s">
        <v>119</v>
      </c>
      <c r="B20" s="40">
        <f t="shared" si="5"/>
        <v>2004</v>
      </c>
      <c r="C20" s="3">
        <v>21412396</v>
      </c>
      <c r="D20" s="3">
        <v>1732516</v>
      </c>
      <c r="E20" s="3">
        <f t="shared" si="0"/>
        <v>80.911823226134999</v>
      </c>
      <c r="G20" s="3">
        <v>4951489</v>
      </c>
      <c r="H20" s="3">
        <v>421892</v>
      </c>
      <c r="I20" s="3">
        <f t="shared" si="1"/>
        <v>85.205076695111302</v>
      </c>
      <c r="K20" s="43">
        <f t="shared" si="2"/>
        <v>-4.2932534689763031</v>
      </c>
      <c r="L20" s="3">
        <f t="shared" si="3"/>
        <v>-91928.843406094311</v>
      </c>
      <c r="M20" s="45">
        <f t="shared" si="4"/>
        <v>-9353938.5492042135</v>
      </c>
    </row>
    <row r="21" spans="1:13">
      <c r="A21" s="1" t="s">
        <v>120</v>
      </c>
      <c r="B21" s="40">
        <f t="shared" si="5"/>
        <v>2004</v>
      </c>
      <c r="C21" s="3">
        <v>23182863</v>
      </c>
      <c r="D21" s="3">
        <v>1704610</v>
      </c>
      <c r="E21" s="3">
        <f t="shared" si="0"/>
        <v>73.528882088463362</v>
      </c>
      <c r="G21" s="3">
        <v>1476640</v>
      </c>
      <c r="H21" s="3">
        <v>98683</v>
      </c>
      <c r="I21" s="3">
        <f t="shared" si="1"/>
        <v>66.829423556181595</v>
      </c>
      <c r="K21" s="43">
        <f t="shared" si="2"/>
        <v>6.699458532281767</v>
      </c>
      <c r="L21" s="3">
        <f t="shared" si="3"/>
        <v>155312.62932806928</v>
      </c>
      <c r="M21" s="45">
        <f t="shared" si="4"/>
        <v>-9350627.421300713</v>
      </c>
    </row>
    <row r="22" spans="1:13">
      <c r="A22" s="1" t="s">
        <v>117</v>
      </c>
      <c r="B22" s="40">
        <f t="shared" si="5"/>
        <v>2005</v>
      </c>
      <c r="C22" s="3">
        <v>20750188</v>
      </c>
      <c r="D22" s="3">
        <v>1376546</v>
      </c>
      <c r="E22" s="3">
        <f t="shared" si="0"/>
        <v>66.338965218050078</v>
      </c>
      <c r="G22" s="3">
        <v>384980</v>
      </c>
      <c r="H22" s="3">
        <v>30962</v>
      </c>
      <c r="I22" s="3">
        <f t="shared" si="1"/>
        <v>80.424957140630681</v>
      </c>
      <c r="K22" s="43">
        <f t="shared" si="2"/>
        <v>-14.085991922580604</v>
      </c>
      <c r="L22" s="3">
        <f t="shared" si="3"/>
        <v>-292286.98056002898</v>
      </c>
      <c r="M22" s="45">
        <f t="shared" si="4"/>
        <v>-9794862.0974568799</v>
      </c>
    </row>
    <row r="23" spans="1:13">
      <c r="A23" s="1" t="s">
        <v>118</v>
      </c>
      <c r="B23" s="40">
        <f t="shared" si="5"/>
        <v>2005</v>
      </c>
      <c r="C23" s="3">
        <v>19542403</v>
      </c>
      <c r="D23" s="3">
        <v>1318901</v>
      </c>
      <c r="E23" s="3">
        <f t="shared" si="0"/>
        <v>67.489192603386599</v>
      </c>
      <c r="G23" s="3">
        <v>924755</v>
      </c>
      <c r="H23" s="3">
        <v>72706</v>
      </c>
      <c r="I23" s="3">
        <f t="shared" si="1"/>
        <v>78.62190526139355</v>
      </c>
      <c r="K23" s="43">
        <f t="shared" si="2"/>
        <v>-11.132712658006952</v>
      </c>
      <c r="L23" s="3">
        <f t="shared" si="3"/>
        <v>-217559.95724597303</v>
      </c>
      <c r="M23" s="45">
        <f t="shared" si="4"/>
        <v>-10171588.563786529</v>
      </c>
    </row>
    <row r="24" spans="1:13">
      <c r="A24" s="1" t="s">
        <v>119</v>
      </c>
      <c r="B24" s="40">
        <f t="shared" si="5"/>
        <v>2005</v>
      </c>
      <c r="C24" s="3">
        <v>20486838</v>
      </c>
      <c r="D24" s="3">
        <v>1509107</v>
      </c>
      <c r="E24" s="3">
        <f t="shared" si="0"/>
        <v>73.662270380621933</v>
      </c>
      <c r="G24" s="3">
        <v>6592204</v>
      </c>
      <c r="H24" s="3">
        <v>465873</v>
      </c>
      <c r="I24" s="3">
        <f t="shared" si="1"/>
        <v>70.670294790634514</v>
      </c>
      <c r="K24" s="43">
        <f t="shared" si="2"/>
        <v>2.991975589987419</v>
      </c>
      <c r="L24" s="3">
        <f t="shared" si="3"/>
        <v>61296.119212026679</v>
      </c>
      <c r="M24" s="45">
        <f t="shared" si="4"/>
        <v>-10275580.758736035</v>
      </c>
    </row>
    <row r="25" spans="1:13">
      <c r="A25" s="1" t="s">
        <v>120</v>
      </c>
      <c r="B25" s="40">
        <f t="shared" si="5"/>
        <v>2005</v>
      </c>
      <c r="C25" s="3">
        <v>21060134</v>
      </c>
      <c r="D25" s="3">
        <v>1371723</v>
      </c>
      <c r="E25" s="3">
        <f t="shared" si="0"/>
        <v>65.133631153533969</v>
      </c>
      <c r="G25" s="3">
        <v>3624725</v>
      </c>
      <c r="H25" s="3">
        <v>245600</v>
      </c>
      <c r="I25" s="3">
        <f t="shared" si="1"/>
        <v>67.756864313844488</v>
      </c>
      <c r="K25" s="43">
        <f t="shared" si="2"/>
        <v>-2.6232331603105195</v>
      </c>
      <c r="L25" s="3">
        <f t="shared" si="3"/>
        <v>-55245.64186938302</v>
      </c>
      <c r="M25" s="45">
        <f t="shared" si="4"/>
        <v>-10497804.58793488</v>
      </c>
    </row>
    <row r="26" spans="1:13">
      <c r="A26" s="1" t="s">
        <v>117</v>
      </c>
      <c r="B26" s="40">
        <f t="shared" si="5"/>
        <v>2006</v>
      </c>
      <c r="C26" s="3">
        <v>21151029</v>
      </c>
      <c r="D26" s="3">
        <v>1251999</v>
      </c>
      <c r="E26" s="3">
        <f t="shared" si="0"/>
        <v>59.193290312258569</v>
      </c>
      <c r="G26" s="3">
        <v>798000</v>
      </c>
      <c r="H26" s="3">
        <v>65676</v>
      </c>
      <c r="I26" s="3">
        <f t="shared" si="1"/>
        <v>82.300751879699249</v>
      </c>
      <c r="K26" s="43">
        <f t="shared" si="2"/>
        <v>-23.10746156744068</v>
      </c>
      <c r="L26" s="3">
        <f t="shared" si="3"/>
        <v>-488746.58972932328</v>
      </c>
      <c r="M26" s="45">
        <f t="shared" si="4"/>
        <v>-11157140.502218146</v>
      </c>
    </row>
    <row r="27" spans="1:13">
      <c r="A27" s="1" t="s">
        <v>118</v>
      </c>
      <c r="B27" s="40">
        <f t="shared" si="5"/>
        <v>2006</v>
      </c>
      <c r="C27" s="3">
        <v>19575129</v>
      </c>
      <c r="D27" s="3">
        <v>1174242</v>
      </c>
      <c r="E27" s="3">
        <f t="shared" si="0"/>
        <v>59.986424610535131</v>
      </c>
      <c r="G27" s="3">
        <v>1915266</v>
      </c>
      <c r="H27" s="3">
        <v>150629</v>
      </c>
      <c r="I27" s="3">
        <f t="shared" si="1"/>
        <v>78.646516985108079</v>
      </c>
      <c r="K27" s="43">
        <f t="shared" si="2"/>
        <v>-18.660092374572947</v>
      </c>
      <c r="L27" s="3">
        <f t="shared" si="3"/>
        <v>-365273.71538418176</v>
      </c>
      <c r="M27" s="45">
        <f t="shared" si="4"/>
        <v>-11703717.750763373</v>
      </c>
    </row>
    <row r="28" spans="1:13">
      <c r="A28" s="1" t="s">
        <v>119</v>
      </c>
      <c r="B28" s="40">
        <f t="shared" si="5"/>
        <v>2006</v>
      </c>
      <c r="C28" s="3">
        <v>19753086</v>
      </c>
      <c r="D28" s="3">
        <v>1322665</v>
      </c>
      <c r="E28" s="3">
        <f t="shared" si="0"/>
        <v>66.95991704789823</v>
      </c>
      <c r="G28" s="3">
        <v>8560415</v>
      </c>
      <c r="H28" s="3">
        <v>609070</v>
      </c>
      <c r="I28" s="3">
        <f t="shared" si="1"/>
        <v>71.149587958060451</v>
      </c>
      <c r="K28" s="43">
        <f t="shared" si="2"/>
        <v>-4.1896709101622207</v>
      </c>
      <c r="L28" s="3">
        <f t="shared" si="3"/>
        <v>-82758.929800132624</v>
      </c>
      <c r="M28" s="45">
        <f t="shared" si="4"/>
        <v>-11976662.094013412</v>
      </c>
    </row>
    <row r="29" spans="1:13">
      <c r="A29" s="1" t="s">
        <v>120</v>
      </c>
      <c r="B29" s="40">
        <f t="shared" si="5"/>
        <v>2006</v>
      </c>
      <c r="C29" s="3">
        <v>19795707</v>
      </c>
      <c r="D29" s="3">
        <v>1176044</v>
      </c>
      <c r="E29" s="3">
        <f t="shared" si="0"/>
        <v>59.409042576756669</v>
      </c>
      <c r="I29" s="3" t="e">
        <f t="shared" si="1"/>
        <v>#DIV/0!</v>
      </c>
      <c r="K29" s="43" t="e">
        <f t="shared" si="2"/>
        <v>#DIV/0!</v>
      </c>
      <c r="L29" s="3" t="e">
        <f t="shared" si="3"/>
        <v>#DIV/0!</v>
      </c>
      <c r="M29" s="45" t="e">
        <f t="shared" si="4"/>
        <v>#DIV/0!</v>
      </c>
    </row>
    <row r="30" spans="1:13">
      <c r="A30" s="1" t="s">
        <v>117</v>
      </c>
      <c r="B30" s="40">
        <f t="shared" si="5"/>
        <v>2007</v>
      </c>
      <c r="C30" s="3">
        <v>19395819</v>
      </c>
      <c r="D30" s="3">
        <v>1127605</v>
      </c>
      <c r="E30" s="3">
        <f t="shared" si="0"/>
        <v>58.136498386585274</v>
      </c>
      <c r="I30" s="3" t="e">
        <f t="shared" si="1"/>
        <v>#DIV/0!</v>
      </c>
      <c r="K30" s="43" t="e">
        <f t="shared" si="2"/>
        <v>#DIV/0!</v>
      </c>
      <c r="L30" s="3" t="e">
        <f t="shared" si="3"/>
        <v>#DIV/0!</v>
      </c>
      <c r="M30" s="45" t="e">
        <f t="shared" si="4"/>
        <v>#DIV/0!</v>
      </c>
    </row>
    <row r="31" spans="1:13">
      <c r="A31" s="1" t="s">
        <v>118</v>
      </c>
      <c r="B31" s="40">
        <f t="shared" si="5"/>
        <v>2007</v>
      </c>
      <c r="C31" s="3">
        <v>18428604</v>
      </c>
      <c r="D31" s="3">
        <v>1104039</v>
      </c>
      <c r="E31" s="3">
        <f t="shared" si="0"/>
        <v>59.908987137604129</v>
      </c>
      <c r="I31" s="3" t="e">
        <f t="shared" si="1"/>
        <v>#DIV/0!</v>
      </c>
      <c r="K31" s="43" t="e">
        <f t="shared" si="2"/>
        <v>#DIV/0!</v>
      </c>
      <c r="L31" s="3" t="e">
        <f t="shared" si="3"/>
        <v>#DIV/0!</v>
      </c>
      <c r="M31" s="45" t="e">
        <f t="shared" si="4"/>
        <v>#DIV/0!</v>
      </c>
    </row>
    <row r="32" spans="1:13">
      <c r="A32" s="1" t="s">
        <v>119</v>
      </c>
      <c r="B32" s="40">
        <f t="shared" si="5"/>
        <v>2007</v>
      </c>
      <c r="C32" s="3">
        <v>19684263</v>
      </c>
      <c r="D32" s="3">
        <v>1319151</v>
      </c>
      <c r="E32" s="3">
        <f t="shared" si="0"/>
        <v>67.015513865060626</v>
      </c>
      <c r="I32" s="3" t="e">
        <f t="shared" si="1"/>
        <v>#DIV/0!</v>
      </c>
      <c r="K32" s="43" t="e">
        <f t="shared" si="2"/>
        <v>#DIV/0!</v>
      </c>
      <c r="L32" s="3" t="e">
        <f t="shared" si="3"/>
        <v>#DIV/0!</v>
      </c>
      <c r="M32" s="45" t="e">
        <f t="shared" si="4"/>
        <v>#DIV/0!</v>
      </c>
    </row>
    <row r="33" spans="1:13">
      <c r="A33" s="1" t="s">
        <v>120</v>
      </c>
      <c r="B33" s="40">
        <f t="shared" si="5"/>
        <v>2007</v>
      </c>
      <c r="C33" s="3">
        <v>19591520</v>
      </c>
      <c r="D33" s="3">
        <v>1165055</v>
      </c>
      <c r="E33" s="3">
        <f t="shared" si="0"/>
        <v>59.467310346517266</v>
      </c>
      <c r="I33" s="3" t="e">
        <f t="shared" si="1"/>
        <v>#DIV/0!</v>
      </c>
      <c r="K33" s="43" t="e">
        <f t="shared" si="2"/>
        <v>#DIV/0!</v>
      </c>
      <c r="L33" s="3" t="e">
        <f t="shared" si="3"/>
        <v>#DIV/0!</v>
      </c>
      <c r="M33" s="45" t="e">
        <f t="shared" si="4"/>
        <v>#DIV/0!</v>
      </c>
    </row>
    <row r="34" spans="1:13">
      <c r="A34" s="1" t="s">
        <v>117</v>
      </c>
      <c r="B34" s="40">
        <f t="shared" si="5"/>
        <v>2008</v>
      </c>
      <c r="C34" s="3">
        <v>19153515</v>
      </c>
      <c r="D34" s="3">
        <v>1112997</v>
      </c>
      <c r="E34" s="3">
        <f t="shared" si="0"/>
        <v>58.109281768907692</v>
      </c>
      <c r="I34" s="3" t="e">
        <f t="shared" si="1"/>
        <v>#DIV/0!</v>
      </c>
      <c r="K34" s="43" t="e">
        <f t="shared" si="2"/>
        <v>#DIV/0!</v>
      </c>
      <c r="L34" s="3" t="e">
        <f t="shared" si="3"/>
        <v>#DIV/0!</v>
      </c>
      <c r="M34" s="45" t="e">
        <f t="shared" si="4"/>
        <v>#DIV/0!</v>
      </c>
    </row>
    <row r="35" spans="1:13">
      <c r="A35" s="1" t="s">
        <v>118</v>
      </c>
      <c r="B35" s="40">
        <f>+B31+1</f>
        <v>2008</v>
      </c>
      <c r="C35" s="3">
        <v>18763391</v>
      </c>
      <c r="D35" s="3">
        <v>1121144</v>
      </c>
      <c r="E35" s="3">
        <f t="shared" si="0"/>
        <v>59.75167281862857</v>
      </c>
      <c r="I35" s="3" t="e">
        <f t="shared" si="1"/>
        <v>#DIV/0!</v>
      </c>
      <c r="K35" s="43" t="e">
        <f t="shared" si="2"/>
        <v>#DIV/0!</v>
      </c>
      <c r="L35" s="3" t="e">
        <f t="shared" si="3"/>
        <v>#DIV/0!</v>
      </c>
      <c r="M35" s="45" t="e">
        <f t="shared" si="4"/>
        <v>#DIV/0!</v>
      </c>
    </row>
    <row r="36" spans="1:13">
      <c r="A36" s="1" t="s">
        <v>119</v>
      </c>
      <c r="B36" s="40">
        <f t="shared" si="5"/>
        <v>2008</v>
      </c>
      <c r="C36" s="3">
        <v>19294144</v>
      </c>
      <c r="D36" s="3">
        <v>1288971</v>
      </c>
      <c r="E36" s="3">
        <f t="shared" si="0"/>
        <v>66.80633253281411</v>
      </c>
      <c r="I36" s="3" t="e">
        <f t="shared" si="1"/>
        <v>#DIV/0!</v>
      </c>
      <c r="K36" s="43" t="e">
        <f t="shared" si="2"/>
        <v>#DIV/0!</v>
      </c>
      <c r="L36" s="3" t="e">
        <f t="shared" si="3"/>
        <v>#DIV/0!</v>
      </c>
      <c r="M36" s="45" t="e">
        <f t="shared" si="4"/>
        <v>#DIV/0!</v>
      </c>
    </row>
    <row r="37" spans="1:13">
      <c r="A37" s="1" t="s">
        <v>120</v>
      </c>
      <c r="B37" s="40">
        <f t="shared" si="5"/>
        <v>2008</v>
      </c>
      <c r="C37" s="3">
        <v>18854006</v>
      </c>
      <c r="D37" s="3">
        <v>1103942</v>
      </c>
      <c r="E37" s="3">
        <f t="shared" si="0"/>
        <v>58.552118844133183</v>
      </c>
      <c r="I37" s="3" t="e">
        <f t="shared" si="1"/>
        <v>#DIV/0!</v>
      </c>
      <c r="K37" s="43" t="e">
        <f t="shared" si="2"/>
        <v>#DIV/0!</v>
      </c>
      <c r="L37" s="3" t="e">
        <f t="shared" si="3"/>
        <v>#DIV/0!</v>
      </c>
      <c r="M37" s="45" t="e">
        <f t="shared" si="4"/>
        <v>#DIV/0!</v>
      </c>
    </row>
    <row r="38" spans="1:13">
      <c r="A38" s="1" t="s">
        <v>117</v>
      </c>
      <c r="B38" s="40">
        <f t="shared" si="5"/>
        <v>2009</v>
      </c>
      <c r="C38" s="3">
        <v>18797465</v>
      </c>
      <c r="D38" s="3">
        <v>1091076</v>
      </c>
      <c r="E38" s="3">
        <f t="shared" si="0"/>
        <v>58.043784095355413</v>
      </c>
      <c r="I38" s="3" t="e">
        <f t="shared" si="1"/>
        <v>#DIV/0!</v>
      </c>
      <c r="K38" s="43" t="e">
        <f t="shared" si="2"/>
        <v>#DIV/0!</v>
      </c>
      <c r="L38" s="3" t="e">
        <f t="shared" si="3"/>
        <v>#DIV/0!</v>
      </c>
      <c r="M38" s="45" t="e">
        <f t="shared" si="4"/>
        <v>#DIV/0!</v>
      </c>
    </row>
    <row r="39" spans="1:13">
      <c r="A39" s="1" t="s">
        <v>118</v>
      </c>
      <c r="B39" s="40">
        <f t="shared" si="5"/>
        <v>2009</v>
      </c>
      <c r="C39" s="3">
        <v>18709911</v>
      </c>
      <c r="D39" s="3">
        <v>1117245</v>
      </c>
      <c r="E39" s="3">
        <f t="shared" si="0"/>
        <v>59.714073466196609</v>
      </c>
      <c r="I39" s="3" t="e">
        <f t="shared" si="1"/>
        <v>#DIV/0!</v>
      </c>
      <c r="K39" s="43" t="e">
        <f t="shared" si="2"/>
        <v>#DIV/0!</v>
      </c>
      <c r="L39" s="3" t="e">
        <f t="shared" si="3"/>
        <v>#DIV/0!</v>
      </c>
      <c r="M39" s="45" t="e">
        <f t="shared" si="4"/>
        <v>#DIV/0!</v>
      </c>
    </row>
    <row r="40" spans="1:13">
      <c r="A40" s="1" t="s">
        <v>119</v>
      </c>
      <c r="B40" s="40">
        <f t="shared" si="5"/>
        <v>2009</v>
      </c>
      <c r="C40" s="3">
        <v>19293801</v>
      </c>
      <c r="D40" s="3">
        <v>1288045</v>
      </c>
      <c r="E40" s="3">
        <f t="shared" si="0"/>
        <v>66.75952550770063</v>
      </c>
      <c r="I40" s="3" t="e">
        <f t="shared" si="1"/>
        <v>#DIV/0!</v>
      </c>
      <c r="K40" s="43" t="e">
        <f t="shared" si="2"/>
        <v>#DIV/0!</v>
      </c>
      <c r="L40" s="3" t="e">
        <f t="shared" si="3"/>
        <v>#DIV/0!</v>
      </c>
      <c r="M40" s="45" t="e">
        <f t="shared" si="4"/>
        <v>#DIV/0!</v>
      </c>
    </row>
    <row r="41" spans="1:13">
      <c r="A41" s="1" t="s">
        <v>120</v>
      </c>
      <c r="B41" s="40">
        <f t="shared" si="5"/>
        <v>2009</v>
      </c>
      <c r="C41" s="3">
        <v>18779557</v>
      </c>
      <c r="D41" s="3">
        <v>1110135</v>
      </c>
      <c r="E41" s="3">
        <f t="shared" si="0"/>
        <v>59.114014244318966</v>
      </c>
      <c r="I41" s="3" t="e">
        <f t="shared" si="1"/>
        <v>#DIV/0!</v>
      </c>
      <c r="K41" s="43" t="e">
        <f t="shared" si="2"/>
        <v>#DIV/0!</v>
      </c>
      <c r="L41" s="3" t="e">
        <f t="shared" si="3"/>
        <v>#DIV/0!</v>
      </c>
      <c r="M41" s="45" t="e">
        <f t="shared" si="4"/>
        <v>#DIV/0!</v>
      </c>
    </row>
    <row r="42" spans="1:13">
      <c r="A42" s="1" t="s">
        <v>117</v>
      </c>
      <c r="B42" s="40">
        <f t="shared" si="5"/>
        <v>2010</v>
      </c>
      <c r="C42" s="3">
        <v>16709260</v>
      </c>
      <c r="D42" s="3">
        <v>1091325</v>
      </c>
      <c r="E42" s="3">
        <f t="shared" si="0"/>
        <v>65.31258715227365</v>
      </c>
      <c r="I42" s="3" t="e">
        <f t="shared" si="1"/>
        <v>#DIV/0!</v>
      </c>
      <c r="K42" s="43" t="e">
        <f t="shared" si="2"/>
        <v>#DIV/0!</v>
      </c>
      <c r="L42" s="3" t="e">
        <f t="shared" si="3"/>
        <v>#DIV/0!</v>
      </c>
      <c r="M42" s="45" t="e">
        <f t="shared" si="4"/>
        <v>#DIV/0!</v>
      </c>
    </row>
    <row r="43" spans="1:13">
      <c r="A43" s="1" t="s">
        <v>118</v>
      </c>
      <c r="B43" s="40">
        <f t="shared" si="5"/>
        <v>2010</v>
      </c>
      <c r="C43" s="3">
        <v>18607505</v>
      </c>
      <c r="D43" s="3">
        <v>1118705</v>
      </c>
      <c r="E43" s="3">
        <f t="shared" si="0"/>
        <v>60.121171538043392</v>
      </c>
      <c r="I43" s="3" t="e">
        <f t="shared" si="1"/>
        <v>#DIV/0!</v>
      </c>
      <c r="K43" s="43" t="e">
        <f t="shared" si="2"/>
        <v>#DIV/0!</v>
      </c>
      <c r="L43" s="3" t="e">
        <f t="shared" si="3"/>
        <v>#DIV/0!</v>
      </c>
      <c r="M43" s="45" t="e">
        <f t="shared" si="4"/>
        <v>#DIV/0!</v>
      </c>
    </row>
    <row r="44" spans="1:13">
      <c r="A44" s="1" t="s">
        <v>119</v>
      </c>
      <c r="B44" s="40">
        <f t="shared" si="5"/>
        <v>2010</v>
      </c>
      <c r="C44" s="3">
        <v>18922185</v>
      </c>
      <c r="D44" s="3">
        <v>1272959</v>
      </c>
      <c r="E44" s="3">
        <f t="shared" si="0"/>
        <v>67.273361929396629</v>
      </c>
      <c r="I44" s="3" t="e">
        <f t="shared" si="1"/>
        <v>#DIV/0!</v>
      </c>
      <c r="K44" s="43" t="e">
        <f t="shared" si="2"/>
        <v>#DIV/0!</v>
      </c>
      <c r="L44" s="3" t="e">
        <f t="shared" si="3"/>
        <v>#DIV/0!</v>
      </c>
      <c r="M44" s="45" t="e">
        <f t="shared" si="4"/>
        <v>#DIV/0!</v>
      </c>
    </row>
    <row r="45" spans="1:13">
      <c r="A45" s="1" t="s">
        <v>120</v>
      </c>
      <c r="B45" s="40">
        <f t="shared" si="5"/>
        <v>2010</v>
      </c>
      <c r="C45" s="3">
        <v>18490208</v>
      </c>
      <c r="D45" s="3">
        <v>1098610</v>
      </c>
      <c r="E45" s="3">
        <f t="shared" si="0"/>
        <v>59.415772932354251</v>
      </c>
      <c r="I45" s="3" t="e">
        <f t="shared" si="1"/>
        <v>#DIV/0!</v>
      </c>
      <c r="K45" s="43" t="e">
        <f t="shared" si="2"/>
        <v>#DIV/0!</v>
      </c>
      <c r="L45" s="3" t="e">
        <f t="shared" si="3"/>
        <v>#DIV/0!</v>
      </c>
      <c r="M45" s="45" t="e">
        <f t="shared" si="4"/>
        <v>#DIV/0!</v>
      </c>
    </row>
    <row r="49" spans="1:5">
      <c r="C49" s="3" t="s">
        <v>123</v>
      </c>
    </row>
    <row r="51" spans="1:5">
      <c r="A51" s="1" t="s">
        <v>117</v>
      </c>
      <c r="B51" s="40">
        <v>2001</v>
      </c>
      <c r="C51" s="3">
        <f>+D6+H6</f>
        <v>3798465</v>
      </c>
    </row>
    <row r="52" spans="1:5">
      <c r="A52" s="1" t="s">
        <v>118</v>
      </c>
      <c r="B52" s="40">
        <v>2001</v>
      </c>
      <c r="C52" s="3">
        <f t="shared" ref="C52:C62" si="6">+D7+H7</f>
        <v>4550488</v>
      </c>
    </row>
    <row r="53" spans="1:5">
      <c r="A53" s="1" t="s">
        <v>119</v>
      </c>
      <c r="B53" s="40">
        <v>2001</v>
      </c>
      <c r="C53" s="3">
        <f t="shared" si="6"/>
        <v>3672830</v>
      </c>
    </row>
    <row r="54" spans="1:5">
      <c r="A54" s="1" t="s">
        <v>120</v>
      </c>
      <c r="B54" s="40">
        <v>2001</v>
      </c>
      <c r="C54" s="3">
        <f t="shared" si="6"/>
        <v>3089093</v>
      </c>
      <c r="D54" s="3">
        <f>2982000+2064000+569000</f>
        <v>5615000</v>
      </c>
      <c r="E54" s="3">
        <f>SUM(D$51:D54)-SUM(C$51:C54)</f>
        <v>-9495876</v>
      </c>
    </row>
    <row r="55" spans="1:5">
      <c r="A55" s="1" t="s">
        <v>117</v>
      </c>
      <c r="B55" s="40">
        <f>+B51+1</f>
        <v>2002</v>
      </c>
      <c r="C55" s="3">
        <f t="shared" si="6"/>
        <v>1835879</v>
      </c>
    </row>
    <row r="56" spans="1:5">
      <c r="A56" s="1" t="s">
        <v>118</v>
      </c>
      <c r="B56" s="40">
        <f t="shared" ref="B56:B62" si="7">+B52+1</f>
        <v>2002</v>
      </c>
      <c r="C56" s="3">
        <f t="shared" si="6"/>
        <v>1921539</v>
      </c>
    </row>
    <row r="57" spans="1:5">
      <c r="A57" s="1" t="s">
        <v>119</v>
      </c>
      <c r="B57" s="40">
        <f t="shared" si="7"/>
        <v>2002</v>
      </c>
      <c r="C57" s="3">
        <f t="shared" si="6"/>
        <v>2823681</v>
      </c>
    </row>
    <row r="58" spans="1:5">
      <c r="A58" s="1" t="s">
        <v>120</v>
      </c>
      <c r="B58" s="40">
        <f t="shared" si="7"/>
        <v>2002</v>
      </c>
      <c r="C58" s="3">
        <f t="shared" si="6"/>
        <v>2213642</v>
      </c>
      <c r="D58" s="3">
        <f>4389000+3399000+1055000</f>
        <v>8843000</v>
      </c>
      <c r="E58" s="3">
        <f>SUM(D$51:D58)-SUM(C$51:C58)</f>
        <v>-9447617</v>
      </c>
    </row>
    <row r="59" spans="1:5">
      <c r="A59" s="1" t="s">
        <v>117</v>
      </c>
      <c r="B59" s="40">
        <f t="shared" si="7"/>
        <v>2003</v>
      </c>
      <c r="C59" s="3">
        <f t="shared" si="6"/>
        <v>1564717</v>
      </c>
    </row>
    <row r="60" spans="1:5">
      <c r="A60" s="1" t="s">
        <v>118</v>
      </c>
      <c r="B60" s="40">
        <f t="shared" si="7"/>
        <v>2003</v>
      </c>
      <c r="C60" s="3">
        <f t="shared" si="6"/>
        <v>1524643</v>
      </c>
    </row>
    <row r="61" spans="1:5">
      <c r="A61" s="1" t="s">
        <v>119</v>
      </c>
      <c r="B61" s="40">
        <f t="shared" si="7"/>
        <v>2003</v>
      </c>
      <c r="C61" s="3">
        <f t="shared" si="6"/>
        <v>2371656</v>
      </c>
    </row>
    <row r="62" spans="1:5">
      <c r="A62" s="1" t="s">
        <v>120</v>
      </c>
      <c r="B62" s="40">
        <f t="shared" si="7"/>
        <v>2003</v>
      </c>
      <c r="C62" s="3">
        <f t="shared" si="6"/>
        <v>1857746</v>
      </c>
      <c r="D62" s="3">
        <f>++5155000+3985000+1194000</f>
        <v>10334000</v>
      </c>
      <c r="E62" s="3">
        <f>SUM(D$51:D62)-SUM(C$51:C62)</f>
        <v>-6432379</v>
      </c>
    </row>
  </sheetData>
  <phoneticPr fontId="0" type="noConversion"/>
  <pageMargins left="0.75" right="0.75" top="1" bottom="1" header="0.5" footer="0.5"/>
  <pageSetup scale="69" orientation="landscape" r:id="rId1"/>
  <headerFooter alignWithMargins="0">
    <oddFooter>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13"/>
  <sheetViews>
    <sheetView tabSelected="1" topLeftCell="A48" workbookViewId="0">
      <selection activeCell="J110" sqref="J110"/>
    </sheetView>
  </sheetViews>
  <sheetFormatPr defaultRowHeight="12.75"/>
  <cols>
    <col min="1" max="1" width="44.7109375" customWidth="1"/>
    <col min="2" max="2" width="13.42578125" bestFit="1" customWidth="1"/>
    <col min="3" max="3" width="11.28515625" bestFit="1" customWidth="1"/>
    <col min="4" max="4" width="10.42578125" bestFit="1" customWidth="1"/>
    <col min="5" max="5" width="5.5703125" customWidth="1"/>
    <col min="7" max="7" width="9.42578125" customWidth="1"/>
    <col min="8" max="8" width="13.140625" customWidth="1"/>
    <col min="10" max="10" width="17" customWidth="1"/>
  </cols>
  <sheetData>
    <row r="1" spans="1:10">
      <c r="H1" s="120" t="s">
        <v>218</v>
      </c>
      <c r="I1" s="93">
        <v>0</v>
      </c>
      <c r="J1" s="56" t="s">
        <v>216</v>
      </c>
    </row>
    <row r="2" spans="1:10">
      <c r="B2" s="126">
        <v>2001</v>
      </c>
      <c r="C2" s="126"/>
      <c r="D2" s="126"/>
      <c r="F2" s="9"/>
      <c r="G2" s="9"/>
      <c r="H2" s="91"/>
      <c r="I2" s="92"/>
      <c r="J2" s="90" t="s">
        <v>217</v>
      </c>
    </row>
    <row r="4" spans="1:10" s="16" customFormat="1">
      <c r="B4" s="46" t="s">
        <v>101</v>
      </c>
      <c r="C4" s="46" t="s">
        <v>102</v>
      </c>
      <c r="D4" s="46" t="s">
        <v>103</v>
      </c>
      <c r="F4" s="46"/>
      <c r="G4" s="46"/>
      <c r="H4" s="120" t="s">
        <v>218</v>
      </c>
      <c r="I4" s="123">
        <v>0</v>
      </c>
      <c r="J4" s="121" t="s">
        <v>275</v>
      </c>
    </row>
    <row r="5" spans="1:10">
      <c r="H5" s="68"/>
      <c r="I5" s="92"/>
      <c r="J5" s="122" t="s">
        <v>276</v>
      </c>
    </row>
    <row r="6" spans="1:10">
      <c r="A6" t="s">
        <v>139</v>
      </c>
      <c r="B6" s="23">
        <f>+PGE!E141</f>
        <v>52027.016283999998</v>
      </c>
      <c r="C6" s="23">
        <f>+SCE!E135</f>
        <v>58405.8</v>
      </c>
      <c r="D6" s="23">
        <f>+SDGE!E104</f>
        <v>16548</v>
      </c>
      <c r="E6" s="23"/>
    </row>
    <row r="7" spans="1:10">
      <c r="A7" t="s">
        <v>140</v>
      </c>
      <c r="B7" s="23">
        <f>+PGE!E142</f>
        <v>29963.954642999997</v>
      </c>
      <c r="C7" s="23">
        <f>+SCE!E136</f>
        <v>25374.2</v>
      </c>
      <c r="D7" s="23">
        <f>+SDGE!E105</f>
        <v>657</v>
      </c>
      <c r="E7" s="23"/>
    </row>
    <row r="8" spans="1:10">
      <c r="A8" t="s">
        <v>165</v>
      </c>
      <c r="B8" s="23">
        <f>+PGE!E138</f>
        <v>81990.970927000002</v>
      </c>
      <c r="C8" s="23">
        <f>+SCE!E132</f>
        <v>83780</v>
      </c>
      <c r="D8" s="23">
        <f>+SDGE!E101</f>
        <v>17205</v>
      </c>
      <c r="E8" s="23"/>
    </row>
    <row r="9" spans="1:10">
      <c r="B9" s="23"/>
      <c r="C9" s="23"/>
      <c r="D9" s="23"/>
      <c r="E9" s="23"/>
    </row>
    <row r="10" spans="1:10">
      <c r="A10" t="s">
        <v>169</v>
      </c>
      <c r="B10" s="52">
        <f>IF(I1=1,83000*0.58,93000*0.58)</f>
        <v>53939.999999999993</v>
      </c>
      <c r="C10" s="23">
        <f>83000*0.66</f>
        <v>54780</v>
      </c>
      <c r="D10" s="23">
        <f>16000*0.33</f>
        <v>5280</v>
      </c>
      <c r="E10" s="23"/>
    </row>
    <row r="11" spans="1:10">
      <c r="B11" s="52"/>
      <c r="C11" s="23"/>
      <c r="D11" s="23"/>
      <c r="E11" s="23"/>
    </row>
    <row r="12" spans="1:10">
      <c r="A12" t="s">
        <v>172</v>
      </c>
      <c r="B12" s="23"/>
      <c r="C12" s="23"/>
      <c r="D12" s="23"/>
      <c r="E12" s="23"/>
    </row>
    <row r="13" spans="1:10">
      <c r="A13" t="s">
        <v>138</v>
      </c>
      <c r="B13" s="23">
        <f>+B10-B8</f>
        <v>-28050.970927000009</v>
      </c>
      <c r="C13" s="23">
        <f>+C10-C8</f>
        <v>-29000</v>
      </c>
      <c r="D13" s="23">
        <f>+D10-D8</f>
        <v>-11925</v>
      </c>
      <c r="E13" s="23"/>
    </row>
    <row r="14" spans="1:10">
      <c r="A14" t="s">
        <v>132</v>
      </c>
      <c r="B14" s="23">
        <f>+B10-B6</f>
        <v>1912.9837159999952</v>
      </c>
      <c r="C14" s="23">
        <f>+C10-C6</f>
        <v>-3625.8000000000029</v>
      </c>
      <c r="D14" s="23">
        <f>+D10-D6</f>
        <v>-11268</v>
      </c>
      <c r="E14" s="23"/>
    </row>
    <row r="15" spans="1:10">
      <c r="B15" s="42"/>
    </row>
    <row r="17" spans="1:4">
      <c r="A17" t="s">
        <v>131</v>
      </c>
    </row>
    <row r="19" spans="1:4">
      <c r="B19" s="46" t="s">
        <v>101</v>
      </c>
      <c r="C19" s="46" t="s">
        <v>102</v>
      </c>
      <c r="D19" s="46" t="s">
        <v>103</v>
      </c>
    </row>
    <row r="20" spans="1:4">
      <c r="B20" s="46"/>
      <c r="C20" s="46"/>
      <c r="D20" s="46"/>
    </row>
    <row r="21" spans="1:4">
      <c r="A21" t="s">
        <v>146</v>
      </c>
      <c r="B21" s="48">
        <f>PGE!E132</f>
        <v>28847.626315000001</v>
      </c>
      <c r="C21" s="48">
        <f>+SCE!E11+SCE!E20</f>
        <v>24918.3</v>
      </c>
      <c r="D21" s="48">
        <f>+SDGE!E12+SDGE!E20</f>
        <v>6259</v>
      </c>
    </row>
    <row r="22" spans="1:4" s="50" customFormat="1">
      <c r="A22" s="50" t="s">
        <v>147</v>
      </c>
      <c r="B22" s="51">
        <f>PGE!G132</f>
        <v>3348.1717450000001</v>
      </c>
      <c r="C22" s="51">
        <f>+SCE!I11+SCE!I20</f>
        <v>4035.5</v>
      </c>
      <c r="D22" s="51">
        <f>+SDGE!I12+SDGE!I20</f>
        <v>1015.6</v>
      </c>
    </row>
    <row r="23" spans="1:4">
      <c r="A23" t="s">
        <v>159</v>
      </c>
      <c r="B23" s="49">
        <f>+B22/B21*100</f>
        <v>11.606402927020167</v>
      </c>
      <c r="C23" s="49">
        <f>+C22/C21*100</f>
        <v>16.194925014948851</v>
      </c>
      <c r="D23" s="49">
        <f>+D22/D21*100</f>
        <v>16.226234222719285</v>
      </c>
    </row>
    <row r="24" spans="1:4">
      <c r="B24" s="48"/>
      <c r="C24" s="48"/>
      <c r="D24" s="48"/>
    </row>
    <row r="25" spans="1:4">
      <c r="A25" t="s">
        <v>149</v>
      </c>
      <c r="B25" s="48">
        <f>PGE!E133+PGE!E134+PGE!E135+PGE!E136</f>
        <v>53143.344612000001</v>
      </c>
      <c r="C25" s="48">
        <f>+C29-C21</f>
        <v>33487.5</v>
      </c>
      <c r="D25" s="48">
        <f>+D29-D21</f>
        <v>10289</v>
      </c>
    </row>
    <row r="26" spans="1:4" s="50" customFormat="1">
      <c r="A26" s="50" t="s">
        <v>148</v>
      </c>
      <c r="B26" s="51">
        <f>PGE!G133+PGE!G134+PGE!G135+PGE!G136</f>
        <v>5169.3163070000001</v>
      </c>
      <c r="C26" s="51">
        <f>+C30-C22</f>
        <v>5117.1999999999989</v>
      </c>
      <c r="D26" s="51">
        <f>+D30-D22</f>
        <v>1619.4</v>
      </c>
    </row>
    <row r="27" spans="1:4">
      <c r="A27" t="s">
        <v>159</v>
      </c>
      <c r="B27" s="49">
        <f>+B26/B25*100</f>
        <v>9.7271188795910781</v>
      </c>
      <c r="C27" s="49">
        <f>+C26/C25*100</f>
        <v>15.280925718551694</v>
      </c>
      <c r="D27" s="49">
        <f>+D26/D25*100</f>
        <v>15.739138886189135</v>
      </c>
    </row>
    <row r="29" spans="1:4">
      <c r="A29" t="s">
        <v>141</v>
      </c>
      <c r="B29" s="23">
        <f>+B6</f>
        <v>52027.016283999998</v>
      </c>
      <c r="C29" s="23">
        <f>+C6</f>
        <v>58405.8</v>
      </c>
      <c r="D29" s="23">
        <f>+D6</f>
        <v>16548</v>
      </c>
    </row>
    <row r="30" spans="1:4" s="50" customFormat="1">
      <c r="A30" s="50" t="s">
        <v>142</v>
      </c>
      <c r="B30" s="50">
        <f>+PGE!I141</f>
        <v>7741.3151970000008</v>
      </c>
      <c r="C30" s="50">
        <f>+SCE!I135</f>
        <v>9152.6999999999989</v>
      </c>
      <c r="D30" s="50">
        <f>+SDGE!I104</f>
        <v>2635</v>
      </c>
    </row>
    <row r="31" spans="1:4">
      <c r="A31" t="s">
        <v>159</v>
      </c>
      <c r="B31" s="47">
        <f>+B30/B29*100</f>
        <v>14.879414100440558</v>
      </c>
      <c r="C31" s="47">
        <f>+C30/C29*100</f>
        <v>15.670875152810163</v>
      </c>
      <c r="D31" s="47">
        <f>+D30/D29*100</f>
        <v>15.923374425912499</v>
      </c>
    </row>
    <row r="33" spans="1:4">
      <c r="A33" t="s">
        <v>143</v>
      </c>
      <c r="B33" s="42">
        <f>+B7</f>
        <v>29963.954642999997</v>
      </c>
      <c r="C33" s="42">
        <f>+C7</f>
        <v>25374.2</v>
      </c>
      <c r="D33" s="42">
        <f>+D7</f>
        <v>657</v>
      </c>
    </row>
    <row r="34" spans="1:4" s="50" customFormat="1">
      <c r="A34" s="50" t="s">
        <v>157</v>
      </c>
      <c r="B34" s="50">
        <f>+PGE!I142</f>
        <v>3658.9019770000004</v>
      </c>
      <c r="C34" s="50">
        <f>+SCE!I136</f>
        <v>3294.4</v>
      </c>
      <c r="D34" s="50">
        <f>+SDGE!I105</f>
        <v>78.8</v>
      </c>
    </row>
    <row r="35" spans="1:4">
      <c r="A35" t="s">
        <v>159</v>
      </c>
      <c r="B35" s="47">
        <f>+B34/B33*100</f>
        <v>12.211011599080669</v>
      </c>
      <c r="C35" s="47">
        <f>+C34/C33*100</f>
        <v>12.983266467514246</v>
      </c>
      <c r="D35" s="47">
        <f>+D34/D33*100</f>
        <v>11.993911719939117</v>
      </c>
    </row>
    <row r="38" spans="1:4">
      <c r="B38" s="46" t="s">
        <v>101</v>
      </c>
      <c r="C38" s="46" t="s">
        <v>102</v>
      </c>
      <c r="D38" s="46" t="s">
        <v>103</v>
      </c>
    </row>
    <row r="40" spans="1:4">
      <c r="A40" t="s">
        <v>150</v>
      </c>
      <c r="B40" s="50">
        <f>83000*0.98*0.01</f>
        <v>813.4</v>
      </c>
      <c r="C40" s="50">
        <v>400</v>
      </c>
      <c r="D40" s="50">
        <f>16000*0.96*0.012</f>
        <v>184.32</v>
      </c>
    </row>
    <row r="41" spans="1:4">
      <c r="A41" t="s">
        <v>151</v>
      </c>
      <c r="B41" s="50">
        <f>83000*0.98*0.033</f>
        <v>2684.2200000000003</v>
      </c>
      <c r="C41" s="50">
        <v>2700</v>
      </c>
      <c r="D41" s="50">
        <f>16000*0.96*0.053</f>
        <v>814.07999999999993</v>
      </c>
    </row>
    <row r="42" spans="1:4">
      <c r="A42" t="s">
        <v>152</v>
      </c>
      <c r="B42" s="50">
        <f>83000*0.98*0.007</f>
        <v>569.38</v>
      </c>
      <c r="C42" s="50">
        <v>300</v>
      </c>
      <c r="D42" s="50">
        <f>16000*0.96*0.004</f>
        <v>61.44</v>
      </c>
    </row>
    <row r="43" spans="1:4">
      <c r="A43" t="s">
        <v>153</v>
      </c>
      <c r="B43" s="50">
        <f>83000*0.98*0.043</f>
        <v>3497.62</v>
      </c>
      <c r="C43" s="50">
        <v>3900</v>
      </c>
      <c r="D43" s="50">
        <f>16000*0.96*0.024</f>
        <v>368.64</v>
      </c>
    </row>
    <row r="44" spans="1:4">
      <c r="B44" s="50"/>
      <c r="C44" s="50"/>
      <c r="D44" s="50"/>
    </row>
    <row r="45" spans="1:4">
      <c r="A45" t="s">
        <v>154</v>
      </c>
      <c r="B45" s="50">
        <f>SUM(B40:B44)</f>
        <v>7564.6200000000008</v>
      </c>
      <c r="C45" s="50">
        <f>SUM(C40:C44)</f>
        <v>7300</v>
      </c>
      <c r="D45" s="50">
        <f>SUM(D40:D44)</f>
        <v>1428.48</v>
      </c>
    </row>
    <row r="46" spans="1:4">
      <c r="B46" s="50"/>
      <c r="C46" s="50"/>
      <c r="D46" s="50"/>
    </row>
    <row r="47" spans="1:4">
      <c r="A47" t="s">
        <v>230</v>
      </c>
      <c r="B47" s="50">
        <f>+B8*B51/100</f>
        <v>3205.8469632457004</v>
      </c>
      <c r="C47" s="50">
        <f>+C8*C51/100</f>
        <v>3518.76</v>
      </c>
      <c r="D47" s="50">
        <f>+D8*D51/100</f>
        <v>1071.8715000000002</v>
      </c>
    </row>
    <row r="48" spans="1:4">
      <c r="B48" s="50"/>
      <c r="C48" s="50"/>
      <c r="D48" s="50"/>
    </row>
    <row r="49" spans="1:8">
      <c r="A49" t="s">
        <v>156</v>
      </c>
      <c r="B49" s="50">
        <f>+B45+B47</f>
        <v>10770.466963245701</v>
      </c>
      <c r="C49" s="50">
        <f>+C45+C47</f>
        <v>10818.76</v>
      </c>
      <c r="D49" s="50">
        <f>+D45+D47</f>
        <v>2500.3515000000002</v>
      </c>
    </row>
    <row r="51" spans="1:8">
      <c r="A51" t="s">
        <v>158</v>
      </c>
      <c r="B51" s="109">
        <v>3.91</v>
      </c>
      <c r="C51" s="109">
        <v>4.2</v>
      </c>
      <c r="D51" s="109">
        <v>6.23</v>
      </c>
    </row>
    <row r="52" spans="1:8">
      <c r="A52" t="s">
        <v>231</v>
      </c>
      <c r="B52" s="108">
        <v>3.95</v>
      </c>
      <c r="C52" s="108">
        <v>4.0199999999999996</v>
      </c>
      <c r="D52" s="108">
        <f>12.73-6.5</f>
        <v>6.23</v>
      </c>
    </row>
    <row r="54" spans="1:8">
      <c r="A54" s="54" t="s">
        <v>160</v>
      </c>
      <c r="B54" s="55"/>
      <c r="C54" s="55"/>
      <c r="D54" s="56"/>
      <c r="F54" s="54" t="s">
        <v>229</v>
      </c>
      <c r="G54" s="55"/>
      <c r="H54" s="56"/>
    </row>
    <row r="55" spans="1:8">
      <c r="A55" s="57"/>
      <c r="B55" s="59"/>
      <c r="C55" s="59"/>
      <c r="D55" s="60"/>
      <c r="F55" s="57"/>
      <c r="G55" s="59"/>
      <c r="H55" s="60"/>
    </row>
    <row r="56" spans="1:8">
      <c r="A56" s="57" t="s">
        <v>161</v>
      </c>
      <c r="B56" s="61">
        <f>+B40*(B29/B8)</f>
        <v>516.13945495393352</v>
      </c>
      <c r="C56" s="61">
        <f>+C40*(C29/C8)</f>
        <v>278.85318691811892</v>
      </c>
      <c r="D56" s="62">
        <f>+D40*(D29/D8)</f>
        <v>177.28145074106362</v>
      </c>
      <c r="F56" s="102">
        <f>B56/B$66*B$70</f>
        <v>0.9920604559302072</v>
      </c>
      <c r="G56" s="106">
        <f>C56/C$66*C$70</f>
        <v>0.47744091668656008</v>
      </c>
      <c r="H56" s="103">
        <f>D56/D$66*D$70</f>
        <v>1.0713164777680906</v>
      </c>
    </row>
    <row r="57" spans="1:8">
      <c r="A57" s="57" t="s">
        <v>226</v>
      </c>
      <c r="B57" s="61">
        <f>IF(B14&lt;0,(-B14*Curves!$AO8)/1000,0)</f>
        <v>0</v>
      </c>
      <c r="C57" s="61">
        <f>IF(C14&lt;0,(-C14*Curves!$AO8)/1000,0)</f>
        <v>377.08320000000032</v>
      </c>
      <c r="D57" s="62">
        <f>IF(D14&lt;0,(-D14*Curves!$AO8)/1000,0)</f>
        <v>1171.8720000000001</v>
      </c>
      <c r="F57" s="102">
        <f>B57/B$66*B$70</f>
        <v>0</v>
      </c>
      <c r="G57" s="106">
        <f t="shared" ref="G57:H60" si="0">C57/C$66*C$70</f>
        <v>0.64562629053963871</v>
      </c>
      <c r="H57" s="103">
        <f t="shared" si="0"/>
        <v>7.0816533720087023</v>
      </c>
    </row>
    <row r="58" spans="1:8">
      <c r="A58" s="101" t="s">
        <v>227</v>
      </c>
      <c r="B58" s="61">
        <f>IF(B14&gt;0,(-B14*Curves!$AO8)/1000,0)</f>
        <v>-198.95030646399951</v>
      </c>
      <c r="C58" s="61">
        <f>IF(C14&gt;0,(-C14*Curves!$AO8)/1000,0)</f>
        <v>0</v>
      </c>
      <c r="D58" s="62">
        <f>IF(D14&gt;0,(-D14*Curves!$AO8)/1000,0)</f>
        <v>0</v>
      </c>
      <c r="F58" s="102">
        <f>B58/B$66*B$70</f>
        <v>-0.38239807060621922</v>
      </c>
      <c r="G58" s="106">
        <f t="shared" si="0"/>
        <v>0</v>
      </c>
      <c r="H58" s="103">
        <f t="shared" si="0"/>
        <v>0</v>
      </c>
    </row>
    <row r="59" spans="1:8">
      <c r="A59" s="101" t="s">
        <v>228</v>
      </c>
      <c r="B59" s="61">
        <f>B43</f>
        <v>3497.62</v>
      </c>
      <c r="C59" s="61">
        <f>C43</f>
        <v>3900</v>
      </c>
      <c r="D59" s="62">
        <f>D43</f>
        <v>368.64</v>
      </c>
      <c r="F59" s="102">
        <f>B59/B$66*B$70</f>
        <v>6.7226995699840497</v>
      </c>
      <c r="G59" s="106">
        <f t="shared" si="0"/>
        <v>6.6774190234531501</v>
      </c>
      <c r="H59" s="103">
        <f t="shared" si="0"/>
        <v>2.2277012327773749</v>
      </c>
    </row>
    <row r="60" spans="1:8">
      <c r="A60" s="57" t="s">
        <v>164</v>
      </c>
      <c r="B60" s="61">
        <f>IF($I$4=1,+B42*(B29/B8),0)</f>
        <v>0</v>
      </c>
      <c r="C60" s="61">
        <f>IF($I$4=1,+C42*(C29/C8),0)</f>
        <v>0</v>
      </c>
      <c r="D60" s="62">
        <f>IF($I$4=1,+D42*(D29/D8),0)</f>
        <v>0</v>
      </c>
      <c r="F60" s="102">
        <f>B60/B$66*B$70</f>
        <v>0</v>
      </c>
      <c r="G60" s="106">
        <f t="shared" si="0"/>
        <v>0</v>
      </c>
      <c r="H60" s="103">
        <f t="shared" si="0"/>
        <v>0</v>
      </c>
    </row>
    <row r="61" spans="1:8">
      <c r="A61" s="57"/>
      <c r="B61" s="61"/>
      <c r="C61" s="61"/>
      <c r="D61" s="62"/>
      <c r="F61" s="102"/>
      <c r="G61" s="106"/>
      <c r="H61" s="103"/>
    </row>
    <row r="62" spans="1:8">
      <c r="A62" s="57" t="s">
        <v>154</v>
      </c>
      <c r="B62" s="61">
        <f>SUM(B56:B61)</f>
        <v>3814.8091484899342</v>
      </c>
      <c r="C62" s="61">
        <f>SUM(C56:C61)</f>
        <v>4555.9363869181198</v>
      </c>
      <c r="D62" s="62">
        <f>SUM(D56:D61)</f>
        <v>1717.7934507410637</v>
      </c>
      <c r="F62" s="102">
        <f>SUM(F56:F61)</f>
        <v>7.3323619553080377</v>
      </c>
      <c r="G62" s="106">
        <f>SUM(G56:G61)</f>
        <v>7.8004862306793488</v>
      </c>
      <c r="H62" s="103">
        <f>SUM(H56:H61)</f>
        <v>10.380671082554169</v>
      </c>
    </row>
    <row r="63" spans="1:8">
      <c r="A63" s="57"/>
      <c r="B63" s="61"/>
      <c r="C63" s="61"/>
      <c r="D63" s="62"/>
      <c r="F63" s="102"/>
      <c r="G63" s="106"/>
      <c r="H63" s="103"/>
    </row>
    <row r="64" spans="1:8">
      <c r="A64" s="57" t="s">
        <v>232</v>
      </c>
      <c r="B64" s="85">
        <f>+B6*B96/100</f>
        <v>2542.8204208805</v>
      </c>
      <c r="C64" s="85">
        <f>+C6*C96/100</f>
        <v>3066.3045000000002</v>
      </c>
      <c r="D64" s="86">
        <f>+D6*D96/100</f>
        <v>1055.59692</v>
      </c>
      <c r="F64" s="102">
        <f>B64/B$66*B$70</f>
        <v>4.8875000000000002</v>
      </c>
      <c r="G64" s="106">
        <f>C64/C$66*C$70</f>
        <v>5.25</v>
      </c>
      <c r="H64" s="103">
        <f>D64/D$66*D$70</f>
        <v>6.3790000000000004</v>
      </c>
    </row>
    <row r="65" spans="1:8">
      <c r="A65" s="57"/>
      <c r="B65" s="61"/>
      <c r="C65" s="61"/>
      <c r="D65" s="62"/>
      <c r="F65" s="57"/>
      <c r="G65" s="59"/>
      <c r="H65" s="60"/>
    </row>
    <row r="66" spans="1:8">
      <c r="A66" s="57" t="s">
        <v>47</v>
      </c>
      <c r="B66" s="61">
        <f>SUM(B62:B64)</f>
        <v>6357.6295693704342</v>
      </c>
      <c r="C66" s="61">
        <f>SUM(C62:C64)</f>
        <v>7622.2408869181199</v>
      </c>
      <c r="D66" s="62">
        <f>SUM(D62:D64)</f>
        <v>2773.3903707410636</v>
      </c>
      <c r="F66" s="104">
        <f>SUM(F62:F64)</f>
        <v>12.219861955308037</v>
      </c>
      <c r="G66" s="107">
        <f>SUM(G62:G64)</f>
        <v>13.050486230679349</v>
      </c>
      <c r="H66" s="105">
        <f>SUM(H62:H64)</f>
        <v>16.759671082554171</v>
      </c>
    </row>
    <row r="67" spans="1:8">
      <c r="A67" s="57"/>
      <c r="B67" s="58"/>
      <c r="C67" s="58"/>
      <c r="D67" s="63"/>
    </row>
    <row r="68" spans="1:8">
      <c r="A68" s="57" t="s">
        <v>171</v>
      </c>
      <c r="B68" s="64">
        <f>+B29</f>
        <v>52027.016283999998</v>
      </c>
      <c r="C68" s="64">
        <f>+C29</f>
        <v>58405.8</v>
      </c>
      <c r="D68" s="65">
        <f>+D29</f>
        <v>16548</v>
      </c>
    </row>
    <row r="69" spans="1:8">
      <c r="A69" s="57"/>
      <c r="B69" s="58"/>
      <c r="C69" s="58"/>
      <c r="D69" s="63"/>
    </row>
    <row r="70" spans="1:8">
      <c r="A70" s="57" t="s">
        <v>162</v>
      </c>
      <c r="B70" s="66">
        <f>+B66/B68*100</f>
        <v>12.219861955308039</v>
      </c>
      <c r="C70" s="66">
        <f>+C66/C68*100</f>
        <v>13.050486230679351</v>
      </c>
      <c r="D70" s="67">
        <f>+D66/D68*100</f>
        <v>16.759671082554167</v>
      </c>
    </row>
    <row r="71" spans="1:8">
      <c r="A71" s="57"/>
      <c r="B71" s="58"/>
      <c r="C71" s="59"/>
      <c r="D71" s="60"/>
    </row>
    <row r="72" spans="1:8">
      <c r="A72" s="68" t="s">
        <v>163</v>
      </c>
      <c r="B72" s="69">
        <f>+B31</f>
        <v>14.879414100440558</v>
      </c>
      <c r="C72" s="69">
        <f>+C31</f>
        <v>15.670875152810163</v>
      </c>
      <c r="D72" s="70">
        <f>+D31</f>
        <v>15.923374425912499</v>
      </c>
    </row>
    <row r="73" spans="1:8">
      <c r="A73" s="59"/>
      <c r="B73" s="94"/>
      <c r="C73" s="94"/>
      <c r="D73" s="94"/>
    </row>
    <row r="74" spans="1:8">
      <c r="A74" s="54" t="s">
        <v>219</v>
      </c>
      <c r="B74" s="55"/>
      <c r="C74" s="55"/>
      <c r="D74" s="56"/>
      <c r="F74" s="54" t="s">
        <v>229</v>
      </c>
      <c r="G74" s="55"/>
      <c r="H74" s="56"/>
    </row>
    <row r="75" spans="1:8">
      <c r="A75" s="57"/>
      <c r="B75" s="59"/>
      <c r="C75" s="59"/>
      <c r="D75" s="60"/>
      <c r="F75" s="57"/>
      <c r="G75" s="59"/>
      <c r="H75" s="60"/>
    </row>
    <row r="76" spans="1:8">
      <c r="A76" s="57" t="s">
        <v>161</v>
      </c>
      <c r="B76" s="61">
        <f>B40-B56</f>
        <v>297.26054504606645</v>
      </c>
      <c r="C76" s="61">
        <f>C40-C56</f>
        <v>121.14681308188108</v>
      </c>
      <c r="D76" s="62">
        <f>D40-D56</f>
        <v>7.0385492589363707</v>
      </c>
      <c r="F76" s="102">
        <f t="shared" ref="F76:H78" si="1">B76/B$84*B$88</f>
        <v>0.99206045593020775</v>
      </c>
      <c r="G76" s="106">
        <f t="shared" si="1"/>
        <v>0.47744091668655986</v>
      </c>
      <c r="H76" s="103">
        <f t="shared" si="1"/>
        <v>1.0713164777680928</v>
      </c>
    </row>
    <row r="77" spans="1:8">
      <c r="A77" s="57" t="s">
        <v>226</v>
      </c>
      <c r="B77" s="85">
        <f>B7*Curves!$AO$8/1000</f>
        <v>3116.2512828719996</v>
      </c>
      <c r="C77" s="85">
        <f>C7*Curves!$AO$8/1000</f>
        <v>2638.9168000000004</v>
      </c>
      <c r="D77" s="86">
        <f>D7*Curves!$AO$8/1000</f>
        <v>68.328000000000003</v>
      </c>
      <c r="F77" s="102">
        <f t="shared" si="1"/>
        <v>10.399999999999999</v>
      </c>
      <c r="G77" s="106">
        <f t="shared" si="1"/>
        <v>10.400000000000002</v>
      </c>
      <c r="H77" s="103">
        <f t="shared" si="1"/>
        <v>10.399999999999999</v>
      </c>
    </row>
    <row r="78" spans="1:8">
      <c r="A78" s="57" t="s">
        <v>164</v>
      </c>
      <c r="B78" s="61">
        <f>IF($I$4=1,B42-B60,B42*0.8724)</f>
        <v>496.72711199999998</v>
      </c>
      <c r="C78" s="61">
        <f>IF($I$4=1,C42-C60,C42*0.8724)</f>
        <v>261.71999999999997</v>
      </c>
      <c r="D78" s="62">
        <f>IF($I$4=1,D42-D60,D42*0.8724)</f>
        <v>53.600255999999995</v>
      </c>
      <c r="F78" s="102">
        <f t="shared" si="1"/>
        <v>1.657748844964436</v>
      </c>
      <c r="G78" s="106">
        <f t="shared" si="1"/>
        <v>1.0314413853441684</v>
      </c>
      <c r="H78" s="103">
        <f t="shared" si="1"/>
        <v>8.1583342465753415</v>
      </c>
    </row>
    <row r="79" spans="1:8">
      <c r="A79" s="57"/>
      <c r="B79" s="61"/>
      <c r="C79" s="61"/>
      <c r="D79" s="62"/>
      <c r="F79" s="102"/>
      <c r="G79" s="106"/>
      <c r="H79" s="103"/>
    </row>
    <row r="80" spans="1:8">
      <c r="A80" s="57" t="s">
        <v>154</v>
      </c>
      <c r="B80" s="61">
        <f>SUM(B76:B79)</f>
        <v>3910.2389399180661</v>
      </c>
      <c r="C80" s="61">
        <f>SUM(C76:C79)</f>
        <v>3021.7836130818814</v>
      </c>
      <c r="D80" s="62">
        <f>SUM(D76:D79)</f>
        <v>128.96680525893638</v>
      </c>
      <c r="F80" s="102">
        <f>SUM(F76:F79)</f>
        <v>13.049809300894642</v>
      </c>
      <c r="G80" s="106">
        <f>SUM(G76:G79)</f>
        <v>11.90888230203073</v>
      </c>
      <c r="H80" s="103">
        <f>SUM(H76:H79)</f>
        <v>19.629650724343435</v>
      </c>
    </row>
    <row r="81" spans="1:8">
      <c r="A81" s="57"/>
      <c r="B81" s="61"/>
      <c r="C81" s="61"/>
      <c r="D81" s="62"/>
      <c r="F81" s="102"/>
      <c r="G81" s="106"/>
      <c r="H81" s="103"/>
    </row>
    <row r="82" spans="1:8">
      <c r="A82" s="57" t="s">
        <v>230</v>
      </c>
      <c r="B82" s="85">
        <f>B47-B64</f>
        <v>663.02654236520038</v>
      </c>
      <c r="C82" s="85">
        <f>C47-C64</f>
        <v>452.45550000000003</v>
      </c>
      <c r="D82" s="86">
        <f>D47-D64</f>
        <v>16.274580000000242</v>
      </c>
      <c r="F82" s="102">
        <f>B82/B$84*B$88</f>
        <v>2.2127471165428849</v>
      </c>
      <c r="G82" s="106">
        <f>C82/C$84*C$88</f>
        <v>1.7831320790409158</v>
      </c>
      <c r="H82" s="103">
        <f>D82/D$84*D$88</f>
        <v>2.4771050228310871</v>
      </c>
    </row>
    <row r="83" spans="1:8">
      <c r="A83" s="57"/>
      <c r="B83" s="61"/>
      <c r="C83" s="61"/>
      <c r="D83" s="62"/>
      <c r="F83" s="57"/>
      <c r="G83" s="59"/>
      <c r="H83" s="60"/>
    </row>
    <row r="84" spans="1:8">
      <c r="A84" s="57" t="s">
        <v>47</v>
      </c>
      <c r="B84" s="61">
        <f>SUM(B80:B82)</f>
        <v>4573.2654822832665</v>
      </c>
      <c r="C84" s="61">
        <f>SUM(C80:C82)</f>
        <v>3474.2391130818814</v>
      </c>
      <c r="D84" s="62">
        <f>SUM(D80:D82)</f>
        <v>145.24138525893662</v>
      </c>
      <c r="F84" s="104">
        <f>SUM(F80:F82)</f>
        <v>15.262556417437526</v>
      </c>
      <c r="G84" s="107">
        <f>SUM(G80:G82)</f>
        <v>13.692014381071646</v>
      </c>
      <c r="H84" s="105">
        <f>SUM(H80:H82)</f>
        <v>22.106755747174521</v>
      </c>
    </row>
    <row r="85" spans="1:8">
      <c r="A85" s="57"/>
      <c r="B85" s="58"/>
      <c r="C85" s="58"/>
      <c r="D85" s="63"/>
    </row>
    <row r="86" spans="1:8">
      <c r="A86" s="57" t="s">
        <v>233</v>
      </c>
      <c r="B86" s="64">
        <f>+B33</f>
        <v>29963.954642999997</v>
      </c>
      <c r="C86" s="64">
        <f>+C33</f>
        <v>25374.2</v>
      </c>
      <c r="D86" s="65">
        <f>+D33</f>
        <v>657</v>
      </c>
    </row>
    <row r="87" spans="1:8">
      <c r="A87" s="57"/>
      <c r="B87" s="58"/>
      <c r="C87" s="58"/>
      <c r="D87" s="63"/>
    </row>
    <row r="88" spans="1:8">
      <c r="A88" s="57" t="s">
        <v>220</v>
      </c>
      <c r="B88" s="66">
        <f>+B84/B86*100</f>
        <v>15.262556417437528</v>
      </c>
      <c r="C88" s="66">
        <f>+C84/C86*100</f>
        <v>13.692014381071646</v>
      </c>
      <c r="D88" s="67">
        <f>+D84/D86*100</f>
        <v>22.106755747174521</v>
      </c>
    </row>
    <row r="89" spans="1:8">
      <c r="A89" s="57"/>
      <c r="B89" s="58"/>
      <c r="C89" s="59"/>
      <c r="D89" s="60"/>
    </row>
    <row r="90" spans="1:8">
      <c r="A90" s="68" t="s">
        <v>221</v>
      </c>
      <c r="B90" s="69">
        <f>+B35</f>
        <v>12.211011599080669</v>
      </c>
      <c r="C90" s="69">
        <f>+C35</f>
        <v>12.983266467514246</v>
      </c>
      <c r="D90" s="70">
        <f>+D35</f>
        <v>11.993911719939117</v>
      </c>
    </row>
    <row r="94" spans="1:8">
      <c r="B94" s="46" t="s">
        <v>101</v>
      </c>
      <c r="C94" s="46" t="s">
        <v>102</v>
      </c>
      <c r="D94" s="46" t="s">
        <v>103</v>
      </c>
    </row>
    <row r="96" spans="1:8">
      <c r="A96" t="s">
        <v>283</v>
      </c>
      <c r="B96" s="108">
        <f>+B98*1.25</f>
        <v>4.8875000000000002</v>
      </c>
      <c r="C96" s="108">
        <f>+C98*1.25</f>
        <v>5.25</v>
      </c>
      <c r="D96" s="108">
        <v>6.3789999999999996</v>
      </c>
    </row>
    <row r="97" spans="1:4">
      <c r="A97" t="s">
        <v>284</v>
      </c>
      <c r="B97" s="108">
        <f>+(B47-(B96*B6/100))/B7*100</f>
        <v>2.2127471165428849</v>
      </c>
      <c r="C97" s="108">
        <f>+(C47-(C96*C6/100))/C7*100</f>
        <v>1.7831320790409155</v>
      </c>
      <c r="D97" s="108">
        <f>+(D47-(D96*D6/100))/D7*100</f>
        <v>2.4771050228310871</v>
      </c>
    </row>
    <row r="98" spans="1:4">
      <c r="A98" t="s">
        <v>285</v>
      </c>
      <c r="B98" s="108">
        <f>+B51</f>
        <v>3.91</v>
      </c>
      <c r="C98" s="108">
        <f>+C51</f>
        <v>4.2</v>
      </c>
      <c r="D98" s="108">
        <f>+D51</f>
        <v>6.23</v>
      </c>
    </row>
    <row r="99" spans="1:4" s="50" customFormat="1">
      <c r="A99" s="50" t="s">
        <v>282</v>
      </c>
      <c r="B99" s="50">
        <f>+((B96*B6)+(B7*B97))/100</f>
        <v>3205.8469632457</v>
      </c>
      <c r="C99" s="50">
        <f>+((C96*C6)+(C7*C97))/100</f>
        <v>3518.76</v>
      </c>
      <c r="D99" s="50">
        <f>+((D96*D6)+(D7*D97))/100</f>
        <v>1071.8715000000002</v>
      </c>
    </row>
    <row r="102" spans="1:4">
      <c r="A102" t="s">
        <v>286</v>
      </c>
      <c r="B102" s="31">
        <f>+B96/B97</f>
        <v>2.2087928455358474</v>
      </c>
      <c r="C102" s="31">
        <f>+C96/C97</f>
        <v>2.9442575015664523</v>
      </c>
      <c r="D102" s="31">
        <f>+D96/D97</f>
        <v>2.5751835070397746</v>
      </c>
    </row>
    <row r="103" spans="1:4">
      <c r="A103" t="s">
        <v>287</v>
      </c>
      <c r="B103" s="31">
        <f>+B96/B98</f>
        <v>1.25</v>
      </c>
      <c r="C103" s="31">
        <f>+C96/C98</f>
        <v>1.25</v>
      </c>
      <c r="D103" s="31">
        <f>+D96/D98</f>
        <v>1.0239165329052968</v>
      </c>
    </row>
    <row r="106" spans="1:4">
      <c r="A106" s="124" t="s">
        <v>277</v>
      </c>
      <c r="B106" s="23">
        <v>81923</v>
      </c>
      <c r="C106" s="23">
        <v>83436</v>
      </c>
      <c r="D106" s="42">
        <v>19322</v>
      </c>
    </row>
    <row r="107" spans="1:4">
      <c r="A107" t="s">
        <v>278</v>
      </c>
      <c r="B107" s="50">
        <v>6854</v>
      </c>
      <c r="C107" s="50">
        <v>7870</v>
      </c>
      <c r="D107" s="50">
        <v>2184</v>
      </c>
    </row>
    <row r="109" spans="1:4">
      <c r="A109" t="s">
        <v>281</v>
      </c>
      <c r="B109" s="20">
        <f>+B107/B106*100</f>
        <v>8.3663928322937391</v>
      </c>
      <c r="C109" s="20">
        <f>+C107/C106*100</f>
        <v>9.4323793086916918</v>
      </c>
      <c r="D109" s="20">
        <f>+D107/D106*100</f>
        <v>11.303177724873201</v>
      </c>
    </row>
    <row r="110" spans="1:4" ht="15">
      <c r="A110" t="s">
        <v>279</v>
      </c>
      <c r="B110" s="125">
        <v>5.5</v>
      </c>
      <c r="C110" s="125">
        <v>6.3</v>
      </c>
      <c r="D110" s="125">
        <v>5.5</v>
      </c>
    </row>
    <row r="111" spans="1:4">
      <c r="A111" t="s">
        <v>280</v>
      </c>
      <c r="B111" s="20">
        <f>+B109-B110</f>
        <v>2.8663928322937391</v>
      </c>
      <c r="C111" s="20">
        <f>+C109-C110</f>
        <v>3.132379308691692</v>
      </c>
      <c r="D111" s="20">
        <f>+D109-D110</f>
        <v>5.8031777248732013</v>
      </c>
    </row>
    <row r="113" spans="1:4">
      <c r="A113" t="s">
        <v>280</v>
      </c>
      <c r="B113" s="23">
        <f>+B111*B106/100</f>
        <v>2348.2350000000001</v>
      </c>
      <c r="C113" s="23">
        <f>+C111*C106/100</f>
        <v>2613.5320000000002</v>
      </c>
      <c r="D113" s="23">
        <f>+D111*D106/100</f>
        <v>1121.29</v>
      </c>
    </row>
  </sheetData>
  <mergeCells count="1">
    <mergeCell ref="B2:D2"/>
  </mergeCells>
  <phoneticPr fontId="0" type="noConversion"/>
  <pageMargins left="0.75" right="0.75" top="0.48" bottom="0.45" header="0.5" footer="0.5"/>
  <pageSetup scale="57" orientation="portrait" horizontalDpi="1200" verticalDpi="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87"/>
  <sheetViews>
    <sheetView workbookViewId="0">
      <selection activeCell="C8" sqref="C8"/>
    </sheetView>
  </sheetViews>
  <sheetFormatPr defaultRowHeight="12.75"/>
  <cols>
    <col min="1" max="1" width="44.7109375" customWidth="1"/>
    <col min="2" max="2" width="13.42578125" bestFit="1" customWidth="1"/>
    <col min="3" max="3" width="11.28515625" bestFit="1" customWidth="1"/>
    <col min="4" max="4" width="10.42578125" bestFit="1" customWidth="1"/>
    <col min="5" max="5" width="8.85546875" customWidth="1"/>
  </cols>
  <sheetData>
    <row r="2" spans="1:11">
      <c r="A2" t="s">
        <v>213</v>
      </c>
      <c r="B2" s="89"/>
      <c r="C2" s="89">
        <v>0.02</v>
      </c>
      <c r="D2" s="89">
        <v>0.02</v>
      </c>
      <c r="E2" s="89">
        <v>0.02</v>
      </c>
      <c r="F2" s="89">
        <v>0.02</v>
      </c>
      <c r="G2" s="89">
        <v>0.02</v>
      </c>
      <c r="H2" s="89">
        <v>0.02</v>
      </c>
      <c r="I2" s="89">
        <v>0.02</v>
      </c>
      <c r="J2" s="89">
        <v>0.02</v>
      </c>
      <c r="K2" s="89">
        <v>0.02</v>
      </c>
    </row>
    <row r="3" spans="1:11">
      <c r="A3" t="s">
        <v>214</v>
      </c>
      <c r="B3" s="89"/>
      <c r="C3" s="89">
        <v>0.04</v>
      </c>
      <c r="D3" s="89">
        <v>0.03</v>
      </c>
      <c r="E3" s="89">
        <v>0.02</v>
      </c>
      <c r="F3" s="89">
        <v>0.02</v>
      </c>
      <c r="G3" s="89">
        <v>0.02</v>
      </c>
      <c r="H3" s="89">
        <v>1.4999999999999999E-2</v>
      </c>
      <c r="I3" s="89">
        <v>0.01</v>
      </c>
      <c r="J3" s="89">
        <v>0</v>
      </c>
      <c r="K3" s="89">
        <v>0</v>
      </c>
    </row>
    <row r="4" spans="1:11">
      <c r="A4" t="s">
        <v>215</v>
      </c>
      <c r="B4" s="89"/>
      <c r="C4" s="89">
        <v>0.03</v>
      </c>
      <c r="D4" s="89">
        <v>1.4999999999999999E-2</v>
      </c>
      <c r="E4" s="89">
        <v>0.01</v>
      </c>
      <c r="F4" s="89">
        <v>5.0000000000000001E-3</v>
      </c>
      <c r="G4" s="89">
        <v>0</v>
      </c>
      <c r="H4" s="89">
        <v>0</v>
      </c>
      <c r="I4" s="89">
        <v>0</v>
      </c>
      <c r="J4" s="89">
        <v>0</v>
      </c>
      <c r="K4" s="89">
        <v>0</v>
      </c>
    </row>
    <row r="6" spans="1:11" s="16" customFormat="1">
      <c r="B6" s="46">
        <v>2001</v>
      </c>
      <c r="C6" s="46">
        <v>2002</v>
      </c>
      <c r="D6" s="46">
        <v>2003</v>
      </c>
      <c r="E6" s="46">
        <v>2004</v>
      </c>
      <c r="F6" s="46">
        <v>2005</v>
      </c>
      <c r="G6" s="46">
        <v>2006</v>
      </c>
      <c r="H6" s="46">
        <v>2007</v>
      </c>
      <c r="I6" s="46">
        <v>2008</v>
      </c>
      <c r="J6" s="46">
        <v>2009</v>
      </c>
      <c r="K6" s="46">
        <v>2010</v>
      </c>
    </row>
    <row r="8" spans="1:11">
      <c r="A8" t="s">
        <v>139</v>
      </c>
      <c r="B8" s="72">
        <f>'Core &amp; Non-core'!B6</f>
        <v>52027.016283999998</v>
      </c>
      <c r="C8" s="72">
        <f>B8*(1+C2)*(1-(C3+C4))</f>
        <v>49352.827647002392</v>
      </c>
      <c r="D8" s="72">
        <f t="shared" ref="D8:K8" si="0">C8*(1+D2)*(1-(D3+D4))</f>
        <v>48074.589410945031</v>
      </c>
      <c r="E8" s="72">
        <f t="shared" si="0"/>
        <v>47564.998763189018</v>
      </c>
      <c r="F8" s="72">
        <f t="shared" si="0"/>
        <v>47303.39126999148</v>
      </c>
      <c r="G8" s="72">
        <f t="shared" si="0"/>
        <v>47284.469913483488</v>
      </c>
      <c r="H8" s="72">
        <f t="shared" si="0"/>
        <v>47506.706922076861</v>
      </c>
      <c r="I8" s="72">
        <f t="shared" si="0"/>
        <v>47972.272649913211</v>
      </c>
      <c r="J8" s="72">
        <f t="shared" si="0"/>
        <v>48931.71810291148</v>
      </c>
      <c r="K8" s="72">
        <f t="shared" si="0"/>
        <v>49910.352464969714</v>
      </c>
    </row>
    <row r="9" spans="1:11">
      <c r="A9" t="s">
        <v>140</v>
      </c>
      <c r="B9" s="72">
        <f>'Core &amp; Non-core'!B7</f>
        <v>29963.954642999997</v>
      </c>
      <c r="C9" s="72"/>
    </row>
    <row r="10" spans="1:11">
      <c r="A10" t="s">
        <v>165</v>
      </c>
      <c r="B10" s="72">
        <f>'Core &amp; Non-core'!B8</f>
        <v>81990.970927000002</v>
      </c>
      <c r="C10" s="72"/>
    </row>
    <row r="11" spans="1:11">
      <c r="B11" s="72"/>
      <c r="C11" s="72"/>
    </row>
    <row r="12" spans="1:11">
      <c r="A12" t="s">
        <v>169</v>
      </c>
      <c r="B12" s="72">
        <f>'Core &amp; Non-core'!B10</f>
        <v>53939.999999999993</v>
      </c>
      <c r="C12" s="72"/>
    </row>
    <row r="13" spans="1:11">
      <c r="A13" t="s">
        <v>174</v>
      </c>
      <c r="B13" s="72" t="e">
        <f>'Core &amp; Non-core'!#REF!</f>
        <v>#REF!</v>
      </c>
      <c r="C13" s="72"/>
    </row>
    <row r="14" spans="1:11">
      <c r="A14" t="s">
        <v>173</v>
      </c>
      <c r="B14" s="72" t="e">
        <f>'Core &amp; Non-core'!#REF!</f>
        <v>#REF!</v>
      </c>
      <c r="C14" s="72"/>
    </row>
    <row r="15" spans="1:11">
      <c r="B15" s="77"/>
      <c r="C15" s="72"/>
    </row>
    <row r="16" spans="1:11">
      <c r="A16" t="s">
        <v>172</v>
      </c>
      <c r="B16" s="72"/>
      <c r="C16" s="72"/>
    </row>
    <row r="17" spans="1:3">
      <c r="A17" t="s">
        <v>138</v>
      </c>
      <c r="B17" s="72">
        <f>'Core &amp; Non-core'!B13</f>
        <v>-28050.970927000009</v>
      </c>
      <c r="C17" s="72"/>
    </row>
    <row r="18" spans="1:3">
      <c r="A18" t="s">
        <v>132</v>
      </c>
      <c r="B18" s="72">
        <f>'Core &amp; Non-core'!B14</f>
        <v>1912.9837159999952</v>
      </c>
      <c r="C18" s="72"/>
    </row>
    <row r="19" spans="1:3">
      <c r="B19" s="42"/>
    </row>
    <row r="20" spans="1:3">
      <c r="A20" t="s">
        <v>173</v>
      </c>
      <c r="B20" s="42"/>
    </row>
    <row r="21" spans="1:3">
      <c r="A21" t="s">
        <v>138</v>
      </c>
      <c r="B21" s="72" t="e">
        <f>'Core &amp; Non-core'!#REF!</f>
        <v>#REF!</v>
      </c>
    </row>
    <row r="22" spans="1:3">
      <c r="A22" t="s">
        <v>132</v>
      </c>
      <c r="B22" s="72" t="e">
        <f>'Core &amp; Non-core'!#REF!</f>
        <v>#REF!</v>
      </c>
    </row>
    <row r="23" spans="1:3">
      <c r="A23" t="s">
        <v>208</v>
      </c>
      <c r="B23" s="72" t="e">
        <f>'Core &amp; Non-core'!#REF!</f>
        <v>#REF!</v>
      </c>
    </row>
    <row r="24" spans="1:3">
      <c r="A24" t="s">
        <v>209</v>
      </c>
      <c r="B24" s="72" t="e">
        <f>'Core &amp; Non-core'!#REF!</f>
        <v>#REF!</v>
      </c>
    </row>
    <row r="25" spans="1:3">
      <c r="B25" s="42"/>
    </row>
    <row r="26" spans="1:3">
      <c r="A26" t="s">
        <v>210</v>
      </c>
      <c r="B26" s="87" t="e">
        <f>SUM(B24:B24)/SUM(B13:B13)</f>
        <v>#REF!</v>
      </c>
    </row>
    <row r="27" spans="1:3">
      <c r="A27" t="s">
        <v>211</v>
      </c>
      <c r="B27" s="73" t="e">
        <f>$B$26*-SUM(Curves!$O$7:$O$9)*'PGE - Core Analysis'!B24/SUM('PGE - Core Analysis'!$B$24:$B$24)/1000</f>
        <v>#REF!</v>
      </c>
    </row>
    <row r="29" spans="1:3">
      <c r="A29" t="s">
        <v>131</v>
      </c>
    </row>
    <row r="31" spans="1:3">
      <c r="B31" s="46" t="s">
        <v>101</v>
      </c>
    </row>
    <row r="32" spans="1:3">
      <c r="B32" s="46"/>
    </row>
    <row r="33" spans="1:2">
      <c r="A33" t="s">
        <v>146</v>
      </c>
      <c r="B33" s="72">
        <f>'Core &amp; Non-core'!B21</f>
        <v>28847.626315000001</v>
      </c>
    </row>
    <row r="34" spans="1:2" s="73" customFormat="1">
      <c r="A34" s="73" t="s">
        <v>147</v>
      </c>
      <c r="B34" s="72">
        <f>'Core &amp; Non-core'!B22</f>
        <v>3348.1717450000001</v>
      </c>
    </row>
    <row r="35" spans="1:2">
      <c r="A35" t="s">
        <v>159</v>
      </c>
      <c r="B35" s="49">
        <f>+B34/B33*100</f>
        <v>11.606402927020167</v>
      </c>
    </row>
    <row r="36" spans="1:2">
      <c r="B36" s="48"/>
    </row>
    <row r="37" spans="1:2">
      <c r="A37" t="s">
        <v>149</v>
      </c>
      <c r="B37" s="72">
        <f>'Core &amp; Non-core'!B25</f>
        <v>53143.344612000001</v>
      </c>
    </row>
    <row r="38" spans="1:2" s="73" customFormat="1">
      <c r="A38" s="73" t="s">
        <v>148</v>
      </c>
      <c r="B38" s="72">
        <f>'Core &amp; Non-core'!B26</f>
        <v>5169.3163070000001</v>
      </c>
    </row>
    <row r="39" spans="1:2">
      <c r="A39" t="s">
        <v>159</v>
      </c>
      <c r="B39" s="49">
        <f>+B38/B37*100</f>
        <v>9.7271188795910781</v>
      </c>
    </row>
    <row r="41" spans="1:2">
      <c r="A41" t="s">
        <v>141</v>
      </c>
      <c r="B41" s="72">
        <f>'Core &amp; Non-core'!B29</f>
        <v>52027.016283999998</v>
      </c>
    </row>
    <row r="42" spans="1:2" s="73" customFormat="1">
      <c r="A42" s="73" t="s">
        <v>142</v>
      </c>
      <c r="B42" s="72">
        <f>'Core &amp; Non-core'!B30</f>
        <v>7741.3151970000008</v>
      </c>
    </row>
    <row r="43" spans="1:2">
      <c r="A43" t="s">
        <v>159</v>
      </c>
      <c r="B43" s="47">
        <f>+B42/B41*100</f>
        <v>14.879414100440558</v>
      </c>
    </row>
    <row r="45" spans="1:2">
      <c r="A45" t="s">
        <v>143</v>
      </c>
      <c r="B45" s="72">
        <f>'Core &amp; Non-core'!B33</f>
        <v>29963.954642999997</v>
      </c>
    </row>
    <row r="46" spans="1:2" s="73" customFormat="1">
      <c r="A46" s="73" t="s">
        <v>157</v>
      </c>
      <c r="B46" s="72">
        <f>'Core &amp; Non-core'!B34</f>
        <v>3658.9019770000004</v>
      </c>
    </row>
    <row r="47" spans="1:2">
      <c r="A47" t="s">
        <v>159</v>
      </c>
      <c r="B47" s="47">
        <f>+B46/B45*100</f>
        <v>12.211011599080669</v>
      </c>
    </row>
    <row r="50" spans="1:2">
      <c r="B50" s="46" t="s">
        <v>101</v>
      </c>
    </row>
    <row r="52" spans="1:2">
      <c r="A52" t="s">
        <v>150</v>
      </c>
      <c r="B52" s="73">
        <f>83000*0.98*0.01</f>
        <v>813.4</v>
      </c>
    </row>
    <row r="53" spans="1:2">
      <c r="A53" t="s">
        <v>151</v>
      </c>
      <c r="B53" s="73">
        <f>83000*0.98*0.033</f>
        <v>2684.2200000000003</v>
      </c>
    </row>
    <row r="54" spans="1:2">
      <c r="A54" t="s">
        <v>152</v>
      </c>
      <c r="B54" s="73">
        <f>83000*0.98*0.007</f>
        <v>569.38</v>
      </c>
    </row>
    <row r="55" spans="1:2">
      <c r="A55" t="s">
        <v>153</v>
      </c>
      <c r="B55" s="73">
        <f>83000*0.98*0.043</f>
        <v>3497.62</v>
      </c>
    </row>
    <row r="56" spans="1:2">
      <c r="B56" s="73"/>
    </row>
    <row r="57" spans="1:2">
      <c r="A57" t="s">
        <v>154</v>
      </c>
      <c r="B57" s="73">
        <f>SUM(B52:B56)</f>
        <v>7564.6200000000008</v>
      </c>
    </row>
    <row r="58" spans="1:2">
      <c r="B58" s="73"/>
    </row>
    <row r="59" spans="1:2">
      <c r="A59" t="s">
        <v>155</v>
      </c>
      <c r="B59" s="73">
        <f>+B61-B57</f>
        <v>3835.5971740000005</v>
      </c>
    </row>
    <row r="60" spans="1:2">
      <c r="B60" s="73"/>
    </row>
    <row r="61" spans="1:2">
      <c r="A61" t="s">
        <v>156</v>
      </c>
      <c r="B61" s="73">
        <f>+B42+B46</f>
        <v>11400.217174000001</v>
      </c>
    </row>
    <row r="63" spans="1:2">
      <c r="A63" t="s">
        <v>158</v>
      </c>
      <c r="B63" s="78">
        <f>+B59/B10*100</f>
        <v>4.6780726348697508</v>
      </c>
    </row>
    <row r="66" spans="1:2">
      <c r="A66" s="54" t="s">
        <v>160</v>
      </c>
      <c r="B66" s="55"/>
    </row>
    <row r="67" spans="1:2">
      <c r="A67" s="57"/>
      <c r="B67" s="79"/>
    </row>
    <row r="68" spans="1:2">
      <c r="A68" s="57" t="s">
        <v>164</v>
      </c>
      <c r="B68" s="76">
        <f>+B54*(B41/B10)</f>
        <v>361.29761846775352</v>
      </c>
    </row>
    <row r="69" spans="1:2">
      <c r="A69" s="57" t="s">
        <v>153</v>
      </c>
      <c r="B69" s="76">
        <f>+B55</f>
        <v>3497.62</v>
      </c>
    </row>
    <row r="70" spans="1:2">
      <c r="A70" s="57" t="s">
        <v>161</v>
      </c>
      <c r="B70" s="76">
        <f>+B52*(B41/B10)</f>
        <v>516.13945495393352</v>
      </c>
    </row>
    <row r="71" spans="1:2">
      <c r="A71" s="57" t="s">
        <v>166</v>
      </c>
      <c r="B71" s="76">
        <f>((0.08*B10)*133)/1000</f>
        <v>872.38393066328001</v>
      </c>
    </row>
    <row r="72" spans="1:2">
      <c r="A72" s="57" t="s">
        <v>170</v>
      </c>
      <c r="B72" s="88">
        <f>+B59*(B41/B10)</f>
        <v>2433.861611521033</v>
      </c>
    </row>
    <row r="73" spans="1:2">
      <c r="A73" s="57" t="s">
        <v>212</v>
      </c>
      <c r="B73" s="88" t="e">
        <f>-B27</f>
        <v>#REF!</v>
      </c>
    </row>
    <row r="74" spans="1:2">
      <c r="A74" s="57"/>
      <c r="B74" s="76"/>
    </row>
    <row r="75" spans="1:2">
      <c r="A75" s="57" t="s">
        <v>47</v>
      </c>
      <c r="B75" s="76" t="e">
        <f>SUM(B68:B74)</f>
        <v>#REF!</v>
      </c>
    </row>
    <row r="76" spans="1:2">
      <c r="A76" s="57"/>
      <c r="B76" s="79"/>
    </row>
    <row r="77" spans="1:2">
      <c r="A77" s="57" t="s">
        <v>171</v>
      </c>
      <c r="B77" s="80">
        <f>+B41</f>
        <v>52027.016283999998</v>
      </c>
    </row>
    <row r="78" spans="1:2">
      <c r="A78" s="57"/>
      <c r="B78" s="79"/>
    </row>
    <row r="79" spans="1:2">
      <c r="A79" s="57" t="s">
        <v>162</v>
      </c>
      <c r="B79" s="81" t="e">
        <f>+B75/B77*100</f>
        <v>#REF!</v>
      </c>
    </row>
    <row r="80" spans="1:2">
      <c r="A80" s="57"/>
      <c r="B80" s="79"/>
    </row>
    <row r="81" spans="1:2">
      <c r="A81" s="68" t="s">
        <v>163</v>
      </c>
      <c r="B81" s="82">
        <f>+B43</f>
        <v>14.879414100440558</v>
      </c>
    </row>
    <row r="82" spans="1:2">
      <c r="B82" s="83"/>
    </row>
    <row r="83" spans="1:2">
      <c r="A83" t="s">
        <v>168</v>
      </c>
      <c r="B83" s="83"/>
    </row>
    <row r="84" spans="1:2">
      <c r="A84" s="53" t="s">
        <v>167</v>
      </c>
      <c r="B84" s="83"/>
    </row>
    <row r="85" spans="1:2">
      <c r="B85" s="83"/>
    </row>
    <row r="86" spans="1:2">
      <c r="B86" s="83"/>
    </row>
    <row r="87" spans="1:2">
      <c r="B87" s="83"/>
    </row>
  </sheetData>
  <phoneticPr fontId="0" type="noConversion"/>
  <pageMargins left="0.75" right="0.75" top="1" bottom="1" header="0.5" footer="0.5"/>
  <pageSetup scale="59" orientation="portrait" horizontalDpi="1200" verticalDpi="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5"/>
  <sheetViews>
    <sheetView topLeftCell="AC1" workbookViewId="0">
      <selection activeCell="AN6" sqref="AN6"/>
    </sheetView>
  </sheetViews>
  <sheetFormatPr defaultRowHeight="12.75"/>
  <cols>
    <col min="3" max="4" width="14" bestFit="1" customWidth="1"/>
    <col min="7" max="7" width="14" bestFit="1" customWidth="1"/>
    <col min="8" max="8" width="15" bestFit="1" customWidth="1"/>
    <col min="11" max="12" width="14" bestFit="1" customWidth="1"/>
    <col min="15" max="15" width="14.5703125" bestFit="1" customWidth="1"/>
    <col min="17" max="17" width="15.5703125" bestFit="1" customWidth="1"/>
    <col min="19" max="19" width="10.140625" bestFit="1" customWidth="1"/>
    <col min="20" max="20" width="14" bestFit="1" customWidth="1"/>
    <col min="21" max="21" width="2.85546875" customWidth="1"/>
    <col min="22" max="22" width="20.5703125" customWidth="1"/>
    <col min="23" max="23" width="14" customWidth="1"/>
    <col min="24" max="24" width="13.42578125" bestFit="1" customWidth="1"/>
    <col min="30" max="30" width="3.42578125" bestFit="1" customWidth="1"/>
    <col min="37" max="37" width="11.28515625" bestFit="1" customWidth="1"/>
    <col min="40" max="40" width="9.7109375" bestFit="1" customWidth="1"/>
    <col min="41" max="41" width="9.7109375" customWidth="1"/>
  </cols>
  <sheetData>
    <row r="1" spans="1:41">
      <c r="C1" s="1"/>
      <c r="D1" s="9" t="s">
        <v>47</v>
      </c>
      <c r="E1" s="1"/>
      <c r="F1" s="1"/>
      <c r="G1" s="1"/>
      <c r="H1" s="9" t="s">
        <v>175</v>
      </c>
      <c r="I1" s="9"/>
      <c r="J1" s="9"/>
      <c r="K1" s="9"/>
      <c r="L1" s="9" t="s">
        <v>176</v>
      </c>
      <c r="M1" s="1"/>
      <c r="O1" s="9" t="s">
        <v>177</v>
      </c>
      <c r="Q1" s="9" t="s">
        <v>178</v>
      </c>
      <c r="T1" s="9" t="s">
        <v>179</v>
      </c>
      <c r="U1" s="9"/>
      <c r="V1" s="9"/>
      <c r="W1" s="9"/>
      <c r="AJ1" s="84"/>
      <c r="AK1" s="50"/>
      <c r="AL1" s="50"/>
    </row>
    <row r="2" spans="1:41">
      <c r="C2" s="1"/>
      <c r="D2" s="1"/>
      <c r="E2" s="1"/>
      <c r="F2" s="1"/>
      <c r="G2" s="1"/>
      <c r="H2" s="1"/>
      <c r="I2" s="1"/>
      <c r="J2" s="1"/>
      <c r="K2" s="1"/>
      <c r="L2" s="1"/>
      <c r="M2" s="1"/>
      <c r="O2" s="9" t="s">
        <v>180</v>
      </c>
      <c r="Q2" s="9" t="s">
        <v>181</v>
      </c>
      <c r="T2" s="9" t="s">
        <v>182</v>
      </c>
      <c r="U2" s="9"/>
      <c r="V2" s="9"/>
      <c r="W2" s="9"/>
      <c r="X2">
        <f>COUNT(S7:S45)</f>
        <v>39</v>
      </c>
      <c r="Y2" t="s">
        <v>183</v>
      </c>
      <c r="AB2" s="71">
        <v>7.3400000000000007E-2</v>
      </c>
    </row>
    <row r="3" spans="1:41">
      <c r="C3" s="1"/>
      <c r="D3" s="1" t="s">
        <v>184</v>
      </c>
      <c r="E3" s="1" t="s">
        <v>185</v>
      </c>
      <c r="F3" s="1"/>
      <c r="G3" s="1"/>
      <c r="H3" s="1" t="s">
        <v>123</v>
      </c>
      <c r="I3" s="1" t="s">
        <v>185</v>
      </c>
      <c r="J3" s="1"/>
      <c r="K3" s="1"/>
      <c r="L3" s="1" t="s">
        <v>123</v>
      </c>
      <c r="M3" s="1" t="s">
        <v>185</v>
      </c>
      <c r="T3" s="9" t="s">
        <v>186</v>
      </c>
      <c r="U3" s="9"/>
      <c r="V3" s="9"/>
      <c r="W3" s="9"/>
      <c r="Y3" t="s">
        <v>187</v>
      </c>
      <c r="AN3" s="16" t="s">
        <v>223</v>
      </c>
      <c r="AO3" s="16" t="s">
        <v>223</v>
      </c>
    </row>
    <row r="4" spans="1:41">
      <c r="C4" s="1" t="s">
        <v>122</v>
      </c>
      <c r="D4" s="1" t="s">
        <v>188</v>
      </c>
      <c r="E4" s="1" t="s">
        <v>189</v>
      </c>
      <c r="F4" s="1"/>
      <c r="G4" s="1" t="s">
        <v>122</v>
      </c>
      <c r="H4" s="1" t="s">
        <v>188</v>
      </c>
      <c r="I4" s="1" t="s">
        <v>189</v>
      </c>
      <c r="J4" s="1"/>
      <c r="K4" s="1" t="s">
        <v>122</v>
      </c>
      <c r="L4" s="1" t="s">
        <v>188</v>
      </c>
      <c r="M4" s="1" t="s">
        <v>189</v>
      </c>
      <c r="O4" s="1" t="s">
        <v>188</v>
      </c>
      <c r="Q4" s="1" t="s">
        <v>188</v>
      </c>
      <c r="T4" s="9" t="s">
        <v>180</v>
      </c>
      <c r="U4" s="9"/>
      <c r="V4" s="9" t="s">
        <v>222</v>
      </c>
      <c r="W4" s="9"/>
      <c r="AE4" t="s">
        <v>190</v>
      </c>
      <c r="AF4" t="s">
        <v>190</v>
      </c>
      <c r="AG4" t="s">
        <v>191</v>
      </c>
      <c r="AH4" t="s">
        <v>191</v>
      </c>
      <c r="AI4" t="s">
        <v>191</v>
      </c>
      <c r="AJ4" t="s">
        <v>191</v>
      </c>
      <c r="AL4" t="s">
        <v>192</v>
      </c>
      <c r="AN4" s="16" t="s">
        <v>224</v>
      </c>
      <c r="AO4" s="16" t="s">
        <v>225</v>
      </c>
    </row>
    <row r="5" spans="1:41">
      <c r="T5" s="9" t="s">
        <v>193</v>
      </c>
      <c r="U5" s="9"/>
      <c r="V5" s="97">
        <f>XNPV(AB2,V7:V45,S7:S45)</f>
        <v>56045584.010696441</v>
      </c>
      <c r="W5" s="97"/>
      <c r="Y5" t="s">
        <v>194</v>
      </c>
      <c r="AA5">
        <v>1</v>
      </c>
      <c r="AE5" t="s">
        <v>195</v>
      </c>
      <c r="AF5" t="s">
        <v>196</v>
      </c>
      <c r="AG5" t="s">
        <v>195</v>
      </c>
      <c r="AH5" t="s">
        <v>196</v>
      </c>
      <c r="AI5" t="s">
        <v>195</v>
      </c>
      <c r="AJ5" t="s">
        <v>196</v>
      </c>
      <c r="AL5" t="s">
        <v>197</v>
      </c>
      <c r="AN5" s="99">
        <v>7.3400000000000007E-2</v>
      </c>
      <c r="AO5" s="99">
        <v>7.3400000000000007E-2</v>
      </c>
    </row>
    <row r="6" spans="1:41">
      <c r="A6">
        <v>2001</v>
      </c>
      <c r="B6" t="s">
        <v>117</v>
      </c>
      <c r="C6" s="72">
        <v>13308000</v>
      </c>
      <c r="D6" s="73">
        <f t="shared" ref="D6:D45" si="0">E6*C6/1000</f>
        <v>3792780</v>
      </c>
      <c r="E6" s="73">
        <v>285</v>
      </c>
      <c r="G6" t="s">
        <v>198</v>
      </c>
      <c r="H6" t="s">
        <v>198</v>
      </c>
      <c r="I6" t="s">
        <v>198</v>
      </c>
      <c r="K6" t="s">
        <v>198</v>
      </c>
      <c r="L6" t="s">
        <v>198</v>
      </c>
      <c r="M6" t="s">
        <v>198</v>
      </c>
      <c r="T6" s="9" t="s">
        <v>199</v>
      </c>
      <c r="U6" s="9"/>
      <c r="V6" s="9"/>
      <c r="W6" s="9"/>
      <c r="Y6" t="s">
        <v>200</v>
      </c>
      <c r="AC6">
        <v>2001</v>
      </c>
      <c r="AD6" t="s">
        <v>117</v>
      </c>
      <c r="AG6" t="s">
        <v>201</v>
      </c>
      <c r="AH6" t="s">
        <v>201</v>
      </c>
      <c r="AI6" t="s">
        <v>202</v>
      </c>
      <c r="AJ6" t="s">
        <v>202</v>
      </c>
      <c r="AK6" t="s">
        <v>203</v>
      </c>
      <c r="AN6" s="98">
        <f>NPV(AN5/4,AN8:AN45)</f>
        <v>2825.6336463591024</v>
      </c>
      <c r="AO6" s="98">
        <f>NPV(AO5/4,AO8:AO45)</f>
        <v>2827.6379905690283</v>
      </c>
    </row>
    <row r="7" spans="1:41">
      <c r="B7" t="s">
        <v>118</v>
      </c>
      <c r="C7" s="72">
        <v>17301661</v>
      </c>
      <c r="D7" s="73">
        <f t="shared" si="0"/>
        <v>4550336.8430000003</v>
      </c>
      <c r="E7" s="73">
        <v>263</v>
      </c>
      <c r="G7" s="72">
        <v>6835030</v>
      </c>
      <c r="H7" s="73">
        <f t="shared" ref="H7:H45" si="1">I7*G7/1000</f>
        <v>922729.05</v>
      </c>
      <c r="I7" s="73">
        <v>135</v>
      </c>
      <c r="K7" s="72">
        <v>10466630</v>
      </c>
      <c r="L7" s="73">
        <f t="shared" ref="L7:L45" si="2">K7*M7/1000</f>
        <v>3621453.98</v>
      </c>
      <c r="M7" s="73">
        <v>346</v>
      </c>
      <c r="O7" s="73">
        <f t="shared" ref="O7:O45" si="3">(I7-M7)*G7/1000</f>
        <v>-1442191.33</v>
      </c>
      <c r="Q7" s="73">
        <f>O7</f>
        <v>-1442191.33</v>
      </c>
      <c r="S7" s="74">
        <v>37072</v>
      </c>
      <c r="T7" s="73">
        <f>XNPV($AB$2,O7:$O$45,S7:$S$45)</f>
        <v>-10907674.276881868</v>
      </c>
      <c r="U7" s="73"/>
      <c r="V7" s="96">
        <f>L7+H7</f>
        <v>4544183.03</v>
      </c>
      <c r="W7" s="96">
        <f>$V$5/$X$2</f>
        <v>1437066.2566845242</v>
      </c>
      <c r="X7" s="98"/>
      <c r="Y7" t="s">
        <v>204</v>
      </c>
      <c r="AB7" s="95"/>
      <c r="AD7" t="s">
        <v>118</v>
      </c>
      <c r="AE7" t="s">
        <v>198</v>
      </c>
      <c r="AF7" t="s">
        <v>198</v>
      </c>
      <c r="AG7" t="s">
        <v>198</v>
      </c>
      <c r="AH7" t="s">
        <v>198</v>
      </c>
      <c r="AI7" t="s">
        <v>198</v>
      </c>
      <c r="AJ7" t="s">
        <v>198</v>
      </c>
      <c r="AK7" s="73">
        <v>346</v>
      </c>
      <c r="AL7">
        <v>1</v>
      </c>
    </row>
    <row r="8" spans="1:41">
      <c r="B8" t="s">
        <v>119</v>
      </c>
      <c r="C8" s="72">
        <v>21250889</v>
      </c>
      <c r="D8" s="73">
        <f t="shared" si="0"/>
        <v>3676403.7969999998</v>
      </c>
      <c r="E8" s="73">
        <v>173</v>
      </c>
      <c r="G8" s="72">
        <v>8241181</v>
      </c>
      <c r="H8" s="73">
        <f t="shared" si="1"/>
        <v>1137282.9779999999</v>
      </c>
      <c r="I8" s="73">
        <v>138</v>
      </c>
      <c r="K8" s="72">
        <v>13009708</v>
      </c>
      <c r="L8" s="73">
        <f t="shared" si="2"/>
        <v>2536893.06</v>
      </c>
      <c r="M8" s="73">
        <f t="shared" ref="M8:M45" si="4">IF($AA$5=1,AK8,IF($AA$5=2,$AA$10*AJ8+(1-$AA$10)*AI8,$AA$10*AF8+(1-$AA$10)*AE8))</f>
        <v>195</v>
      </c>
      <c r="O8" s="73">
        <f t="shared" si="3"/>
        <v>-469747.31699999998</v>
      </c>
      <c r="Q8" s="73">
        <f t="shared" ref="Q8:Q45" si="5">O8+Q7*(1+$AB$2)^0.25</f>
        <v>-1937704.1273598524</v>
      </c>
      <c r="S8" s="74">
        <v>37164</v>
      </c>
      <c r="T8" s="73">
        <f>XNPV($AB$2,O8:$O$45,S8:$S$45)</f>
        <v>-9635990.9596833661</v>
      </c>
      <c r="U8" s="73"/>
      <c r="V8" s="96">
        <f t="shared" ref="V8:V45" si="6">L8+H8</f>
        <v>3674176.0379999997</v>
      </c>
      <c r="W8" s="96">
        <f t="shared" ref="W8:W45" si="7">$V$5/$X$2</f>
        <v>1437066.2566845242</v>
      </c>
      <c r="X8" s="98"/>
      <c r="Y8" t="s">
        <v>205</v>
      </c>
      <c r="AB8" s="95"/>
      <c r="AD8" t="s">
        <v>119</v>
      </c>
      <c r="AE8">
        <v>249.67956867165674</v>
      </c>
      <c r="AF8">
        <v>260.8781349379903</v>
      </c>
      <c r="AG8">
        <v>198.55751476702508</v>
      </c>
      <c r="AH8">
        <v>216.46306207885308</v>
      </c>
      <c r="AI8">
        <f t="shared" ref="AI8:AI45" si="8">AG8*$AL$8</f>
        <v>199.29795339891803</v>
      </c>
      <c r="AJ8">
        <f t="shared" ref="AJ8:AJ45" si="9">AH8*$AL$8</f>
        <v>217.27027208915706</v>
      </c>
      <c r="AK8" s="73">
        <v>195</v>
      </c>
      <c r="AL8">
        <f t="shared" ref="AL8:AL45" si="10">AL7*(1+$AA$12)^0.25</f>
        <v>1.003729088938093</v>
      </c>
      <c r="AN8" s="100">
        <f>+AK8</f>
        <v>195</v>
      </c>
      <c r="AO8">
        <v>104</v>
      </c>
    </row>
    <row r="9" spans="1:41">
      <c r="B9" t="s">
        <v>120</v>
      </c>
      <c r="C9" s="72">
        <v>17494520</v>
      </c>
      <c r="D9" s="73">
        <f t="shared" si="0"/>
        <v>3096530.04</v>
      </c>
      <c r="E9" s="73">
        <v>177</v>
      </c>
      <c r="G9" s="72">
        <v>7583534</v>
      </c>
      <c r="H9" s="73">
        <f t="shared" si="1"/>
        <v>940358.21600000001</v>
      </c>
      <c r="I9" s="73">
        <v>124</v>
      </c>
      <c r="K9" s="72">
        <v>9910986</v>
      </c>
      <c r="L9" s="73">
        <f t="shared" si="2"/>
        <v>2140772.9759999998</v>
      </c>
      <c r="M9" s="73">
        <f t="shared" si="4"/>
        <v>216</v>
      </c>
      <c r="O9" s="73">
        <f t="shared" si="3"/>
        <v>-697685.12800000003</v>
      </c>
      <c r="Q9" s="73">
        <f t="shared" si="5"/>
        <v>-2670007.3234331748</v>
      </c>
      <c r="S9" s="74">
        <v>37256</v>
      </c>
      <c r="T9" s="73">
        <f>XNPV($AB$2,O9:$O$45,S9:$S$45)</f>
        <v>-9331361.2597282752</v>
      </c>
      <c r="U9" s="73"/>
      <c r="V9" s="96">
        <f t="shared" si="6"/>
        <v>3081131.1919999998</v>
      </c>
      <c r="W9" s="96">
        <f t="shared" si="7"/>
        <v>1437066.2566845242</v>
      </c>
      <c r="X9" s="98"/>
      <c r="AB9" s="95"/>
      <c r="AD9" t="s">
        <v>120</v>
      </c>
      <c r="AE9">
        <v>132.64516176087304</v>
      </c>
      <c r="AF9">
        <v>170.61409828364359</v>
      </c>
      <c r="AG9">
        <v>116.2263954599761</v>
      </c>
      <c r="AH9">
        <v>289.615413739546</v>
      </c>
      <c r="AI9">
        <f t="shared" si="8"/>
        <v>116.65981402560033</v>
      </c>
      <c r="AJ9">
        <f t="shared" si="9"/>
        <v>290.69541537522338</v>
      </c>
      <c r="AK9" s="73">
        <v>216</v>
      </c>
      <c r="AL9">
        <f t="shared" si="10"/>
        <v>1.0074720839804943</v>
      </c>
      <c r="AN9" s="100">
        <f t="shared" ref="AN9:AN45" si="11">+AK9</f>
        <v>216</v>
      </c>
      <c r="AO9">
        <f>+AO8</f>
        <v>104</v>
      </c>
    </row>
    <row r="10" spans="1:41">
      <c r="A10">
        <v>2002</v>
      </c>
      <c r="B10" t="s">
        <v>117</v>
      </c>
      <c r="C10" s="72">
        <v>13607508</v>
      </c>
      <c r="D10" s="73">
        <f t="shared" si="0"/>
        <v>1837013.58</v>
      </c>
      <c r="E10" s="73">
        <v>135</v>
      </c>
      <c r="G10" s="72">
        <v>8874797</v>
      </c>
      <c r="H10" s="73">
        <f t="shared" si="1"/>
        <v>887479.7</v>
      </c>
      <c r="I10" s="73">
        <v>100</v>
      </c>
      <c r="K10" s="72">
        <v>4732711</v>
      </c>
      <c r="L10" s="73">
        <f t="shared" si="2"/>
        <v>946542.2</v>
      </c>
      <c r="M10" s="73">
        <f t="shared" si="4"/>
        <v>200</v>
      </c>
      <c r="O10" s="73">
        <f t="shared" si="3"/>
        <v>-887479.7</v>
      </c>
      <c r="Q10" s="73">
        <f t="shared" si="5"/>
        <v>-3605188.0599194914</v>
      </c>
      <c r="S10" s="74">
        <v>37346</v>
      </c>
      <c r="T10" s="73">
        <f>XNPV($AB$2,O10:$O$45,S10:$S$45)</f>
        <v>-8785789.6896330938</v>
      </c>
      <c r="U10" s="73"/>
      <c r="V10" s="96">
        <f t="shared" si="6"/>
        <v>1834021.9</v>
      </c>
      <c r="W10" s="96">
        <f t="shared" si="7"/>
        <v>1437066.2566845242</v>
      </c>
      <c r="X10" s="98"/>
      <c r="Y10" t="s">
        <v>206</v>
      </c>
      <c r="AA10" s="75">
        <v>0.4</v>
      </c>
      <c r="AB10" s="95"/>
      <c r="AC10">
        <v>2002</v>
      </c>
      <c r="AD10" t="s">
        <v>117</v>
      </c>
      <c r="AE10">
        <v>84.770097069269639</v>
      </c>
      <c r="AF10">
        <v>114.62365558911239</v>
      </c>
      <c r="AG10">
        <v>85.322106656426016</v>
      </c>
      <c r="AH10">
        <v>94.587148028673823</v>
      </c>
      <c r="AI10">
        <f t="shared" si="8"/>
        <v>85.640280380533284</v>
      </c>
      <c r="AJ10">
        <f t="shared" si="9"/>
        <v>94.939871916073315</v>
      </c>
      <c r="AK10" s="73">
        <v>200</v>
      </c>
      <c r="AL10">
        <f t="shared" si="10"/>
        <v>1.0112290369843033</v>
      </c>
      <c r="AN10" s="100">
        <f t="shared" si="11"/>
        <v>200</v>
      </c>
      <c r="AO10">
        <f t="shared" ref="AO10:AO45" si="12">+AO9</f>
        <v>104</v>
      </c>
    </row>
    <row r="11" spans="1:41">
      <c r="B11" t="s">
        <v>118</v>
      </c>
      <c r="C11" s="72">
        <v>15078598</v>
      </c>
      <c r="D11" s="73">
        <f t="shared" si="0"/>
        <v>1914981.946</v>
      </c>
      <c r="E11" s="73">
        <v>127</v>
      </c>
      <c r="G11" s="72">
        <v>9736927</v>
      </c>
      <c r="H11" s="73">
        <f t="shared" si="1"/>
        <v>1032114.262</v>
      </c>
      <c r="I11" s="73">
        <v>106</v>
      </c>
      <c r="K11" s="72">
        <v>5341672</v>
      </c>
      <c r="L11" s="73">
        <f t="shared" si="2"/>
        <v>886717.55200000003</v>
      </c>
      <c r="M11" s="73">
        <f t="shared" si="4"/>
        <v>166</v>
      </c>
      <c r="O11" s="73">
        <f t="shared" si="3"/>
        <v>-584215.62</v>
      </c>
      <c r="Q11" s="73">
        <f t="shared" si="5"/>
        <v>-4253812.1950860815</v>
      </c>
      <c r="S11" s="74">
        <v>37437</v>
      </c>
      <c r="T11" s="73">
        <f>XNPV($AB$2,O11:$O$45,S11:$S$45)</f>
        <v>-8039027.2889281157</v>
      </c>
      <c r="U11" s="73"/>
      <c r="V11" s="96">
        <f t="shared" si="6"/>
        <v>1918831.814</v>
      </c>
      <c r="W11" s="96">
        <f t="shared" si="7"/>
        <v>1437066.2566845242</v>
      </c>
      <c r="X11" s="98"/>
      <c r="AB11" s="95"/>
      <c r="AD11" t="s">
        <v>118</v>
      </c>
      <c r="AE11">
        <v>76.562963220201155</v>
      </c>
      <c r="AF11">
        <v>72.920669302077272</v>
      </c>
      <c r="AG11">
        <v>45.697108864994021</v>
      </c>
      <c r="AH11">
        <v>46.255683536439669</v>
      </c>
      <c r="AI11">
        <f t="shared" si="8"/>
        <v>45.867517448165302</v>
      </c>
      <c r="AJ11">
        <f t="shared" si="9"/>
        <v>46.428175094239336</v>
      </c>
      <c r="AK11" s="73">
        <v>166</v>
      </c>
      <c r="AL11">
        <f t="shared" si="10"/>
        <v>1.0149999999999999</v>
      </c>
      <c r="AN11" s="100">
        <f t="shared" si="11"/>
        <v>166</v>
      </c>
      <c r="AO11">
        <f t="shared" si="12"/>
        <v>104</v>
      </c>
    </row>
    <row r="12" spans="1:41">
      <c r="B12" t="s">
        <v>119</v>
      </c>
      <c r="C12" s="72">
        <v>21547911</v>
      </c>
      <c r="D12" s="73">
        <f t="shared" si="0"/>
        <v>2822776.341</v>
      </c>
      <c r="E12" s="73">
        <v>131</v>
      </c>
      <c r="G12" s="72">
        <v>12466863</v>
      </c>
      <c r="H12" s="73">
        <f t="shared" si="1"/>
        <v>1396288.656</v>
      </c>
      <c r="I12" s="73">
        <v>112</v>
      </c>
      <c r="K12" s="72">
        <v>9081049</v>
      </c>
      <c r="L12" s="73">
        <f t="shared" si="2"/>
        <v>1425724.693</v>
      </c>
      <c r="M12" s="73">
        <f t="shared" si="4"/>
        <v>157</v>
      </c>
      <c r="O12" s="73">
        <f t="shared" si="3"/>
        <v>-561008.83499999996</v>
      </c>
      <c r="Q12" s="73">
        <f t="shared" si="5"/>
        <v>-4890817.5447558723</v>
      </c>
      <c r="S12" s="74">
        <v>37529</v>
      </c>
      <c r="T12" s="73">
        <f>XNPV($AB$2,O12:$O$45,S12:$S$45)</f>
        <v>-7589100.1284405924</v>
      </c>
      <c r="U12" s="73"/>
      <c r="V12" s="96">
        <f t="shared" si="6"/>
        <v>2822013.3489999999</v>
      </c>
      <c r="W12" s="96">
        <f t="shared" si="7"/>
        <v>1437066.2566845242</v>
      </c>
      <c r="X12" s="98"/>
      <c r="Y12" t="s">
        <v>207</v>
      </c>
      <c r="AA12" s="71">
        <v>1.4999999999999999E-2</v>
      </c>
      <c r="AB12" s="95"/>
      <c r="AD12" t="s">
        <v>119</v>
      </c>
      <c r="AE12">
        <v>130.90107461947775</v>
      </c>
      <c r="AF12">
        <v>121.18351192334835</v>
      </c>
      <c r="AG12">
        <v>88.221767741935494</v>
      </c>
      <c r="AH12">
        <v>87.646402150537639</v>
      </c>
      <c r="AI12">
        <f t="shared" si="8"/>
        <v>88.55075456012095</v>
      </c>
      <c r="AJ12">
        <f t="shared" si="9"/>
        <v>87.973243379260865</v>
      </c>
      <c r="AK12" s="73">
        <v>157</v>
      </c>
      <c r="AL12">
        <f t="shared" si="10"/>
        <v>1.0187850252721642</v>
      </c>
      <c r="AN12" s="100">
        <f t="shared" si="11"/>
        <v>157</v>
      </c>
      <c r="AO12">
        <f t="shared" si="12"/>
        <v>104</v>
      </c>
    </row>
    <row r="13" spans="1:41">
      <c r="B13" t="s">
        <v>120</v>
      </c>
      <c r="C13" s="72">
        <v>18261734</v>
      </c>
      <c r="D13" s="73">
        <f t="shared" si="0"/>
        <v>2209669.8139999998</v>
      </c>
      <c r="E13" s="73">
        <v>121</v>
      </c>
      <c r="G13" s="72">
        <v>11408290</v>
      </c>
      <c r="H13" s="73">
        <f t="shared" si="1"/>
        <v>1060970.97</v>
      </c>
      <c r="I13" s="73">
        <v>93</v>
      </c>
      <c r="K13" s="72">
        <v>6853444</v>
      </c>
      <c r="L13" s="73">
        <f t="shared" si="2"/>
        <v>1151378.5919999999</v>
      </c>
      <c r="M13" s="73">
        <f t="shared" si="4"/>
        <v>168</v>
      </c>
      <c r="O13" s="73">
        <f t="shared" si="3"/>
        <v>-855621.75</v>
      </c>
      <c r="Q13" s="73">
        <f t="shared" si="5"/>
        <v>-5833816.2334267134</v>
      </c>
      <c r="S13" s="74">
        <v>37621</v>
      </c>
      <c r="T13" s="73">
        <f>XNPV($AB$2,O13:$O$45,S13:$S$45)</f>
        <v>-7154692.9562354954</v>
      </c>
      <c r="U13" s="73"/>
      <c r="V13" s="96">
        <f t="shared" si="6"/>
        <v>2212349.5619999999</v>
      </c>
      <c r="W13" s="96">
        <f t="shared" si="7"/>
        <v>1437066.2566845242</v>
      </c>
      <c r="X13" s="98"/>
      <c r="Y13" t="s">
        <v>192</v>
      </c>
      <c r="AB13" s="95"/>
      <c r="AD13" t="s">
        <v>120</v>
      </c>
      <c r="AE13">
        <v>53.133811388182558</v>
      </c>
      <c r="AF13">
        <v>62.236559275408659</v>
      </c>
      <c r="AG13">
        <v>67.468780286738351</v>
      </c>
      <c r="AH13">
        <v>74.341877897252104</v>
      </c>
      <c r="AI13">
        <f t="shared" si="8"/>
        <v>67.720377368972251</v>
      </c>
      <c r="AJ13">
        <f t="shared" si="9"/>
        <v>74.619105371755808</v>
      </c>
      <c r="AK13" s="73">
        <v>168</v>
      </c>
      <c r="AL13">
        <f t="shared" si="10"/>
        <v>1.0225841652402015</v>
      </c>
      <c r="AN13" s="100">
        <f t="shared" si="11"/>
        <v>168</v>
      </c>
      <c r="AO13">
        <f t="shared" si="12"/>
        <v>104</v>
      </c>
    </row>
    <row r="14" spans="1:41">
      <c r="A14">
        <v>2003</v>
      </c>
      <c r="B14" t="s">
        <v>117</v>
      </c>
      <c r="C14" s="72">
        <v>16026397</v>
      </c>
      <c r="D14" s="73">
        <f t="shared" si="0"/>
        <v>1570586.906</v>
      </c>
      <c r="E14" s="73">
        <v>98</v>
      </c>
      <c r="G14" s="72">
        <v>12528699</v>
      </c>
      <c r="H14" s="73">
        <f t="shared" si="1"/>
        <v>1089996.8130000001</v>
      </c>
      <c r="I14" s="73">
        <v>87</v>
      </c>
      <c r="K14" s="72">
        <v>3497698</v>
      </c>
      <c r="L14" s="73">
        <f t="shared" si="2"/>
        <v>479184.62599999999</v>
      </c>
      <c r="M14" s="73">
        <f t="shared" si="4"/>
        <v>137</v>
      </c>
      <c r="O14" s="73">
        <f t="shared" si="3"/>
        <v>-626434.94999999995</v>
      </c>
      <c r="Q14" s="73">
        <f t="shared" si="5"/>
        <v>-6564475.2724630442</v>
      </c>
      <c r="S14" s="74">
        <v>37711</v>
      </c>
      <c r="T14" s="73">
        <f>XNPV($AB$2,O14:$O$45,S14:$S$45)</f>
        <v>-6410052.2203547396</v>
      </c>
      <c r="U14" s="73"/>
      <c r="V14" s="96">
        <f t="shared" si="6"/>
        <v>1569181.439</v>
      </c>
      <c r="W14" s="96">
        <f t="shared" si="7"/>
        <v>1437066.2566845242</v>
      </c>
      <c r="X14" s="98"/>
      <c r="AB14" s="95"/>
      <c r="AC14">
        <v>2003</v>
      </c>
      <c r="AD14" t="s">
        <v>117</v>
      </c>
      <c r="AE14">
        <v>44.773681398817793</v>
      </c>
      <c r="AF14">
        <v>46.101894400816434</v>
      </c>
      <c r="AG14">
        <v>45.574507270865332</v>
      </c>
      <c r="AH14">
        <v>46.873088991295447</v>
      </c>
      <c r="AI14">
        <f t="shared" si="8"/>
        <v>45.744458661788151</v>
      </c>
      <c r="AJ14">
        <f t="shared" si="9"/>
        <v>47.047882908947138</v>
      </c>
      <c r="AK14" s="73">
        <v>137</v>
      </c>
      <c r="AL14">
        <f t="shared" si="10"/>
        <v>1.0263974725390677</v>
      </c>
      <c r="AN14" s="100">
        <f t="shared" si="11"/>
        <v>137</v>
      </c>
      <c r="AO14">
        <f t="shared" si="12"/>
        <v>104</v>
      </c>
    </row>
    <row r="15" spans="1:41">
      <c r="B15" t="s">
        <v>118</v>
      </c>
      <c r="C15" s="72">
        <v>16532781</v>
      </c>
      <c r="D15" s="73">
        <f t="shared" si="0"/>
        <v>1521015.852</v>
      </c>
      <c r="E15" s="73">
        <v>92</v>
      </c>
      <c r="G15" s="72">
        <v>13862979</v>
      </c>
      <c r="H15" s="73">
        <f t="shared" si="1"/>
        <v>1206079.173</v>
      </c>
      <c r="I15" s="73">
        <v>87</v>
      </c>
      <c r="K15" s="72">
        <v>2669802</v>
      </c>
      <c r="L15" s="73">
        <f t="shared" si="2"/>
        <v>312366.83399999997</v>
      </c>
      <c r="M15" s="73">
        <f t="shared" si="4"/>
        <v>117</v>
      </c>
      <c r="O15" s="73">
        <f t="shared" si="3"/>
        <v>-415889.37</v>
      </c>
      <c r="Q15" s="73">
        <f t="shared" si="5"/>
        <v>-7097642.3262121091</v>
      </c>
      <c r="S15" s="74">
        <v>37802</v>
      </c>
      <c r="T15" s="73">
        <f>XNPV($AB$2,O15:$O$45,S15:$S$45)</f>
        <v>-5886658.9341421267</v>
      </c>
      <c r="U15" s="73"/>
      <c r="V15" s="96">
        <f t="shared" si="6"/>
        <v>1518446.007</v>
      </c>
      <c r="W15" s="96">
        <f t="shared" si="7"/>
        <v>1437066.2566845242</v>
      </c>
      <c r="X15" s="98"/>
      <c r="AB15" s="95"/>
      <c r="AD15" t="s">
        <v>118</v>
      </c>
      <c r="AE15">
        <v>41.823954744426487</v>
      </c>
      <c r="AF15">
        <v>45.38733588331062</v>
      </c>
      <c r="AG15">
        <v>31.705132927120669</v>
      </c>
      <c r="AH15">
        <v>31.520837514934289</v>
      </c>
      <c r="AI15">
        <f t="shared" si="8"/>
        <v>31.823364187599964</v>
      </c>
      <c r="AJ15">
        <f t="shared" si="9"/>
        <v>31.638381521430656</v>
      </c>
      <c r="AK15" s="73">
        <v>117</v>
      </c>
      <c r="AL15">
        <f t="shared" si="10"/>
        <v>1.0302249999999997</v>
      </c>
      <c r="AN15" s="100">
        <f t="shared" si="11"/>
        <v>117</v>
      </c>
      <c r="AO15">
        <f t="shared" si="12"/>
        <v>104</v>
      </c>
    </row>
    <row r="16" spans="1:41">
      <c r="B16" t="s">
        <v>119</v>
      </c>
      <c r="C16" s="72">
        <v>24085451</v>
      </c>
      <c r="D16" s="73">
        <f t="shared" si="0"/>
        <v>2360374.1979999999</v>
      </c>
      <c r="E16" s="73">
        <v>98</v>
      </c>
      <c r="G16" s="72">
        <v>18336722</v>
      </c>
      <c r="H16" s="73">
        <f t="shared" si="1"/>
        <v>1686978.4240000001</v>
      </c>
      <c r="I16" s="73">
        <v>92</v>
      </c>
      <c r="K16" s="72">
        <v>5748729</v>
      </c>
      <c r="L16" s="73">
        <f t="shared" si="2"/>
        <v>689847.48</v>
      </c>
      <c r="M16" s="73">
        <f t="shared" si="4"/>
        <v>120</v>
      </c>
      <c r="O16" s="73">
        <f t="shared" si="3"/>
        <v>-513428.21600000001</v>
      </c>
      <c r="Q16" s="73">
        <f t="shared" si="5"/>
        <v>-7737873.5260833791</v>
      </c>
      <c r="S16" s="74">
        <v>37894</v>
      </c>
      <c r="T16" s="73">
        <f>XNPV($AB$2,O16:$O$45,S16:$S$45)</f>
        <v>-5569318.1592969121</v>
      </c>
      <c r="U16" s="73"/>
      <c r="V16" s="96">
        <f t="shared" si="6"/>
        <v>2376825.9040000001</v>
      </c>
      <c r="W16" s="96">
        <f t="shared" si="7"/>
        <v>1437066.2566845242</v>
      </c>
      <c r="X16" s="98"/>
      <c r="AB16" s="95"/>
      <c r="AD16" t="s">
        <v>119</v>
      </c>
      <c r="AE16">
        <v>89.927717587655778</v>
      </c>
      <c r="AF16">
        <v>77.792114294003909</v>
      </c>
      <c r="AG16">
        <v>68.490710633213851</v>
      </c>
      <c r="AH16">
        <v>67.365648148148139</v>
      </c>
      <c r="AI16">
        <f t="shared" si="8"/>
        <v>68.746118584598293</v>
      </c>
      <c r="AJ16">
        <f t="shared" si="9"/>
        <v>67.616860641464868</v>
      </c>
      <c r="AK16" s="73">
        <v>120</v>
      </c>
      <c r="AL16">
        <f t="shared" si="10"/>
        <v>1.0340668006512466</v>
      </c>
      <c r="AN16" s="100">
        <f t="shared" si="11"/>
        <v>120</v>
      </c>
      <c r="AO16">
        <f t="shared" si="12"/>
        <v>104</v>
      </c>
    </row>
    <row r="17" spans="1:41">
      <c r="B17" t="s">
        <v>120</v>
      </c>
      <c r="C17" s="72">
        <v>22311602</v>
      </c>
      <c r="D17" s="73">
        <f t="shared" si="0"/>
        <v>1851862.966</v>
      </c>
      <c r="E17" s="73">
        <v>83</v>
      </c>
      <c r="G17" s="72">
        <v>19737558</v>
      </c>
      <c r="H17" s="73">
        <f t="shared" si="1"/>
        <v>1598742.1980000001</v>
      </c>
      <c r="I17" s="73">
        <v>81</v>
      </c>
      <c r="K17" s="72">
        <v>2574043</v>
      </c>
      <c r="L17" s="73">
        <f t="shared" si="2"/>
        <v>265126.429</v>
      </c>
      <c r="M17" s="73">
        <f t="shared" si="4"/>
        <v>103</v>
      </c>
      <c r="O17" s="73">
        <f t="shared" si="3"/>
        <v>-434226.27600000001</v>
      </c>
      <c r="Q17" s="73">
        <f t="shared" si="5"/>
        <v>-8310340.841407421</v>
      </c>
      <c r="S17" s="74">
        <v>37986</v>
      </c>
      <c r="T17" s="73">
        <f>XNPV($AB$2,O17:$O$45,S17:$S$45)</f>
        <v>-5146965.0370889958</v>
      </c>
      <c r="U17" s="73"/>
      <c r="V17" s="96">
        <f t="shared" si="6"/>
        <v>1863868.6270000001</v>
      </c>
      <c r="W17" s="96">
        <f t="shared" si="7"/>
        <v>1437066.2566845242</v>
      </c>
      <c r="X17" s="98"/>
      <c r="AB17" s="95"/>
      <c r="AD17" t="s">
        <v>120</v>
      </c>
      <c r="AE17">
        <v>39.59641587123221</v>
      </c>
      <c r="AF17">
        <v>42.966308321782442</v>
      </c>
      <c r="AG17">
        <v>54.21759247311828</v>
      </c>
      <c r="AH17">
        <v>56.353901935483869</v>
      </c>
      <c r="AI17">
        <f t="shared" si="8"/>
        <v>54.419774697459822</v>
      </c>
      <c r="AJ17">
        <f t="shared" si="9"/>
        <v>56.564050647809857</v>
      </c>
      <c r="AK17" s="73">
        <v>103</v>
      </c>
      <c r="AL17">
        <f t="shared" si="10"/>
        <v>1.0379229277188042</v>
      </c>
      <c r="AN17" s="100">
        <f t="shared" si="11"/>
        <v>103</v>
      </c>
      <c r="AO17">
        <f t="shared" si="12"/>
        <v>104</v>
      </c>
    </row>
    <row r="18" spans="1:41">
      <c r="A18">
        <v>2004</v>
      </c>
      <c r="B18" t="s">
        <v>117</v>
      </c>
      <c r="C18" s="72">
        <v>21643805</v>
      </c>
      <c r="D18" s="73">
        <f t="shared" si="0"/>
        <v>1666572.9850000001</v>
      </c>
      <c r="E18" s="73">
        <v>77</v>
      </c>
      <c r="G18" s="72">
        <v>21398531</v>
      </c>
      <c r="H18" s="73">
        <f t="shared" si="1"/>
        <v>1626288.3559999999</v>
      </c>
      <c r="I18" s="73">
        <v>76</v>
      </c>
      <c r="K18" s="72">
        <v>245274</v>
      </c>
      <c r="L18" s="73">
        <f t="shared" si="2"/>
        <v>22319.934000000001</v>
      </c>
      <c r="M18" s="73">
        <f t="shared" si="4"/>
        <v>91</v>
      </c>
      <c r="O18" s="73">
        <f t="shared" si="3"/>
        <v>-320977.96500000003</v>
      </c>
      <c r="Q18" s="73">
        <f t="shared" si="5"/>
        <v>-8779787.26498078</v>
      </c>
      <c r="S18" s="74">
        <v>38077</v>
      </c>
      <c r="T18" s="73">
        <f>XNPV($AB$2,O18:$O$45,S18:$S$45)</f>
        <v>-4796701.5166169275</v>
      </c>
      <c r="U18" s="73"/>
      <c r="V18" s="96">
        <f t="shared" si="6"/>
        <v>1648608.2899999998</v>
      </c>
      <c r="W18" s="96">
        <f t="shared" si="7"/>
        <v>1437066.2566845242</v>
      </c>
      <c r="X18" s="98"/>
      <c r="AB18" s="95"/>
      <c r="AC18">
        <v>2004</v>
      </c>
      <c r="AD18" t="s">
        <v>117</v>
      </c>
      <c r="AE18">
        <v>42.275676570471063</v>
      </c>
      <c r="AF18">
        <v>41.051971218915327</v>
      </c>
      <c r="AG18">
        <v>31.744716895315786</v>
      </c>
      <c r="AH18">
        <v>32.380646730935602</v>
      </c>
      <c r="AI18">
        <f t="shared" si="8"/>
        <v>31.863095767933</v>
      </c>
      <c r="AJ18">
        <f t="shared" si="9"/>
        <v>32.501397042468234</v>
      </c>
      <c r="AK18" s="73">
        <v>91</v>
      </c>
      <c r="AL18">
        <f t="shared" si="10"/>
        <v>1.0417934346271536</v>
      </c>
      <c r="AN18" s="100">
        <f t="shared" si="11"/>
        <v>91</v>
      </c>
      <c r="AO18">
        <f t="shared" si="12"/>
        <v>104</v>
      </c>
    </row>
    <row r="19" spans="1:41">
      <c r="B19" t="s">
        <v>118</v>
      </c>
      <c r="C19" s="72">
        <v>20861843</v>
      </c>
      <c r="D19" s="73">
        <f t="shared" si="0"/>
        <v>1606361.9110000001</v>
      </c>
      <c r="E19" s="73">
        <v>77</v>
      </c>
      <c r="G19" s="72">
        <v>20019949</v>
      </c>
      <c r="H19" s="73">
        <f t="shared" si="1"/>
        <v>1541536.0730000001</v>
      </c>
      <c r="I19" s="73">
        <v>77</v>
      </c>
      <c r="K19" s="72">
        <v>841894</v>
      </c>
      <c r="L19" s="73">
        <f t="shared" si="2"/>
        <v>76612.354000000007</v>
      </c>
      <c r="M19" s="73">
        <f t="shared" si="4"/>
        <v>91</v>
      </c>
      <c r="O19" s="73">
        <f t="shared" si="3"/>
        <v>-280279.28600000002</v>
      </c>
      <c r="Q19" s="73">
        <f t="shared" si="5"/>
        <v>-9216921.9082651325</v>
      </c>
      <c r="S19" s="74">
        <v>38168</v>
      </c>
      <c r="T19" s="73">
        <f>XNPV($AB$2,O19:$O$45,S19:$S$45)</f>
        <v>-4555463.6139088999</v>
      </c>
      <c r="U19" s="73"/>
      <c r="V19" s="96">
        <f t="shared" si="6"/>
        <v>1618148.4270000001</v>
      </c>
      <c r="W19" s="96">
        <f t="shared" si="7"/>
        <v>1437066.2566845242</v>
      </c>
      <c r="X19" s="98"/>
      <c r="AB19" s="95"/>
      <c r="AD19" t="s">
        <v>118</v>
      </c>
      <c r="AE19">
        <v>42.493190112727795</v>
      </c>
      <c r="AF19">
        <v>40.002748052250674</v>
      </c>
      <c r="AG19">
        <v>26.95260485065711</v>
      </c>
      <c r="AH19">
        <v>26.2766629390681</v>
      </c>
      <c r="AI19">
        <f t="shared" si="8"/>
        <v>27.053113511258488</v>
      </c>
      <c r="AJ19">
        <f t="shared" si="9"/>
        <v>26.374650952164178</v>
      </c>
      <c r="AK19" s="73">
        <v>91</v>
      </c>
      <c r="AL19">
        <f t="shared" si="10"/>
        <v>1.0456783749999996</v>
      </c>
      <c r="AN19" s="100">
        <f t="shared" si="11"/>
        <v>91</v>
      </c>
      <c r="AO19">
        <f t="shared" si="12"/>
        <v>104</v>
      </c>
    </row>
    <row r="20" spans="1:41">
      <c r="B20" t="s">
        <v>119</v>
      </c>
      <c r="C20" s="72">
        <v>26363885</v>
      </c>
      <c r="D20" s="73">
        <f t="shared" si="0"/>
        <v>2161838.5699999998</v>
      </c>
      <c r="E20" s="73">
        <v>82</v>
      </c>
      <c r="G20" s="72">
        <v>21412396</v>
      </c>
      <c r="H20" s="73">
        <f t="shared" si="1"/>
        <v>1734404.0759999999</v>
      </c>
      <c r="I20" s="73">
        <v>81</v>
      </c>
      <c r="K20" s="72">
        <v>4951489</v>
      </c>
      <c r="L20" s="73">
        <f t="shared" si="2"/>
        <v>420876.565</v>
      </c>
      <c r="M20" s="73">
        <f t="shared" si="4"/>
        <v>85</v>
      </c>
      <c r="O20" s="73">
        <f t="shared" si="3"/>
        <v>-85649.584000000003</v>
      </c>
      <c r="Q20" s="73">
        <f t="shared" si="5"/>
        <v>-9467236.4818998296</v>
      </c>
      <c r="S20" s="74">
        <v>38260</v>
      </c>
      <c r="T20" s="73">
        <f>XNPV($AB$2,O20:$O$45,S20:$S$45)</f>
        <v>-4352196.0544317383</v>
      </c>
      <c r="U20" s="73"/>
      <c r="V20" s="96">
        <f t="shared" si="6"/>
        <v>2155280.6409999998</v>
      </c>
      <c r="W20" s="96">
        <f t="shared" si="7"/>
        <v>1437066.2566845242</v>
      </c>
      <c r="X20" s="98"/>
      <c r="AB20" s="95"/>
      <c r="AD20" t="s">
        <v>119</v>
      </c>
      <c r="AE20">
        <v>71.092890925442845</v>
      </c>
      <c r="AF20">
        <v>69.059736800661554</v>
      </c>
      <c r="AG20">
        <v>55.194743369175626</v>
      </c>
      <c r="AH20">
        <v>54.337940382317804</v>
      </c>
      <c r="AI20">
        <f t="shared" si="8"/>
        <v>55.400569476114498</v>
      </c>
      <c r="AJ20">
        <f t="shared" si="9"/>
        <v>54.54057139471626</v>
      </c>
      <c r="AK20" s="73">
        <v>85</v>
      </c>
      <c r="AL20">
        <f t="shared" si="10"/>
        <v>1.0495778026610152</v>
      </c>
      <c r="AN20" s="100">
        <f t="shared" si="11"/>
        <v>85</v>
      </c>
      <c r="AO20">
        <f t="shared" si="12"/>
        <v>104</v>
      </c>
    </row>
    <row r="21" spans="1:41">
      <c r="B21" t="s">
        <v>120</v>
      </c>
      <c r="C21" s="72">
        <v>24659502</v>
      </c>
      <c r="D21" s="73">
        <f t="shared" si="0"/>
        <v>1800143.6459999999</v>
      </c>
      <c r="E21" s="73">
        <v>73</v>
      </c>
      <c r="G21" s="72">
        <v>23182863</v>
      </c>
      <c r="H21" s="73">
        <f t="shared" si="1"/>
        <v>1715531.862</v>
      </c>
      <c r="I21" s="73">
        <v>74</v>
      </c>
      <c r="K21" s="72">
        <v>1476640</v>
      </c>
      <c r="L21" s="73">
        <f t="shared" si="2"/>
        <v>98934.88</v>
      </c>
      <c r="M21" s="73">
        <f t="shared" si="4"/>
        <v>67</v>
      </c>
      <c r="O21" s="73">
        <f t="shared" si="3"/>
        <v>162280.041</v>
      </c>
      <c r="Q21" s="73">
        <f t="shared" si="5"/>
        <v>-9474093.4274857007</v>
      </c>
      <c r="S21" s="74">
        <v>38352</v>
      </c>
      <c r="T21" s="73">
        <f>XNPV($AB$2,O21:$O$45,S21:$S$45)</f>
        <v>-4343402.5975074526</v>
      </c>
      <c r="U21" s="73"/>
      <c r="V21" s="96">
        <f t="shared" si="6"/>
        <v>1814466.7420000001</v>
      </c>
      <c r="W21" s="96">
        <f t="shared" si="7"/>
        <v>1437066.2566845242</v>
      </c>
      <c r="X21" s="98"/>
      <c r="AB21" s="95"/>
      <c r="AD21" t="s">
        <v>120</v>
      </c>
      <c r="AE21">
        <v>40.192652414402659</v>
      </c>
      <c r="AF21">
        <v>39.751493496833682</v>
      </c>
      <c r="AG21">
        <v>45.212451732377531</v>
      </c>
      <c r="AH21">
        <v>46.433948267622462</v>
      </c>
      <c r="AI21">
        <f t="shared" si="8"/>
        <v>45.381052985996803</v>
      </c>
      <c r="AJ21">
        <f t="shared" si="9"/>
        <v>46.607104590459237</v>
      </c>
      <c r="AK21" s="73">
        <v>67</v>
      </c>
      <c r="AL21">
        <f t="shared" si="10"/>
        <v>1.0534917716345864</v>
      </c>
      <c r="AN21" s="100">
        <f t="shared" si="11"/>
        <v>67</v>
      </c>
      <c r="AO21">
        <f t="shared" si="12"/>
        <v>104</v>
      </c>
    </row>
    <row r="22" spans="1:41">
      <c r="A22">
        <v>2005</v>
      </c>
      <c r="B22" t="s">
        <v>117</v>
      </c>
      <c r="C22" s="72">
        <v>21135169</v>
      </c>
      <c r="D22" s="73">
        <f t="shared" si="0"/>
        <v>1416056.3230000001</v>
      </c>
      <c r="E22" s="73">
        <v>67</v>
      </c>
      <c r="G22" s="72">
        <v>20750188</v>
      </c>
      <c r="H22" s="73">
        <f t="shared" si="1"/>
        <v>1369512.4080000001</v>
      </c>
      <c r="I22" s="73">
        <v>66</v>
      </c>
      <c r="K22" s="72">
        <v>384980</v>
      </c>
      <c r="L22" s="73">
        <f t="shared" si="2"/>
        <v>30798.400000000001</v>
      </c>
      <c r="M22" s="73">
        <f t="shared" si="4"/>
        <v>80</v>
      </c>
      <c r="O22" s="73">
        <f t="shared" si="3"/>
        <v>-290502.63199999998</v>
      </c>
      <c r="Q22" s="73">
        <f t="shared" si="5"/>
        <v>-9933855.5488859657</v>
      </c>
      <c r="S22" s="74">
        <v>38442</v>
      </c>
      <c r="T22" s="73">
        <f>XNPV($AB$2,O22:$O$45,S22:$S$45)</f>
        <v>-4585066.600388377</v>
      </c>
      <c r="U22" s="73"/>
      <c r="V22" s="96">
        <f t="shared" si="6"/>
        <v>1400310.808</v>
      </c>
      <c r="W22" s="96">
        <f t="shared" si="7"/>
        <v>1437066.2566845242</v>
      </c>
      <c r="X22" s="98"/>
      <c r="AB22" s="95"/>
      <c r="AC22">
        <v>2005</v>
      </c>
      <c r="AD22" t="s">
        <v>117</v>
      </c>
      <c r="AE22">
        <v>39.882232361787402</v>
      </c>
      <c r="AF22">
        <v>38.41847192314227</v>
      </c>
      <c r="AG22">
        <v>32.934015104966718</v>
      </c>
      <c r="AH22">
        <v>33.496268817204303</v>
      </c>
      <c r="AI22">
        <f t="shared" si="8"/>
        <v>33.056828976381638</v>
      </c>
      <c r="AJ22">
        <f t="shared" si="9"/>
        <v>33.621179382717926</v>
      </c>
      <c r="AK22" s="73">
        <v>80</v>
      </c>
      <c r="AL22">
        <f t="shared" si="10"/>
        <v>1.0574203361465608</v>
      </c>
      <c r="AN22" s="100">
        <f t="shared" si="11"/>
        <v>80</v>
      </c>
      <c r="AO22">
        <f t="shared" si="12"/>
        <v>104</v>
      </c>
    </row>
    <row r="23" spans="1:41">
      <c r="B23" t="s">
        <v>118</v>
      </c>
      <c r="C23" s="72">
        <v>20467158</v>
      </c>
      <c r="D23" s="73">
        <f t="shared" si="0"/>
        <v>1391766.7439999999</v>
      </c>
      <c r="E23" s="73">
        <v>68</v>
      </c>
      <c r="G23" s="72">
        <v>19542403</v>
      </c>
      <c r="H23" s="73">
        <f t="shared" si="1"/>
        <v>1309341.0009999999</v>
      </c>
      <c r="I23" s="73">
        <v>67</v>
      </c>
      <c r="K23" s="72">
        <v>924755</v>
      </c>
      <c r="L23" s="73">
        <f t="shared" si="2"/>
        <v>73055.645000000004</v>
      </c>
      <c r="M23" s="73">
        <f t="shared" si="4"/>
        <v>79</v>
      </c>
      <c r="O23" s="73">
        <f t="shared" si="3"/>
        <v>-234508.83600000001</v>
      </c>
      <c r="Q23" s="73">
        <f t="shared" si="5"/>
        <v>-10345837.758021852</v>
      </c>
      <c r="S23" s="74">
        <v>38533</v>
      </c>
      <c r="T23" s="73">
        <f>XNPV($AB$2,O23:$O$45,S23:$S$45)</f>
        <v>-4371076.4684136361</v>
      </c>
      <c r="U23" s="73"/>
      <c r="V23" s="96">
        <f t="shared" si="6"/>
        <v>1382396.6459999999</v>
      </c>
      <c r="W23" s="96">
        <f t="shared" si="7"/>
        <v>1437066.2566845242</v>
      </c>
      <c r="X23" s="98"/>
      <c r="AB23" s="95"/>
      <c r="AD23" t="s">
        <v>118</v>
      </c>
      <c r="AE23">
        <v>40.114874691104028</v>
      </c>
      <c r="AF23">
        <v>37.387216381733992</v>
      </c>
      <c r="AG23">
        <v>27.394590681003582</v>
      </c>
      <c r="AH23">
        <v>26.823236248506571</v>
      </c>
      <c r="AI23">
        <f t="shared" si="8"/>
        <v>27.496747546075696</v>
      </c>
      <c r="AJ23">
        <f t="shared" si="9"/>
        <v>26.923262482084731</v>
      </c>
      <c r="AK23" s="73">
        <v>79</v>
      </c>
      <c r="AL23">
        <f t="shared" si="10"/>
        <v>1.0613635506249994</v>
      </c>
      <c r="AN23" s="100">
        <f t="shared" si="11"/>
        <v>79</v>
      </c>
      <c r="AO23">
        <f t="shared" si="12"/>
        <v>104</v>
      </c>
    </row>
    <row r="24" spans="1:41">
      <c r="B24" t="s">
        <v>119</v>
      </c>
      <c r="C24" s="72">
        <v>27079042</v>
      </c>
      <c r="D24" s="73">
        <f t="shared" si="0"/>
        <v>1976770.0660000001</v>
      </c>
      <c r="E24" s="73">
        <v>73</v>
      </c>
      <c r="G24" s="72">
        <v>20486838</v>
      </c>
      <c r="H24" s="73">
        <f t="shared" si="1"/>
        <v>1516026.0120000001</v>
      </c>
      <c r="I24" s="73">
        <v>74</v>
      </c>
      <c r="K24" s="72">
        <v>6592204</v>
      </c>
      <c r="L24" s="73">
        <f t="shared" si="2"/>
        <v>468046.484</v>
      </c>
      <c r="M24" s="73">
        <f t="shared" si="4"/>
        <v>71</v>
      </c>
      <c r="O24" s="73">
        <f t="shared" si="3"/>
        <v>61460.514000000003</v>
      </c>
      <c r="Q24" s="73">
        <f t="shared" si="5"/>
        <v>-10469210.888501277</v>
      </c>
      <c r="S24" s="74">
        <v>38625</v>
      </c>
      <c r="T24" s="73">
        <f>XNPV($AB$2,O24:$O$45,S24:$S$45)</f>
        <v>-4211082.3646021513</v>
      </c>
      <c r="U24" s="73"/>
      <c r="V24" s="96">
        <f t="shared" si="6"/>
        <v>1984072.496</v>
      </c>
      <c r="W24" s="96">
        <f t="shared" si="7"/>
        <v>1437066.2566845242</v>
      </c>
      <c r="X24" s="98"/>
      <c r="AB24" s="95"/>
      <c r="AD24" t="s">
        <v>119</v>
      </c>
      <c r="AE24">
        <v>67.301448289574793</v>
      </c>
      <c r="AF24">
        <v>63.912783419217128</v>
      </c>
      <c r="AG24">
        <v>55.43435758661888</v>
      </c>
      <c r="AH24">
        <v>55.087778016726396</v>
      </c>
      <c r="AI24">
        <f t="shared" si="8"/>
        <v>55.641077236285433</v>
      </c>
      <c r="AJ24">
        <f t="shared" si="9"/>
        <v>55.293205240352691</v>
      </c>
      <c r="AK24" s="73">
        <v>71</v>
      </c>
      <c r="AL24">
        <f t="shared" si="10"/>
        <v>1.0653214697009301</v>
      </c>
      <c r="AN24" s="100">
        <f t="shared" si="11"/>
        <v>71</v>
      </c>
      <c r="AO24">
        <f t="shared" si="12"/>
        <v>104</v>
      </c>
    </row>
    <row r="25" spans="1:41">
      <c r="B25" t="s">
        <v>120</v>
      </c>
      <c r="C25" s="72">
        <v>24684859</v>
      </c>
      <c r="D25" s="73">
        <f t="shared" si="0"/>
        <v>1629200.6939999999</v>
      </c>
      <c r="E25" s="73">
        <v>66</v>
      </c>
      <c r="G25" s="72">
        <v>21060134</v>
      </c>
      <c r="H25" s="73">
        <f t="shared" si="1"/>
        <v>1368908.71</v>
      </c>
      <c r="I25" s="73">
        <v>65</v>
      </c>
      <c r="K25" s="72">
        <v>3624725</v>
      </c>
      <c r="L25" s="73">
        <f t="shared" si="2"/>
        <v>246481.3</v>
      </c>
      <c r="M25" s="73">
        <f t="shared" si="4"/>
        <v>68</v>
      </c>
      <c r="O25" s="73">
        <f t="shared" si="3"/>
        <v>-63180.402000000002</v>
      </c>
      <c r="Q25" s="73">
        <f t="shared" si="5"/>
        <v>-10719429.058597438</v>
      </c>
      <c r="S25" s="74">
        <v>38717</v>
      </c>
      <c r="T25" s="73">
        <f>XNPV($AB$2,O25:$O$45,S25:$S$45)</f>
        <v>-4349507.0229493361</v>
      </c>
      <c r="U25" s="73"/>
      <c r="V25" s="96">
        <f t="shared" si="6"/>
        <v>1615390.01</v>
      </c>
      <c r="W25" s="96">
        <f t="shared" si="7"/>
        <v>1437066.2566845242</v>
      </c>
      <c r="X25" s="98"/>
      <c r="AB25" s="95"/>
      <c r="AD25" t="s">
        <v>120</v>
      </c>
      <c r="AE25">
        <v>37.976627925232833</v>
      </c>
      <c r="AF25">
        <v>37.13918764285939</v>
      </c>
      <c r="AG25">
        <v>44.387095340501787</v>
      </c>
      <c r="AH25">
        <v>45.298238709677427</v>
      </c>
      <c r="AI25">
        <f t="shared" si="8"/>
        <v>44.552618766730134</v>
      </c>
      <c r="AJ25">
        <f t="shared" si="9"/>
        <v>45.467159870564778</v>
      </c>
      <c r="AK25" s="73">
        <v>68</v>
      </c>
      <c r="AL25">
        <f t="shared" si="10"/>
        <v>1.0692941482091047</v>
      </c>
      <c r="AN25" s="100">
        <f t="shared" si="11"/>
        <v>68</v>
      </c>
      <c r="AO25">
        <f t="shared" si="12"/>
        <v>104</v>
      </c>
    </row>
    <row r="26" spans="1:41">
      <c r="A26">
        <v>2006</v>
      </c>
      <c r="B26" t="s">
        <v>117</v>
      </c>
      <c r="C26" s="72">
        <v>21949030</v>
      </c>
      <c r="D26" s="73">
        <f t="shared" si="0"/>
        <v>1316941.8</v>
      </c>
      <c r="E26" s="73">
        <v>60</v>
      </c>
      <c r="G26" s="72">
        <v>21151029</v>
      </c>
      <c r="H26" s="73">
        <f t="shared" si="1"/>
        <v>1247910.7109999999</v>
      </c>
      <c r="I26" s="73">
        <v>59</v>
      </c>
      <c r="K26" s="72">
        <v>798000</v>
      </c>
      <c r="L26" s="73">
        <f t="shared" si="2"/>
        <v>65436</v>
      </c>
      <c r="M26" s="73">
        <f t="shared" si="4"/>
        <v>82</v>
      </c>
      <c r="O26" s="73">
        <f t="shared" si="3"/>
        <v>-486473.66700000002</v>
      </c>
      <c r="Q26" s="73">
        <f t="shared" si="5"/>
        <v>-11397410.768346608</v>
      </c>
      <c r="S26" s="74">
        <v>38807</v>
      </c>
      <c r="T26" s="73">
        <f>XNPV($AB$2,O26:$O$45,S26:$S$45)</f>
        <v>-4361845.8299985025</v>
      </c>
      <c r="U26" s="73"/>
      <c r="V26" s="96">
        <f t="shared" si="6"/>
        <v>1313346.7109999999</v>
      </c>
      <c r="W26" s="96">
        <f t="shared" si="7"/>
        <v>1437066.2566845242</v>
      </c>
      <c r="X26" s="98"/>
      <c r="AB26" s="95"/>
      <c r="AC26">
        <v>2006</v>
      </c>
      <c r="AD26" t="s">
        <v>117</v>
      </c>
      <c r="AE26">
        <v>39.417383412662957</v>
      </c>
      <c r="AF26">
        <v>38.224936337344765</v>
      </c>
      <c r="AG26">
        <v>32.632569790066562</v>
      </c>
      <c r="AH26">
        <v>33.200682693292372</v>
      </c>
      <c r="AI26">
        <f t="shared" si="8"/>
        <v>32.754259545092246</v>
      </c>
      <c r="AJ26">
        <f t="shared" si="9"/>
        <v>33.324490991861062</v>
      </c>
      <c r="AK26" s="73">
        <v>82</v>
      </c>
      <c r="AL26">
        <f t="shared" si="10"/>
        <v>1.0732816411887589</v>
      </c>
      <c r="AN26" s="100">
        <f t="shared" si="11"/>
        <v>82</v>
      </c>
      <c r="AO26">
        <f t="shared" si="12"/>
        <v>104</v>
      </c>
    </row>
    <row r="27" spans="1:41">
      <c r="B27" t="s">
        <v>118</v>
      </c>
      <c r="C27" s="72">
        <v>21490395</v>
      </c>
      <c r="D27" s="73">
        <f t="shared" si="0"/>
        <v>1332404.49</v>
      </c>
      <c r="E27" s="73">
        <v>62</v>
      </c>
      <c r="G27" s="72">
        <v>19575129</v>
      </c>
      <c r="H27" s="73">
        <f t="shared" si="1"/>
        <v>1174507.74</v>
      </c>
      <c r="I27" s="73">
        <v>60</v>
      </c>
      <c r="K27" s="72">
        <v>1915266</v>
      </c>
      <c r="L27" s="73">
        <f t="shared" si="2"/>
        <v>151306.014</v>
      </c>
      <c r="M27" s="73">
        <f t="shared" si="4"/>
        <v>79</v>
      </c>
      <c r="O27" s="73">
        <f t="shared" si="3"/>
        <v>-371927.451</v>
      </c>
      <c r="Q27" s="73">
        <f t="shared" si="5"/>
        <v>-11972958.749574732</v>
      </c>
      <c r="S27" s="74">
        <v>38898</v>
      </c>
      <c r="T27" s="73">
        <f>XNPV($AB$2,O27:$O$45,S27:$S$45)</f>
        <v>-3944416.2882931544</v>
      </c>
      <c r="U27" s="73"/>
      <c r="V27" s="96">
        <f t="shared" si="6"/>
        <v>1325813.754</v>
      </c>
      <c r="W27" s="96">
        <f t="shared" si="7"/>
        <v>1437066.2566845242</v>
      </c>
      <c r="X27" s="98"/>
      <c r="AB27" s="95"/>
      <c r="AD27" t="s">
        <v>118</v>
      </c>
      <c r="AE27">
        <v>39.658542551051298</v>
      </c>
      <c r="AF27">
        <v>37.195056882960408</v>
      </c>
      <c r="AG27">
        <v>27.734304229390677</v>
      </c>
      <c r="AH27">
        <v>27.160276129032255</v>
      </c>
      <c r="AI27">
        <f t="shared" si="8"/>
        <v>27.837727916498203</v>
      </c>
      <c r="AJ27">
        <f t="shared" si="9"/>
        <v>27.261559214300579</v>
      </c>
      <c r="AK27" s="73">
        <v>79</v>
      </c>
      <c r="AL27">
        <f t="shared" si="10"/>
        <v>1.0772840038843743</v>
      </c>
      <c r="AN27" s="100">
        <f t="shared" si="11"/>
        <v>79</v>
      </c>
      <c r="AO27">
        <f t="shared" si="12"/>
        <v>104</v>
      </c>
    </row>
    <row r="28" spans="1:41">
      <c r="B28" t="s">
        <v>119</v>
      </c>
      <c r="C28" s="72">
        <v>28313503</v>
      </c>
      <c r="D28" s="73">
        <f t="shared" si="0"/>
        <v>1925318.2039999999</v>
      </c>
      <c r="E28" s="73">
        <v>68</v>
      </c>
      <c r="G28" s="72">
        <v>19753088</v>
      </c>
      <c r="H28" s="73">
        <f t="shared" si="1"/>
        <v>1323456.8959999999</v>
      </c>
      <c r="I28" s="73">
        <v>67</v>
      </c>
      <c r="K28" s="72">
        <v>8560415</v>
      </c>
      <c r="L28" s="73">
        <f t="shared" si="2"/>
        <v>607789.46499999997</v>
      </c>
      <c r="M28" s="73">
        <f t="shared" si="4"/>
        <v>71</v>
      </c>
      <c r="O28" s="73">
        <f t="shared" si="3"/>
        <v>-79012.351999999999</v>
      </c>
      <c r="Q28" s="73">
        <f t="shared" si="5"/>
        <v>-12265874.088712707</v>
      </c>
      <c r="S28" s="74">
        <v>38990</v>
      </c>
      <c r="T28" s="73">
        <f>XNPV($AB$2,O28:$O$45,S28:$S$45)</f>
        <v>-3636842.4445861722</v>
      </c>
      <c r="U28" s="73"/>
      <c r="V28" s="96">
        <f t="shared" si="6"/>
        <v>1931246.361</v>
      </c>
      <c r="W28" s="96">
        <f t="shared" si="7"/>
        <v>1437066.2566845242</v>
      </c>
      <c r="X28" s="98"/>
      <c r="AB28" s="95"/>
      <c r="AD28" t="s">
        <v>119</v>
      </c>
      <c r="AE28">
        <v>66.848371828277905</v>
      </c>
      <c r="AF28">
        <v>62.099835399567759</v>
      </c>
      <c r="AG28">
        <v>54.149162007168457</v>
      </c>
      <c r="AH28">
        <v>53.888522580645166</v>
      </c>
      <c r="AI28">
        <f t="shared" si="8"/>
        <v>54.351089048216394</v>
      </c>
      <c r="AJ28">
        <f t="shared" si="9"/>
        <v>54.089477674090823</v>
      </c>
      <c r="AK28" s="73">
        <v>71</v>
      </c>
      <c r="AL28">
        <f t="shared" si="10"/>
        <v>1.081301291746444</v>
      </c>
      <c r="AN28" s="100">
        <f t="shared" si="11"/>
        <v>71</v>
      </c>
      <c r="AO28">
        <f t="shared" si="12"/>
        <v>104</v>
      </c>
    </row>
    <row r="29" spans="1:41">
      <c r="B29" t="s">
        <v>120</v>
      </c>
      <c r="C29" s="72">
        <v>25180516</v>
      </c>
      <c r="D29" s="73">
        <f t="shared" si="0"/>
        <v>1561191.9920000001</v>
      </c>
      <c r="E29" s="73">
        <v>62</v>
      </c>
      <c r="G29" s="72">
        <v>19795707</v>
      </c>
      <c r="H29" s="73">
        <f t="shared" si="1"/>
        <v>1167946.713</v>
      </c>
      <c r="I29" s="73">
        <v>59</v>
      </c>
      <c r="K29" s="72">
        <v>5384808</v>
      </c>
      <c r="L29" s="73">
        <f t="shared" si="2"/>
        <v>382321.36800000002</v>
      </c>
      <c r="M29" s="73">
        <f t="shared" si="4"/>
        <v>71</v>
      </c>
      <c r="O29" s="73">
        <f t="shared" si="3"/>
        <v>-237548.484</v>
      </c>
      <c r="Q29" s="73">
        <f t="shared" si="5"/>
        <v>-12722558.641107425</v>
      </c>
      <c r="S29" s="74">
        <v>39082</v>
      </c>
      <c r="T29" s="73">
        <f>XNPV($AB$2,O29:$O$45,S29:$S$45)</f>
        <v>-3621919.6422030861</v>
      </c>
      <c r="U29" s="73"/>
      <c r="V29" s="96">
        <f t="shared" si="6"/>
        <v>1550268.081</v>
      </c>
      <c r="W29" s="96">
        <f t="shared" si="7"/>
        <v>1437066.2566845242</v>
      </c>
      <c r="X29" s="98"/>
      <c r="AB29" s="95"/>
      <c r="AD29" t="s">
        <v>120</v>
      </c>
      <c r="AE29">
        <v>37.456795188344415</v>
      </c>
      <c r="AF29">
        <v>36.874746184643875</v>
      </c>
      <c r="AG29">
        <v>43.634998207885303</v>
      </c>
      <c r="AH29">
        <v>44.677041577060926</v>
      </c>
      <c r="AI29">
        <f t="shared" si="8"/>
        <v>43.797716997016039</v>
      </c>
      <c r="AJ29">
        <f t="shared" si="9"/>
        <v>44.843646238592662</v>
      </c>
      <c r="AK29" s="73">
        <v>71</v>
      </c>
      <c r="AL29">
        <f t="shared" si="10"/>
        <v>1.0853335604322414</v>
      </c>
      <c r="AN29" s="100">
        <f t="shared" si="11"/>
        <v>71</v>
      </c>
      <c r="AO29">
        <f t="shared" si="12"/>
        <v>104</v>
      </c>
    </row>
    <row r="30" spans="1:41">
      <c r="A30">
        <v>2007</v>
      </c>
      <c r="B30" t="s">
        <v>117</v>
      </c>
      <c r="C30" s="72">
        <v>21684137</v>
      </c>
      <c r="D30" s="73">
        <f t="shared" si="0"/>
        <v>1322732.3570000001</v>
      </c>
      <c r="E30" s="73">
        <v>61</v>
      </c>
      <c r="G30" s="72">
        <v>19359819</v>
      </c>
      <c r="H30" s="73">
        <f t="shared" si="1"/>
        <v>1122869.5020000001</v>
      </c>
      <c r="I30" s="73">
        <v>58</v>
      </c>
      <c r="K30" s="72">
        <v>2324318</v>
      </c>
      <c r="L30" s="73">
        <f t="shared" si="2"/>
        <v>188269.758</v>
      </c>
      <c r="M30" s="73">
        <f t="shared" si="4"/>
        <v>81</v>
      </c>
      <c r="O30" s="73">
        <f t="shared" si="3"/>
        <v>-445275.837</v>
      </c>
      <c r="Q30" s="73">
        <f t="shared" si="5"/>
        <v>-13395129.447904894</v>
      </c>
      <c r="S30" s="74">
        <v>39172</v>
      </c>
      <c r="T30" s="73">
        <f>XNPV($AB$2,O30:$O$45,S30:$S$45)</f>
        <v>-3443999.1463613231</v>
      </c>
      <c r="U30" s="73"/>
      <c r="V30" s="96">
        <f t="shared" si="6"/>
        <v>1311139.26</v>
      </c>
      <c r="W30" s="96">
        <f t="shared" si="7"/>
        <v>1437066.2566845242</v>
      </c>
      <c r="X30" s="98"/>
      <c r="AB30" s="95"/>
      <c r="AC30">
        <v>2007</v>
      </c>
      <c r="AD30" t="s">
        <v>117</v>
      </c>
      <c r="AE30">
        <v>39.501612803030184</v>
      </c>
      <c r="AF30">
        <v>38.305133469662493</v>
      </c>
      <c r="AG30">
        <v>33.383129288274453</v>
      </c>
      <c r="AH30">
        <v>33.956782846902207</v>
      </c>
      <c r="AI30">
        <f t="shared" si="8"/>
        <v>33.507617946422286</v>
      </c>
      <c r="AJ30">
        <f t="shared" si="9"/>
        <v>34.083410710189817</v>
      </c>
      <c r="AK30" s="73">
        <v>81</v>
      </c>
      <c r="AL30">
        <f t="shared" si="10"/>
        <v>1.0893808658065904</v>
      </c>
      <c r="AN30" s="100">
        <f t="shared" si="11"/>
        <v>81</v>
      </c>
      <c r="AO30">
        <f t="shared" si="12"/>
        <v>104</v>
      </c>
    </row>
    <row r="31" spans="1:41">
      <c r="B31" t="s">
        <v>118</v>
      </c>
      <c r="C31" s="72">
        <v>22053673</v>
      </c>
      <c r="D31" s="73">
        <f t="shared" si="0"/>
        <v>1389381.399</v>
      </c>
      <c r="E31" s="73">
        <v>63</v>
      </c>
      <c r="G31" s="72">
        <v>18428604</v>
      </c>
      <c r="H31" s="73">
        <f t="shared" si="1"/>
        <v>1105716.24</v>
      </c>
      <c r="I31" s="73">
        <v>60</v>
      </c>
      <c r="K31" s="72">
        <v>3625069</v>
      </c>
      <c r="L31" s="73">
        <f t="shared" si="2"/>
        <v>279130.31300000002</v>
      </c>
      <c r="M31" s="73">
        <f t="shared" si="4"/>
        <v>77</v>
      </c>
      <c r="O31" s="73">
        <f t="shared" si="3"/>
        <v>-313286.26799999998</v>
      </c>
      <c r="Q31" s="73">
        <f t="shared" si="5"/>
        <v>-13947726.504652787</v>
      </c>
      <c r="S31" s="74">
        <v>39263</v>
      </c>
      <c r="T31" s="73">
        <f>XNPV($AB$2,O31:$O$45,S31:$S$45)</f>
        <v>-3052148.9467420033</v>
      </c>
      <c r="U31" s="73"/>
      <c r="V31" s="96">
        <f t="shared" si="6"/>
        <v>1384846.5530000001</v>
      </c>
      <c r="W31" s="96">
        <f t="shared" si="7"/>
        <v>1437066.2566845242</v>
      </c>
      <c r="X31" s="98"/>
      <c r="AB31" s="95"/>
      <c r="AD31" t="s">
        <v>118</v>
      </c>
      <c r="AE31">
        <v>39.658542551051298</v>
      </c>
      <c r="AF31">
        <v>37.195056882960408</v>
      </c>
      <c r="AG31">
        <v>28.631286738351253</v>
      </c>
      <c r="AH31">
        <v>28.243524826762243</v>
      </c>
      <c r="AI31">
        <f t="shared" si="8"/>
        <v>28.738055353010608</v>
      </c>
      <c r="AJ31">
        <f t="shared" si="9"/>
        <v>28.348847442766477</v>
      </c>
      <c r="AK31" s="73">
        <v>77</v>
      </c>
      <c r="AL31">
        <f t="shared" si="10"/>
        <v>1.0934432639426399</v>
      </c>
      <c r="AN31" s="100">
        <f t="shared" si="11"/>
        <v>77</v>
      </c>
      <c r="AO31">
        <f t="shared" si="12"/>
        <v>104</v>
      </c>
    </row>
    <row r="32" spans="1:41">
      <c r="B32" t="s">
        <v>119</v>
      </c>
      <c r="C32" s="72">
        <v>29732503</v>
      </c>
      <c r="D32" s="73">
        <f t="shared" si="0"/>
        <v>2021810.2039999999</v>
      </c>
      <c r="E32" s="73">
        <v>68</v>
      </c>
      <c r="G32" s="72">
        <v>19684263</v>
      </c>
      <c r="H32" s="73">
        <f t="shared" si="1"/>
        <v>1318845.621</v>
      </c>
      <c r="I32" s="73">
        <v>67</v>
      </c>
      <c r="K32" s="72">
        <v>10048240</v>
      </c>
      <c r="L32" s="73">
        <f t="shared" si="2"/>
        <v>703376.8</v>
      </c>
      <c r="M32" s="73">
        <f t="shared" si="4"/>
        <v>70</v>
      </c>
      <c r="O32" s="73">
        <f t="shared" si="3"/>
        <v>-59052.788999999997</v>
      </c>
      <c r="Q32" s="73">
        <f t="shared" si="5"/>
        <v>-14255962.509391731</v>
      </c>
      <c r="S32" s="74">
        <v>39355</v>
      </c>
      <c r="T32" s="73">
        <f>XNPV($AB$2,O32:$O$45,S32:$S$45)</f>
        <v>-2788199.6259753536</v>
      </c>
      <c r="U32" s="73"/>
      <c r="V32" s="96">
        <f t="shared" si="6"/>
        <v>2022222.4210000001</v>
      </c>
      <c r="W32" s="96">
        <f t="shared" si="7"/>
        <v>1437066.2566845242</v>
      </c>
      <c r="X32" s="98"/>
      <c r="AB32" s="95"/>
      <c r="AD32" t="s">
        <v>119</v>
      </c>
      <c r="AE32">
        <v>66.4244620337615</v>
      </c>
      <c r="AF32">
        <v>61.152777459559211</v>
      </c>
      <c r="AG32">
        <v>54.933509390681003</v>
      </c>
      <c r="AH32">
        <v>54.759623154121869</v>
      </c>
      <c r="AI32">
        <f t="shared" si="8"/>
        <v>55.138361332880422</v>
      </c>
      <c r="AJ32">
        <f t="shared" si="9"/>
        <v>54.963826659080041</v>
      </c>
      <c r="AK32" s="73">
        <v>70</v>
      </c>
      <c r="AL32">
        <f t="shared" si="10"/>
        <v>1.0975208111226407</v>
      </c>
      <c r="AN32" s="100">
        <f t="shared" si="11"/>
        <v>70</v>
      </c>
      <c r="AO32">
        <f t="shared" si="12"/>
        <v>104</v>
      </c>
    </row>
    <row r="33" spans="1:41">
      <c r="B33" t="s">
        <v>120</v>
      </c>
      <c r="C33" s="72">
        <v>26183861</v>
      </c>
      <c r="D33" s="73">
        <f t="shared" si="0"/>
        <v>1623399.382</v>
      </c>
      <c r="E33" s="73">
        <v>62</v>
      </c>
      <c r="G33" s="72">
        <v>19591520</v>
      </c>
      <c r="H33" s="73">
        <f t="shared" si="1"/>
        <v>1155899.68</v>
      </c>
      <c r="I33" s="73">
        <v>59</v>
      </c>
      <c r="K33" s="72">
        <v>6592341</v>
      </c>
      <c r="L33" s="73">
        <f t="shared" si="2"/>
        <v>468056.21100000001</v>
      </c>
      <c r="M33" s="73">
        <f t="shared" si="4"/>
        <v>71</v>
      </c>
      <c r="O33" s="73">
        <f t="shared" si="3"/>
        <v>-235098.23999999999</v>
      </c>
      <c r="Q33" s="73">
        <f t="shared" si="5"/>
        <v>-14745750.757857198</v>
      </c>
      <c r="S33" s="74">
        <v>39447</v>
      </c>
      <c r="T33" s="73">
        <f>XNPV($AB$2,O33:$O$45,S33:$S$45)</f>
        <v>-2778308.7663166826</v>
      </c>
      <c r="U33" s="73"/>
      <c r="V33" s="96">
        <f t="shared" si="6"/>
        <v>1623955.8909999998</v>
      </c>
      <c r="W33" s="96">
        <f t="shared" si="7"/>
        <v>1437066.2566845242</v>
      </c>
      <c r="X33" s="98"/>
      <c r="AB33" s="95"/>
      <c r="AD33" t="s">
        <v>120</v>
      </c>
      <c r="AE33">
        <v>37.539680494239008</v>
      </c>
      <c r="AF33">
        <v>36.945982744845168</v>
      </c>
      <c r="AG33">
        <v>44.326993070489841</v>
      </c>
      <c r="AH33">
        <v>45.374195459976107</v>
      </c>
      <c r="AI33">
        <f t="shared" si="8"/>
        <v>44.492292370007931</v>
      </c>
      <c r="AJ33">
        <f t="shared" si="9"/>
        <v>45.543399870340771</v>
      </c>
      <c r="AK33" s="73">
        <v>71</v>
      </c>
      <c r="AL33">
        <f t="shared" si="10"/>
        <v>1.101613563838725</v>
      </c>
      <c r="AN33" s="100">
        <f t="shared" si="11"/>
        <v>71</v>
      </c>
      <c r="AO33">
        <f t="shared" si="12"/>
        <v>104</v>
      </c>
    </row>
    <row r="34" spans="1:41">
      <c r="A34">
        <v>2008</v>
      </c>
      <c r="B34" t="s">
        <v>117</v>
      </c>
      <c r="C34" s="72">
        <v>22554855</v>
      </c>
      <c r="D34" s="73">
        <f t="shared" si="0"/>
        <v>1375846.155</v>
      </c>
      <c r="E34" s="73">
        <v>61</v>
      </c>
      <c r="G34" s="72">
        <v>19153515</v>
      </c>
      <c r="H34" s="73">
        <f t="shared" si="1"/>
        <v>1110903.8700000001</v>
      </c>
      <c r="I34" s="73">
        <v>58</v>
      </c>
      <c r="K34" s="72">
        <v>3401340</v>
      </c>
      <c r="L34" s="73">
        <f t="shared" si="2"/>
        <v>268705.86</v>
      </c>
      <c r="M34" s="73">
        <f t="shared" si="4"/>
        <v>79</v>
      </c>
      <c r="O34" s="73">
        <f t="shared" si="3"/>
        <v>-402223.815</v>
      </c>
      <c r="Q34" s="73">
        <f t="shared" si="5"/>
        <v>-15411414.897063589</v>
      </c>
      <c r="S34" s="74">
        <v>39538</v>
      </c>
      <c r="T34" s="73">
        <f>XNPV($AB$2,O34:$O$45,S34:$S$45)</f>
        <v>-2588520.6897911052</v>
      </c>
      <c r="U34" s="73"/>
      <c r="V34" s="96">
        <f t="shared" si="6"/>
        <v>1379609.73</v>
      </c>
      <c r="W34" s="96">
        <f t="shared" si="7"/>
        <v>1437066.2566845242</v>
      </c>
      <c r="X34" s="98"/>
      <c r="AB34" s="95"/>
      <c r="AC34">
        <v>2008</v>
      </c>
      <c r="AD34" t="s">
        <v>117</v>
      </c>
      <c r="AE34">
        <v>39.587071955082415</v>
      </c>
      <c r="AF34">
        <v>38.512433467489949</v>
      </c>
      <c r="AG34">
        <v>31.894201112347051</v>
      </c>
      <c r="AH34">
        <v>32.562769954270173</v>
      </c>
      <c r="AI34">
        <f t="shared" si="8"/>
        <v>32.013137424904414</v>
      </c>
      <c r="AJ34">
        <f t="shared" si="9"/>
        <v>32.68419941950031</v>
      </c>
      <c r="AK34" s="73">
        <v>79</v>
      </c>
      <c r="AL34">
        <f t="shared" si="10"/>
        <v>1.1057215787936892</v>
      </c>
      <c r="AN34" s="100">
        <f t="shared" si="11"/>
        <v>79</v>
      </c>
      <c r="AO34">
        <f t="shared" si="12"/>
        <v>104</v>
      </c>
    </row>
    <row r="35" spans="1:41">
      <c r="B35" t="s">
        <v>118</v>
      </c>
      <c r="C35" s="72">
        <v>23429388</v>
      </c>
      <c r="D35" s="73">
        <f t="shared" si="0"/>
        <v>1476051.4439999999</v>
      </c>
      <c r="E35" s="73">
        <v>63</v>
      </c>
      <c r="G35" s="72">
        <v>18763391</v>
      </c>
      <c r="H35" s="73">
        <f t="shared" si="1"/>
        <v>1125803.46</v>
      </c>
      <c r="I35" s="73">
        <v>60</v>
      </c>
      <c r="K35" s="72">
        <v>4665997</v>
      </c>
      <c r="L35" s="73">
        <f t="shared" si="2"/>
        <v>359281.76899999997</v>
      </c>
      <c r="M35" s="73">
        <f t="shared" si="4"/>
        <v>77</v>
      </c>
      <c r="O35" s="73">
        <f t="shared" si="3"/>
        <v>-318977.647</v>
      </c>
      <c r="Q35" s="73">
        <f t="shared" si="5"/>
        <v>-16005725.296097141</v>
      </c>
      <c r="S35" s="74">
        <v>39629</v>
      </c>
      <c r="T35" s="73">
        <f>XNPV($AB$2,O35:$O$45,S35:$S$45)</f>
        <v>-2225248.2190763443</v>
      </c>
      <c r="U35" s="73"/>
      <c r="V35" s="96">
        <f t="shared" si="6"/>
        <v>1485085.2289999998</v>
      </c>
      <c r="W35" s="96">
        <f t="shared" si="7"/>
        <v>1437066.2566845242</v>
      </c>
      <c r="X35" s="98"/>
      <c r="AB35" s="95"/>
      <c r="AD35" t="s">
        <v>118</v>
      </c>
      <c r="AE35">
        <v>39.787461308387371</v>
      </c>
      <c r="AF35">
        <v>37.435657241790366</v>
      </c>
      <c r="AG35">
        <v>28.901108936678622</v>
      </c>
      <c r="AH35">
        <v>28.604272974910398</v>
      </c>
      <c r="AI35">
        <f t="shared" si="8"/>
        <v>29.00888374231301</v>
      </c>
      <c r="AJ35">
        <f t="shared" si="9"/>
        <v>28.710940852843329</v>
      </c>
      <c r="AK35" s="73">
        <v>77</v>
      </c>
      <c r="AL35">
        <f t="shared" si="10"/>
        <v>1.1098449129017793</v>
      </c>
      <c r="AN35" s="100">
        <f t="shared" si="11"/>
        <v>77</v>
      </c>
      <c r="AO35">
        <f t="shared" si="12"/>
        <v>104</v>
      </c>
    </row>
    <row r="36" spans="1:41">
      <c r="B36" t="s">
        <v>119</v>
      </c>
      <c r="C36" s="72">
        <v>31332995</v>
      </c>
      <c r="D36" s="73">
        <f t="shared" si="0"/>
        <v>2130643.66</v>
      </c>
      <c r="E36" s="73">
        <v>68</v>
      </c>
      <c r="G36" s="72">
        <v>19294144</v>
      </c>
      <c r="H36" s="73">
        <f t="shared" si="1"/>
        <v>1292707.648</v>
      </c>
      <c r="I36" s="73">
        <v>67</v>
      </c>
      <c r="K36" s="72">
        <v>12038851</v>
      </c>
      <c r="L36" s="73">
        <f t="shared" si="2"/>
        <v>854758.42099999997</v>
      </c>
      <c r="M36" s="73">
        <f t="shared" si="4"/>
        <v>71</v>
      </c>
      <c r="O36" s="73">
        <f t="shared" si="3"/>
        <v>-77176.576000000001</v>
      </c>
      <c r="Q36" s="73">
        <f t="shared" si="5"/>
        <v>-16368852.281160953</v>
      </c>
      <c r="S36" s="74">
        <v>39721</v>
      </c>
      <c r="T36" s="73">
        <f>XNPV($AB$2,O36:$O$45,S36:$S$45)</f>
        <v>-1940609.4863114376</v>
      </c>
      <c r="U36" s="73"/>
      <c r="V36" s="96">
        <f t="shared" si="6"/>
        <v>2147466.0690000001</v>
      </c>
      <c r="W36" s="96">
        <f t="shared" si="7"/>
        <v>1437066.2566845242</v>
      </c>
      <c r="X36" s="98"/>
      <c r="AB36" s="95"/>
      <c r="AD36" t="s">
        <v>119</v>
      </c>
      <c r="AE36">
        <v>66.652613169716702</v>
      </c>
      <c r="AF36">
        <v>60.783975193016069</v>
      </c>
      <c r="AG36">
        <v>55.579340023894865</v>
      </c>
      <c r="AH36">
        <v>55.278488769414572</v>
      </c>
      <c r="AI36">
        <f t="shared" si="8"/>
        <v>55.786600325964478</v>
      </c>
      <c r="AJ36">
        <f t="shared" si="9"/>
        <v>55.484627170399094</v>
      </c>
      <c r="AK36" s="73">
        <v>71</v>
      </c>
      <c r="AL36">
        <f t="shared" si="10"/>
        <v>1.1139836232894802</v>
      </c>
      <c r="AN36" s="100">
        <f t="shared" si="11"/>
        <v>71</v>
      </c>
      <c r="AO36">
        <f t="shared" si="12"/>
        <v>104</v>
      </c>
    </row>
    <row r="37" spans="1:41">
      <c r="B37" t="s">
        <v>120</v>
      </c>
      <c r="C37" s="72">
        <v>27099273</v>
      </c>
      <c r="D37" s="73">
        <f t="shared" si="0"/>
        <v>1680154.926</v>
      </c>
      <c r="E37" s="73">
        <v>62</v>
      </c>
      <c r="G37" s="72">
        <v>18854008</v>
      </c>
      <c r="H37" s="73">
        <f t="shared" si="1"/>
        <v>1112386.4720000001</v>
      </c>
      <c r="I37" s="73">
        <v>59</v>
      </c>
      <c r="K37" s="72">
        <v>8245265</v>
      </c>
      <c r="L37" s="73">
        <f t="shared" si="2"/>
        <v>577168.55000000005</v>
      </c>
      <c r="M37" s="73">
        <f t="shared" si="4"/>
        <v>70</v>
      </c>
      <c r="O37" s="73">
        <f t="shared" si="3"/>
        <v>-207394.08799999999</v>
      </c>
      <c r="Q37" s="73">
        <f t="shared" si="5"/>
        <v>-16868684.226184804</v>
      </c>
      <c r="S37" s="74">
        <v>39813</v>
      </c>
      <c r="T37" s="73">
        <f>XNPV($AB$2,O37:$O$45,S37:$S$45)</f>
        <v>-1897000.1613760844</v>
      </c>
      <c r="U37" s="73"/>
      <c r="V37" s="96">
        <f t="shared" si="6"/>
        <v>1689555.0220000001</v>
      </c>
      <c r="W37" s="96">
        <f t="shared" si="7"/>
        <v>1437066.2566845242</v>
      </c>
      <c r="X37" s="98"/>
      <c r="AB37" s="95"/>
      <c r="AD37" t="s">
        <v>120</v>
      </c>
      <c r="AE37">
        <v>37.684731270728577</v>
      </c>
      <c r="AF37">
        <v>37.208040689539821</v>
      </c>
      <c r="AG37">
        <v>43.553739068100356</v>
      </c>
      <c r="AH37">
        <v>44.559193835125448</v>
      </c>
      <c r="AI37">
        <f t="shared" si="8"/>
        <v>43.716154834671798</v>
      </c>
      <c r="AJ37">
        <f t="shared" si="9"/>
        <v>44.725359031946354</v>
      </c>
      <c r="AK37" s="73">
        <v>70</v>
      </c>
      <c r="AL37">
        <f t="shared" si="10"/>
        <v>1.1181377672963058</v>
      </c>
      <c r="AN37" s="100">
        <f t="shared" si="11"/>
        <v>70</v>
      </c>
      <c r="AO37">
        <f t="shared" si="12"/>
        <v>104</v>
      </c>
    </row>
    <row r="38" spans="1:41">
      <c r="A38">
        <v>2009</v>
      </c>
      <c r="B38" t="s">
        <v>117</v>
      </c>
      <c r="C38" s="72">
        <v>23076526</v>
      </c>
      <c r="D38" s="73">
        <f t="shared" si="0"/>
        <v>1407668.0859999999</v>
      </c>
      <c r="E38" s="73">
        <v>61</v>
      </c>
      <c r="G38" s="72">
        <v>18797465</v>
      </c>
      <c r="H38" s="73">
        <f t="shared" si="1"/>
        <v>1090252.97</v>
      </c>
      <c r="I38" s="73">
        <v>58</v>
      </c>
      <c r="K38" s="72">
        <v>4279061</v>
      </c>
      <c r="L38" s="73">
        <f t="shared" si="2"/>
        <v>329487.69699999999</v>
      </c>
      <c r="M38" s="73">
        <f t="shared" si="4"/>
        <v>77</v>
      </c>
      <c r="O38" s="73">
        <f t="shared" si="3"/>
        <v>-357151.83500000002</v>
      </c>
      <c r="Q38" s="73">
        <f t="shared" si="5"/>
        <v>-17527203.66968812</v>
      </c>
      <c r="S38" s="74">
        <v>39903</v>
      </c>
      <c r="T38" s="73">
        <f>XNPV($AB$2,O38:$O$45,S38:$S$45)</f>
        <v>-1719374.6200944786</v>
      </c>
      <c r="U38" s="73"/>
      <c r="V38" s="96">
        <f t="shared" si="6"/>
        <v>1419740.6669999999</v>
      </c>
      <c r="W38" s="96">
        <f t="shared" si="7"/>
        <v>1437066.2566845242</v>
      </c>
      <c r="X38" s="98"/>
      <c r="AB38" s="95"/>
      <c r="AC38">
        <v>2009</v>
      </c>
      <c r="AD38" t="s">
        <v>117</v>
      </c>
      <c r="AE38">
        <v>40.01495145779959</v>
      </c>
      <c r="AF38">
        <v>39.021172894491052</v>
      </c>
      <c r="AG38">
        <v>32.848784587813618</v>
      </c>
      <c r="AH38">
        <v>33.459456477214538</v>
      </c>
      <c r="AI38">
        <f t="shared" si="8"/>
        <v>32.971280627049836</v>
      </c>
      <c r="AJ38">
        <f t="shared" si="9"/>
        <v>33.584229766238323</v>
      </c>
      <c r="AK38" s="73">
        <v>77</v>
      </c>
      <c r="AL38">
        <f t="shared" si="10"/>
        <v>1.1223074024755944</v>
      </c>
      <c r="AN38" s="100">
        <f t="shared" si="11"/>
        <v>77</v>
      </c>
      <c r="AO38">
        <f t="shared" si="12"/>
        <v>104</v>
      </c>
    </row>
    <row r="39" spans="1:41">
      <c r="B39" t="s">
        <v>118</v>
      </c>
      <c r="C39" s="72">
        <v>24316954</v>
      </c>
      <c r="D39" s="73">
        <f t="shared" si="0"/>
        <v>1531968.102</v>
      </c>
      <c r="E39" s="73">
        <v>63</v>
      </c>
      <c r="G39" s="72">
        <v>18709911</v>
      </c>
      <c r="H39" s="73">
        <f t="shared" si="1"/>
        <v>1122594.6599999999</v>
      </c>
      <c r="I39" s="73">
        <v>60</v>
      </c>
      <c r="K39" s="72">
        <v>5607044</v>
      </c>
      <c r="L39" s="73">
        <f t="shared" si="2"/>
        <v>420528.3</v>
      </c>
      <c r="M39" s="73">
        <f t="shared" si="4"/>
        <v>75</v>
      </c>
      <c r="O39" s="73">
        <f t="shared" si="3"/>
        <v>-280648.66499999998</v>
      </c>
      <c r="Q39" s="73">
        <f t="shared" si="5"/>
        <v>-18120984.727402255</v>
      </c>
      <c r="S39" s="74">
        <v>39994</v>
      </c>
      <c r="T39" s="73">
        <f>XNPV($AB$2,O39:$O$45,S39:$S$45)</f>
        <v>-1386492.3201732775</v>
      </c>
      <c r="U39" s="73"/>
      <c r="V39" s="96">
        <f t="shared" si="6"/>
        <v>1543122.96</v>
      </c>
      <c r="W39" s="96">
        <f t="shared" si="7"/>
        <v>1437066.2566845242</v>
      </c>
      <c r="X39" s="98"/>
      <c r="AB39" s="95"/>
      <c r="AD39" t="s">
        <v>118</v>
      </c>
      <c r="AE39">
        <v>40.207178286177587</v>
      </c>
      <c r="AF39">
        <v>37.975711007600239</v>
      </c>
      <c r="AG39">
        <v>28.773371971326167</v>
      </c>
      <c r="AH39">
        <v>28.400172305854245</v>
      </c>
      <c r="AI39">
        <f t="shared" si="8"/>
        <v>28.880670434456075</v>
      </c>
      <c r="AJ39">
        <f t="shared" si="9"/>
        <v>28.506079074239942</v>
      </c>
      <c r="AK39" s="73">
        <v>75</v>
      </c>
      <c r="AL39">
        <f t="shared" si="10"/>
        <v>1.1264925865953059</v>
      </c>
      <c r="AN39" s="100">
        <f t="shared" si="11"/>
        <v>75</v>
      </c>
      <c r="AO39">
        <f t="shared" si="12"/>
        <v>104</v>
      </c>
    </row>
    <row r="40" spans="1:41">
      <c r="B40" t="s">
        <v>119</v>
      </c>
      <c r="C40" s="72">
        <v>32144744</v>
      </c>
      <c r="D40" s="73">
        <f t="shared" si="0"/>
        <v>2185842.5920000002</v>
      </c>
      <c r="E40" s="73">
        <v>68</v>
      </c>
      <c r="G40" s="72">
        <v>19293801</v>
      </c>
      <c r="H40" s="73">
        <f t="shared" si="1"/>
        <v>1292684.6669999999</v>
      </c>
      <c r="I40" s="73">
        <v>67</v>
      </c>
      <c r="K40" s="72">
        <v>12850943</v>
      </c>
      <c r="L40" s="73">
        <f t="shared" si="2"/>
        <v>912416.95299999998</v>
      </c>
      <c r="M40" s="73">
        <f t="shared" si="4"/>
        <v>71</v>
      </c>
      <c r="O40" s="73">
        <f t="shared" si="3"/>
        <v>-77175.203999999998</v>
      </c>
      <c r="Q40" s="73">
        <f t="shared" si="5"/>
        <v>-18521900.524195213</v>
      </c>
      <c r="S40" s="74">
        <v>40086</v>
      </c>
      <c r="T40" s="73">
        <f>XNPV($AB$2,O40:$O$45,S40:$S$45)</f>
        <v>-1125763.9492745793</v>
      </c>
      <c r="U40" s="73"/>
      <c r="V40" s="96">
        <f t="shared" si="6"/>
        <v>2205101.62</v>
      </c>
      <c r="W40" s="96">
        <f t="shared" si="7"/>
        <v>1437066.2566845242</v>
      </c>
      <c r="X40" s="98"/>
      <c r="AB40" s="95"/>
      <c r="AD40" t="s">
        <v>119</v>
      </c>
      <c r="AE40">
        <v>66.347439830289659</v>
      </c>
      <c r="AF40">
        <v>61.302359300358006</v>
      </c>
      <c r="AG40">
        <v>55.133119115890082</v>
      </c>
      <c r="AH40">
        <v>55.132544086021504</v>
      </c>
      <c r="AI40">
        <f t="shared" si="8"/>
        <v>55.338715420507711</v>
      </c>
      <c r="AJ40">
        <f t="shared" si="9"/>
        <v>55.338138246301611</v>
      </c>
      <c r="AK40" s="73">
        <v>71</v>
      </c>
      <c r="AL40">
        <f t="shared" si="10"/>
        <v>1.1306933776388222</v>
      </c>
      <c r="AN40" s="100">
        <f t="shared" si="11"/>
        <v>71</v>
      </c>
      <c r="AO40">
        <f t="shared" si="12"/>
        <v>104</v>
      </c>
    </row>
    <row r="41" spans="1:41">
      <c r="B41" t="s">
        <v>120</v>
      </c>
      <c r="C41" s="72">
        <v>27451467</v>
      </c>
      <c r="D41" s="73">
        <f t="shared" si="0"/>
        <v>1729442.4210000001</v>
      </c>
      <c r="E41" s="73">
        <v>63</v>
      </c>
      <c r="G41" s="72">
        <v>18779557</v>
      </c>
      <c r="H41" s="73">
        <f t="shared" si="1"/>
        <v>1107993.8629999999</v>
      </c>
      <c r="I41" s="73">
        <v>59</v>
      </c>
      <c r="K41" s="72">
        <v>8671910</v>
      </c>
      <c r="L41" s="73">
        <f t="shared" si="2"/>
        <v>607033.69999999995</v>
      </c>
      <c r="M41" s="73">
        <f t="shared" si="4"/>
        <v>70</v>
      </c>
      <c r="O41" s="73">
        <f t="shared" si="3"/>
        <v>-206575.12700000001</v>
      </c>
      <c r="Q41" s="73">
        <f t="shared" si="5"/>
        <v>-19059378.808256414</v>
      </c>
      <c r="S41" s="74">
        <v>40178</v>
      </c>
      <c r="T41" s="73">
        <f>XNPV($AB$2,O41:$O$45,S41:$S$45)</f>
        <v>-1067477.6687670341</v>
      </c>
      <c r="U41" s="73"/>
      <c r="V41" s="96">
        <f t="shared" si="6"/>
        <v>1715027.5629999998</v>
      </c>
      <c r="W41" s="96">
        <f t="shared" si="7"/>
        <v>1437066.2566845242</v>
      </c>
      <c r="X41" s="98"/>
      <c r="AB41" s="95"/>
      <c r="AD41" t="s">
        <v>120</v>
      </c>
      <c r="AE41">
        <v>38.067651654601711</v>
      </c>
      <c r="AF41">
        <v>37.726391944954777</v>
      </c>
      <c r="AG41">
        <v>42.570140931899651</v>
      </c>
      <c r="AH41">
        <v>43.626720071684588</v>
      </c>
      <c r="AI41">
        <f t="shared" si="8"/>
        <v>42.728888773541854</v>
      </c>
      <c r="AJ41">
        <f t="shared" si="9"/>
        <v>43.789407990909183</v>
      </c>
      <c r="AK41" s="73">
        <v>70</v>
      </c>
      <c r="AL41">
        <f t="shared" si="10"/>
        <v>1.1349098338057502</v>
      </c>
      <c r="AN41" s="100">
        <f t="shared" si="11"/>
        <v>70</v>
      </c>
      <c r="AO41">
        <f t="shared" si="12"/>
        <v>104</v>
      </c>
    </row>
    <row r="42" spans="1:41">
      <c r="A42">
        <v>2010</v>
      </c>
      <c r="B42" t="s">
        <v>117</v>
      </c>
      <c r="C42" s="72">
        <v>23781978</v>
      </c>
      <c r="D42" s="73">
        <f t="shared" si="0"/>
        <v>1474482.6359999999</v>
      </c>
      <c r="E42" s="73">
        <v>62</v>
      </c>
      <c r="G42" s="72">
        <v>18709260</v>
      </c>
      <c r="H42" s="73">
        <f t="shared" si="1"/>
        <v>1085137.08</v>
      </c>
      <c r="I42" s="73">
        <v>58</v>
      </c>
      <c r="K42" s="72">
        <v>5072718</v>
      </c>
      <c r="L42" s="73">
        <f t="shared" si="2"/>
        <v>385526.56800000003</v>
      </c>
      <c r="M42" s="73">
        <f t="shared" si="4"/>
        <v>76</v>
      </c>
      <c r="O42" s="73">
        <f t="shared" si="3"/>
        <v>-336766.68</v>
      </c>
      <c r="Q42" s="73">
        <f t="shared" si="5"/>
        <v>-19736650.967758302</v>
      </c>
      <c r="S42" s="74">
        <v>40268</v>
      </c>
      <c r="T42" s="73">
        <f>XNPV($AB$2,O42:$O$45,S42:$S$45)</f>
        <v>-876070.4663728968</v>
      </c>
      <c r="U42" s="73"/>
      <c r="V42" s="96">
        <f t="shared" si="6"/>
        <v>1470663.648</v>
      </c>
      <c r="W42" s="96">
        <f t="shared" si="7"/>
        <v>1437066.2566845242</v>
      </c>
      <c r="X42" s="98"/>
      <c r="AB42" s="95"/>
      <c r="AC42">
        <v>2010</v>
      </c>
      <c r="AD42" t="s">
        <v>117</v>
      </c>
      <c r="AE42">
        <v>40.429797210709388</v>
      </c>
      <c r="AF42">
        <v>39.654109400875349</v>
      </c>
      <c r="AG42">
        <v>33.032586328725039</v>
      </c>
      <c r="AH42">
        <v>33.658771223758322</v>
      </c>
      <c r="AI42">
        <f t="shared" si="8"/>
        <v>33.155767781000087</v>
      </c>
      <c r="AJ42">
        <f t="shared" si="9"/>
        <v>33.784287775198642</v>
      </c>
      <c r="AK42" s="73">
        <v>76</v>
      </c>
      <c r="AL42">
        <f t="shared" si="10"/>
        <v>1.1391420135127281</v>
      </c>
      <c r="AN42" s="100">
        <f t="shared" si="11"/>
        <v>76</v>
      </c>
      <c r="AO42">
        <f t="shared" si="12"/>
        <v>104</v>
      </c>
    </row>
    <row r="43" spans="1:41">
      <c r="B43" t="s">
        <v>118</v>
      </c>
      <c r="C43" s="72">
        <v>24950229</v>
      </c>
      <c r="D43" s="73">
        <f t="shared" si="0"/>
        <v>1596814.656</v>
      </c>
      <c r="E43" s="73">
        <v>64</v>
      </c>
      <c r="G43" s="72">
        <v>18604505</v>
      </c>
      <c r="H43" s="73">
        <f t="shared" si="1"/>
        <v>1116270.3</v>
      </c>
      <c r="I43" s="73">
        <v>60</v>
      </c>
      <c r="K43" s="72">
        <v>6342724</v>
      </c>
      <c r="L43" s="73">
        <f t="shared" si="2"/>
        <v>469361.576</v>
      </c>
      <c r="M43" s="73">
        <f t="shared" si="4"/>
        <v>74</v>
      </c>
      <c r="O43" s="73">
        <f t="shared" si="3"/>
        <v>-260463.07</v>
      </c>
      <c r="Q43" s="73">
        <f t="shared" si="5"/>
        <v>-20349719.328263715</v>
      </c>
      <c r="S43" s="74">
        <v>40359</v>
      </c>
      <c r="T43" s="73">
        <f>XNPV($AB$2,O43:$O$45,S43:$S$45)</f>
        <v>-548912.09149355919</v>
      </c>
      <c r="U43" s="73"/>
      <c r="V43" s="96">
        <f t="shared" si="6"/>
        <v>1585631.8760000002</v>
      </c>
      <c r="W43" s="96">
        <f t="shared" si="7"/>
        <v>1437066.2566845242</v>
      </c>
      <c r="X43" s="98"/>
      <c r="AB43" s="95"/>
      <c r="AD43" t="s">
        <v>118</v>
      </c>
      <c r="AE43">
        <v>40.587459809343017</v>
      </c>
      <c r="AF43">
        <v>38.623202049054981</v>
      </c>
      <c r="AG43">
        <v>29.114770967741936</v>
      </c>
      <c r="AH43">
        <v>28.816219665471923</v>
      </c>
      <c r="AI43">
        <f t="shared" si="8"/>
        <v>29.223342538092854</v>
      </c>
      <c r="AJ43">
        <f t="shared" si="9"/>
        <v>28.923677911464093</v>
      </c>
      <c r="AK43" s="73">
        <v>74</v>
      </c>
      <c r="AL43">
        <f t="shared" si="10"/>
        <v>1.1433899753942354</v>
      </c>
      <c r="AN43" s="100">
        <f t="shared" si="11"/>
        <v>74</v>
      </c>
      <c r="AO43">
        <f t="shared" si="12"/>
        <v>104</v>
      </c>
    </row>
    <row r="44" spans="1:41">
      <c r="B44" t="s">
        <v>119</v>
      </c>
      <c r="C44" s="72">
        <v>33368529</v>
      </c>
      <c r="D44" s="73">
        <f t="shared" si="0"/>
        <v>2302428.5010000002</v>
      </c>
      <c r="E44" s="73">
        <v>69</v>
      </c>
      <c r="G44" s="72">
        <v>18922185</v>
      </c>
      <c r="H44" s="73">
        <f t="shared" si="1"/>
        <v>1267786.395</v>
      </c>
      <c r="I44" s="73">
        <v>67</v>
      </c>
      <c r="K44" s="72">
        <v>14446344</v>
      </c>
      <c r="L44" s="73">
        <f t="shared" si="2"/>
        <v>1025690.424</v>
      </c>
      <c r="M44" s="73">
        <f t="shared" si="4"/>
        <v>71</v>
      </c>
      <c r="O44" s="73">
        <f t="shared" si="3"/>
        <v>-75688.740000000005</v>
      </c>
      <c r="Q44" s="73">
        <f t="shared" si="5"/>
        <v>-20788966.136305135</v>
      </c>
      <c r="S44" s="74">
        <v>40451</v>
      </c>
      <c r="T44" s="73">
        <f>XNPV($AB$2,O44:$O$45,S44:$S$45)</f>
        <v>-293645.04474196676</v>
      </c>
      <c r="U44" s="73"/>
      <c r="V44" s="96">
        <f t="shared" si="6"/>
        <v>2293476.8190000001</v>
      </c>
      <c r="W44" s="96">
        <f t="shared" si="7"/>
        <v>1437066.2566845242</v>
      </c>
      <c r="X44" s="98"/>
      <c r="AB44" s="95"/>
      <c r="AD44" t="s">
        <v>119</v>
      </c>
      <c r="AE44">
        <v>66.075418972029112</v>
      </c>
      <c r="AF44">
        <v>61.948640659155615</v>
      </c>
      <c r="AG44">
        <v>55.372938112305853</v>
      </c>
      <c r="AH44">
        <v>54.304370370370378</v>
      </c>
      <c r="AI44">
        <f t="shared" si="8"/>
        <v>55.579428723290157</v>
      </c>
      <c r="AJ44">
        <f t="shared" si="9"/>
        <v>54.506876197208634</v>
      </c>
      <c r="AK44" s="73">
        <v>71</v>
      </c>
      <c r="AL44">
        <f t="shared" si="10"/>
        <v>1.1476537783034044</v>
      </c>
      <c r="AN44" s="100">
        <f t="shared" si="11"/>
        <v>71</v>
      </c>
      <c r="AO44">
        <f t="shared" si="12"/>
        <v>104</v>
      </c>
    </row>
    <row r="45" spans="1:41">
      <c r="B45" t="s">
        <v>120</v>
      </c>
      <c r="C45" s="72">
        <v>28418492</v>
      </c>
      <c r="D45" s="73">
        <f t="shared" si="0"/>
        <v>1790364.996</v>
      </c>
      <c r="E45" s="73">
        <v>63</v>
      </c>
      <c r="G45" s="72">
        <v>18490208</v>
      </c>
      <c r="H45" s="73">
        <f t="shared" si="1"/>
        <v>1090922.2720000001</v>
      </c>
      <c r="I45" s="73">
        <v>59</v>
      </c>
      <c r="K45" s="72">
        <v>9928284</v>
      </c>
      <c r="L45" s="73">
        <f t="shared" si="2"/>
        <v>704908.16399999999</v>
      </c>
      <c r="M45" s="73">
        <f t="shared" si="4"/>
        <v>71</v>
      </c>
      <c r="O45" s="73">
        <f t="shared" si="3"/>
        <v>-221882.49600000001</v>
      </c>
      <c r="Q45" s="73">
        <f t="shared" si="5"/>
        <v>-21382254.067592703</v>
      </c>
      <c r="S45" s="74">
        <v>40543</v>
      </c>
      <c r="T45" s="73">
        <f>XNPV($AB$2,O45:$O$45,S45:$S$45)</f>
        <v>-221882.49600000001</v>
      </c>
      <c r="U45" s="73"/>
      <c r="V45" s="96">
        <f t="shared" si="6"/>
        <v>1795830.4360000002</v>
      </c>
      <c r="W45" s="96">
        <f t="shared" si="7"/>
        <v>1437066.2566845242</v>
      </c>
      <c r="X45" s="98"/>
      <c r="AB45" s="95"/>
      <c r="AD45" t="s">
        <v>120</v>
      </c>
      <c r="AE45">
        <v>38.42113247904431</v>
      </c>
      <c r="AF45">
        <v>38.373237823566313</v>
      </c>
      <c r="AG45">
        <v>42.062929629629629</v>
      </c>
      <c r="AH45">
        <v>43.026879928315417</v>
      </c>
      <c r="AI45">
        <f t="shared" si="8"/>
        <v>42.219786035215265</v>
      </c>
      <c r="AJ45">
        <f t="shared" si="9"/>
        <v>43.187330990296751</v>
      </c>
      <c r="AK45" s="73">
        <v>71</v>
      </c>
      <c r="AL45">
        <f t="shared" si="10"/>
        <v>1.1519334813128363</v>
      </c>
      <c r="AN45" s="100">
        <f t="shared" si="11"/>
        <v>71</v>
      </c>
      <c r="AO45">
        <f t="shared" si="12"/>
        <v>104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9</vt:i4>
      </vt:variant>
    </vt:vector>
  </HeadingPairs>
  <TitlesOfParts>
    <vt:vector size="18" baseType="lpstr">
      <vt:lpstr>PGE</vt:lpstr>
      <vt:lpstr>SCE</vt:lpstr>
      <vt:lpstr>SDGE</vt:lpstr>
      <vt:lpstr>All Summary</vt:lpstr>
      <vt:lpstr>Redacted Summary</vt:lpstr>
      <vt:lpstr>DWR purchases</vt:lpstr>
      <vt:lpstr>Core &amp; Non-core</vt:lpstr>
      <vt:lpstr>PGE - Core Analysis</vt:lpstr>
      <vt:lpstr>Curves</vt:lpstr>
      <vt:lpstr>'All Summary'!Print_Area</vt:lpstr>
      <vt:lpstr>'DWR purchases'!Print_Area</vt:lpstr>
      <vt:lpstr>PGE!Print_Area</vt:lpstr>
      <vt:lpstr>'Redacted Summary'!Print_Area</vt:lpstr>
      <vt:lpstr>SCE!Print_Area</vt:lpstr>
      <vt:lpstr>SDGE!Print_Area</vt:lpstr>
      <vt:lpstr>PGE!Print_Titles</vt:lpstr>
      <vt:lpstr>SCE!Print_Titles</vt:lpstr>
      <vt:lpstr>SDGE!Print_Titles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mtribole</dc:creator>
  <cp:lastModifiedBy>Jan Havlíček</cp:lastModifiedBy>
  <cp:lastPrinted>2001-05-18T12:31:17Z</cp:lastPrinted>
  <dcterms:created xsi:type="dcterms:W3CDTF">2001-05-08T18:12:48Z</dcterms:created>
  <dcterms:modified xsi:type="dcterms:W3CDTF">2023-09-15T20:19:57Z</dcterms:modified>
</cp:coreProperties>
</file>