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325C30-8200-4155-9918-65DF9ADEF71F}" xr6:coauthVersionLast="47" xr6:coauthVersionMax="47" xr10:uidLastSave="{00000000-0000-0000-0000-000000000000}"/>
  <bookViews>
    <workbookView xWindow="-120" yWindow="-120" windowWidth="38640" windowHeight="15720" tabRatio="913" activeTab="20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  <sheet name="1130" sheetId="202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Template!$A$1:$P$43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P28" i="202"/>
  <c r="C45" i="202"/>
  <c r="C46" i="202"/>
  <c r="C50" i="202"/>
  <c r="C54" i="202"/>
  <c r="D54" i="202"/>
  <c r="C55" i="202"/>
  <c r="D55" i="202"/>
  <c r="C56" i="202"/>
  <c r="D56" i="202"/>
  <c r="C57" i="202"/>
  <c r="D57" i="202"/>
  <c r="E57" i="202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  <c r="C54" i="154"/>
  <c r="C55" i="154"/>
  <c r="C56" i="154"/>
  <c r="C57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<sst xmlns="http://schemas.openxmlformats.org/spreadsheetml/2006/main" count="1084" uniqueCount="73">
  <si>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</si>
  <si>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</si>
  <si>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</si>
  <si>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</si>
  <si>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</si>
  <si>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</si>
  <si>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</si>
  <si>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</si>
  <si>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</si>
  <si>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</si>
  <si>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</si>
  <si>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</si>
  <si>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</si>
  <si>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</si>
  <si>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</si>
  <si>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</si>
  <si>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</si>
  <si>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</si>
  <si>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</si>
  <si>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</si>
  <si>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</si>
  <si>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</si>
  <si>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</si>
  <si>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</si>
  <si>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</si>
  <si>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</si>
  <si>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</si>
  <si>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</si>
  <si>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</si>
  <si>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</si>
  <si>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</si>
  <si>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</si>
  <si>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</si>
  <si>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</si>
  <si>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</si>
  <si>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</si>
  <si>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</si>
  <si>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</si>
  <si>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</si>
  <si>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</si>
  <si>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</si>
  <si>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</si>
  <si>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</si>
  <si>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</si>
  <si>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</si>
  <si>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</si>
  <si>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</si>
  <si>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</si>
  <si>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</si>
  <si>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</si>
  <si>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</si>
  <si>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</si>
  <si>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</si>
  <si>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</si>
  <si>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</si>
  <si>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</si>
  <si>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</si>
  <si>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</si>
  <si>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</si>
  <si>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</si>
  <si>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</si>
  <si>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</si>
  <si>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</si>
  <si>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</si>
  <si>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</si>
  <si>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</si>
  <si>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</si>
  <si>
    <t>CARR</t>
  </si>
  <si>
    <t>Total</t>
  </si>
  <si>
    <t>0163</t>
  </si>
  <si>
    <t>0168</t>
  </si>
  <si>
    <t>Total Deposit (Hyperion)</t>
  </si>
  <si>
    <t>From Bkr Stmts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</si>
</sst>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0" fontId="3" fillId="0" borderId="0" xfId="0" applyFont="1" applyAlignment="1">
      <alignment horizontal="center"/>
    </xf>
    <xf numFmtId="0" fontId="1" fillId="0" borderId="0" xfId="1" applyNumberFormat="1" applyAlignment="1">
      <alignment horizontal="right"/>
    </xf>
    <xf numFmtId="0" fontId="1" fillId="0" borderId="0" xfId="1" applyNumberFormat="1"/>
    <xf numFmtId="8" fontId="1" fillId="0" borderId="0" xfId="1" applyNumberFormat="1" applyAlignment="1">
      <alignment horizontal="right"/>
    </xf>
    <xf numFmtId="43" fontId="5" fillId="0" borderId="0" xfId="1" quotePrefix="1" applyFont="1" applyAlignment="1">
      <alignment horizontal="center"/>
    </xf>
    <xf numFmtId="43" fontId="5" fillId="0" borderId="0" xfId="1" applyFont="1" applyAlignment="1"/>
    <xf numFmtId="0" fontId="5" fillId="0" borderId="0" xfId="1" applyNumberFormat="1" applyFont="1" applyAlignment="1">
      <alignment horizontal="right"/>
    </xf>
    <xf numFmtId="38" fontId="5" fillId="5" borderId="2" xfId="2" applyNumberFormat="1" applyFon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K16">
            <v>0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aul0111"/>
    </sheetNames>
    <sheetDataSet>
      <sheetData sheetId="0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53592.459999991581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Fin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BkOne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37196</v>
          </cell>
          <cell r="FF5">
            <v>2719842.9206164442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2226439.6875505685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3286205.1829715888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3542399.9687780733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2733638.3443527464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2908605.1735464423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2734437.0393651831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1967266.8360121655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2500011.2206758754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3871804.5406827792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4111193.1068334864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2214324.8808016381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2733051.3233666178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2436329.1953270179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2300165.357228097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2624176.4024047768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5352551.9162077783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5557098.3989551598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3315120.1706297114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2382484.9005374773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2555998.5866081626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709031.87390816235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4613935.2205617065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7073688.5247767773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7259845.65407898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4668502.2957288017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5565665.936439544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3468857.0376531943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3837403.6164085232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3761825.4779982865</v>
          </cell>
          <cell r="FJ1224">
            <v>-1851380.31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  <sheetName val="Edf0111"/>
    </sheetNames>
    <sheetDataSet>
      <sheetData sheetId="0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  <cell r="DB5">
            <v>-23998749.5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-24152860</v>
          </cell>
          <cell r="CX11">
            <v>4705302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  <cell r="DB47">
            <v>-23011359.5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-23160970</v>
          </cell>
          <cell r="CX53">
            <v>4815817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  <cell r="DB173">
            <v>-18655272.5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-18823250</v>
          </cell>
          <cell r="CX179">
            <v>4898043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  <cell r="DB215">
            <v>-12999928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-13347560</v>
          </cell>
          <cell r="CX221">
            <v>4948547.5999999996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  <cell r="DB257">
            <v>-14363360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-14660160</v>
          </cell>
          <cell r="CX263">
            <v>4964077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  <cell r="DB299">
            <v>-15112322.5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-15396150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  <cell r="DB341">
            <v>-11453552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-11646000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  <cell r="DB467">
            <v>-10702977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-10878250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  <cell r="DB509">
            <v>-14971776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-15172680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  <cell r="DB551">
            <v>-14579767.5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-14858890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  <cell r="DB593">
            <v>-14521792.5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-14911920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  <cell r="DB635">
            <v>-17932575.5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-18246390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  <cell r="DB761">
            <v>-22370953.5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-22673040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  <cell r="DB803">
            <v>-25495562.5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-25774590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  <cell r="DB845">
            <v>-26051380.5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-26329730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  <cell r="DB929">
            <v>-26051440.5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-26329730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  <cell r="DB1055">
            <v>-26561361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-26800360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  <cell r="DB1097">
            <v>-39452580.5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-39740870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  <cell r="DB1139">
            <v>-2572552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-2735610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  <cell r="DB1181">
            <v>5858636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5989480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43136755.165999793</v>
          </cell>
          <cell r="CX1223">
            <v>720451.17000000924</v>
          </cell>
          <cell r="DB1223">
            <v>-2329686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-2187930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-34771900</v>
          </cell>
        </row>
        <row r="1265">
          <cell r="A1265">
            <v>37226</v>
          </cell>
          <cell r="CT1265">
            <v>45466441.165999793</v>
          </cell>
          <cell r="CX1265">
            <v>720451.17000000924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108735058.58000003</v>
          </cell>
          <cell r="DJ1223">
            <v>-7317910</v>
          </cell>
        </row>
        <row r="1228">
          <cell r="DB1228" t="str">
            <v>OTE</v>
          </cell>
        </row>
        <row r="1229">
          <cell r="DB1229">
            <v>-7513150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A1223">
            <v>37225</v>
          </cell>
          <cell r="EQ1223">
            <v>-1112541.4885787906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17">
          <cell r="K17">
            <v>0</v>
          </cell>
        </row>
      </sheetData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-34771900</v>
          </cell>
        </row>
        <row r="22">
          <cell r="J22">
            <v>9928738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52834137</v>
          </cell>
        </row>
      </sheetData>
      <sheetData sheetId="15"/>
      <sheetData sheetId="16"/>
      <sheetData sheetId="17"/>
      <sheetData sheetId="18">
        <row r="12">
          <cell r="I12">
            <v>0</v>
          </cell>
        </row>
      </sheetData>
      <sheetData sheetId="19"/>
      <sheetData sheetId="20">
        <row r="12">
          <cell r="I12">
            <v>2162700.19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>
        <row r="17">
          <cell r="J17">
            <v>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ABN0111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Adm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CSFB0111"/>
    </sheetNames>
    <sheetDataSet>
      <sheetData sheetId="0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F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2257974.6499999962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2257974.6499999962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JP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Mann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Ref0111"/>
    </sheetNames>
    <sheetDataSet>
      <sheetData sheetId="0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62"/>
  <sheetViews>
    <sheetView zoomScale="70" workbookViewId="0">
      <pane xSplit="1" ySplit="6" topLeftCell="H7" activePane="bottomRight" state="frozen"/>
      <selection pane="topRight" activeCell="B1" sqref="B1"/>
      <selection pane="bottomLeft" activeCell="A7" sqref="A7"/>
      <selection pane="bottomRight" activeCell="P12" sqref="P1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'[19]ABN-AMRO'!$K$12</f>
        <v>0</v>
      </c>
      <c r="G8" s="69"/>
      <c r="H8" s="68">
        <f t="shared" ref="H8:H26" si="1">F8-G8</f>
        <v>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'[19]ADM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'[19]Bank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'[19]CARR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SUMIF([15]Statements!$A$5:$A$1305,$A$3,[15]Statements!$FF$5:$FF$1305)+11241+71+3390-5419</f>
        <v>#VALUE!</v>
      </c>
      <c r="C12" s="68"/>
      <c r="D12" s="68" t="e">
        <f t="shared" si="0"/>
        <v>#VALUE!</v>
      </c>
      <c r="E12" s="68">
        <v>0</v>
      </c>
      <c r="F12" s="68">
        <f>'[19]CARR FUTURES'!$I$12</f>
        <v>2162700.19</v>
      </c>
      <c r="G12" s="68"/>
      <c r="H12" s="68">
        <f t="shared" si="1"/>
        <v>2162700.19</v>
      </c>
      <c r="I12" s="68"/>
      <c r="J12" s="68"/>
      <c r="K12" s="68"/>
      <c r="L12" s="68" t="e">
        <f t="shared" si="2"/>
        <v>#VALUE!</v>
      </c>
      <c r="M12" s="12"/>
      <c r="N12" s="46"/>
      <c r="O12" s="46"/>
      <c r="P12" s="68">
        <f>[15]Statements!$FJ$1224</f>
        <v>-1851380.31</v>
      </c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'[19]CREDIT SUISSE FIRST BOSTON'!$I$12</f>
        <v>0</v>
      </c>
      <c r="G13" s="68"/>
      <c r="H13" s="68">
        <f t="shared" si="1"/>
        <v>0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+'[19]EDF MANN'!$J$20</f>
        <v>-34771900</v>
      </c>
      <c r="F14" s="68">
        <f>'[19]EDF MANN'!$J$22</f>
        <v>9928738</v>
      </c>
      <c r="G14" s="69"/>
      <c r="H14" s="68">
        <f t="shared" si="1"/>
        <v>9928738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  <c r="P14" s="68" t="e">
        <f>SUMIF([16]Statements!$A$5:$A$1305,$A$3,[16]Statements!$DB$5:$DB$1305)</f>
        <v>#VALUE!</v>
      </c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[19]Fimat!$K$12</f>
        <v>0</v>
      </c>
      <c r="G15" s="54"/>
      <c r="H15" s="54">
        <f t="shared" si="1"/>
        <v>0</v>
      </c>
      <c r="I15" s="54">
        <v>1</v>
      </c>
      <c r="J15" s="69">
        <v>0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'[19]HSBC-US$'!$J$17</f>
        <v>0</v>
      </c>
      <c r="G16" s="68"/>
      <c r="H16" s="68">
        <f t="shared" si="1"/>
        <v>0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6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'[19]JP Morgan'!$I$13</f>
        <v>0</v>
      </c>
      <c r="G18" s="68"/>
      <c r="H18" s="68">
        <f t="shared" si="1"/>
        <v>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6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'[19]Man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6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[19]PARIBAS!$J$19</f>
        <v>52834137</v>
      </c>
      <c r="G20" s="69"/>
      <c r="H20" s="68">
        <f t="shared" si="1"/>
        <v>52834137</v>
      </c>
      <c r="I20" s="69"/>
      <c r="J20" s="69"/>
      <c r="K20" s="69"/>
      <c r="L20" s="68" t="e">
        <f t="shared" si="3"/>
        <v>#VALUE!</v>
      </c>
      <c r="M20" s="12"/>
      <c r="N20" s="46"/>
      <c r="O20" s="46"/>
      <c r="P20" s="68">
        <f>[17]Statements!$DJ$1223</f>
        <v>-7317910</v>
      </c>
    </row>
    <row r="21" spans="1:16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'[19]PRUDENTIAL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6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[19]REFCO!$K$12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6" x14ac:dyDescent="0.2">
      <c r="A23" t="s">
        <v>27</v>
      </c>
      <c r="B23" s="68" t="e">
        <f>SUMIF([10]Statements!$A$5:$A$1305,$A$3,[10]Statements!$BN$5:$BN$1305)+1</f>
        <v>#VALUE!</v>
      </c>
      <c r="C23" s="68"/>
      <c r="D23" s="68" t="e">
        <f t="shared" si="0"/>
        <v>#VALUE!</v>
      </c>
      <c r="E23" s="68">
        <v>0</v>
      </c>
      <c r="F23" s="68">
        <f>'[19]R J O''Brien'!$K$17</f>
        <v>0</v>
      </c>
      <c r="G23" s="68"/>
      <c r="H23" s="68">
        <f t="shared" si="1"/>
        <v>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6" x14ac:dyDescent="0.2">
      <c r="A24" t="s">
        <v>12</v>
      </c>
      <c r="B24" s="68" t="e">
        <f>SUMIF([11]Statements!$A$5:$A$1305,$A$3,[11]Statements!$CK$5:$CK$1305)-39516</f>
        <v>#VALUE!</v>
      </c>
      <c r="C24" s="68"/>
      <c r="D24" s="68" t="e">
        <f t="shared" si="0"/>
        <v>#VALUE!</v>
      </c>
      <c r="E24" s="68">
        <v>0</v>
      </c>
      <c r="F24" s="68">
        <f>[19]SAUL!$I$13</f>
        <v>0</v>
      </c>
      <c r="G24" s="68"/>
      <c r="H24" s="68">
        <f t="shared" si="1"/>
        <v>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6" ht="12" customHeight="1" x14ac:dyDescent="0.2">
      <c r="A25" s="18" t="s">
        <v>62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'[19]Smith Barney'!ReqTotal</f>
        <v>0</v>
      </c>
      <c r="G25" s="69">
        <f>IF('[19]Smith Barney'!CurrentLoanValue&lt;50000000,IF('[19]Smith Barney'!CurrentLoanValue&gt;'[19]Smith Barney'!K16,'[19]Smith Barney'!K16,'[19]Smith Barney'!CurrentLoanValue),50000000)</f>
        <v>0</v>
      </c>
      <c r="H25" s="69">
        <f t="shared" si="1"/>
        <v>0</v>
      </c>
      <c r="I25" s="69"/>
      <c r="J25" s="69">
        <v>0</v>
      </c>
      <c r="K25" s="69"/>
      <c r="L25" s="68" t="e">
        <f t="shared" si="4"/>
        <v>#VALUE!</v>
      </c>
      <c r="M25" s="12"/>
      <c r="N25" s="46"/>
      <c r="O25" s="46"/>
    </row>
    <row r="26" spans="1:16" ht="12" customHeight="1" x14ac:dyDescent="0.2">
      <c r="A26" s="18" t="s">
        <v>63</v>
      </c>
      <c r="B26" s="68" t="e">
        <f>SUMIF([13]Statements!$A$5:$A$1305,$A$3,[13]Statements!$CP$5:$CP$1305)-353081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-34771900</v>
      </c>
      <c r="F28" s="72">
        <f t="shared" si="5"/>
        <v>64925575.189999998</v>
      </c>
      <c r="G28" s="72">
        <f t="shared" si="5"/>
        <v>0</v>
      </c>
      <c r="H28" s="72">
        <f t="shared" si="5"/>
        <v>64925575.189999998</v>
      </c>
      <c r="I28" s="72"/>
      <c r="J28" s="72">
        <f t="shared" si="5"/>
        <v>0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  <c r="P28" s="72" t="e">
        <f>SUM(P7:P27)</f>
        <v>#VALUE!</v>
      </c>
    </row>
    <row r="29" spans="1:16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0</v>
      </c>
      <c r="E36" s="83">
        <f>C36+D36</f>
        <v>0</v>
      </c>
      <c r="F36" s="84">
        <f>+B36-E36</f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A38" s="45" t="s">
        <v>48</v>
      </c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 t="s">
        <v>67</v>
      </c>
      <c r="B42" s="87">
        <v>842</v>
      </c>
      <c r="C42" s="65"/>
      <c r="D42" s="65"/>
      <c r="E42" s="65"/>
    </row>
    <row r="43" spans="1:14" x14ac:dyDescent="0.2">
      <c r="B43" s="87">
        <v>460</v>
      </c>
      <c r="C43" s="65"/>
      <c r="D43" s="65"/>
      <c r="E43" s="65"/>
    </row>
    <row r="44" spans="1:14" x14ac:dyDescent="0.2">
      <c r="A44" s="29" t="s">
        <v>39</v>
      </c>
      <c r="B44" s="87">
        <v>364</v>
      </c>
      <c r="C44" s="65"/>
      <c r="D44" s="65"/>
      <c r="E44" s="65"/>
    </row>
    <row r="45" spans="1:14" x14ac:dyDescent="0.2">
      <c r="A45" s="29"/>
      <c r="B45" s="87"/>
      <c r="C45" s="65"/>
      <c r="D45" s="65"/>
      <c r="E45" s="65"/>
    </row>
    <row r="46" spans="1:14" x14ac:dyDescent="0.2">
      <c r="A46" s="29" t="s">
        <v>43</v>
      </c>
      <c r="B46" s="87">
        <v>842</v>
      </c>
      <c r="C46" s="65"/>
      <c r="D46" s="65"/>
      <c r="E46" s="65"/>
    </row>
    <row r="47" spans="1:14" x14ac:dyDescent="0.2">
      <c r="A47" s="29"/>
      <c r="B47" s="87">
        <v>460</v>
      </c>
      <c r="C47" s="65"/>
      <c r="D47" s="65"/>
      <c r="E47" s="65"/>
    </row>
    <row r="48" spans="1:14" x14ac:dyDescent="0.2">
      <c r="A48" s="29"/>
      <c r="B48" s="87">
        <v>364</v>
      </c>
      <c r="C48" s="65"/>
      <c r="D48" s="65"/>
      <c r="E48" s="65"/>
    </row>
    <row r="49" spans="1:5" x14ac:dyDescent="0.2">
      <c r="A49" s="29"/>
      <c r="B49" s="87"/>
      <c r="C49" s="65"/>
      <c r="D49" s="65"/>
      <c r="E49" s="65"/>
    </row>
    <row r="50" spans="1:5" x14ac:dyDescent="0.2">
      <c r="A50" s="29" t="s">
        <v>42</v>
      </c>
      <c r="B50" s="87">
        <v>842</v>
      </c>
      <c r="C50" s="65"/>
      <c r="D50" s="65"/>
      <c r="E50" s="65"/>
    </row>
    <row r="51" spans="1:5" x14ac:dyDescent="0.2">
      <c r="A51" s="29"/>
      <c r="B51" s="87">
        <v>460</v>
      </c>
      <c r="C51" s="65"/>
      <c r="D51" s="65"/>
      <c r="E51" s="65"/>
    </row>
    <row r="52" spans="1:5" x14ac:dyDescent="0.2">
      <c r="A52" s="29"/>
      <c r="B52" s="87">
        <v>364</v>
      </c>
      <c r="C52" s="65"/>
      <c r="D52" s="65"/>
      <c r="E52" s="65"/>
    </row>
    <row r="53" spans="1:5" x14ac:dyDescent="0.2">
      <c r="B53" s="88"/>
    </row>
    <row r="54" spans="1:5" x14ac:dyDescent="0.2">
      <c r="A54" t="s">
        <v>68</v>
      </c>
      <c r="B54" s="87">
        <v>842</v>
      </c>
      <c r="C54" s="53">
        <f>C42+C46+C50</f>
        <v>0</v>
      </c>
    </row>
    <row r="55" spans="1:5" x14ac:dyDescent="0.2">
      <c r="B55" s="87">
        <v>460</v>
      </c>
      <c r="C55" s="53">
        <f>C43+C47+C51</f>
        <v>0</v>
      </c>
    </row>
    <row r="56" spans="1:5" x14ac:dyDescent="0.2">
      <c r="B56" s="87">
        <v>364</v>
      </c>
      <c r="C56" s="53">
        <f>C44+C48+C52</f>
        <v>0</v>
      </c>
    </row>
    <row r="57" spans="1:5" x14ac:dyDescent="0.2">
      <c r="B57" s="88"/>
      <c r="C57" s="53">
        <f>SUM(C54:C56)</f>
        <v>0</v>
      </c>
    </row>
    <row r="58" spans="1:5" x14ac:dyDescent="0.2">
      <c r="B58" s="88"/>
    </row>
    <row r="59" spans="1:5" x14ac:dyDescent="0.2">
      <c r="B59" s="88"/>
    </row>
    <row r="60" spans="1:5" x14ac:dyDescent="0.2">
      <c r="B60" s="88"/>
    </row>
    <row r="61" spans="1:5" x14ac:dyDescent="0.2">
      <c r="B61" s="88"/>
    </row>
    <row r="62" spans="1:5" x14ac:dyDescent="0.2">
      <c r="B62" s="88"/>
    </row>
  </sheetData>
  <mergeCells count="1">
    <mergeCell ref="C34:D34"/>
  </mergeCells>
  <phoneticPr fontId="0" type="noConversion"/>
  <pageMargins left="0.75" right="0.75" top="1" bottom="1" header="0.5" footer="0.5"/>
  <pageSetup scale="50" orientation="landscape" r:id="rId1"/>
  <headerFooter alignWithMargins="0">
    <oddFooter>&amp;L&amp;08O:\Erms\erms_adm\Nymex\2001\Nov\&amp;F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70" workbookViewId="0">
      <selection activeCell="L35" sqref="L3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3771108.2279982865</v>
      </c>
      <c r="C12" s="68"/>
      <c r="D12" s="68">
        <v>3771108.2279982865</v>
      </c>
      <c r="E12" s="68">
        <v>0</v>
      </c>
      <c r="F12" s="68">
        <v>2162700.19</v>
      </c>
      <c r="G12" s="68"/>
      <c r="H12" s="68">
        <v>2162700.19</v>
      </c>
      <c r="I12" s="68"/>
      <c r="J12" s="68"/>
      <c r="K12" s="68"/>
      <c r="L12" s="68">
        <v>1608408.0379982865</v>
      </c>
      <c r="M12" s="12"/>
      <c r="N12" s="46"/>
      <c r="O12" s="46"/>
      <c r="P12" s="68">
        <v>-1851380</v>
      </c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42416298.995999783</v>
      </c>
      <c r="C14" s="68"/>
      <c r="D14" s="68">
        <v>42416298.995999783</v>
      </c>
      <c r="E14" s="68">
        <v>-34771900</v>
      </c>
      <c r="F14" s="68">
        <v>9928738</v>
      </c>
      <c r="G14" s="69"/>
      <c r="H14" s="68">
        <v>9928738</v>
      </c>
      <c r="I14" s="69"/>
      <c r="J14" s="69"/>
      <c r="K14" s="69"/>
      <c r="L14" s="68">
        <v>-2284339.0040002167</v>
      </c>
      <c r="M14" s="12"/>
      <c r="N14" s="46"/>
      <c r="O14" s="46"/>
      <c r="P14" s="68">
        <v>-2329686</v>
      </c>
    </row>
    <row r="15" spans="1:17" x14ac:dyDescent="0.2">
      <c r="A15" t="s">
        <v>65</v>
      </c>
      <c r="B15" s="70">
        <v>2257971.65</v>
      </c>
      <c r="C15" s="70"/>
      <c r="D15" s="68">
        <v>2257971.65</v>
      </c>
      <c r="E15" s="70">
        <v>0</v>
      </c>
      <c r="F15" s="70">
        <v>0</v>
      </c>
      <c r="G15" s="54"/>
      <c r="H15" s="54">
        <v>0</v>
      </c>
      <c r="I15" s="54">
        <v>1</v>
      </c>
      <c r="J15" s="69">
        <v>0</v>
      </c>
      <c r="K15" s="54"/>
      <c r="L15" s="68">
        <v>2257971.65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6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6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6" x14ac:dyDescent="0.2">
      <c r="A20" s="18" t="s">
        <v>13</v>
      </c>
      <c r="B20" s="68">
        <v>108667333.58000003</v>
      </c>
      <c r="C20" s="69"/>
      <c r="D20" s="68">
        <v>108667333.58000003</v>
      </c>
      <c r="E20" s="69">
        <v>0</v>
      </c>
      <c r="F20" s="69">
        <v>52834137</v>
      </c>
      <c r="G20" s="69"/>
      <c r="H20" s="68">
        <v>52834137</v>
      </c>
      <c r="I20" s="69"/>
      <c r="J20" s="69"/>
      <c r="K20" s="69"/>
      <c r="L20" s="68">
        <v>55833196.580000028</v>
      </c>
      <c r="M20" s="12"/>
      <c r="N20" s="46"/>
      <c r="O20" s="46"/>
      <c r="P20" s="68">
        <v>-7317910</v>
      </c>
    </row>
    <row r="21" spans="1:16" x14ac:dyDescent="0.2">
      <c r="A21" t="s">
        <v>14</v>
      </c>
      <c r="B21" s="68">
        <v>-5.4885787905659527</v>
      </c>
      <c r="C21" s="68"/>
      <c r="D21" s="68">
        <v>-5.4885787905659527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-5.4885787905659527</v>
      </c>
      <c r="M21" s="12"/>
      <c r="N21" s="46"/>
      <c r="O21" s="46"/>
    </row>
    <row r="22" spans="1:16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6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6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6" ht="12" customHeight="1" x14ac:dyDescent="0.2">
      <c r="A25" s="18" t="s">
        <v>62</v>
      </c>
      <c r="B25" s="68">
        <v>53592.459999991581</v>
      </c>
      <c r="C25" s="68"/>
      <c r="D25" s="68">
        <v>53592.459999991581</v>
      </c>
      <c r="E25" s="69">
        <v>0</v>
      </c>
      <c r="F25" s="69">
        <v>0</v>
      </c>
      <c r="G25" s="69">
        <v>0</v>
      </c>
      <c r="H25" s="69">
        <v>0</v>
      </c>
      <c r="I25" s="69"/>
      <c r="J25" s="69">
        <v>0</v>
      </c>
      <c r="K25" s="69"/>
      <c r="L25" s="68">
        <v>53592.459999991581</v>
      </c>
      <c r="M25" s="12"/>
      <c r="N25" s="46"/>
      <c r="O25" s="46"/>
    </row>
    <row r="26" spans="1:16" ht="12" customHeight="1" x14ac:dyDescent="0.2">
      <c r="A26" s="18" t="s">
        <v>63</v>
      </c>
      <c r="B26" s="68">
        <v>0.49000000022351742</v>
      </c>
      <c r="C26" s="68"/>
      <c r="D26" s="68">
        <v>0.49000000022351742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0.49000000022351742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>
        <v>158168049.30801037</v>
      </c>
      <c r="C28" s="72">
        <v>0</v>
      </c>
      <c r="D28" s="72">
        <v>158168049.30801037</v>
      </c>
      <c r="E28" s="72">
        <v>-34771900</v>
      </c>
      <c r="F28" s="72">
        <v>64925575.189999998</v>
      </c>
      <c r="G28" s="72">
        <v>0</v>
      </c>
      <c r="H28" s="72">
        <v>64925575.189999998</v>
      </c>
      <c r="I28" s="72"/>
      <c r="J28" s="72">
        <v>0</v>
      </c>
      <c r="K28" s="72"/>
      <c r="L28" s="93">
        <v>58470574.118010364</v>
      </c>
      <c r="M28" s="40"/>
      <c r="N28" s="39">
        <v>64204.5</v>
      </c>
      <c r="O28" s="39">
        <v>0</v>
      </c>
      <c r="P28" s="72">
        <f>SUM(P8:P27)</f>
        <v>-11498976</v>
      </c>
    </row>
    <row r="29" spans="1:16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58470574.118010372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0</v>
      </c>
      <c r="E36" s="83">
        <v>0</v>
      </c>
      <c r="F36" s="84"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A38" s="45" t="s">
        <v>48</v>
      </c>
      <c r="B38" s="65"/>
      <c r="C38" s="65"/>
      <c r="D38" s="65"/>
      <c r="E38" s="65"/>
    </row>
    <row r="39" spans="1:14" x14ac:dyDescent="0.2">
      <c r="A39" s="29" t="s">
        <v>39</v>
      </c>
      <c r="B39" s="65"/>
      <c r="C39" s="65"/>
      <c r="D39" s="65"/>
      <c r="E39" s="65"/>
    </row>
    <row r="40" spans="1:14" hidden="1" x14ac:dyDescent="0.2">
      <c r="A40" s="29" t="s">
        <v>67</v>
      </c>
      <c r="B40" s="87">
        <v>842</v>
      </c>
      <c r="C40" s="65">
        <v>2162700</v>
      </c>
      <c r="D40" s="65" t="s">
        <v>72</v>
      </c>
      <c r="E40" s="65"/>
    </row>
    <row r="41" spans="1:14" hidden="1" x14ac:dyDescent="0.2">
      <c r="B41" s="87">
        <v>460</v>
      </c>
      <c r="C41" s="65">
        <v>0</v>
      </c>
      <c r="D41" s="65"/>
      <c r="E41" s="65"/>
    </row>
    <row r="42" spans="1:14" hidden="1" x14ac:dyDescent="0.2">
      <c r="A42" s="29" t="s">
        <v>39</v>
      </c>
      <c r="B42" s="87">
        <v>364</v>
      </c>
      <c r="C42" s="65">
        <v>0</v>
      </c>
      <c r="D42" s="65"/>
      <c r="E42" s="65"/>
    </row>
    <row r="43" spans="1:14" hidden="1" x14ac:dyDescent="0.2">
      <c r="A43" s="29"/>
      <c r="B43" s="87"/>
      <c r="C43" s="65"/>
      <c r="D43" s="65"/>
      <c r="E43" s="65"/>
    </row>
    <row r="44" spans="1:14" hidden="1" x14ac:dyDescent="0.2">
      <c r="A44" s="29" t="s">
        <v>43</v>
      </c>
      <c r="B44" s="87">
        <v>842</v>
      </c>
      <c r="C44" s="65"/>
      <c r="D44" s="65"/>
      <c r="E44" s="65"/>
    </row>
    <row r="45" spans="1:14" hidden="1" x14ac:dyDescent="0.2">
      <c r="A45" s="29"/>
      <c r="B45" s="87">
        <v>460</v>
      </c>
      <c r="C45" s="65">
        <f>135000</f>
        <v>135000</v>
      </c>
      <c r="D45" s="65"/>
      <c r="E45" s="65"/>
    </row>
    <row r="46" spans="1:14" hidden="1" x14ac:dyDescent="0.2">
      <c r="A46" s="29"/>
      <c r="B46" s="87">
        <v>364</v>
      </c>
      <c r="C46" s="89">
        <f>9783736+10002</f>
        <v>9793738</v>
      </c>
      <c r="D46" s="65"/>
      <c r="E46" s="65"/>
    </row>
    <row r="47" spans="1:14" hidden="1" x14ac:dyDescent="0.2">
      <c r="A47" s="29"/>
      <c r="B47" s="87"/>
      <c r="C47" s="65"/>
      <c r="D47" s="65"/>
      <c r="E47" s="65"/>
    </row>
    <row r="48" spans="1:14" hidden="1" x14ac:dyDescent="0.2">
      <c r="A48" s="29" t="s">
        <v>42</v>
      </c>
      <c r="B48" s="87">
        <v>842</v>
      </c>
      <c r="C48" s="65"/>
    </row>
    <row r="49" spans="1:5" hidden="1" x14ac:dyDescent="0.2">
      <c r="A49" s="29"/>
      <c r="B49" s="87">
        <v>460</v>
      </c>
      <c r="C49" s="89">
        <v>273900</v>
      </c>
    </row>
    <row r="50" spans="1:5" hidden="1" x14ac:dyDescent="0.2">
      <c r="A50" s="29"/>
      <c r="B50" s="87">
        <v>364</v>
      </c>
      <c r="C50" s="65">
        <f>52560237</f>
        <v>52560237</v>
      </c>
    </row>
    <row r="51" spans="1:5" hidden="1" x14ac:dyDescent="0.2">
      <c r="A51" s="29"/>
      <c r="B51" s="87"/>
      <c r="C51" s="65"/>
    </row>
    <row r="52" spans="1:5" hidden="1" x14ac:dyDescent="0.2">
      <c r="A52" s="29"/>
      <c r="B52" s="87"/>
      <c r="C52" s="65"/>
    </row>
    <row r="53" spans="1:5" hidden="1" x14ac:dyDescent="0.2">
      <c r="B53" s="88"/>
      <c r="C53" s="90" t="s">
        <v>69</v>
      </c>
      <c r="D53" s="90" t="s">
        <v>70</v>
      </c>
      <c r="E53" s="91" t="s">
        <v>71</v>
      </c>
    </row>
    <row r="54" spans="1:5" hidden="1" x14ac:dyDescent="0.2">
      <c r="A54" t="s">
        <v>68</v>
      </c>
      <c r="B54" s="92">
        <v>842</v>
      </c>
      <c r="C54" s="53">
        <f>C40+C44+C48</f>
        <v>2162700</v>
      </c>
      <c r="D54" s="53">
        <f>E54-C54</f>
        <v>12420122</v>
      </c>
      <c r="E54" s="53">
        <v>14582822</v>
      </c>
    </row>
    <row r="55" spans="1:5" hidden="1" x14ac:dyDescent="0.2">
      <c r="B55" s="92">
        <v>460</v>
      </c>
      <c r="C55" s="53">
        <f>C41+C45+C49</f>
        <v>408900</v>
      </c>
      <c r="D55" s="53">
        <f>E55-C55</f>
        <v>17817375</v>
      </c>
      <c r="E55" s="53">
        <v>18226275</v>
      </c>
    </row>
    <row r="56" spans="1:5" hidden="1" x14ac:dyDescent="0.2">
      <c r="B56" s="92">
        <v>364</v>
      </c>
      <c r="C56" s="55">
        <f>C42+C46+C50</f>
        <v>62353975</v>
      </c>
      <c r="D56" s="55">
        <f>E56-C56</f>
        <v>78894535</v>
      </c>
      <c r="E56" s="55">
        <v>141248510</v>
      </c>
    </row>
    <row r="57" spans="1:5" hidden="1" x14ac:dyDescent="0.2">
      <c r="B57" s="88"/>
      <c r="C57" s="53">
        <f>SUM(C54:C56)</f>
        <v>64925575</v>
      </c>
      <c r="D57" s="53">
        <f>SUM(D54:D56)</f>
        <v>109132032</v>
      </c>
      <c r="E57" s="53">
        <f>SUM(E54:E56)</f>
        <v>174057607</v>
      </c>
    </row>
    <row r="58" spans="1:5" hidden="1" x14ac:dyDescent="0.2"/>
    <row r="59" spans="1:5" hidden="1" x14ac:dyDescent="0.2"/>
    <row r="60" spans="1:5" hidden="1" x14ac:dyDescent="0.2"/>
    <row r="61" spans="1:5" hidden="1" x14ac:dyDescent="0.2"/>
  </sheetData>
  <mergeCells count="1">
    <mergeCell ref="C34:D34"/>
  </mergeCells>
  <phoneticPr fontId="0" type="noConversion"/>
  <printOptions headings="1" gridLines="1"/>
  <pageMargins left="0.75" right="0.75" top="1" bottom="1" header="0.5" footer="0.5"/>
  <pageSetup scale="49" orientation="landscape" r:id="rId1"/>
  <headerFooter alignWithMargins="0">
    <oddFooter>&amp;L&amp;08O:\erms\erms_adm\NYMEX\2001\Nov\&amp;F {&amp;A}&amp;R&amp;08Page &amp;P of &amp;N
&amp;D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1130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2002-01-09T18:55:11Z</cp:lastPrinted>
  <dcterms:created xsi:type="dcterms:W3CDTF">2000-04-03T19:03:47Z</dcterms:created>
  <dcterms:modified xsi:type="dcterms:W3CDTF">2023-09-15T20:21:30Z</dcterms:modified>
</cp:coreProperties>
</file>