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F85FA8-5E02-4FF0-9103-1CCE6E654572}" xr6:coauthVersionLast="47" xr6:coauthVersionMax="47" xr10:uidLastSave="{00000000-0000-0000-0000-000000000000}"/>
  <bookViews>
    <workbookView xWindow="-120" yWindow="-120" windowWidth="38640" windowHeight="15720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14" r:id="rId7"/>
    <sheet name="Core &amp; Non-core" sheetId="7" r:id="rId8"/>
    <sheet name="PGE - Core Analysis" sheetId="13" r:id="rId9"/>
    <sheet name="Curves" sheetId="8" r:id="rId10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Table'!$A$2:$M$34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3" i="7"/>
  <c r="D23" i="7"/>
  <c r="B24" i="7"/>
  <c r="D24" i="7"/>
  <c r="B25" i="7"/>
  <c r="D25" i="7"/>
  <c r="B26" i="7"/>
  <c r="D26" i="7"/>
  <c r="B28" i="7"/>
  <c r="C28" i="7"/>
  <c r="D28" i="7"/>
  <c r="B30" i="7"/>
  <c r="C30" i="7"/>
  <c r="D30" i="7"/>
  <c r="B32" i="7"/>
  <c r="C32" i="7"/>
  <c r="D32" i="7"/>
  <c r="D35" i="7"/>
  <c r="B39" i="7"/>
  <c r="C39" i="7"/>
  <c r="D39" i="7"/>
  <c r="F39" i="7"/>
  <c r="G39" i="7"/>
  <c r="H39" i="7"/>
  <c r="B40" i="7"/>
  <c r="C40" i="7"/>
  <c r="D40" i="7"/>
  <c r="F40" i="7"/>
  <c r="G40" i="7"/>
  <c r="H40" i="7"/>
  <c r="B41" i="7"/>
  <c r="C41" i="7"/>
  <c r="D41" i="7"/>
  <c r="F41" i="7"/>
  <c r="G41" i="7"/>
  <c r="H41" i="7"/>
  <c r="B42" i="7"/>
  <c r="C42" i="7"/>
  <c r="D42" i="7"/>
  <c r="F42" i="7"/>
  <c r="G42" i="7"/>
  <c r="H42" i="7"/>
  <c r="B43" i="7"/>
  <c r="C43" i="7"/>
  <c r="D43" i="7"/>
  <c r="F43" i="7"/>
  <c r="G43" i="7"/>
  <c r="H43" i="7"/>
  <c r="B45" i="7"/>
  <c r="C45" i="7"/>
  <c r="D45" i="7"/>
  <c r="F45" i="7"/>
  <c r="G45" i="7"/>
  <c r="H45" i="7"/>
  <c r="B47" i="7"/>
  <c r="C47" i="7"/>
  <c r="D47" i="7"/>
  <c r="F47" i="7"/>
  <c r="G47" i="7"/>
  <c r="H47" i="7"/>
  <c r="B49" i="7"/>
  <c r="C49" i="7"/>
  <c r="D49" i="7"/>
  <c r="F49" i="7"/>
  <c r="G49" i="7"/>
  <c r="H49" i="7"/>
  <c r="B51" i="7"/>
  <c r="C51" i="7"/>
  <c r="D51" i="7"/>
  <c r="B53" i="7"/>
  <c r="C53" i="7"/>
  <c r="D53" i="7"/>
  <c r="B55" i="7"/>
  <c r="C55" i="7"/>
  <c r="D55" i="7"/>
  <c r="B59" i="7"/>
  <c r="C59" i="7"/>
  <c r="D59" i="7"/>
  <c r="F59" i="7"/>
  <c r="G59" i="7"/>
  <c r="H59" i="7"/>
  <c r="B60" i="7"/>
  <c r="C60" i="7"/>
  <c r="D60" i="7"/>
  <c r="F60" i="7"/>
  <c r="G60" i="7"/>
  <c r="H60" i="7"/>
  <c r="B61" i="7"/>
  <c r="C61" i="7"/>
  <c r="D61" i="7"/>
  <c r="F61" i="7"/>
  <c r="G61" i="7"/>
  <c r="H61" i="7"/>
  <c r="B63" i="7"/>
  <c r="C63" i="7"/>
  <c r="D63" i="7"/>
  <c r="F63" i="7"/>
  <c r="G63" i="7"/>
  <c r="H63" i="7"/>
  <c r="B65" i="7"/>
  <c r="C65" i="7"/>
  <c r="D65" i="7"/>
  <c r="F65" i="7"/>
  <c r="G65" i="7"/>
  <c r="H65" i="7"/>
  <c r="B67" i="7"/>
  <c r="C67" i="7"/>
  <c r="D67" i="7"/>
  <c r="F67" i="7"/>
  <c r="G67" i="7"/>
  <c r="H67" i="7"/>
  <c r="B69" i="7"/>
  <c r="C69" i="7"/>
  <c r="D69" i="7"/>
  <c r="B71" i="7"/>
  <c r="C71" i="7"/>
  <c r="D71" i="7"/>
  <c r="B73" i="7"/>
  <c r="C73" i="7"/>
  <c r="D73" i="7"/>
  <c r="B79" i="7"/>
  <c r="C79" i="7"/>
  <c r="B80" i="7"/>
  <c r="C80" i="7"/>
  <c r="D80" i="7"/>
  <c r="B81" i="7"/>
  <c r="C81" i="7"/>
  <c r="D81" i="7"/>
  <c r="B82" i="7"/>
  <c r="C82" i="7"/>
  <c r="D82" i="7"/>
  <c r="B85" i="7"/>
  <c r="C85" i="7"/>
  <c r="D85" i="7"/>
  <c r="B86" i="7"/>
  <c r="C86" i="7"/>
  <c r="D86" i="7"/>
  <c r="B92" i="7"/>
  <c r="C92" i="7"/>
  <c r="D92" i="7"/>
  <c r="B94" i="7"/>
  <c r="C94" i="7"/>
  <c r="D94" i="7"/>
  <c r="B96" i="7"/>
  <c r="C96" i="7"/>
  <c r="D96" i="7"/>
  <c r="X2" i="8"/>
  <c r="V5" i="8"/>
  <c r="D6" i="8"/>
  <c r="AN6" i="8"/>
  <c r="AO6" i="8"/>
  <c r="AQ6" i="8"/>
  <c r="AU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AQ8" i="8"/>
  <c r="AT8" i="8"/>
  <c r="AU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AQ9" i="8"/>
  <c r="AS9" i="8"/>
  <c r="AT9" i="8"/>
  <c r="AU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AQ10" i="8"/>
  <c r="AS10" i="8"/>
  <c r="AT10" i="8"/>
  <c r="AU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AQ11" i="8"/>
  <c r="AS11" i="8"/>
  <c r="AT11" i="8"/>
  <c r="AU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AQ12" i="8"/>
  <c r="AS12" i="8"/>
  <c r="AT12" i="8"/>
  <c r="AU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AQ13" i="8"/>
  <c r="AS13" i="8"/>
  <c r="AT13" i="8"/>
  <c r="AU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AQ14" i="8"/>
  <c r="AS14" i="8"/>
  <c r="AT14" i="8"/>
  <c r="AU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AQ15" i="8"/>
  <c r="AS15" i="8"/>
  <c r="AT15" i="8"/>
  <c r="AU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AQ16" i="8"/>
  <c r="AS16" i="8"/>
  <c r="AT16" i="8"/>
  <c r="AU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AQ17" i="8"/>
  <c r="AS17" i="8"/>
  <c r="AT17" i="8"/>
  <c r="AU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AQ18" i="8"/>
  <c r="AS18" i="8"/>
  <c r="AT18" i="8"/>
  <c r="AU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AQ19" i="8"/>
  <c r="AS19" i="8"/>
  <c r="AT19" i="8"/>
  <c r="AU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AQ20" i="8"/>
  <c r="AS20" i="8"/>
  <c r="AT20" i="8"/>
  <c r="AU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AQ21" i="8"/>
  <c r="AS21" i="8"/>
  <c r="AT21" i="8"/>
  <c r="AU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AQ22" i="8"/>
  <c r="AS22" i="8"/>
  <c r="AT22" i="8"/>
  <c r="AU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AQ23" i="8"/>
  <c r="AS23" i="8"/>
  <c r="AT23" i="8"/>
  <c r="AU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AQ24" i="8"/>
  <c r="AS24" i="8"/>
  <c r="AT24" i="8"/>
  <c r="AU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AQ25" i="8"/>
  <c r="AS25" i="8"/>
  <c r="AT25" i="8"/>
  <c r="AU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AQ26" i="8"/>
  <c r="AS26" i="8"/>
  <c r="AT26" i="8"/>
  <c r="AU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AQ27" i="8"/>
  <c r="AS27" i="8"/>
  <c r="AT27" i="8"/>
  <c r="AU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AQ28" i="8"/>
  <c r="AS28" i="8"/>
  <c r="AT28" i="8"/>
  <c r="AU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AQ29" i="8"/>
  <c r="AS29" i="8"/>
  <c r="AT29" i="8"/>
  <c r="AU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AQ30" i="8"/>
  <c r="AS30" i="8"/>
  <c r="AT30" i="8"/>
  <c r="AU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AQ31" i="8"/>
  <c r="AS31" i="8"/>
  <c r="AT31" i="8"/>
  <c r="AU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AQ32" i="8"/>
  <c r="AS32" i="8"/>
  <c r="AT32" i="8"/>
  <c r="AU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AQ33" i="8"/>
  <c r="AS33" i="8"/>
  <c r="AT33" i="8"/>
  <c r="AU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AQ34" i="8"/>
  <c r="AS34" i="8"/>
  <c r="AT34" i="8"/>
  <c r="AU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AQ35" i="8"/>
  <c r="AS35" i="8"/>
  <c r="AT35" i="8"/>
  <c r="AU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AQ36" i="8"/>
  <c r="AS36" i="8"/>
  <c r="AT36" i="8"/>
  <c r="AU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AQ37" i="8"/>
  <c r="AS37" i="8"/>
  <c r="AT37" i="8"/>
  <c r="AU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AQ38" i="8"/>
  <c r="AS38" i="8"/>
  <c r="AT38" i="8"/>
  <c r="AU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AQ39" i="8"/>
  <c r="AS39" i="8"/>
  <c r="AT39" i="8"/>
  <c r="AU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AQ40" i="8"/>
  <c r="AS40" i="8"/>
  <c r="AT40" i="8"/>
  <c r="AU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AQ41" i="8"/>
  <c r="AS41" i="8"/>
  <c r="AT41" i="8"/>
  <c r="AU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AQ42" i="8"/>
  <c r="AS42" i="8"/>
  <c r="AT42" i="8"/>
  <c r="AU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AQ43" i="8"/>
  <c r="AS43" i="8"/>
  <c r="AT43" i="8"/>
  <c r="AU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AQ44" i="8"/>
  <c r="AS44" i="8"/>
  <c r="AT44" i="8"/>
  <c r="AU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AQ45" i="8"/>
  <c r="AS45" i="8"/>
  <c r="AT45" i="8"/>
  <c r="AU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14"/>
  <c r="D19" i="14"/>
  <c r="F19" i="14"/>
  <c r="G19" i="14"/>
  <c r="I19" i="14"/>
  <c r="J19" i="14"/>
  <c r="L19" i="14"/>
  <c r="M19" i="14"/>
  <c r="C34" i="14"/>
  <c r="D34" i="14"/>
  <c r="F34" i="14"/>
  <c r="G34" i="14"/>
  <c r="I34" i="14"/>
  <c r="J34" i="14"/>
  <c r="L34" i="14"/>
  <c r="M34" i="14"/>
</calcChain>
</file>

<file path=xl/sharedStrings.xml><?xml version="1.0" encoding="utf-8"?>
<sst xmlns="http://schemas.openxmlformats.org/spreadsheetml/2006/main" count="994" uniqueCount="307">
  <si>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</si>
  <si>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</si>
  <si>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</si>
  <si>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</si>
  <si>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</si>
  <si>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</si>
  <si>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</si>
  <si>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</si>
  <si>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</si>
  <si>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</si>
  <si>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</si>
  <si>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</si>
  <si>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</si>
  <si>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</si>
  <si>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</si>
  <si>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</si>
  <si>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</si>
  <si>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</si>
  <si>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</si>
  <si>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</si>
  <si>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</si>
  <si>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</si>
  <si>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</si>
  <si>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</si>
  <si>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</si>
  <si>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</si>
  <si>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</si>
  <si>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</si>
  <si>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</si>
  <si>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</si>
  <si>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</si>
  <si>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</si>
  <si>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</si>
  <si>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</si>
  <si>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</si>
  <si>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</si>
  <si>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</si>
  <si>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</si>
  <si>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</si>
  <si>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</si>
  <si>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</si>
  <si>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</si>
  <si>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</si>
  <si>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</si>
  <si>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</si>
  <si>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</si>
  <si>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</si>
  <si>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</si>
  <si>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</si>
  <si>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</si>
  <si>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</si>
  <si>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</si>
  <si>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</si>
  <si>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</si>
  <si>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</si>
  <si>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</si>
  <si>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</si>
  <si>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</si>
  <si>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</si>
  <si>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</si>
  <si>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</si>
  <si>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</si>
  <si>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</si>
  <si>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</si>
  <si>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</si>
  <si>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</si>
  <si>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</si>
  <si>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</si>
  <si>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</si>
  <si>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</si>
  <si>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</si>
  <si>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</si>
  <si>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</si>
  <si>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</si>
  <si>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</si>
  <si>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</si>
  <si>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</si>
  <si>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</si>
  <si>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</si>
  <si>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</si>
  <si>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</si>
  <si>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</si>
  <si>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</si>
  <si>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</si>
  <si>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</si>
  <si>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</si>
  <si>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</si>
  <si>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</si>
  <si>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</si>
  <si>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</si>
  <si>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</si>
  <si>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</si>
  <si>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</si>
  <si>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</si>
  <si>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</si>
  <si>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</si>
  <si>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</si>
  <si>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</si>
  <si>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</si>
  <si>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</si>
  <si>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</si>
  <si>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</si>
  <si>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</si>
  <si>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</si>
  <si>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</si>
  <si>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</si>
  <si>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</si>
  <si>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</si>
  <si>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</si>
  <si>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</si>
  <si>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</si>
  <si>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</si>
  <si>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</si>
  <si>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</si>
  <si>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</si>
  <si>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</si>
  <si>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</si>
  <si>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</si>
  <si>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</si>
  <si>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</si>
  <si>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</si>
  <si>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</si>
  <si>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</si>
  <si>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</si>
  <si>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</si>
  <si>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</si>
  <si>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</si>
  <si>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</si>
  <si>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</si>
  <si>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</si>
  <si>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</si>
  <si>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</si>
  <si>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</si>
  <si>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</si>
  <si>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</si>
  <si>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</si>
  <si>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</si>
  <si>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</si>
  <si>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</si>
  <si>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</si>
  <si>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</si>
  <si>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</si>
  <si>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</si>
  <si>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</si>
  <si>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</si>
  <si>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</si>
  <si>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</si>
  <si>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</si>
  <si>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</si>
  <si>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</si>
  <si>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</si>
  <si>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</si>
  <si>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</si>
  <si>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</si>
  <si>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</si>
  <si>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</si>
  <si>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</si>
  <si>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</si>
  <si>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</si>
  <si>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</si>
  <si>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</si>
  <si>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</si>
  <si>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</si>
  <si>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</si>
  <si>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</si>
  <si>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</si>
  <si>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</si>
  <si>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</si>
  <si>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</si>
  <si>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</si>
  <si>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</si>
  <si>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</si>
  <si>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</si>
  <si>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</si>
  <si>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</si>
  <si>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</si>
  <si>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</si>
  <si>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</si>
  <si>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</si>
  <si>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</si>
  <si>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</si>
  <si>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</si>
  <si>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</si>
  <si>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</si>
  <si>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</si>
  <si>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</si>
  <si>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</si>
  <si>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</si>
  <si>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</si>
  <si>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</si>
  <si>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</si>
  <si>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</si>
  <si>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</si>
  <si>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</si>
  <si>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</si>
  <si>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</si>
  <si>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</si>
  <si>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</si>
  <si>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</si>
  <si>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</si>
  <si>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</si>
  <si>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</si>
  <si>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</si>
  <si>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</si>
  <si>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</si>
  <si>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</si>
  <si>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</si>
  <si>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</si>
  <si>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</si>
  <si>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</si>
  <si>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</si>
  <si>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</si>
  <si>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</si>
  <si>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</si>
  <si>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</si>
  <si>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</si>
  <si>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</si>
  <si>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</si>
  <si>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</si>
  <si>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</si>
  <si>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</si>
  <si>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</si>
  <si>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</si>
  <si>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</si>
  <si>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</si>
  <si>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</si>
  <si>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</si>
  <si>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</si>
  <si>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</si>
  <si>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</si>
  <si>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</si>
  <si>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</si>
  <si>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</si>
  <si>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</si>
  <si>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</si>
  <si>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</si>
  <si>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</si>
  <si>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</si>
  <si>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</si>
  <si>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</si>
  <si>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</si>
  <si>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</si>
  <si>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</si>
  <si>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</si>
  <si>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</si>
  <si>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</si>
  <si>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</si>
  <si>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</si>
  <si>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</si>
  <si>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</si>
  <si>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</si>
  <si>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</si>
  <si>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</si>
  <si>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</si>
  <si>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</si>
  <si>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</si>
  <si>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</si>
  <si>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</si>
  <si>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</si>
  <si>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</si>
  <si>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</si>
  <si>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</si>
  <si>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</si>
  <si>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</si>
  <si>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</si>
  <si>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</si>
  <si>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</si>
  <si>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</si>
  <si>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</si>
  <si>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</si>
  <si>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</si>
  <si>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</si>
  <si>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</si>
  <si>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</si>
  <si>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</si>
  <si>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</si>
  <si>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</si>
  <si>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</si>
  <si>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</si>
  <si>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</si>
  <si>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</si>
  <si>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</si>
  <si>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</si>
  <si>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</si>
  <si>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</si>
  <si>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</si>
  <si>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</si>
  <si>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</si>
  <si>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</si>
  <si>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</si>
  <si>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</si>
  <si>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</si>
  <si>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</si>
  <si>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</si>
  <si>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1=Pro Rata</t>
  </si>
  <si>
    <t>0=Pro rata + 1/2 to nc</t>
  </si>
  <si>
    <t>Past Utility with 15 year amortization assumption</t>
  </si>
  <si>
    <t>Share of Past Utility with 20 year amortization</t>
  </si>
  <si>
    <t>Past Utility split (1=Pro rata,  0=Pro rata + 1/2 to nc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</si>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</sst>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122" zoomScale="80" workbookViewId="0">
      <selection activeCell="E141" sqref="E141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F1" workbookViewId="0">
      <selection activeCell="AS8" sqref="AS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306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304</v>
      </c>
      <c r="AT6" t="s">
        <v>305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/>
  </sheetViews>
  <sheetFormatPr defaultRowHeight="12.75"/>
  <cols>
    <col min="1" max="1" width="33" bestFit="1" customWidth="1"/>
    <col min="2" max="2" width="6.28515625" customWidth="1"/>
  </cols>
  <sheetData>
    <row r="2" spans="1:13">
      <c r="A2" s="58" t="s">
        <v>292</v>
      </c>
      <c r="D2" s="1">
        <v>1</v>
      </c>
      <c r="G2">
        <v>1</v>
      </c>
      <c r="J2">
        <v>0</v>
      </c>
      <c r="M2">
        <v>0</v>
      </c>
    </row>
    <row r="3" spans="1:13">
      <c r="A3" s="138" t="s">
        <v>298</v>
      </c>
      <c r="D3" s="1">
        <v>1</v>
      </c>
      <c r="G3">
        <v>0</v>
      </c>
      <c r="J3">
        <v>1</v>
      </c>
      <c r="M3">
        <v>0</v>
      </c>
    </row>
    <row r="4" spans="1:13">
      <c r="A4" s="58"/>
    </row>
    <row r="5" spans="1:13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</row>
    <row r="6" spans="1:13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</row>
    <row r="7" spans="1:13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</row>
    <row r="8" spans="1:13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</row>
    <row r="9" spans="1:13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</row>
    <row r="10" spans="1:13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</row>
    <row r="11" spans="1:13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</row>
    <row r="12" spans="1:13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</row>
    <row r="13" spans="1:13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</row>
    <row r="14" spans="1:13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</row>
    <row r="15" spans="1:13">
      <c r="A15" s="58" t="s">
        <v>303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</row>
    <row r="16" spans="1:13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</row>
    <row r="17" spans="1:13">
      <c r="A17" s="58" t="s">
        <v>299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</row>
    <row r="18" spans="1:13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</row>
    <row r="19" spans="1:13">
      <c r="A19" s="58" t="s">
        <v>301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</row>
    <row r="20" spans="1:13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</row>
    <row r="21" spans="1:13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</row>
    <row r="22" spans="1:13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</row>
    <row r="23" spans="1:13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</row>
    <row r="24" spans="1:13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</row>
    <row r="25" spans="1:13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</row>
    <row r="26" spans="1:13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</row>
    <row r="27" spans="1:13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</row>
    <row r="28" spans="1:13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</row>
    <row r="29" spans="1:13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</row>
    <row r="30" spans="1:13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</row>
    <row r="31" spans="1:13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</row>
    <row r="32" spans="1:13">
      <c r="A32" s="58" t="s">
        <v>300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</row>
    <row r="33" spans="1:13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</row>
    <row r="34" spans="1:13">
      <c r="A34" s="58" t="s">
        <v>302</v>
      </c>
      <c r="C34" s="103">
        <f>+'Core &amp; Non-core'!B73</f>
        <v>12.211011599080669</v>
      </c>
      <c r="D34" s="104">
        <f>+'Core &amp; Non-core'!C73</f>
        <v>12.211011599080669</v>
      </c>
      <c r="F34" s="136">
        <f>+C34</f>
        <v>12.211011599080669</v>
      </c>
      <c r="G34" s="137">
        <f>+D34</f>
        <v>12.211011599080669</v>
      </c>
      <c r="I34" s="136">
        <f>+F34</f>
        <v>12.211011599080669</v>
      </c>
      <c r="J34" s="137">
        <f>+G34</f>
        <v>12.211011599080669</v>
      </c>
      <c r="L34" s="136">
        <f>+I34</f>
        <v>12.211011599080669</v>
      </c>
      <c r="M34" s="137">
        <f>+J34</f>
        <v>12.211011599080669</v>
      </c>
    </row>
    <row r="35" spans="1:13">
      <c r="A35" s="58"/>
    </row>
    <row r="36" spans="1:13">
      <c r="A36" s="58"/>
    </row>
    <row r="37" spans="1:13">
      <c r="A37" s="58"/>
    </row>
    <row r="38" spans="1:13">
      <c r="A38" s="58"/>
    </row>
    <row r="39" spans="1:13">
      <c r="A39" s="58"/>
    </row>
    <row r="40" spans="1:13">
      <c r="A40" s="58"/>
    </row>
  </sheetData>
  <phoneticPr fontId="12" type="noConversion"/>
  <pageMargins left="0.75" right="0.75" top="1" bottom="1" header="0.5" footer="0.5"/>
  <pageSetup scale="86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8" workbookViewId="0">
      <selection activeCell="I50" sqref="I50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39">
        <v>2001</v>
      </c>
      <c r="C2" s="139"/>
      <c r="D2" s="139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23"/>
      <c r="H7" s="119" t="s">
        <v>218</v>
      </c>
      <c r="I7" s="122">
        <v>0</v>
      </c>
      <c r="J7" s="120" t="s">
        <v>294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295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1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296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297</v>
      </c>
      <c r="B43" s="60">
        <f>IF($I$7=1,+B$25*0.8724*(B$6/B$8),+B$25*0.8724*(B$6*0.5/B$8))</f>
        <v>157.59802117563407</v>
      </c>
      <c r="C43" s="60">
        <f>IF($I$7=1,+C$25*0.8724*(C$6/C$8),+C$25*0.8724*(C$6*0.5/C$8))</f>
        <v>91.226820100262586</v>
      </c>
      <c r="D43" s="61">
        <f>IF($I$7=1,+D$25*0.8724*(D$6/D$8),+D$25*0.8724*(D$6*0.5/D$8))</f>
        <v>25.776722937750652</v>
      </c>
      <c r="F43" s="128">
        <f>+B43/B$6*100</f>
        <v>0.30291573961372953</v>
      </c>
      <c r="G43" s="65">
        <f t="shared" si="0"/>
        <v>0.15619479589400809</v>
      </c>
      <c r="H43" s="66">
        <f t="shared" si="0"/>
        <v>0.15576941586748036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4013.0580736305678</v>
      </c>
      <c r="C45" s="60">
        <f>SUM(C39:C44)</f>
        <v>4570.1149570183816</v>
      </c>
      <c r="D45" s="61">
        <f>SUM(D39:D44)</f>
        <v>1504.1251736788142</v>
      </c>
      <c r="F45" s="128">
        <f>+B45/B$6*100</f>
        <v>7.7134119160792896</v>
      </c>
      <c r="G45" s="65">
        <f>+C45/C$6*100</f>
        <v>7.8247621931698248</v>
      </c>
      <c r="H45" s="66">
        <f>+D45/D$6*100</f>
        <v>9.0894680546217916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6555.8784945110674</v>
      </c>
      <c r="C49" s="60">
        <f>SUM(C45:C47)</f>
        <v>7636.4194570183818</v>
      </c>
      <c r="D49" s="61">
        <f>SUM(D45:D47)</f>
        <v>2559.7220936788144</v>
      </c>
      <c r="F49" s="129">
        <f>+B49/B$6*100</f>
        <v>12.600911916079289</v>
      </c>
      <c r="G49" s="130">
        <f>+C49/C$6*100</f>
        <v>13.074762193169825</v>
      </c>
      <c r="H49" s="131">
        <f>+D49/D$6*100</f>
        <v>15.468468054621793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12.600911916079289</v>
      </c>
      <c r="C53" s="65">
        <f>+C49/C51*100</f>
        <v>13.074762193169825</v>
      </c>
      <c r="D53" s="66">
        <f>+D49/D51*100</f>
        <v>15.468468054621793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0.47744091668655991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297</v>
      </c>
      <c r="B61" s="60">
        <f>IF($I$7=1,+B$25*0.8724*(B$7/B$8),+B$25*0.8724*((B$7/B$8)+(0.5*B$6/B$8)))</f>
        <v>339.1290908243659</v>
      </c>
      <c r="C61" s="60">
        <f>IF($I$7=1,+C$25*0.8724*(C$7/C$8),+C$25*0.8724*((C$7/C$8)+(0.5*C$6/C$8)))</f>
        <v>170.49317989973741</v>
      </c>
      <c r="D61" s="61">
        <f>IF($I$7=1,+D$25*0.8724*(D$7/D$8),+D$25*0.8724*((D$7/D$8)+(0.5*D$6/D$8)))</f>
        <v>27.823533062249339</v>
      </c>
      <c r="F61" s="101">
        <f t="shared" si="1"/>
        <v>1.1317901620959476</v>
      </c>
      <c r="G61" s="105">
        <f t="shared" si="1"/>
        <v>0.67191548856609251</v>
      </c>
      <c r="H61" s="102">
        <f t="shared" si="1"/>
        <v>4.234936539155151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3115.9068825786831</v>
      </c>
      <c r="C63" s="60">
        <f>SUM(C59:C62)</f>
        <v>2391.3550429816182</v>
      </c>
      <c r="D63" s="61">
        <f>SUM(D59:D62)</f>
        <v>89.228832321185706</v>
      </c>
      <c r="F63" s="101">
        <f>SUM(F59:F62)</f>
        <v>10.398850618026158</v>
      </c>
      <c r="G63" s="105">
        <f>SUM(G59:G62)</f>
        <v>9.4243564052526523</v>
      </c>
      <c r="H63" s="102">
        <f>SUM(H59:H62)</f>
        <v>13.581253016923245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2.2127471165428845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3778.9334249438834</v>
      </c>
      <c r="C67" s="60">
        <f>SUM(C63:C65)</f>
        <v>2843.8105429816183</v>
      </c>
      <c r="D67" s="61">
        <f>SUM(D63:D65)</f>
        <v>105.50341232118595</v>
      </c>
      <c r="F67" s="103">
        <f>SUM(F63:F65)</f>
        <v>12.611597734569042</v>
      </c>
      <c r="G67" s="106">
        <f>SUM(G63:G65)</f>
        <v>11.207488484293568</v>
      </c>
      <c r="H67" s="104">
        <f>SUM(H63:H65)</f>
        <v>16.058358039754332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12.611597734569042</v>
      </c>
      <c r="C71" s="65">
        <f>+C67/C69*100</f>
        <v>11.207488484293568</v>
      </c>
      <c r="D71" s="66">
        <f>+D67/D69*100</f>
        <v>16.058358039754332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+PGE!J142</f>
        <v>12.211011599080669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2001-05-18T23:26:18Z</cp:lastPrinted>
  <dcterms:created xsi:type="dcterms:W3CDTF">2001-05-08T18:12:48Z</dcterms:created>
  <dcterms:modified xsi:type="dcterms:W3CDTF">2023-09-15T20:23:03Z</dcterms:modified>
</cp:coreProperties>
</file>