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5D89E0-10F8-4083-99E0-B8D70752A4D5}" xr6:coauthVersionLast="47" xr6:coauthVersionMax="47" xr10:uidLastSave="{00000000-0000-0000-0000-000000000000}"/>
  <bookViews>
    <workbookView xWindow="-120" yWindow="-120" windowWidth="38640" windowHeight="15720" tabRatio="839" activeTab="6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B23" i="8"/>
  <c r="D23" i="8"/>
  <c r="B24" i="8"/>
  <c r="D24" i="8"/>
  <c r="B25" i="8"/>
  <c r="D25" i="8"/>
  <c r="B26" i="8"/>
  <c r="D26" i="8"/>
  <c r="B28" i="8"/>
  <c r="C28" i="8"/>
  <c r="D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C34" i="7"/>
  <c r="D34" i="7"/>
  <c r="F34" i="7"/>
  <c r="G34" i="7"/>
  <c r="I34" i="7"/>
  <c r="J34" i="7"/>
  <c r="L34" i="7"/>
  <c r="M34" i="7"/>
  <c r="O34" i="7"/>
  <c r="P34" i="7"/>
  <c r="R34" i="7"/>
  <c r="S34" i="7"/>
</calcChain>
</file>

<file path=xl/sharedStrings.xml><?xml version="1.0" encoding="utf-8"?>
<sst xmlns="http://schemas.openxmlformats.org/spreadsheetml/2006/main" count="1251" uniqueCount="380">
  <si>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</si>
  <si>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</si>
  <si>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</si>
  <si>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</si>
  <si>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</si>
  <si>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</si>
  <si>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</si>
  <si>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</si>
  <si>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</si>
  <si>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</si>
  <si>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</si>
  <si>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</si>
  <si>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</si>
  <si>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</si>
  <si>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</si>
  <si>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</si>
  <si>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</si>
  <si>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</si>
  <si>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</si>
  <si>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</si>
  <si>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</si>
  <si>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</si>
  <si>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</si>
  <si>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</si>
  <si>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</si>
  <si>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</si>
  <si>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</si>
  <si>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</si>
  <si>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</si>
  <si>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</si>
  <si>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</si>
  <si>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</si>
  <si>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</si>
  <si>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</si>
  <si>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</si>
  <si>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</si>
  <si>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</si>
  <si>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</si>
  <si>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</si>
  <si>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</si>
  <si>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</si>
  <si>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</si>
  <si>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</si>
  <si>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</si>
  <si>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</si>
  <si>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</si>
  <si>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</si>
  <si>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</si>
  <si>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</si>
  <si>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</si>
  <si>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</si>
  <si>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</si>
  <si>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</si>
  <si>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</si>
  <si>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</si>
  <si>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</si>
  <si>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</si>
  <si>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</si>
  <si>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</si>
  <si>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</si>
  <si>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</si>
  <si>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</si>
  <si>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</si>
  <si>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</si>
  <si>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</si>
  <si>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</si>
  <si>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</si>
  <si>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</si>
  <si>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</si>
  <si>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</si>
  <si>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</si>
  <si>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</si>
  <si>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</si>
  <si>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</si>
  <si>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</si>
  <si>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</si>
  <si>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</si>
  <si>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</si>
  <si>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</si>
  <si>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</si>
  <si>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</si>
  <si>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</si>
  <si>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</si>
  <si>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</si>
  <si>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</si>
  <si>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</si>
  <si>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</si>
  <si>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</si>
  <si>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</si>
  <si>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</si>
  <si>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</si>
  <si>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</si>
  <si>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</si>
  <si>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</si>
  <si>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</si>
  <si>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</si>
  <si>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</si>
  <si>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</si>
  <si>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</si>
  <si>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</si>
  <si>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</si>
  <si>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</si>
  <si>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</si>
  <si>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</si>
  <si>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</si>
  <si>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</si>
  <si>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</si>
  <si>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</si>
  <si>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</si>
  <si>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</si>
  <si>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</si>
  <si>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</si>
  <si>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</si>
  <si>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</si>
  <si>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</si>
  <si>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</si>
  <si>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</si>
  <si>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</si>
  <si>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</si>
  <si>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</si>
  <si>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</si>
  <si>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</si>
  <si>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</si>
  <si>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</si>
  <si>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</si>
  <si>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</si>
  <si>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</si>
  <si>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</si>
  <si>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</si>
  <si>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</si>
  <si>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</si>
  <si>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</si>
  <si>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</si>
  <si>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</si>
  <si>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</si>
  <si>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</si>
  <si>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</si>
  <si>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</si>
  <si>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</si>
  <si>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</si>
  <si>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</si>
  <si>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</si>
  <si>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</si>
  <si>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</si>
  <si>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</si>
  <si>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</si>
  <si>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</si>
  <si>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</si>
  <si>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</si>
  <si>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</si>
  <si>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</si>
  <si>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</si>
  <si>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</si>
  <si>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</si>
  <si>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</si>
  <si>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</si>
  <si>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</si>
  <si>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</si>
  <si>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</si>
  <si>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</si>
  <si>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</si>
  <si>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</si>
  <si>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</si>
  <si>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</si>
  <si>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</si>
  <si>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</si>
  <si>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</si>
  <si>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</si>
  <si>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</si>
  <si>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</si>
  <si>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</si>
  <si>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</si>
  <si>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</si>
  <si>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</si>
  <si>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</si>
  <si>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</si>
  <si>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</si>
  <si>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</si>
  <si>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</si>
  <si>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</si>
  <si>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</si>
  <si>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</si>
  <si>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</si>
  <si>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</si>
  <si>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</si>
  <si>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</si>
  <si>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</si>
  <si>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</si>
  <si>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</si>
  <si>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</si>
  <si>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</si>
  <si>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</si>
  <si>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</si>
  <si>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</si>
  <si>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</si>
  <si>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</si>
  <si>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</si>
  <si>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</si>
  <si>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</si>
  <si>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</si>
  <si>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</si>
  <si>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</si>
  <si>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</si>
  <si>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</si>
  <si>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</si>
  <si>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</si>
  <si>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</si>
  <si>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</si>
  <si>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</si>
  <si>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</si>
  <si>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</si>
  <si>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</si>
  <si>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</si>
  <si>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</si>
  <si>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</si>
  <si>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</si>
  <si>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</si>
  <si>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</si>
  <si>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</si>
  <si>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</si>
  <si>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</si>
  <si>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</si>
  <si>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</si>
  <si>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</si>
  <si>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</si>
  <si>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</si>
  <si>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</si>
  <si>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</si>
  <si>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</si>
  <si>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</si>
  <si>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</si>
  <si>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</si>
  <si>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</si>
  <si>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</si>
  <si>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</si>
  <si>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</si>
  <si>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</si>
  <si>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</si>
  <si>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</si>
  <si>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</si>
  <si>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</si>
  <si>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</si>
  <si>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</si>
  <si>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</si>
  <si>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</si>
  <si>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</si>
  <si>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</si>
  <si>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</si>
  <si>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</si>
  <si>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</si>
  <si>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</si>
  <si>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</si>
  <si>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</si>
  <si>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</si>
  <si>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</si>
  <si>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</si>
  <si>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</si>
  <si>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</si>
  <si>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</si>
  <si>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</si>
  <si>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</si>
  <si>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</si>
  <si>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</si>
  <si>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</si>
  <si>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</si>
  <si>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</si>
  <si>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</si>
  <si>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</si>
  <si>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</si>
  <si>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</si>
  <si>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</si>
  <si>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</si>
  <si>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</si>
  <si>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</si>
  <si>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</si>
  <si>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</si>
  <si>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</si>
  <si>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</si>
  <si>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</si>
  <si>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</si>
  <si>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</si>
  <si>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</si>
  <si>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</si>
  <si>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</si>
  <si>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</si>
  <si>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</si>
  <si>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</si>
  <si>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</si>
  <si>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</si>
  <si>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</si>
  <si>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</si>
  <si>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</si>
  <si>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</si>
  <si>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</si>
  <si>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</si>
  <si>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</si>
  <si>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</si>
  <si>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</si>
  <si>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</si>
  <si>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</si>
  <si>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</si>
  <si>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</si>
  <si>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</si>
  <si>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</si>
  <si>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</si>
  <si>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</si>
  <si>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</si>
  <si>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</si>
  <si>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</si>
  <si>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</si>
  <si>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</si>
  <si>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</si>
  <si>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</si>
  <si>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</si>
  <si>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</si>
  <si>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</si>
  <si>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</si>
  <si>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</si>
  <si>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</si>
  <si>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</si>
  <si>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</si>
  <si>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</si>
  <si>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</si>
  <si>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</si>
  <si>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</si>
  <si>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</si>
  <si>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</si>
  <si>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</si>
  <si>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</si>
  <si>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</si>
  <si>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</si>
  <si>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</si>
  <si>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</si>
  <si>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</si>
  <si>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</si>
  <si>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</si>
  <si>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</si>
  <si>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</si>
  <si>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</si>
  <si>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</si>
  <si>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</si>
  <si>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</si>
  <si>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</si>
  <si>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</si>
  <si>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</si>
  <si>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</si>
  <si>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</si>
  <si>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</si>
  <si>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</si>
  <si>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</si>
  <si>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</si>
  <si>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</si>
  <si>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</si>
  <si>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</si>
  <si>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</si>
  <si>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</si>
  <si>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</si>
  <si>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</si>
  <si>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</si>
  <si>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</si>
  <si>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</si>
  <si>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</si>
  <si>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</si>
  <si>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</si>
  <si>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</si>
  <si>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</si>
  <si>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</si>
  <si>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</si>
  <si>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</si>
  <si>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</si>
  <si>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</si>
  <si>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</si>
  <si>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</si>
  <si>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</si>
  <si>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</si>
  <si>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*PG&amp;E, SCE only</t>
  </si>
  <si>
    <t>Past Utility split (1=Pro rata,  0=Pro rata + 1/2 to nc)</t>
  </si>
  <si>
    <t>1=All nc</t>
  </si>
  <si>
    <t>0=Core and NC</t>
  </si>
  <si>
    <t>Over 20kW - non-core/ Past Utility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</si>
</sst>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8" sqref="E148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58" t="s">
        <v>367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30" ht="30">
      <c r="A2" s="158" t="s">
        <v>357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9" t="s">
        <v>305</v>
      </c>
      <c r="C6" s="159"/>
      <c r="D6" s="159"/>
      <c r="E6" s="159"/>
      <c r="F6" s="159"/>
      <c r="G6" s="159"/>
      <c r="H6" s="159"/>
      <c r="I6" s="159"/>
      <c r="J6" s="159"/>
      <c r="K6" s="159"/>
      <c r="L6" s="159" t="s">
        <v>306</v>
      </c>
      <c r="M6" s="159"/>
      <c r="N6" s="159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7" t="s">
        <v>362</v>
      </c>
      <c r="G8" s="157"/>
      <c r="H8" s="157"/>
      <c r="I8" s="157"/>
      <c r="J8" s="157"/>
      <c r="K8" s="157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topLeftCell="H1" workbookViewId="0">
      <selection activeCell="V11" sqref="V11"/>
    </sheetView>
  </sheetViews>
  <sheetFormatPr defaultRowHeight="12.75"/>
  <cols>
    <col min="1" max="1" width="33" bestFit="1" customWidth="1"/>
    <col min="2" max="2" width="6.28515625" customWidth="1"/>
  </cols>
  <sheetData>
    <row r="1" spans="1:19">
      <c r="R1" s="14" t="s">
        <v>379</v>
      </c>
      <c r="S1" s="14"/>
    </row>
    <row r="2" spans="1:19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</row>
    <row r="3" spans="1:19">
      <c r="A3" s="138" t="s">
        <v>376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19">
      <c r="A4" s="58"/>
    </row>
    <row r="5" spans="1:19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</row>
    <row r="6" spans="1:19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</row>
    <row r="7" spans="1:19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0.47744091668655997</v>
      </c>
    </row>
    <row r="8" spans="1:19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</v>
      </c>
    </row>
    <row r="9" spans="1:19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-6.2705288970138593</v>
      </c>
      <c r="S9" s="135">
        <v>-7.8947539781908453</v>
      </c>
    </row>
    <row r="10" spans="1:19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11.397856806493872</v>
      </c>
      <c r="S10" s="135">
        <v>13.91162905176196</v>
      </c>
    </row>
    <row r="11" spans="1:19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0.54870588564527178</v>
      </c>
      <c r="S11" s="135">
        <v>0.31714130291323706</v>
      </c>
    </row>
    <row r="12" spans="1:19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</row>
    <row r="13" spans="1:19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6.6680942510554893</v>
      </c>
      <c r="S13" s="135">
        <v>6.8114572931709114</v>
      </c>
    </row>
    <row r="14" spans="1:19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</row>
    <row r="15" spans="1:19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</row>
    <row r="16" spans="1:19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</row>
    <row r="17" spans="1:19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11.55559425105549</v>
      </c>
      <c r="S17" s="135">
        <v>12.061457293170912</v>
      </c>
    </row>
    <row r="18" spans="1:19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</row>
    <row r="19" spans="1:19">
      <c r="A19" s="58" t="s">
        <v>298</v>
      </c>
      <c r="C19" s="136">
        <f>+'Core &amp; Non-core'!B55</f>
        <v>14.246809397957522</v>
      </c>
      <c r="D19" s="137">
        <f>+'Core &amp; Non-core'!C55</f>
        <v>15.714076785058195</v>
      </c>
      <c r="E19" s="126"/>
      <c r="F19" s="136">
        <f>+C19</f>
        <v>14.246809397957522</v>
      </c>
      <c r="G19" s="137">
        <f>+D19</f>
        <v>15.714076785058195</v>
      </c>
      <c r="H19" s="126"/>
      <c r="I19" s="136">
        <f>+F19</f>
        <v>14.246809397957522</v>
      </c>
      <c r="J19" s="137">
        <f>+G19</f>
        <v>15.714076785058195</v>
      </c>
      <c r="K19" s="126"/>
      <c r="L19" s="136">
        <f>+I19</f>
        <v>14.246809397957522</v>
      </c>
      <c r="M19" s="137">
        <f>+J19</f>
        <v>15.714076785058195</v>
      </c>
      <c r="O19" s="136">
        <f>+L19</f>
        <v>14.246809397957522</v>
      </c>
      <c r="P19" s="137">
        <f>+M19</f>
        <v>15.714076785058195</v>
      </c>
      <c r="R19" s="136">
        <f>+O19</f>
        <v>14.246809397957522</v>
      </c>
      <c r="S19" s="137">
        <f>+P19</f>
        <v>15.714076785058195</v>
      </c>
    </row>
    <row r="20" spans="1:19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</row>
    <row r="21" spans="1:19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</row>
    <row r="22" spans="1:19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</row>
    <row r="23" spans="1:19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</row>
    <row r="24" spans="1:19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0.99206045593020731</v>
      </c>
      <c r="S24" s="135">
        <v>0.47744091668656002</v>
      </c>
    </row>
    <row r="25" spans="1:19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</row>
    <row r="26" spans="1:19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0.64</v>
      </c>
      <c r="S26" s="135">
        <v>0.31</v>
      </c>
    </row>
    <row r="27" spans="1:19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</row>
    <row r="28" spans="1:19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9.9070604559302069</v>
      </c>
      <c r="S28" s="135">
        <v>9.06244091668656</v>
      </c>
    </row>
    <row r="29" spans="1:19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</row>
    <row r="30" spans="1:19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3.3253281049569097</v>
      </c>
      <c r="S30" s="135">
        <v>3.6719646646659214</v>
      </c>
    </row>
    <row r="31" spans="1:19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</row>
    <row r="32" spans="1:19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13.232388560887117</v>
      </c>
      <c r="S32" s="135">
        <v>12.734405581352481</v>
      </c>
    </row>
    <row r="33" spans="1:19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</row>
    <row r="34" spans="1:19">
      <c r="A34" s="58" t="s">
        <v>299</v>
      </c>
      <c r="C34" s="103">
        <f>+'Core &amp; Non-core'!B73</f>
        <v>13.699330838684142</v>
      </c>
      <c r="D34" s="104">
        <f>+'Core &amp; Non-core'!C73</f>
        <v>14.42581427513055</v>
      </c>
      <c r="F34" s="136">
        <f>+C34</f>
        <v>13.699330838684142</v>
      </c>
      <c r="G34" s="137">
        <f>+D34</f>
        <v>14.42581427513055</v>
      </c>
      <c r="I34" s="136">
        <f>+F34</f>
        <v>13.699330838684142</v>
      </c>
      <c r="J34" s="137">
        <f>+G34</f>
        <v>14.42581427513055</v>
      </c>
      <c r="L34" s="136">
        <f>+I34</f>
        <v>13.699330838684142</v>
      </c>
      <c r="M34" s="137">
        <f>+J34</f>
        <v>14.42581427513055</v>
      </c>
      <c r="O34" s="136">
        <f>+L34</f>
        <v>13.699330838684142</v>
      </c>
      <c r="P34" s="137">
        <f>+M34</f>
        <v>14.42581427513055</v>
      </c>
      <c r="R34" s="136">
        <f>+O34</f>
        <v>13.699330838684142</v>
      </c>
      <c r="S34" s="137">
        <f>+P34</f>
        <v>14.42581427513055</v>
      </c>
    </row>
    <row r="35" spans="1:19">
      <c r="A35" s="58"/>
    </row>
    <row r="36" spans="1:19">
      <c r="A36" s="58"/>
    </row>
    <row r="37" spans="1:19">
      <c r="A37" s="58"/>
    </row>
    <row r="38" spans="1:19">
      <c r="A38" s="58"/>
    </row>
    <row r="39" spans="1:19">
      <c r="A39" s="58"/>
    </row>
    <row r="40" spans="1:19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1" workbookViewId="0">
      <selection activeCell="B55" sqref="B55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6">
        <v>2001</v>
      </c>
      <c r="C2" s="156"/>
      <c r="D2" s="156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IF(I10=1,+PGE!E141,PGE!E147)</f>
        <v>30686.646265000003</v>
      </c>
      <c r="C6" s="23">
        <f>IF(I10=1,+SCE!E135,+SCE!E142)</f>
        <v>28034.100000000002</v>
      </c>
      <c r="D6" s="23">
        <f>+SDGE!E104</f>
        <v>16548</v>
      </c>
      <c r="E6" s="23"/>
    </row>
    <row r="7" spans="1:10">
      <c r="A7" t="s">
        <v>140</v>
      </c>
      <c r="B7" s="23">
        <f>B8-B6</f>
        <v>51304.324661999999</v>
      </c>
      <c r="C7" s="23">
        <f>C8-C6</f>
        <v>55745.899999999994</v>
      </c>
      <c r="D7" s="23">
        <f>+SDGE!E105</f>
        <v>657</v>
      </c>
      <c r="E7" s="23"/>
      <c r="H7" s="119" t="s">
        <v>218</v>
      </c>
      <c r="I7" s="122">
        <v>0</v>
      </c>
      <c r="J7" s="120" t="s">
        <v>377</v>
      </c>
    </row>
    <row r="8" spans="1:10">
      <c r="A8" t="s">
        <v>165</v>
      </c>
      <c r="B8" s="23">
        <f>IF(I10=1,+PGE!E138,+PGE!E150)</f>
        <v>81990.970927000002</v>
      </c>
      <c r="C8" s="23">
        <f>IF(I10=1,+SCE!E132,+SCE!E145)</f>
        <v>83780</v>
      </c>
      <c r="D8" s="23">
        <f>+SDGE!E101</f>
        <v>17205</v>
      </c>
      <c r="E8" s="23"/>
      <c r="H8" s="67" t="s">
        <v>152</v>
      </c>
      <c r="I8" s="91"/>
      <c r="J8" s="121" t="s">
        <v>378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375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23253.35373499999</v>
      </c>
      <c r="C14" s="23">
        <f>+C10-C6</f>
        <v>26745.899999999998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304.43008284624898</v>
      </c>
      <c r="C39" s="60">
        <f>+C6/C8*C23</f>
        <v>133.84626402482692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0.47744091668655997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0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-1924.2150215712493</v>
      </c>
      <c r="C41" s="60">
        <f>IF(C14&gt;0,(-C14*IF($I$4=1,104,82.75))/1000,0)</f>
        <v>-2213.2232249999997</v>
      </c>
      <c r="D41" s="61">
        <f>IF(D14&gt;0,(-D14*IF($I$4=1,104,82.75))/1000,0)</f>
        <v>0</v>
      </c>
      <c r="F41" s="128">
        <f>+B41/B$6*100</f>
        <v>-6.2705288970138593</v>
      </c>
      <c r="G41" s="65">
        <f t="shared" si="0"/>
        <v>-7.8947539781908453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11.397856806493872</v>
      </c>
      <c r="G42" s="65">
        <f t="shared" si="0"/>
        <v>13.91162905176196</v>
      </c>
      <c r="H42" s="66">
        <f t="shared" si="0"/>
        <v>2.2277012327773749</v>
      </c>
    </row>
    <row r="43" spans="1:8">
      <c r="A43" s="56" t="s">
        <v>295</v>
      </c>
      <c r="B43" s="60">
        <f>IF(I7=1,0,168.3794341632)</f>
        <v>168.37943416319999</v>
      </c>
      <c r="C43" s="60">
        <f>IF(I7=1,0,88.9077099999998)</f>
        <v>88.907709999999796</v>
      </c>
      <c r="D43" s="61">
        <v>0</v>
      </c>
      <c r="F43" s="128">
        <f>+B43/B$6*100</f>
        <v>0.54870588564527178</v>
      </c>
      <c r="G43" s="65">
        <f t="shared" si="0"/>
        <v>0.31714130291323706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2046.2144954381995</v>
      </c>
      <c r="C45" s="60">
        <f>SUM(C39:C44)</f>
        <v>1909.5307490248267</v>
      </c>
      <c r="D45" s="61">
        <f>SUM(D39:D44)</f>
        <v>1478.3484507410635</v>
      </c>
      <c r="F45" s="128">
        <f>+B45/B$6*100</f>
        <v>6.6680942510554893</v>
      </c>
      <c r="G45" s="65">
        <f>+C45/C$6*100</f>
        <v>6.8114572931709114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1499.8098362018752</v>
      </c>
      <c r="C47" s="84">
        <f>+C6*C79/100</f>
        <v>1471.7902500000002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5.2500000000000009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3546.0243316400747</v>
      </c>
      <c r="C49" s="60">
        <f>SUM(C45:C47)</f>
        <v>3381.320999024827</v>
      </c>
      <c r="D49" s="61">
        <f>SUM(D45:D47)</f>
        <v>2533.9453707410635</v>
      </c>
      <c r="F49" s="129">
        <f>+B49/B$6*100</f>
        <v>11.55559425105549</v>
      </c>
      <c r="G49" s="130">
        <f>+C49/C$6*100</f>
        <v>12.061457293170912</v>
      </c>
      <c r="H49" s="131">
        <f>+D49/D$6*100</f>
        <v>15.312698638754311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30686.646265000003</v>
      </c>
      <c r="C51" s="63">
        <f>+C6</f>
        <v>28034.100000000002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11.55559425105549</v>
      </c>
      <c r="C53" s="65">
        <f>+C49/C51*100</f>
        <v>12.061457293170912</v>
      </c>
      <c r="D53" s="66">
        <f>+D49/D51*100</f>
        <v>15.312698638754311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IF(I10=1,+PGE!J141,+PGE!J147)</f>
        <v>14.246809397957522</v>
      </c>
      <c r="C55" s="68">
        <f>IF(I10=1,+SCE!J135,+SCE!J142)</f>
        <v>15.714076785058195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508.969917153751</v>
      </c>
      <c r="C59" s="60">
        <f>C23-C39</f>
        <v>266.15373597517305</v>
      </c>
      <c r="D59" s="61">
        <f>D23-D39</f>
        <v>7.0385492589363707</v>
      </c>
      <c r="F59" s="101">
        <f t="shared" ref="F59:H61" si="1">B59/B$67*B$71</f>
        <v>0.99206045593020731</v>
      </c>
      <c r="G59" s="105">
        <f t="shared" si="1"/>
        <v>0.47744091668656002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4245.4328657804999</v>
      </c>
      <c r="C60" s="84">
        <f>C7*IF($I$4=1,104,82.75)/1000</f>
        <v>4612.9732249999997</v>
      </c>
      <c r="D60" s="85">
        <f>D7*IF($I$4=1,104,82.75)/1000</f>
        <v>54.366750000000003</v>
      </c>
      <c r="F60" s="101">
        <f t="shared" si="1"/>
        <v>8.2749999999999986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295</v>
      </c>
      <c r="B61" s="60">
        <f>0.8724*B25-B43</f>
        <v>328.34767783680002</v>
      </c>
      <c r="C61" s="60">
        <f>0.8724*C25-C43</f>
        <v>172.81229000000019</v>
      </c>
      <c r="D61" s="61">
        <f>0.8724*D25-D43</f>
        <v>53.600255999999995</v>
      </c>
      <c r="F61" s="101">
        <f t="shared" si="1"/>
        <v>0.64</v>
      </c>
      <c r="G61" s="105">
        <f t="shared" si="1"/>
        <v>0.31000000000000039</v>
      </c>
      <c r="H61" s="102">
        <f t="shared" si="1"/>
        <v>8.1583342465753432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5082.7504607710516</v>
      </c>
      <c r="C63" s="60">
        <f>SUM(C59:C62)</f>
        <v>5051.9392509751724</v>
      </c>
      <c r="D63" s="61">
        <f>SUM(D59:D62)</f>
        <v>115.00555525893637</v>
      </c>
      <c r="F63" s="101">
        <f>SUM(F59:F62)</f>
        <v>9.9070604559302069</v>
      </c>
      <c r="G63" s="105">
        <f>SUM(G59:G62)</f>
        <v>9.06244091668656</v>
      </c>
      <c r="H63" s="102">
        <f>SUM(H59:H62)</f>
        <v>17.504650724343438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1706.0371270438252</v>
      </c>
      <c r="C65" s="84">
        <f>C30-C47</f>
        <v>2046.96975</v>
      </c>
      <c r="D65" s="85">
        <f>D30-D47</f>
        <v>16.274580000000242</v>
      </c>
      <c r="F65" s="101">
        <f>B65/B$67*B$71</f>
        <v>3.3253281049569097</v>
      </c>
      <c r="G65" s="105">
        <f>C65/C$67*C$71</f>
        <v>3.6719646646659214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6788.787587814877</v>
      </c>
      <c r="C67" s="60">
        <f>SUM(C63:C65)</f>
        <v>7098.9090009751726</v>
      </c>
      <c r="D67" s="61">
        <f>SUM(D63:D65)</f>
        <v>131.28013525893661</v>
      </c>
      <c r="F67" s="103">
        <f>SUM(F63:F65)</f>
        <v>13.232388560887117</v>
      </c>
      <c r="G67" s="106">
        <f>SUM(G63:G65)</f>
        <v>12.734405581352481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51304.324661999999</v>
      </c>
      <c r="C69" s="63">
        <f>+C7</f>
        <v>55745.899999999994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13.232388560887118</v>
      </c>
      <c r="C71" s="65">
        <f>+C67/C69*100</f>
        <v>12.734405581352481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IF(I10=1,+PGE!J142,+PGE!J148)</f>
        <v>13.699330838684142</v>
      </c>
      <c r="C73" s="68">
        <f>IF(I10=1,+SCE!J136,+SCE!J143)</f>
        <v>14.42581427513055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3.3253281049569101</v>
      </c>
      <c r="C80" s="107">
        <f>+(C30-(C79*C6/100))/C7*100</f>
        <v>3.6719646646659223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1.469779776832979</v>
      </c>
      <c r="C85" s="31">
        <f>+C79/C80</f>
        <v>1.4297523204727376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30686.646265000003</v>
      </c>
      <c r="C8" s="71">
        <f>B8*(1+C2)*(1-(C3+C4))</f>
        <v>29109.352646979001</v>
      </c>
      <c r="D8" s="71">
        <f t="shared" ref="D8:K8" si="0">C8*(1+D2)*(1-(D3+D4))</f>
        <v>28355.420413422245</v>
      </c>
      <c r="E8" s="71">
        <f t="shared" si="0"/>
        <v>28054.85295703997</v>
      </c>
      <c r="F8" s="71">
        <f t="shared" si="0"/>
        <v>27900.551265776252</v>
      </c>
      <c r="G8" s="71">
        <f t="shared" si="0"/>
        <v>27889.391045269942</v>
      </c>
      <c r="H8" s="71">
        <f t="shared" si="0"/>
        <v>28020.471183182712</v>
      </c>
      <c r="I8" s="71">
        <f t="shared" si="0"/>
        <v>28295.071800777903</v>
      </c>
      <c r="J8" s="71">
        <f t="shared" si="0"/>
        <v>28860.973236793463</v>
      </c>
      <c r="K8" s="71">
        <f t="shared" si="0"/>
        <v>29438.192701529333</v>
      </c>
    </row>
    <row r="9" spans="1:11">
      <c r="A9" t="s">
        <v>140</v>
      </c>
      <c r="B9" s="71">
        <f>'Core &amp; Non-core'!B7</f>
        <v>51304.324661999999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23253.35373499999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2001-05-22T15:53:51Z</cp:lastPrinted>
  <dcterms:created xsi:type="dcterms:W3CDTF">2001-05-08T18:12:48Z</dcterms:created>
  <dcterms:modified xsi:type="dcterms:W3CDTF">2023-09-15T20:23:44Z</dcterms:modified>
</cp:coreProperties>
</file>