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046ED4-B9BB-454E-8BFD-711135A0374A}" xr6:coauthVersionLast="47" xr6:coauthVersionMax="47" xr10:uidLastSave="{00000000-0000-0000-0000-000000000000}"/>
  <bookViews>
    <workbookView xWindow="-120" yWindow="-120" windowWidth="38640" windowHeight="15720" activeTab="3"/>
  </bookViews>
  <sheets>
    <sheet name="commodity" sheetId="2" r:id="rId1"/>
    <sheet name="Data" sheetId="5" r:id="rId2"/>
    <sheet name="reconcilation" sheetId="3" r:id="rId3"/>
    <sheet name="demand" sheetId="4" r:id="rId4"/>
  </sheets>
  <definedNames>
    <definedName name="_xlnm.Print_Area" localSheetId="0">commodity!$A$1:$J$48</definedName>
    <definedName name="_xlnm.Print_Area" localSheetId="3">demand!$A$1:$J$42</definedName>
    <definedName name="_xlnm.Print_Area" localSheetId="2">reconcilation!$A$1:$J$42</definedName>
  </definedNames>
  <calcPr calcId="0"/>
</workbook>
</file>

<file path=xl/calcChain.xml><?xml version="1.0" encoding="utf-8"?>
<calcChain xmlns="http://schemas.openxmlformats.org/spreadsheetml/2006/main">
  <c r="B23" i="2" l="1"/>
  <c r="J23" i="2"/>
  <c r="E26" i="2"/>
  <c r="G26" i="2"/>
  <c r="E27" i="2"/>
  <c r="E39" i="2"/>
  <c r="G39" i="2"/>
  <c r="E42" i="2"/>
  <c r="J5" i="5"/>
  <c r="K5" i="5"/>
  <c r="J7" i="5"/>
  <c r="K7" i="5"/>
  <c r="G9" i="5"/>
  <c r="J9" i="5"/>
  <c r="K9" i="5"/>
  <c r="J11" i="5"/>
  <c r="K11" i="5"/>
  <c r="J13" i="5"/>
  <c r="K13" i="5"/>
  <c r="J15" i="5"/>
  <c r="K15" i="5"/>
  <c r="E18" i="5"/>
  <c r="F18" i="5"/>
  <c r="G18" i="5"/>
  <c r="H18" i="5"/>
  <c r="J18" i="5"/>
  <c r="K18" i="5"/>
  <c r="F20" i="5"/>
  <c r="H20" i="5"/>
  <c r="J27" i="5"/>
  <c r="E28" i="5"/>
  <c r="M28" i="5"/>
  <c r="E32" i="5"/>
  <c r="C54" i="5"/>
  <c r="D7" i="4"/>
  <c r="I7" i="4"/>
  <c r="D11" i="4"/>
  <c r="D12" i="4"/>
  <c r="C13" i="4"/>
  <c r="M15" i="4"/>
  <c r="D16" i="4"/>
  <c r="M16" i="4"/>
  <c r="M17" i="4"/>
  <c r="J23" i="4"/>
  <c r="E33" i="4"/>
  <c r="G33" i="4"/>
  <c r="E36" i="4"/>
  <c r="G36" i="4"/>
  <c r="I36" i="4"/>
  <c r="E39" i="4"/>
  <c r="H4" i="3"/>
  <c r="H6" i="3"/>
  <c r="H10" i="3"/>
  <c r="H14" i="3"/>
  <c r="H26" i="3"/>
  <c r="G38" i="3"/>
  <c r="G40" i="3"/>
  <c r="H40" i="3"/>
  <c r="F52" i="3"/>
  <c r="F53" i="3"/>
  <c r="F55" i="3"/>
</calcChain>
</file>

<file path=xl/sharedStrings.xml><?xml version="1.0" encoding="utf-8"?>
<sst xmlns="http://schemas.openxmlformats.org/spreadsheetml/2006/main" count="130" uniqueCount="97">
  <si>
    <t>Average:</t>
  </si>
  <si>
    <t>=</t>
  </si>
  <si>
    <t>+</t>
  </si>
  <si>
    <r>
      <t xml:space="preserve">PR-CPI </t>
    </r>
    <r>
      <rPr>
        <vertAlign val="subscript"/>
        <sz val="10"/>
        <rFont val="Arial"/>
        <family val="2"/>
      </rPr>
      <t>1995</t>
    </r>
    <r>
      <rPr>
        <sz val="10"/>
        <rFont val="Arial"/>
        <family val="2"/>
      </rPr>
      <t xml:space="preserve"> = </t>
    </r>
  </si>
  <si>
    <r>
      <t xml:space="preserve">PR-CPI </t>
    </r>
    <r>
      <rPr>
        <vertAlign val="subscript"/>
        <sz val="10"/>
        <rFont val="Arial"/>
        <family val="2"/>
      </rPr>
      <t>1999</t>
    </r>
  </si>
  <si>
    <t>June 2000</t>
  </si>
  <si>
    <t>Article 8.3:  Commodity Charge</t>
  </si>
  <si>
    <t xml:space="preserve">Commodity Charge = </t>
  </si>
  <si>
    <t>68% X 2.2713 plus $.625 X 169.333/137</t>
  </si>
  <si>
    <t>x =</t>
  </si>
  <si>
    <t>per MMBtu</t>
  </si>
  <si>
    <t>y =</t>
  </si>
  <si>
    <r>
      <t xml:space="preserve">PR-CPI </t>
    </r>
    <r>
      <rPr>
        <vertAlign val="subscript"/>
        <sz val="10"/>
        <rFont val="Arial"/>
        <family val="2"/>
      </rPr>
      <t>1995</t>
    </r>
  </si>
  <si>
    <t>Eco Electrica  Commodity Charge</t>
  </si>
  <si>
    <t>(68% of Avg of NYMEX for each month of previous contract year)  plus [ (x) times (y)]</t>
  </si>
  <si>
    <t>Three day average for 1999 NYMEX</t>
  </si>
  <si>
    <t>Eco Electrica Estimated Demand Charge</t>
  </si>
  <si>
    <t>Article 8:  Price</t>
  </si>
  <si>
    <t>Demand Charge Rate = $.73 x Adjustment Factor</t>
  </si>
  <si>
    <t>Demand Surcharge Rate = $.725 x Adjustment Factor</t>
  </si>
  <si>
    <t xml:space="preserve">Demand Charge Rate = </t>
  </si>
  <si>
    <t xml:space="preserve">Demand Surcharge Rate = </t>
  </si>
  <si>
    <r>
      <t xml:space="preserve">Adjustment Factor = 1 + .05 ((PR-CPI </t>
    </r>
    <r>
      <rPr>
        <vertAlign val="subscript"/>
        <sz val="10"/>
        <rFont val="Arial"/>
        <family val="2"/>
      </rPr>
      <t>1999</t>
    </r>
    <r>
      <rPr>
        <sz val="10"/>
        <rFont val="Arial"/>
      </rPr>
      <t xml:space="preserve">/PR-CPI </t>
    </r>
    <r>
      <rPr>
        <vertAlign val="subscript"/>
        <sz val="10"/>
        <rFont val="Arial"/>
        <family val="2"/>
      </rPr>
      <t>1995</t>
    </r>
    <r>
      <rPr>
        <sz val="10"/>
        <rFont val="Arial"/>
        <family val="2"/>
      </rPr>
      <t xml:space="preserve"> ) - 1)</t>
    </r>
  </si>
  <si>
    <t xml:space="preserve">Adjustment Factor = </t>
  </si>
  <si>
    <t>1 +.05 ((</t>
  </si>
  <si>
    <t>)-1)</t>
  </si>
  <si>
    <t>1 + .05 (</t>
  </si>
  <si>
    <t>)</t>
  </si>
  <si>
    <t>Adjustment Factor =</t>
  </si>
  <si>
    <t>ACQ=</t>
  </si>
  <si>
    <t>322/365 x 9 cargoes=</t>
  </si>
  <si>
    <t>Gamma Standard Cargo =</t>
  </si>
  <si>
    <t>Cubic Meters</t>
  </si>
  <si>
    <t xml:space="preserve">Estimated Monthly Demand Charge = </t>
  </si>
  <si>
    <t>(Demand Charge Rate x ACQ x22.84)+(Demand Surcharge Rate x Gamma Standard Cargo X 22.84)</t>
  </si>
  <si>
    <t># of months in the Contract Year (which shall be 11)</t>
  </si>
  <si>
    <t>(0.817542 x (8 x 119,000) x 22.84) + (.811347 x 119,000 x 22.84)</t>
  </si>
  <si>
    <t>Eco Electrica  Annual Reconcilation</t>
  </si>
  <si>
    <t xml:space="preserve">Article 8.2:  </t>
  </si>
  <si>
    <t>(I)</t>
  </si>
  <si>
    <t>(X)</t>
  </si>
  <si>
    <t>times</t>
  </si>
  <si>
    <t>(Y)</t>
  </si>
  <si>
    <t>(Z)</t>
  </si>
  <si>
    <t>the demand charge rate</t>
  </si>
  <si>
    <t xml:space="preserve">plus </t>
  </si>
  <si>
    <t>(II)</t>
  </si>
  <si>
    <t>the greater of a Gamma Standard Cargo &amp; total quantity of LNG delivered in the winter (excluding any quantities delivered in a carryover late cargo</t>
  </si>
  <si>
    <t>weighted average heating value of LNG delivered during contract year (not to exceed 1080 btu/scf)</t>
  </si>
  <si>
    <t>(III)</t>
  </si>
  <si>
    <t>(IV)</t>
  </si>
  <si>
    <t>the greater of ACQ &amp; the total LNG delivered during contract year(in cubic meteres)</t>
  </si>
  <si>
    <t>Annual Adjustments per 5.3(b)</t>
  </si>
  <si>
    <t>Minus</t>
  </si>
  <si>
    <t>PR-01</t>
  </si>
  <si>
    <t xml:space="preserve">Matthew </t>
  </si>
  <si>
    <t>Discharged</t>
  </si>
  <si>
    <t>Cubic Meteres</t>
  </si>
  <si>
    <t>MMBtus</t>
  </si>
  <si>
    <t>averge heating value</t>
  </si>
  <si>
    <t>PR-02</t>
  </si>
  <si>
    <t>Methane Artic</t>
  </si>
  <si>
    <t>PR-03</t>
  </si>
  <si>
    <t>PR-06</t>
  </si>
  <si>
    <t>ACQ</t>
  </si>
  <si>
    <t>Winter cargo</t>
  </si>
  <si>
    <t xml:space="preserve">gamma cargo </t>
  </si>
  <si>
    <t>Winter heating value</t>
  </si>
  <si>
    <t>Quantities not delivered due to buyer</t>
  </si>
  <si>
    <t>PR-04</t>
  </si>
  <si>
    <t>PR-05</t>
  </si>
  <si>
    <t>Deliveries for calculation Purposes</t>
  </si>
  <si>
    <t>MMBTUs</t>
  </si>
  <si>
    <t>cubic meteres</t>
  </si>
  <si>
    <t>X  times Y times Z  =</t>
  </si>
  <si>
    <t>December 2000</t>
  </si>
  <si>
    <t xml:space="preserve">Annual Demand Charge = (I) plus (II) minus (III) minus (iv) minus Annual adjustments </t>
  </si>
  <si>
    <t>Demand Charge Paid 2000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</si>
  <si>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</si>
  <si>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</si>
  <si>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</si>
  <si>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</si>
  <si>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</si>
  <si>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</si>
  <si>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</si>
  <si>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</si>
  <si>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</si>
  <si>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</si>
  <si>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</si>
  <si>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full cargo lot per 2000-10-18 letter</t>
  </si>
  <si>
    <t>a</t>
  </si>
  <si>
    <t>the demand surcharge charge rate</t>
  </si>
  <si>
    <t>the heating value of the winter cargo(not to exceed 1080btu/csf) - if none than 22.84</t>
  </si>
  <si>
    <t xml:space="preserve">Annual est demand charge = </t>
  </si>
  <si>
    <t xml:space="preserve">Annual actual demand charge = </t>
  </si>
  <si>
    <t>Diff</t>
  </si>
  <si>
    <t>Owed to EcoElectrica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</si>
</sst>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9" formatCode="0.00000"/>
    <numFmt numFmtId="170" formatCode="0.0000"/>
    <numFmt numFmtId="171" formatCode="&quot;$&quot;#,##0.000_);[Red]\(&quot;$&quot;#,##0.000\)"/>
    <numFmt numFmtId="175" formatCode="_(* #,##0.0000_);_(* \(#,##0.0000\);_(* &quot;-&quot;??_);_(@_)"/>
    <numFmt numFmtId="17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quotePrefix="1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4" fontId="2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 applyBorder="1"/>
    <xf numFmtId="164" fontId="4" fillId="0" borderId="2" xfId="0" applyNumberFormat="1" applyFont="1" applyBorder="1"/>
    <xf numFmtId="0" fontId="0" fillId="0" borderId="1" xfId="0" applyBorder="1" applyAlignment="1">
      <alignment horizontal="center"/>
    </xf>
    <xf numFmtId="164" fontId="4" fillId="0" borderId="1" xfId="0" applyNumberFormat="1" applyFont="1" applyBorder="1"/>
    <xf numFmtId="0" fontId="0" fillId="0" borderId="0" xfId="0" applyBorder="1" applyAlignment="1">
      <alignment horizontal="right"/>
    </xf>
    <xf numFmtId="169" fontId="0" fillId="0" borderId="0" xfId="0" applyNumberFormat="1" applyAlignment="1">
      <alignment horizontal="center"/>
    </xf>
    <xf numFmtId="43" fontId="0" fillId="0" borderId="0" xfId="1" applyFont="1"/>
    <xf numFmtId="175" fontId="0" fillId="0" borderId="0" xfId="1" applyNumberFormat="1" applyFont="1"/>
    <xf numFmtId="175" fontId="0" fillId="0" borderId="0" xfId="0" applyNumberFormat="1"/>
    <xf numFmtId="177" fontId="0" fillId="0" borderId="0" xfId="1" applyNumberFormat="1" applyFont="1"/>
    <xf numFmtId="177" fontId="0" fillId="0" borderId="0" xfId="0" applyNumberFormat="1"/>
    <xf numFmtId="43" fontId="0" fillId="0" borderId="0" xfId="0" applyNumberFormat="1"/>
    <xf numFmtId="1" fontId="0" fillId="0" borderId="0" xfId="0" applyNumberFormat="1"/>
    <xf numFmtId="0" fontId="0" fillId="2" borderId="0" xfId="0" applyFill="1"/>
    <xf numFmtId="43" fontId="0" fillId="2" borderId="0" xfId="1" applyFont="1" applyFill="1"/>
    <xf numFmtId="177" fontId="0" fillId="2" borderId="0" xfId="1" applyNumberFormat="1" applyFont="1" applyFill="1"/>
    <xf numFmtId="43" fontId="0" fillId="2" borderId="0" xfId="1" applyNumberFormat="1" applyFont="1" applyFill="1"/>
    <xf numFmtId="14" fontId="0" fillId="0" borderId="0" xfId="0" applyNumberFormat="1"/>
    <xf numFmtId="43" fontId="0" fillId="0" borderId="0" xfId="1" applyNumberFormat="1" applyFont="1"/>
    <xf numFmtId="175" fontId="4" fillId="0" borderId="0" xfId="0" applyNumberFormat="1" applyFont="1"/>
    <xf numFmtId="43" fontId="4" fillId="2" borderId="0" xfId="1" applyFont="1" applyFill="1"/>
    <xf numFmtId="177" fontId="4" fillId="0" borderId="0" xfId="1" applyNumberFormat="1" applyFont="1"/>
    <xf numFmtId="177" fontId="4" fillId="2" borderId="0" xfId="1" applyNumberFormat="1" applyFont="1" applyFill="1"/>
    <xf numFmtId="0" fontId="4" fillId="0" borderId="0" xfId="0" applyFont="1"/>
    <xf numFmtId="43" fontId="4" fillId="2" borderId="0" xfId="1" applyNumberFormat="1" applyFont="1" applyFill="1"/>
    <xf numFmtId="44" fontId="0" fillId="0" borderId="3" xfId="2" applyFont="1" applyBorder="1"/>
    <xf numFmtId="17" fontId="2" fillId="0" borderId="0" xfId="0" quotePrefix="1" applyNumberFormat="1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6" zoomScaleNormal="100" workbookViewId="0">
      <selection activeCell="E29" sqref="E29"/>
    </sheetView>
  </sheetViews>
  <sheetFormatPr defaultRowHeight="12.75" x14ac:dyDescent="0.2"/>
  <cols>
    <col min="5" max="5" width="13.7109375" bestFit="1" customWidth="1"/>
    <col min="7" max="7" width="11.85546875" customWidth="1"/>
    <col min="8" max="8" width="6.5703125" customWidth="1"/>
  </cols>
  <sheetData>
    <row r="1" spans="1:12" x14ac:dyDescent="0.2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</row>
    <row r="2" spans="1:12" x14ac:dyDescent="0.2">
      <c r="A2" s="45" t="s">
        <v>13</v>
      </c>
      <c r="B2" s="45"/>
      <c r="C2" s="45"/>
      <c r="D2" s="45"/>
      <c r="E2" s="45"/>
      <c r="F2" s="45"/>
      <c r="G2" s="45"/>
      <c r="H2" s="45"/>
      <c r="I2" s="45"/>
      <c r="J2" s="45"/>
    </row>
    <row r="3" spans="1:12" x14ac:dyDescent="0.2">
      <c r="A3" s="45" t="s">
        <v>6</v>
      </c>
      <c r="B3" s="45"/>
      <c r="C3" s="45"/>
      <c r="D3" s="45"/>
      <c r="E3" s="45"/>
      <c r="F3" s="45"/>
      <c r="G3" s="45"/>
      <c r="H3" s="45"/>
      <c r="I3" s="45"/>
      <c r="J3" s="45"/>
    </row>
    <row r="6" spans="1:12" x14ac:dyDescent="0.2">
      <c r="L6" t="s">
        <v>90</v>
      </c>
    </row>
    <row r="10" spans="1:12" ht="15.75" x14ac:dyDescent="0.3">
      <c r="A10" t="s">
        <v>15</v>
      </c>
      <c r="G10" t="s">
        <v>3</v>
      </c>
      <c r="H10" s="4">
        <v>137</v>
      </c>
      <c r="I10" s="44" t="s">
        <v>4</v>
      </c>
      <c r="J10" s="44"/>
    </row>
    <row r="11" spans="1:12" x14ac:dyDescent="0.2">
      <c r="A11" s="6">
        <v>36161</v>
      </c>
      <c r="B11" s="12">
        <v>1.8197000000000001</v>
      </c>
      <c r="I11" s="6">
        <v>36161</v>
      </c>
      <c r="J11">
        <v>166.2</v>
      </c>
    </row>
    <row r="12" spans="1:12" x14ac:dyDescent="0.2">
      <c r="A12" s="6">
        <v>36192</v>
      </c>
      <c r="B12" s="12">
        <v>1.746</v>
      </c>
      <c r="I12" s="6">
        <v>36192</v>
      </c>
      <c r="J12">
        <v>166.3</v>
      </c>
    </row>
    <row r="13" spans="1:12" x14ac:dyDescent="0.2">
      <c r="A13" s="6">
        <v>36220</v>
      </c>
      <c r="B13" s="12">
        <v>1.6930000000000001</v>
      </c>
      <c r="I13" s="6">
        <v>36220</v>
      </c>
      <c r="J13">
        <v>166.4</v>
      </c>
    </row>
    <row r="14" spans="1:12" x14ac:dyDescent="0.2">
      <c r="A14" s="6">
        <v>36251</v>
      </c>
      <c r="B14" s="12">
        <v>1.847</v>
      </c>
      <c r="I14" s="6">
        <v>36251</v>
      </c>
      <c r="J14">
        <v>166.7</v>
      </c>
    </row>
    <row r="15" spans="1:12" x14ac:dyDescent="0.2">
      <c r="A15" s="6">
        <v>36281</v>
      </c>
      <c r="B15" s="12">
        <v>2.3260000000000001</v>
      </c>
      <c r="I15" s="6">
        <v>36281</v>
      </c>
      <c r="J15">
        <v>168</v>
      </c>
    </row>
    <row r="16" spans="1:12" x14ac:dyDescent="0.2">
      <c r="A16" s="6">
        <v>36312</v>
      </c>
      <c r="B16" s="12">
        <v>2.2006999999999999</v>
      </c>
      <c r="D16" s="5"/>
      <c r="E16" s="7"/>
      <c r="I16" s="6">
        <v>36312</v>
      </c>
      <c r="J16">
        <v>169.1</v>
      </c>
    </row>
    <row r="17" spans="1:11" x14ac:dyDescent="0.2">
      <c r="A17" s="6">
        <v>36342</v>
      </c>
      <c r="B17" s="12">
        <v>2.2717000000000001</v>
      </c>
      <c r="I17" s="6">
        <v>36342</v>
      </c>
      <c r="J17">
        <v>170.2</v>
      </c>
    </row>
    <row r="18" spans="1:11" x14ac:dyDescent="0.2">
      <c r="A18" s="6">
        <v>36373</v>
      </c>
      <c r="B18" s="12">
        <v>2.5722999999999998</v>
      </c>
      <c r="D18" s="8"/>
      <c r="I18" s="6">
        <v>36373</v>
      </c>
      <c r="J18">
        <v>171.1</v>
      </c>
    </row>
    <row r="19" spans="1:11" x14ac:dyDescent="0.2">
      <c r="A19" s="6">
        <v>36404</v>
      </c>
      <c r="B19" s="12">
        <v>2.9630000000000001</v>
      </c>
      <c r="I19" s="6">
        <v>36404</v>
      </c>
      <c r="J19">
        <v>172.5</v>
      </c>
    </row>
    <row r="20" spans="1:11" x14ac:dyDescent="0.2">
      <c r="A20" s="6">
        <v>36434</v>
      </c>
      <c r="B20" s="12">
        <v>2.6073</v>
      </c>
      <c r="I20" s="6">
        <v>36434</v>
      </c>
      <c r="J20">
        <v>173</v>
      </c>
    </row>
    <row r="21" spans="1:11" x14ac:dyDescent="0.2">
      <c r="A21" s="6">
        <v>36465</v>
      </c>
      <c r="B21" s="12">
        <v>3.0396999999999998</v>
      </c>
      <c r="I21" s="6">
        <v>36465</v>
      </c>
      <c r="J21">
        <v>172.5</v>
      </c>
    </row>
    <row r="22" spans="1:11" x14ac:dyDescent="0.2">
      <c r="A22" s="6">
        <v>36495</v>
      </c>
      <c r="B22" s="12">
        <v>2.16866</v>
      </c>
      <c r="I22" s="6">
        <v>36495</v>
      </c>
      <c r="J22">
        <v>173.6</v>
      </c>
    </row>
    <row r="23" spans="1:11" x14ac:dyDescent="0.2">
      <c r="B23">
        <f>ROUND(AVERAGE(B11:B22),4)</f>
        <v>2.2713000000000001</v>
      </c>
      <c r="I23" t="s">
        <v>0</v>
      </c>
      <c r="J23">
        <f>ROUND(AVERAGE(J11:J22),4)</f>
        <v>169.63329999999999</v>
      </c>
    </row>
    <row r="25" spans="1:11" x14ac:dyDescent="0.2">
      <c r="A25" t="s">
        <v>9</v>
      </c>
      <c r="B25" s="14">
        <v>0.625</v>
      </c>
      <c r="C25" t="s">
        <v>10</v>
      </c>
    </row>
    <row r="26" spans="1:11" ht="15.75" x14ac:dyDescent="0.3">
      <c r="A26" t="s">
        <v>11</v>
      </c>
      <c r="B26" s="43" t="s">
        <v>4</v>
      </c>
      <c r="C26" s="43"/>
      <c r="D26" s="10" t="s">
        <v>1</v>
      </c>
      <c r="E26" s="2">
        <f>J23</f>
        <v>169.63329999999999</v>
      </c>
      <c r="F26" s="10" t="s">
        <v>1</v>
      </c>
      <c r="G26" s="13">
        <f>J23/H10</f>
        <v>1.2381992700729927</v>
      </c>
    </row>
    <row r="27" spans="1:11" ht="15.75" x14ac:dyDescent="0.3">
      <c r="B27" s="15" t="s">
        <v>12</v>
      </c>
      <c r="E27" s="4">
        <f>H10</f>
        <v>137</v>
      </c>
    </row>
    <row r="31" spans="1:11" x14ac:dyDescent="0.2">
      <c r="A31" t="s">
        <v>7</v>
      </c>
      <c r="D31" s="1" t="s">
        <v>14</v>
      </c>
      <c r="E31" s="1"/>
      <c r="F31" s="1"/>
      <c r="G31" s="1"/>
      <c r="H31" s="1"/>
      <c r="I31" s="1"/>
      <c r="J31" s="1"/>
      <c r="K31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/>
    </row>
    <row r="36" spans="1:10" x14ac:dyDescent="0.2">
      <c r="A36" t="s">
        <v>7</v>
      </c>
      <c r="B36" s="9"/>
      <c r="C36" s="9"/>
      <c r="D36" s="9"/>
      <c r="E36" s="1" t="s">
        <v>8</v>
      </c>
      <c r="F36" s="1"/>
      <c r="G36" s="1"/>
      <c r="H36" s="1"/>
      <c r="I36" s="1"/>
      <c r="J36" s="1"/>
    </row>
    <row r="39" spans="1:10" x14ac:dyDescent="0.2">
      <c r="D39" s="10" t="s">
        <v>1</v>
      </c>
      <c r="E39" s="1">
        <f>68%*B23</f>
        <v>1.5444840000000002</v>
      </c>
      <c r="F39" s="3" t="s">
        <v>2</v>
      </c>
      <c r="G39" s="16">
        <f>B25*G26</f>
        <v>0.77387454379562048</v>
      </c>
    </row>
    <row r="40" spans="1:10" x14ac:dyDescent="0.2">
      <c r="F40" s="5"/>
    </row>
    <row r="42" spans="1:10" ht="13.5" thickBot="1" x14ac:dyDescent="0.25">
      <c r="D42" s="10" t="s">
        <v>1</v>
      </c>
      <c r="E42" s="17">
        <f>E39+G39</f>
        <v>2.3183585437956209</v>
      </c>
    </row>
    <row r="43" spans="1:10" ht="13.5" thickTop="1" x14ac:dyDescent="0.2">
      <c r="D43" s="10"/>
      <c r="E43" s="5"/>
    </row>
    <row r="45" spans="1:10" x14ac:dyDescent="0.2">
      <c r="D45" s="10"/>
      <c r="E45" s="11"/>
    </row>
  </sheetData>
  <mergeCells count="5">
    <mergeCell ref="A1:J1"/>
    <mergeCell ref="B26:C26"/>
    <mergeCell ref="I10:J10"/>
    <mergeCell ref="A2:J2"/>
    <mergeCell ref="A3:J3"/>
  </mergeCells>
  <pageMargins left="0.4" right="0.45" top="1" bottom="1" header="0.5" footer="0.5"/>
  <pageSetup orientation="portrait" horizontalDpi="400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topLeftCell="A5" workbookViewId="0">
      <selection activeCell="A37" sqref="A37"/>
    </sheetView>
  </sheetViews>
  <sheetFormatPr defaultRowHeight="12.75" x14ac:dyDescent="0.2"/>
  <cols>
    <col min="3" max="3" width="13.85546875" bestFit="1" customWidth="1"/>
    <col min="5" max="5" width="13.5703125" customWidth="1"/>
    <col min="6" max="6" width="12.7109375" style="30" bestFit="1" customWidth="1"/>
    <col min="7" max="7" width="12.85546875" bestFit="1" customWidth="1"/>
    <col min="8" max="8" width="12.7109375" style="31" customWidth="1"/>
    <col min="9" max="9" width="10.28515625" style="25" bestFit="1" customWidth="1"/>
    <col min="11" max="11" width="6.7109375" style="29" bestFit="1" customWidth="1"/>
    <col min="12" max="12" width="9.42578125" customWidth="1"/>
  </cols>
  <sheetData>
    <row r="1" spans="1:11" x14ac:dyDescent="0.2">
      <c r="A1" s="9" t="s">
        <v>71</v>
      </c>
    </row>
    <row r="2" spans="1:11" x14ac:dyDescent="0.2">
      <c r="A2" s="9"/>
      <c r="E2" t="s">
        <v>56</v>
      </c>
    </row>
    <row r="3" spans="1:11" x14ac:dyDescent="0.2">
      <c r="E3" t="s">
        <v>57</v>
      </c>
      <c r="G3" t="s">
        <v>58</v>
      </c>
      <c r="J3" t="s">
        <v>59</v>
      </c>
    </row>
    <row r="5" spans="1:11" x14ac:dyDescent="0.2">
      <c r="A5" t="s">
        <v>54</v>
      </c>
      <c r="B5" t="s">
        <v>55</v>
      </c>
      <c r="E5" s="23">
        <v>123645.1</v>
      </c>
      <c r="F5" s="30">
        <v>121392.38</v>
      </c>
      <c r="G5" s="25">
        <v>2795633</v>
      </c>
      <c r="H5" s="31">
        <v>2744094</v>
      </c>
      <c r="I5" s="25">
        <v>2744084</v>
      </c>
      <c r="J5">
        <f>G5/E5</f>
        <v>22.610139827619534</v>
      </c>
      <c r="K5" s="32">
        <f>H5/F5</f>
        <v>22.605158577498852</v>
      </c>
    </row>
    <row r="6" spans="1:11" x14ac:dyDescent="0.2">
      <c r="E6" s="24"/>
      <c r="G6" s="25"/>
    </row>
    <row r="7" spans="1:11" x14ac:dyDescent="0.2">
      <c r="A7" t="s">
        <v>60</v>
      </c>
      <c r="B7" t="s">
        <v>61</v>
      </c>
      <c r="E7" s="24">
        <v>68586.654999999999</v>
      </c>
      <c r="F7" s="30">
        <v>68586.654999999999</v>
      </c>
      <c r="G7" s="25">
        <v>1546267</v>
      </c>
      <c r="H7" s="31">
        <v>1546267</v>
      </c>
      <c r="I7" s="25">
        <v>1546247</v>
      </c>
      <c r="J7">
        <f t="shared" ref="J7:J15" si="0">G7/E7</f>
        <v>22.544720981071318</v>
      </c>
      <c r="K7" s="32">
        <f>H7/F7</f>
        <v>22.544720981071318</v>
      </c>
    </row>
    <row r="8" spans="1:11" x14ac:dyDescent="0.2">
      <c r="E8" s="24"/>
      <c r="G8" s="25"/>
    </row>
    <row r="9" spans="1:11" x14ac:dyDescent="0.2">
      <c r="A9" t="s">
        <v>62</v>
      </c>
      <c r="B9" t="s">
        <v>55</v>
      </c>
      <c r="E9" s="35">
        <v>119000</v>
      </c>
      <c r="F9" s="36">
        <v>117073</v>
      </c>
      <c r="G9" s="37">
        <f>E9*J23</f>
        <v>0</v>
      </c>
      <c r="H9" s="38">
        <v>2646964</v>
      </c>
      <c r="I9" s="37">
        <v>2630718</v>
      </c>
      <c r="J9" s="39">
        <f t="shared" si="0"/>
        <v>0</v>
      </c>
      <c r="K9" s="40">
        <f>H9/F9</f>
        <v>22.609517138879159</v>
      </c>
    </row>
    <row r="10" spans="1:11" x14ac:dyDescent="0.2">
      <c r="A10" t="s">
        <v>89</v>
      </c>
      <c r="E10" s="24"/>
      <c r="G10" s="25"/>
    </row>
    <row r="11" spans="1:11" x14ac:dyDescent="0.2">
      <c r="A11" t="s">
        <v>69</v>
      </c>
      <c r="B11" t="s">
        <v>55</v>
      </c>
      <c r="E11" s="24">
        <v>30086.6</v>
      </c>
      <c r="F11" s="30">
        <v>30086.6</v>
      </c>
      <c r="G11" s="25">
        <v>680556</v>
      </c>
      <c r="H11" s="31">
        <v>680556</v>
      </c>
      <c r="I11" s="25">
        <v>680556</v>
      </c>
      <c r="J11">
        <f>G11/E11</f>
        <v>22.619903877473693</v>
      </c>
      <c r="K11" s="32">
        <f>H11/F11</f>
        <v>22.619903877473693</v>
      </c>
    </row>
    <row r="12" spans="1:11" x14ac:dyDescent="0.2">
      <c r="E12" s="24"/>
      <c r="G12" s="25"/>
    </row>
    <row r="13" spans="1:11" x14ac:dyDescent="0.2">
      <c r="A13" t="s">
        <v>70</v>
      </c>
      <c r="B13" t="s">
        <v>55</v>
      </c>
      <c r="E13" s="24">
        <v>111936.2</v>
      </c>
      <c r="F13" s="30">
        <v>111936.2</v>
      </c>
      <c r="G13" s="25">
        <v>2530502</v>
      </c>
      <c r="H13" s="31">
        <v>2530502</v>
      </c>
      <c r="I13" s="25">
        <v>2530502</v>
      </c>
      <c r="J13">
        <f t="shared" si="0"/>
        <v>22.60664557131652</v>
      </c>
      <c r="K13" s="32">
        <f>H13/F13</f>
        <v>22.60664557131652</v>
      </c>
    </row>
    <row r="14" spans="1:11" x14ac:dyDescent="0.2">
      <c r="E14" s="24"/>
      <c r="G14" s="25"/>
    </row>
    <row r="15" spans="1:11" x14ac:dyDescent="0.2">
      <c r="A15" t="s">
        <v>63</v>
      </c>
      <c r="B15" t="s">
        <v>55</v>
      </c>
      <c r="E15" s="24">
        <v>122088.5</v>
      </c>
      <c r="F15" s="30">
        <v>122088.5</v>
      </c>
      <c r="G15" s="25">
        <v>2759397</v>
      </c>
      <c r="H15" s="31">
        <v>2759397</v>
      </c>
      <c r="I15" s="25">
        <v>2759397</v>
      </c>
      <c r="J15">
        <f t="shared" si="0"/>
        <v>22.601612764510989</v>
      </c>
      <c r="K15" s="32">
        <f>H15/F15</f>
        <v>22.601612764510989</v>
      </c>
    </row>
    <row r="18" spans="1:255" x14ac:dyDescent="0.2">
      <c r="E18" s="24">
        <f>SUM(E5:E15)</f>
        <v>575343.05499999993</v>
      </c>
      <c r="F18" s="30">
        <f>SUM(F5:F17)</f>
        <v>571163.33499999996</v>
      </c>
      <c r="G18" s="26">
        <f>SUM(G5:G16)</f>
        <v>10312355</v>
      </c>
      <c r="H18" s="31">
        <f>SUM(H5:H17)</f>
        <v>12907780</v>
      </c>
      <c r="J18">
        <f>SUM(J5:J16)/6</f>
        <v>18.830503836998677</v>
      </c>
      <c r="K18" s="32">
        <f>H18/F18</f>
        <v>22.599104685177316</v>
      </c>
    </row>
    <row r="19" spans="1:255" x14ac:dyDescent="0.2">
      <c r="E19" s="24"/>
      <c r="G19" s="26"/>
    </row>
    <row r="20" spans="1:255" x14ac:dyDescent="0.2">
      <c r="E20" s="24"/>
      <c r="F20" s="30">
        <f>AVERAGE(F5,F15)</f>
        <v>121740.44</v>
      </c>
      <c r="G20" s="26"/>
      <c r="H20" s="30">
        <f>AVERAGE(H5,H15)</f>
        <v>2751745.5</v>
      </c>
    </row>
    <row r="21" spans="1:255" x14ac:dyDescent="0.2">
      <c r="A21" s="9"/>
    </row>
    <row r="23" spans="1:255" x14ac:dyDescent="0.2">
      <c r="E23" s="24"/>
      <c r="G23" s="26"/>
    </row>
    <row r="24" spans="1:255" x14ac:dyDescent="0.2">
      <c r="E24" s="24"/>
      <c r="G24" s="26"/>
    </row>
    <row r="25" spans="1:255" x14ac:dyDescent="0.2">
      <c r="E25" s="24"/>
      <c r="G25" s="26"/>
    </row>
    <row r="27" spans="1:255" x14ac:dyDescent="0.2">
      <c r="A27" t="s">
        <v>69</v>
      </c>
      <c r="B27" t="s">
        <v>55</v>
      </c>
      <c r="E27" s="24">
        <v>30086.6</v>
      </c>
      <c r="G27" s="25">
        <v>680556</v>
      </c>
      <c r="I27" s="25">
        <v>680556</v>
      </c>
      <c r="J27">
        <f>G27/E27</f>
        <v>22.619903877473693</v>
      </c>
      <c r="O27" s="24"/>
      <c r="Q27" s="25"/>
      <c r="W27" s="24"/>
      <c r="Y27" s="25"/>
      <c r="AE27" s="24"/>
      <c r="AG27" s="25"/>
      <c r="AM27" s="24"/>
      <c r="AO27" s="25"/>
      <c r="AU27" s="24"/>
      <c r="AW27" s="25"/>
      <c r="BC27" s="24"/>
      <c r="BE27" s="25"/>
      <c r="BK27" s="24"/>
      <c r="BM27" s="25"/>
      <c r="BS27" s="24"/>
      <c r="BU27" s="25"/>
      <c r="CA27" s="24"/>
      <c r="CC27" s="25"/>
      <c r="CI27" s="24"/>
      <c r="CK27" s="25"/>
      <c r="CQ27" s="24"/>
      <c r="CS27" s="25"/>
      <c r="CY27" s="24"/>
      <c r="DA27" s="25"/>
      <c r="DG27" s="24"/>
      <c r="DI27" s="25"/>
      <c r="DO27" s="24"/>
      <c r="DQ27" s="25"/>
      <c r="DW27" s="24"/>
      <c r="DY27" s="25"/>
      <c r="EE27" s="24"/>
      <c r="EG27" s="25"/>
      <c r="EM27" s="24"/>
      <c r="EO27" s="25"/>
      <c r="EU27" s="24"/>
      <c r="EW27" s="25"/>
      <c r="FC27" s="24"/>
      <c r="FE27" s="25"/>
      <c r="FK27" s="24"/>
      <c r="FM27" s="25"/>
      <c r="FS27" s="24"/>
      <c r="FU27" s="25"/>
      <c r="GA27" s="24"/>
      <c r="GC27" s="25"/>
      <c r="GI27" s="24"/>
      <c r="GK27" s="25"/>
      <c r="GQ27" s="24"/>
      <c r="GS27" s="25"/>
      <c r="GY27" s="24"/>
      <c r="HA27" s="25"/>
      <c r="HG27" s="24"/>
      <c r="HI27" s="25"/>
      <c r="HO27" s="24"/>
      <c r="HQ27" s="25"/>
      <c r="HW27" s="24"/>
      <c r="HY27" s="25"/>
      <c r="IE27" s="24"/>
      <c r="IG27" s="25"/>
      <c r="IM27" s="24"/>
      <c r="IO27" s="25"/>
      <c r="IU27" s="24"/>
    </row>
    <row r="28" spans="1:255" x14ac:dyDescent="0.2">
      <c r="A28" t="s">
        <v>64</v>
      </c>
      <c r="E28" s="22">
        <f>demand!D18*demand!D16</f>
        <v>952000</v>
      </c>
      <c r="M28">
        <f>8*119000</f>
        <v>952000</v>
      </c>
    </row>
    <row r="30" spans="1:255" x14ac:dyDescent="0.2">
      <c r="A30" t="s">
        <v>65</v>
      </c>
      <c r="E30" s="28">
        <v>1E-3</v>
      </c>
      <c r="F30" s="30" t="s">
        <v>72</v>
      </c>
    </row>
    <row r="32" spans="1:255" x14ac:dyDescent="0.2">
      <c r="A32" t="s">
        <v>66</v>
      </c>
      <c r="E32" s="8">
        <f>demand!D18</f>
        <v>119000</v>
      </c>
      <c r="F32" s="30" t="s">
        <v>73</v>
      </c>
    </row>
    <row r="34" spans="1:5" x14ac:dyDescent="0.2">
      <c r="A34" t="s">
        <v>67</v>
      </c>
      <c r="E34">
        <v>0</v>
      </c>
    </row>
    <row r="36" spans="1:5" x14ac:dyDescent="0.2">
      <c r="A36" t="s">
        <v>68</v>
      </c>
      <c r="E36">
        <v>0</v>
      </c>
    </row>
    <row r="40" spans="1:5" x14ac:dyDescent="0.2">
      <c r="A40" t="s">
        <v>77</v>
      </c>
    </row>
    <row r="42" spans="1:5" x14ac:dyDescent="0.2">
      <c r="A42" t="s">
        <v>78</v>
      </c>
      <c r="C42" s="22">
        <v>1811105.55</v>
      </c>
    </row>
    <row r="43" spans="1:5" x14ac:dyDescent="0.2">
      <c r="A43" t="s">
        <v>79</v>
      </c>
      <c r="C43" s="22">
        <v>1814857.22</v>
      </c>
    </row>
    <row r="44" spans="1:5" x14ac:dyDescent="0.2">
      <c r="A44" t="s">
        <v>80</v>
      </c>
      <c r="C44" s="22">
        <v>1815322.79</v>
      </c>
    </row>
    <row r="45" spans="1:5" x14ac:dyDescent="0.2">
      <c r="A45" t="s">
        <v>81</v>
      </c>
      <c r="C45" s="22">
        <v>1815322.79</v>
      </c>
    </row>
    <row r="46" spans="1:5" x14ac:dyDescent="0.2">
      <c r="A46" t="s">
        <v>82</v>
      </c>
      <c r="C46" s="22">
        <v>1815322.79</v>
      </c>
    </row>
    <row r="47" spans="1:5" x14ac:dyDescent="0.2">
      <c r="A47" t="s">
        <v>83</v>
      </c>
      <c r="C47" s="22">
        <v>1815322.79</v>
      </c>
    </row>
    <row r="48" spans="1:5" x14ac:dyDescent="0.2">
      <c r="A48" t="s">
        <v>84</v>
      </c>
      <c r="C48" s="22">
        <v>1815322.79</v>
      </c>
    </row>
    <row r="49" spans="1:3" x14ac:dyDescent="0.2">
      <c r="A49" t="s">
        <v>85</v>
      </c>
      <c r="C49" s="22">
        <v>1815322.79</v>
      </c>
    </row>
    <row r="50" spans="1:3" x14ac:dyDescent="0.2">
      <c r="A50" t="s">
        <v>86</v>
      </c>
      <c r="C50" s="22">
        <v>1815322.79</v>
      </c>
    </row>
    <row r="51" spans="1:3" x14ac:dyDescent="0.2">
      <c r="A51" t="s">
        <v>87</v>
      </c>
      <c r="C51" s="22">
        <v>1815322.79</v>
      </c>
    </row>
    <row r="52" spans="1:3" x14ac:dyDescent="0.2">
      <c r="A52" t="s">
        <v>88</v>
      </c>
      <c r="C52" s="22">
        <v>1815322.79</v>
      </c>
    </row>
    <row r="54" spans="1:3" x14ac:dyDescent="0.2">
      <c r="C54" s="27">
        <f>SUM(C42:C53)</f>
        <v>19963867.879999995</v>
      </c>
    </row>
  </sheetData>
  <pageMargins left="0.18" right="0.17" top="0.25" bottom="0.25" header="0.5" footer="0.5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4" zoomScaleNormal="100" workbookViewId="0">
      <selection activeCell="F52" sqref="F52"/>
    </sheetView>
  </sheetViews>
  <sheetFormatPr defaultRowHeight="12.75" x14ac:dyDescent="0.2"/>
  <cols>
    <col min="1" max="1" width="4.5703125" customWidth="1"/>
    <col min="5" max="5" width="13.7109375" bestFit="1" customWidth="1"/>
    <col min="6" max="6" width="14.42578125" bestFit="1" customWidth="1"/>
    <col min="7" max="7" width="35.42578125" customWidth="1"/>
    <col min="8" max="8" width="36.5703125" customWidth="1"/>
  </cols>
  <sheetData>
    <row r="1" spans="1:10" x14ac:dyDescent="0.2">
      <c r="A1" s="42"/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2">
      <c r="A2" s="45" t="s">
        <v>37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x14ac:dyDescent="0.2">
      <c r="A3" s="45" t="s">
        <v>38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x14ac:dyDescent="0.2">
      <c r="H4">
        <f>126538*0.98-2000</f>
        <v>122007.23999999999</v>
      </c>
    </row>
    <row r="6" spans="1:10" x14ac:dyDescent="0.2">
      <c r="A6" t="s">
        <v>39</v>
      </c>
      <c r="B6" s="5" t="s">
        <v>40</v>
      </c>
      <c r="C6" t="s">
        <v>51</v>
      </c>
      <c r="H6" s="26">
        <f>Data!E28</f>
        <v>952000</v>
      </c>
    </row>
    <row r="7" spans="1:10" x14ac:dyDescent="0.2">
      <c r="B7" s="5"/>
    </row>
    <row r="8" spans="1:10" x14ac:dyDescent="0.2">
      <c r="B8" s="5" t="s">
        <v>41</v>
      </c>
    </row>
    <row r="9" spans="1:10" x14ac:dyDescent="0.2">
      <c r="B9" s="5"/>
    </row>
    <row r="10" spans="1:10" x14ac:dyDescent="0.2">
      <c r="B10" s="5" t="s">
        <v>42</v>
      </c>
      <c r="C10" t="s">
        <v>48</v>
      </c>
      <c r="H10" s="4">
        <f>Data!K18</f>
        <v>22.599104685177316</v>
      </c>
      <c r="I10" s="44"/>
      <c r="J10" s="44"/>
    </row>
    <row r="11" spans="1:10" x14ac:dyDescent="0.2">
      <c r="A11" s="6"/>
      <c r="B11" s="21"/>
      <c r="I11" s="6"/>
    </row>
    <row r="12" spans="1:10" x14ac:dyDescent="0.2">
      <c r="A12" s="6"/>
      <c r="B12" s="21" t="s">
        <v>41</v>
      </c>
      <c r="I12" s="6"/>
    </row>
    <row r="13" spans="1:10" x14ac:dyDescent="0.2">
      <c r="A13" s="6"/>
      <c r="B13" s="21"/>
      <c r="I13" s="6"/>
    </row>
    <row r="14" spans="1:10" x14ac:dyDescent="0.2">
      <c r="A14" s="6"/>
      <c r="B14" s="21" t="s">
        <v>43</v>
      </c>
      <c r="C14" t="s">
        <v>44</v>
      </c>
      <c r="H14">
        <f>demand!D7</f>
        <v>0.81694273357664227</v>
      </c>
      <c r="I14" s="6"/>
    </row>
    <row r="15" spans="1:10" x14ac:dyDescent="0.2">
      <c r="A15" s="6"/>
      <c r="B15" s="21"/>
      <c r="I15" s="6"/>
    </row>
    <row r="16" spans="1:10" x14ac:dyDescent="0.2">
      <c r="A16" s="12" t="s">
        <v>45</v>
      </c>
      <c r="B16" s="21"/>
      <c r="D16" s="5"/>
      <c r="E16" s="7"/>
      <c r="I16" s="6"/>
    </row>
    <row r="17" spans="1:9" x14ac:dyDescent="0.2">
      <c r="A17" s="6" t="s">
        <v>46</v>
      </c>
      <c r="B17" s="21"/>
      <c r="I17" s="6"/>
    </row>
    <row r="18" spans="1:9" x14ac:dyDescent="0.2">
      <c r="A18" s="6"/>
      <c r="B18" s="21" t="s">
        <v>40</v>
      </c>
      <c r="C18" t="s">
        <v>47</v>
      </c>
      <c r="D18" s="8"/>
      <c r="I18" s="6"/>
    </row>
    <row r="19" spans="1:9" x14ac:dyDescent="0.2">
      <c r="A19" s="6"/>
      <c r="B19" s="21"/>
      <c r="H19" s="27">
        <v>119000</v>
      </c>
      <c r="I19" s="6"/>
    </row>
    <row r="20" spans="1:9" x14ac:dyDescent="0.2">
      <c r="A20" s="6"/>
      <c r="B20" s="5" t="s">
        <v>41</v>
      </c>
      <c r="I20" s="6"/>
    </row>
    <row r="21" spans="1:9" x14ac:dyDescent="0.2">
      <c r="A21" s="6"/>
      <c r="B21" s="5"/>
      <c r="I21" s="6"/>
    </row>
    <row r="22" spans="1:9" x14ac:dyDescent="0.2">
      <c r="A22" s="6"/>
      <c r="B22" s="5" t="s">
        <v>42</v>
      </c>
      <c r="C22" t="s">
        <v>92</v>
      </c>
      <c r="H22">
        <v>22.84</v>
      </c>
      <c r="I22" s="6"/>
    </row>
    <row r="23" spans="1:9" x14ac:dyDescent="0.2">
      <c r="B23" s="5"/>
    </row>
    <row r="24" spans="1:9" x14ac:dyDescent="0.2">
      <c r="B24" s="21" t="s">
        <v>41</v>
      </c>
    </row>
    <row r="25" spans="1:9" x14ac:dyDescent="0.2">
      <c r="B25" s="21"/>
    </row>
    <row r="26" spans="1:9" x14ac:dyDescent="0.2">
      <c r="B26" s="21" t="s">
        <v>43</v>
      </c>
      <c r="C26" t="s">
        <v>91</v>
      </c>
      <c r="D26" s="20"/>
      <c r="E26" s="1"/>
      <c r="F26" s="10"/>
      <c r="G26" s="13"/>
      <c r="H26">
        <f>demand!I7</f>
        <v>0.81134723540145981</v>
      </c>
    </row>
    <row r="27" spans="1:9" x14ac:dyDescent="0.2">
      <c r="B27" s="5"/>
    </row>
    <row r="28" spans="1:9" x14ac:dyDescent="0.2">
      <c r="B28" s="5"/>
    </row>
    <row r="29" spans="1:9" x14ac:dyDescent="0.2">
      <c r="B29" s="5"/>
    </row>
    <row r="30" spans="1:9" x14ac:dyDescent="0.2">
      <c r="B30" s="5"/>
    </row>
    <row r="31" spans="1:9" x14ac:dyDescent="0.2">
      <c r="B31" s="5"/>
    </row>
    <row r="32" spans="1:9" x14ac:dyDescent="0.2">
      <c r="A32" t="s">
        <v>53</v>
      </c>
      <c r="B32" s="5"/>
    </row>
    <row r="33" spans="2:8" x14ac:dyDescent="0.2">
      <c r="B33" s="5"/>
    </row>
    <row r="34" spans="2:8" x14ac:dyDescent="0.2">
      <c r="B34" s="15"/>
      <c r="C34" s="15" t="s">
        <v>52</v>
      </c>
    </row>
    <row r="35" spans="2:8" x14ac:dyDescent="0.2">
      <c r="B35" s="5"/>
    </row>
    <row r="36" spans="2:8" x14ac:dyDescent="0.2">
      <c r="B36" s="5"/>
    </row>
    <row r="37" spans="2:8" x14ac:dyDescent="0.2">
      <c r="B37" s="5"/>
    </row>
    <row r="38" spans="2:8" x14ac:dyDescent="0.2">
      <c r="B38" s="5"/>
      <c r="C38" t="s">
        <v>39</v>
      </c>
      <c r="D38" s="7" t="s">
        <v>1</v>
      </c>
      <c r="E38" t="s">
        <v>74</v>
      </c>
      <c r="G38" s="27">
        <f>H6*H10*H14</f>
        <v>17575989.988714572</v>
      </c>
    </row>
    <row r="39" spans="2:8" x14ac:dyDescent="0.2">
      <c r="B39" s="5"/>
    </row>
    <row r="40" spans="2:8" x14ac:dyDescent="0.2">
      <c r="C40" t="s">
        <v>46</v>
      </c>
      <c r="D40" s="7" t="s">
        <v>1</v>
      </c>
      <c r="E40" t="s">
        <v>74</v>
      </c>
      <c r="G40" s="22">
        <f>H19*H22*H26</f>
        <v>2205209.3319317517</v>
      </c>
      <c r="H40" s="27">
        <f>G40+G38</f>
        <v>19781199.320646323</v>
      </c>
    </row>
    <row r="42" spans="2:8" x14ac:dyDescent="0.2">
      <c r="C42" t="s">
        <v>49</v>
      </c>
      <c r="E42" t="s">
        <v>74</v>
      </c>
      <c r="G42" s="27"/>
    </row>
    <row r="44" spans="2:8" x14ac:dyDescent="0.2">
      <c r="C44" t="s">
        <v>50</v>
      </c>
      <c r="E44" t="s">
        <v>74</v>
      </c>
      <c r="G44" s="22"/>
    </row>
    <row r="50" spans="3:7" x14ac:dyDescent="0.2">
      <c r="C50" t="s">
        <v>76</v>
      </c>
    </row>
    <row r="52" spans="3:7" x14ac:dyDescent="0.2">
      <c r="C52" t="s">
        <v>93</v>
      </c>
      <c r="E52" s="7"/>
      <c r="F52" s="34">
        <f>demand!E36</f>
        <v>19968550.709147517</v>
      </c>
    </row>
    <row r="53" spans="3:7" x14ac:dyDescent="0.2">
      <c r="C53" t="s">
        <v>94</v>
      </c>
      <c r="F53" s="27">
        <f>G38+G40</f>
        <v>19781199.320646323</v>
      </c>
    </row>
    <row r="54" spans="3:7" ht="13.5" thickBot="1" x14ac:dyDescent="0.25">
      <c r="F54" s="27"/>
    </row>
    <row r="55" spans="3:7" ht="13.5" thickBot="1" x14ac:dyDescent="0.25">
      <c r="E55" t="s">
        <v>95</v>
      </c>
      <c r="F55" s="41">
        <f>F52-F53</f>
        <v>187351.38850119337</v>
      </c>
      <c r="G55" t="s">
        <v>96</v>
      </c>
    </row>
  </sheetData>
  <mergeCells count="4">
    <mergeCell ref="A1:J1"/>
    <mergeCell ref="I10:J10"/>
    <mergeCell ref="A2:J2"/>
    <mergeCell ref="A3:J3"/>
  </mergeCells>
  <pageMargins left="0.4" right="0.45" top="0.39" bottom="0.26" header="0.3" footer="0.21"/>
  <pageSetup scale="80" orientation="landscape" horizontalDpi="400" verticalDpi="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2" zoomScaleNormal="100" workbookViewId="0">
      <selection activeCell="E36" sqref="E36"/>
    </sheetView>
  </sheetViews>
  <sheetFormatPr defaultRowHeight="12.75" x14ac:dyDescent="0.2"/>
  <cols>
    <col min="5" max="5" width="13.7109375" bestFit="1" customWidth="1"/>
    <col min="7" max="7" width="16" customWidth="1"/>
    <col min="8" max="8" width="6.5703125" customWidth="1"/>
    <col min="9" max="9" width="11.28515625" bestFit="1" customWidth="1"/>
    <col min="12" max="12" width="13.5703125" bestFit="1" customWidth="1"/>
    <col min="13" max="13" width="4" bestFit="1" customWidth="1"/>
  </cols>
  <sheetData>
    <row r="1" spans="1:13" x14ac:dyDescent="0.2">
      <c r="A1" s="42" t="s">
        <v>75</v>
      </c>
      <c r="B1" s="42"/>
      <c r="C1" s="42"/>
      <c r="D1" s="42"/>
      <c r="E1" s="42"/>
      <c r="F1" s="42"/>
      <c r="G1" s="42"/>
      <c r="H1" s="42"/>
      <c r="I1" s="42"/>
      <c r="J1" s="42"/>
    </row>
    <row r="2" spans="1:13" x14ac:dyDescent="0.2">
      <c r="A2" s="45" t="s">
        <v>16</v>
      </c>
      <c r="B2" s="45"/>
      <c r="C2" s="45"/>
      <c r="D2" s="45"/>
      <c r="E2" s="45"/>
      <c r="F2" s="45"/>
      <c r="G2" s="45"/>
      <c r="H2" s="45"/>
      <c r="I2" s="45"/>
      <c r="J2" s="45"/>
    </row>
    <row r="3" spans="1:13" x14ac:dyDescent="0.2">
      <c r="A3" s="45" t="s">
        <v>17</v>
      </c>
      <c r="B3" s="45"/>
      <c r="C3" s="45"/>
      <c r="D3" s="45"/>
      <c r="E3" s="45"/>
      <c r="F3" s="45"/>
      <c r="G3" s="45"/>
      <c r="H3" s="45"/>
      <c r="I3" s="45"/>
      <c r="J3" s="45"/>
    </row>
    <row r="6" spans="1:13" x14ac:dyDescent="0.2">
      <c r="A6" t="s">
        <v>18</v>
      </c>
      <c r="F6" t="s">
        <v>19</v>
      </c>
    </row>
    <row r="7" spans="1:13" x14ac:dyDescent="0.2">
      <c r="A7" t="s">
        <v>20</v>
      </c>
      <c r="D7">
        <f>0.73*C13</f>
        <v>0.81694273357664227</v>
      </c>
      <c r="F7" t="s">
        <v>21</v>
      </c>
      <c r="I7">
        <f>0.725*C13</f>
        <v>0.81134723540145981</v>
      </c>
    </row>
    <row r="10" spans="1:13" ht="15.75" x14ac:dyDescent="0.3">
      <c r="A10" t="s">
        <v>22</v>
      </c>
      <c r="G10" t="s">
        <v>3</v>
      </c>
      <c r="H10" s="4">
        <v>137</v>
      </c>
      <c r="I10" s="44" t="s">
        <v>4</v>
      </c>
      <c r="J10" s="44"/>
    </row>
    <row r="11" spans="1:13" x14ac:dyDescent="0.2">
      <c r="A11" t="s">
        <v>23</v>
      </c>
      <c r="C11" t="s">
        <v>24</v>
      </c>
      <c r="D11">
        <f>J23/H10</f>
        <v>1.2381992700729927</v>
      </c>
      <c r="E11" t="s">
        <v>25</v>
      </c>
      <c r="I11" s="6">
        <v>36161</v>
      </c>
      <c r="J11">
        <v>166.2</v>
      </c>
    </row>
    <row r="12" spans="1:13" x14ac:dyDescent="0.2">
      <c r="A12" t="s">
        <v>23</v>
      </c>
      <c r="C12" t="s">
        <v>26</v>
      </c>
      <c r="D12">
        <f>D11-1</f>
        <v>0.23819927007299269</v>
      </c>
      <c r="E12" t="s">
        <v>27</v>
      </c>
      <c r="I12" s="6">
        <v>36192</v>
      </c>
      <c r="J12">
        <v>166.3</v>
      </c>
    </row>
    <row r="13" spans="1:13" x14ac:dyDescent="0.2">
      <c r="A13" t="s">
        <v>28</v>
      </c>
      <c r="C13">
        <f>1+(0.5*D12)</f>
        <v>1.1190996350364963</v>
      </c>
      <c r="I13" s="6">
        <v>36220</v>
      </c>
      <c r="J13">
        <v>166.4</v>
      </c>
    </row>
    <row r="14" spans="1:13" x14ac:dyDescent="0.2">
      <c r="I14" s="6">
        <v>36251</v>
      </c>
      <c r="J14">
        <v>166.7</v>
      </c>
    </row>
    <row r="15" spans="1:13" x14ac:dyDescent="0.2">
      <c r="I15" s="6">
        <v>36281</v>
      </c>
      <c r="J15">
        <v>168</v>
      </c>
      <c r="L15" s="33">
        <v>36526</v>
      </c>
      <c r="M15">
        <f>L16-L15</f>
        <v>192</v>
      </c>
    </row>
    <row r="16" spans="1:13" x14ac:dyDescent="0.2">
      <c r="A16" t="s">
        <v>29</v>
      </c>
      <c r="B16" t="s">
        <v>30</v>
      </c>
      <c r="D16" s="5">
        <f>ROUND(322/365*9,0)</f>
        <v>8</v>
      </c>
      <c r="E16" s="7"/>
      <c r="I16" s="6">
        <v>36312</v>
      </c>
      <c r="J16">
        <v>169.1</v>
      </c>
      <c r="L16" s="33">
        <v>36718</v>
      </c>
      <c r="M16">
        <f>L17-L16</f>
        <v>174</v>
      </c>
    </row>
    <row r="17" spans="1:13" x14ac:dyDescent="0.2">
      <c r="I17" s="6">
        <v>36342</v>
      </c>
      <c r="J17">
        <v>170.2</v>
      </c>
      <c r="L17" s="33">
        <v>36892</v>
      </c>
      <c r="M17">
        <f>L17-L15</f>
        <v>366</v>
      </c>
    </row>
    <row r="18" spans="1:13" x14ac:dyDescent="0.2">
      <c r="A18" t="s">
        <v>31</v>
      </c>
      <c r="D18" s="8">
        <v>119000</v>
      </c>
      <c r="E18" t="s">
        <v>32</v>
      </c>
      <c r="I18" s="6">
        <v>36373</v>
      </c>
      <c r="J18">
        <v>171.1</v>
      </c>
    </row>
    <row r="19" spans="1:13" x14ac:dyDescent="0.2">
      <c r="I19" s="6">
        <v>36404</v>
      </c>
      <c r="J19">
        <v>172.5</v>
      </c>
    </row>
    <row r="20" spans="1:13" x14ac:dyDescent="0.2">
      <c r="I20" s="6">
        <v>36434</v>
      </c>
      <c r="J20">
        <v>173</v>
      </c>
    </row>
    <row r="21" spans="1:13" x14ac:dyDescent="0.2">
      <c r="I21" s="6">
        <v>36465</v>
      </c>
      <c r="J21">
        <v>172.5</v>
      </c>
    </row>
    <row r="22" spans="1:13" x14ac:dyDescent="0.2">
      <c r="I22" s="6">
        <v>36495</v>
      </c>
      <c r="J22">
        <v>173.6</v>
      </c>
    </row>
    <row r="23" spans="1:13" x14ac:dyDescent="0.2">
      <c r="I23" t="s">
        <v>0</v>
      </c>
      <c r="J23">
        <f>ROUND(AVERAGE(J11:J22),4)</f>
        <v>169.63329999999999</v>
      </c>
    </row>
    <row r="25" spans="1:13" x14ac:dyDescent="0.2">
      <c r="A25" t="s">
        <v>33</v>
      </c>
    </row>
    <row r="27" spans="1:13" x14ac:dyDescent="0.2">
      <c r="A27" s="2" t="s">
        <v>34</v>
      </c>
      <c r="B27" s="2"/>
      <c r="C27" s="2"/>
      <c r="D27" s="2"/>
      <c r="E27" s="2"/>
      <c r="F27" s="2"/>
      <c r="G27" s="2"/>
      <c r="H27" s="2"/>
      <c r="I27" s="2"/>
    </row>
    <row r="28" spans="1:13" x14ac:dyDescent="0.2">
      <c r="C28" t="s">
        <v>35</v>
      </c>
    </row>
    <row r="30" spans="1:13" x14ac:dyDescent="0.2">
      <c r="A30" s="9" t="s">
        <v>33</v>
      </c>
      <c r="B30" s="9"/>
      <c r="C30" s="9"/>
      <c r="D30" s="9"/>
      <c r="E30" s="2" t="s">
        <v>36</v>
      </c>
      <c r="F30" s="2"/>
      <c r="G30" s="2"/>
      <c r="H30" s="2"/>
      <c r="I30" s="2"/>
      <c r="J30" s="2"/>
    </row>
    <row r="31" spans="1:13" x14ac:dyDescent="0.2">
      <c r="G31">
        <v>11</v>
      </c>
    </row>
    <row r="33" spans="4:9" x14ac:dyDescent="0.2">
      <c r="D33" s="10" t="s">
        <v>1</v>
      </c>
      <c r="E33" s="2">
        <f>D7*D16*D18*22.84</f>
        <v>17763341.377215765</v>
      </c>
      <c r="F33" s="18" t="s">
        <v>2</v>
      </c>
      <c r="G33" s="2">
        <f>I7*119000*22.84</f>
        <v>2205209.3319317517</v>
      </c>
    </row>
    <row r="34" spans="4:9" x14ac:dyDescent="0.2">
      <c r="F34" s="5">
        <v>11</v>
      </c>
    </row>
    <row r="36" spans="4:9" x14ac:dyDescent="0.2">
      <c r="D36" s="10" t="s">
        <v>1</v>
      </c>
      <c r="E36" s="19">
        <f>E33+G33</f>
        <v>19968550.709147517</v>
      </c>
      <c r="G36" s="27">
        <f>reconcilation!H40</f>
        <v>19781199.320646323</v>
      </c>
      <c r="I36" s="27">
        <f>E36-G36</f>
        <v>187351.38850119337</v>
      </c>
    </row>
    <row r="37" spans="4:9" x14ac:dyDescent="0.2">
      <c r="D37" s="10"/>
      <c r="E37" s="5">
        <v>11</v>
      </c>
    </row>
    <row r="39" spans="4:9" x14ac:dyDescent="0.2">
      <c r="D39" s="10" t="s">
        <v>1</v>
      </c>
      <c r="E39" s="11">
        <f>E36/E37</f>
        <v>1815322.7917406834</v>
      </c>
    </row>
  </sheetData>
  <mergeCells count="4">
    <mergeCell ref="I10:J10"/>
    <mergeCell ref="A2:J2"/>
    <mergeCell ref="A3:J3"/>
    <mergeCell ref="A1:J1"/>
  </mergeCells>
  <pageMargins left="0.4" right="0.45" top="1" bottom="1" header="0.5" footer="0.5"/>
  <pageSetup orientation="portrait" horizontalDpi="400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commodity</vt:lpstr>
      <vt:lpstr>Data</vt:lpstr>
      <vt:lpstr>reconcilation</vt:lpstr>
      <vt:lpstr>demand</vt:lpstr>
      <vt:lpstr>commodity!Print_Area</vt:lpstr>
      <vt:lpstr>demand!Print_Area</vt:lpstr>
      <vt:lpstr>reconcilation!Print_Area</vt:lpstr>
    </vt:vector>
  </TitlesOfParts>
  <Company>Cabotlng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Hagedorn</dc:creator>
  <cp:lastModifiedBy>Jan Havlíček</cp:lastModifiedBy>
  <cp:lastPrinted>2001-02-13T11:10:08Z</cp:lastPrinted>
  <dcterms:created xsi:type="dcterms:W3CDTF">2000-05-01T13:04:15Z</dcterms:created>
  <dcterms:modified xsi:type="dcterms:W3CDTF">2023-09-15T20:32:11Z</dcterms:modified>
</cp:coreProperties>
</file>