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775CA8-A078-4DC0-815F-61CAAA9685B4}" xr6:coauthVersionLast="47" xr6:coauthVersionMax="47" xr10:uidLastSave="{00000000-0000-0000-0000-000000000000}"/>
  <bookViews>
    <workbookView xWindow="-120" yWindow="-120" windowWidth="38640" windowHeight="15720" activeTab="1"/>
  </bookViews>
  <sheets>
    <sheet name="TVM Savings" sheetId="4" r:id="rId1"/>
    <sheet name="Groves' Model" sheetId="3" r:id="rId2"/>
    <sheet name="Spot Cargo Model" sheetId="1" r:id="rId3"/>
    <sheet name="Working Capital Calc." sheetId="2" r:id="rId4"/>
  </sheets>
  <externalReferences>
    <externalReference r:id="rId5"/>
  </externalReferences>
  <definedNames>
    <definedName name="_xlnm.Print_Area" localSheetId="1">'Groves'' Model'!$B$1:$G$36</definedName>
    <definedName name="_xlnm.Print_Area" localSheetId="2">'Spot Cargo Model'!$B$1:$F$51</definedName>
    <definedName name="_xlnm.Print_Area" localSheetId="0">'TVM Savings'!$A$1:$K$18</definedName>
    <definedName name="_xlnm.Print_Area" localSheetId="3">'Working Capital Calc.'!$A$2:$F$19</definedName>
    <definedName name="_xlnm.Print_Titles" localSheetId="2">'Spot Cargo Model'!$7:$11</definedName>
    <definedName name="solver_adj" localSheetId="2" hidden="1">'Spot Cargo Model'!#REF!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in" localSheetId="2" hidden="1">2</definedName>
    <definedName name="solver_neg" localSheetId="2" hidden="1">2</definedName>
    <definedName name="solver_num" localSheetId="2" hidden="1">0</definedName>
    <definedName name="solver_nwt" localSheetId="2" hidden="1">1</definedName>
    <definedName name="solver_opt" localSheetId="2" hidden="1">'Spot Cargo Model'!#REF!</definedName>
    <definedName name="solver_pre" localSheetId="2" hidden="1">0.000001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2.36</definedName>
  </definedNames>
  <calcPr calcId="0" fullCalcOnLoad="1" calcOnSave="0"/>
</workbook>
</file>

<file path=xl/calcChain.xml><?xml version="1.0" encoding="utf-8"?>
<calcChain xmlns="http://schemas.openxmlformats.org/spreadsheetml/2006/main">
  <c r="F4" i="3" l="1"/>
  <c r="G4" i="3"/>
  <c r="J4" i="3"/>
  <c r="K4" i="3"/>
  <c r="D5" i="3"/>
  <c r="D6" i="3"/>
  <c r="D7" i="3"/>
  <c r="E7" i="3"/>
  <c r="F7" i="3"/>
  <c r="G7" i="3"/>
  <c r="J7" i="3"/>
  <c r="K7" i="3"/>
  <c r="F8" i="3"/>
  <c r="G8" i="3"/>
  <c r="D9" i="3"/>
  <c r="F9" i="3"/>
  <c r="G9" i="3"/>
  <c r="D10" i="3"/>
  <c r="E10" i="3"/>
  <c r="F10" i="3"/>
  <c r="G10" i="3"/>
  <c r="F11" i="3"/>
  <c r="G11" i="3"/>
  <c r="J11" i="3"/>
  <c r="K11" i="3"/>
  <c r="D13" i="3"/>
  <c r="F13" i="3"/>
  <c r="G13" i="3"/>
  <c r="G14" i="3"/>
  <c r="J14" i="3"/>
  <c r="K14" i="3"/>
  <c r="G15" i="3"/>
  <c r="J15" i="3"/>
  <c r="K15" i="3"/>
  <c r="G16" i="3"/>
  <c r="J16" i="3"/>
  <c r="K16" i="3"/>
  <c r="F17" i="3"/>
  <c r="G17" i="3"/>
  <c r="J17" i="3"/>
  <c r="K17" i="3"/>
  <c r="F19" i="3"/>
  <c r="G19" i="3"/>
  <c r="J19" i="3"/>
  <c r="K19" i="3"/>
  <c r="F21" i="3"/>
  <c r="G21" i="3"/>
  <c r="J21" i="3"/>
  <c r="K21" i="3"/>
  <c r="C28" i="3"/>
  <c r="J29" i="3"/>
  <c r="M29" i="3"/>
  <c r="M32" i="3"/>
  <c r="F34" i="3"/>
  <c r="F35" i="3"/>
  <c r="F36" i="3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E35" i="1"/>
  <c r="F35" i="1"/>
  <c r="C36" i="1"/>
  <c r="C37" i="1"/>
  <c r="C38" i="1"/>
  <c r="F42" i="1"/>
  <c r="F44" i="1"/>
  <c r="C45" i="1"/>
  <c r="F46" i="1"/>
  <c r="C48" i="1"/>
  <c r="F48" i="1"/>
  <c r="C50" i="1"/>
  <c r="C51" i="1"/>
  <c r="I5" i="4"/>
  <c r="K5" i="4"/>
  <c r="I7" i="4"/>
  <c r="K7" i="4"/>
  <c r="I8" i="4"/>
  <c r="K8" i="4"/>
  <c r="K10" i="4"/>
  <c r="K12" i="4"/>
  <c r="K18" i="4"/>
  <c r="K22" i="4"/>
  <c r="K26" i="4"/>
  <c r="B6" i="2"/>
  <c r="E6" i="2"/>
  <c r="F6" i="2"/>
  <c r="B7" i="2"/>
  <c r="E7" i="2"/>
  <c r="F7" i="2"/>
  <c r="B8" i="2"/>
  <c r="E8" i="2"/>
  <c r="F8" i="2"/>
  <c r="B9" i="2"/>
  <c r="E9" i="2"/>
  <c r="F9" i="2"/>
  <c r="F10" i="2"/>
  <c r="B24" i="2"/>
  <c r="E24" i="2"/>
  <c r="F24" i="2"/>
</calcChain>
</file>

<file path=xl/sharedStrings.xml><?xml version="1.0" encoding="utf-8"?>
<sst xmlns="http://schemas.openxmlformats.org/spreadsheetml/2006/main" count="150" uniqueCount="133">
  <si>
    <t>Voyage Time - Days</t>
  </si>
  <si>
    <t>Total</t>
  </si>
  <si>
    <r>
      <t xml:space="preserve">Loaded Voyage </t>
    </r>
    <r>
      <rPr>
        <b/>
        <sz val="8"/>
        <color indexed="12"/>
        <rFont val="Arial"/>
        <family val="2"/>
      </rPr>
      <t>(Input)</t>
    </r>
  </si>
  <si>
    <r>
      <t xml:space="preserve">Route Via - Cape/Suez </t>
    </r>
    <r>
      <rPr>
        <b/>
        <sz val="8"/>
        <color indexed="12"/>
        <rFont val="Arial"/>
        <family val="2"/>
      </rPr>
      <t>(Input)</t>
    </r>
  </si>
  <si>
    <r>
      <t xml:space="preserve">Ballast Voyage </t>
    </r>
    <r>
      <rPr>
        <b/>
        <sz val="8"/>
        <color indexed="12"/>
        <rFont val="Arial"/>
        <family val="2"/>
      </rPr>
      <t>(Input)</t>
    </r>
  </si>
  <si>
    <r>
      <t xml:space="preserve">Loaded Ship Speed - knots </t>
    </r>
    <r>
      <rPr>
        <b/>
        <sz val="8"/>
        <color indexed="12"/>
        <rFont val="Arial"/>
        <family val="2"/>
      </rPr>
      <t>(Input)</t>
    </r>
  </si>
  <si>
    <r>
      <t xml:space="preserve">Position/Ballast Ship Speed - knots </t>
    </r>
    <r>
      <rPr>
        <b/>
        <sz val="8"/>
        <color indexed="12"/>
        <rFont val="Arial"/>
        <family val="2"/>
      </rPr>
      <t>(Input)</t>
    </r>
  </si>
  <si>
    <r>
      <t xml:space="preserve">Suez Days/transit - days/leg </t>
    </r>
    <r>
      <rPr>
        <b/>
        <sz val="8"/>
        <color indexed="12"/>
        <rFont val="Arial"/>
        <family val="2"/>
      </rPr>
      <t>(Input)</t>
    </r>
  </si>
  <si>
    <r>
      <t xml:space="preserve">Loading/Cooldown Time - Days </t>
    </r>
    <r>
      <rPr>
        <b/>
        <sz val="8"/>
        <color indexed="12"/>
        <rFont val="Arial"/>
        <family val="2"/>
      </rPr>
      <t>(Input)</t>
    </r>
  </si>
  <si>
    <r>
      <t xml:space="preserve">Unloading Time - Days </t>
    </r>
    <r>
      <rPr>
        <b/>
        <sz val="8"/>
        <color indexed="12"/>
        <rFont val="Arial"/>
        <family val="2"/>
      </rPr>
      <t>(Input)</t>
    </r>
  </si>
  <si>
    <t>Working Capital Calculations</t>
  </si>
  <si>
    <t>Expense</t>
  </si>
  <si>
    <t>Day Paid</t>
  </si>
  <si>
    <t xml:space="preserve">Days on </t>
  </si>
  <si>
    <t>Books</t>
  </si>
  <si>
    <t>Interest</t>
  </si>
  <si>
    <t>Rate</t>
  </si>
  <si>
    <t>Paid</t>
  </si>
  <si>
    <t>Terminalling</t>
  </si>
  <si>
    <t>Amount</t>
  </si>
  <si>
    <t>Suez Days - RT</t>
  </si>
  <si>
    <t>Port Days</t>
  </si>
  <si>
    <t>Loaded Leg</t>
  </si>
  <si>
    <t>Ballast Voyage</t>
  </si>
  <si>
    <t>Boiloff Per Day - Laden</t>
  </si>
  <si>
    <t>Boiloff Per Day - Ballast</t>
  </si>
  <si>
    <t>Unloaded</t>
  </si>
  <si>
    <t>Terminal Boiloff</t>
  </si>
  <si>
    <t xml:space="preserve">U.S. Customs </t>
  </si>
  <si>
    <t>Assumptions</t>
  </si>
  <si>
    <t>I.  Oman - EcoElectrica</t>
  </si>
  <si>
    <t>Boiloff Per Day - Suez/Port Days</t>
  </si>
  <si>
    <t>Matthew</t>
  </si>
  <si>
    <t>Supplier</t>
  </si>
  <si>
    <t>Cabot</t>
  </si>
  <si>
    <t>Vessel</t>
  </si>
  <si>
    <t>N/A</t>
  </si>
  <si>
    <t>Profit</t>
  </si>
  <si>
    <t>Terminal Cost</t>
  </si>
  <si>
    <t>Disport</t>
  </si>
  <si>
    <t>Boiloff Gas/Day on "Matthew"  (actual)</t>
  </si>
  <si>
    <t>LNG Cost Model for Diverting EcoElectrica Cargo</t>
  </si>
  <si>
    <t>Sales amount paid to Cabot</t>
  </si>
  <si>
    <t>Payment made to Cabot</t>
  </si>
  <si>
    <t>U.S. Customs Fees</t>
  </si>
  <si>
    <t>Inspection Costs</t>
  </si>
  <si>
    <t>Terminal Fuel - 1.75% (MMBtu's)</t>
  </si>
  <si>
    <t>Volume Available for Sale to ENA (MMBtu's)</t>
  </si>
  <si>
    <t>Day 10 = U.S. Customs payment due</t>
  </si>
  <si>
    <r>
      <t xml:space="preserve">Loaded Volumes  </t>
    </r>
    <r>
      <rPr>
        <b/>
        <sz val="8"/>
        <color indexed="12"/>
        <rFont val="Arial"/>
        <family val="2"/>
      </rPr>
      <t>(Input)</t>
    </r>
  </si>
  <si>
    <t>Terminal Thru-put Fees</t>
  </si>
  <si>
    <t xml:space="preserve">Interest on Working Capital </t>
  </si>
  <si>
    <t>Port Charges @ Lake Charles</t>
  </si>
  <si>
    <t>Additional Cost for Alternative Fuel (7 days of Propane)*</t>
  </si>
  <si>
    <t xml:space="preserve">EcoElectrica Purchase/Sale Price </t>
  </si>
  <si>
    <t>Enron Int'l Gas Sales margin  ($0.10/MMBtu)</t>
  </si>
  <si>
    <t>Decrease in Prepa's capacity payment over 86%</t>
  </si>
  <si>
    <t xml:space="preserve">Additional Heel Retained </t>
  </si>
  <si>
    <t xml:space="preserve">NYMEX March 2001 </t>
  </si>
  <si>
    <t xml:space="preserve"> I.   Internal Case                         Lake Charles</t>
  </si>
  <si>
    <t>Day 10 = payment due to Cabot</t>
  </si>
  <si>
    <t>Saved</t>
  </si>
  <si>
    <t>Cabot's portion</t>
  </si>
  <si>
    <t>EcoElectrica's portion</t>
  </si>
  <si>
    <t>Revenues from Sale to ENA (NYMEX - $0.1625/MMBtu)</t>
  </si>
  <si>
    <t>Purchase from Eco</t>
  </si>
  <si>
    <t>Amount paid to EcoElectrica from Enron LNG Marketing</t>
  </si>
  <si>
    <t>Per MMBtu</t>
  </si>
  <si>
    <t>Variance per MMBtu</t>
  </si>
  <si>
    <t>Total Variance</t>
  </si>
  <si>
    <t>Groves' #</t>
  </si>
  <si>
    <t>Day 1= discharge date (March 9)</t>
  </si>
  <si>
    <t>Day 42 = payment received from ENA</t>
  </si>
  <si>
    <t>Day 47 = Terminalling fee due to CMS (April 20)</t>
  </si>
  <si>
    <t>Receive ENA Payment</t>
  </si>
  <si>
    <t>ENRON LNG MARKETING CIF DEAL SHEET</t>
  </si>
  <si>
    <t>per mmbtu</t>
  </si>
  <si>
    <t>Volume</t>
  </si>
  <si>
    <t>Price</t>
  </si>
  <si>
    <t>Dollars</t>
  </si>
  <si>
    <t>PV</t>
  </si>
  <si>
    <t>for sale</t>
  </si>
  <si>
    <t>bought</t>
  </si>
  <si>
    <t>Purchase - ExShip</t>
  </si>
  <si>
    <t>Terminal Loss</t>
  </si>
  <si>
    <t>Available for Sale - Tailgate</t>
  </si>
  <si>
    <t>Sale 1</t>
  </si>
  <si>
    <t>Sale 2</t>
  </si>
  <si>
    <t>Total Sale</t>
  </si>
  <si>
    <t>Net Position (still to be sold)</t>
  </si>
  <si>
    <t>Gross Margin</t>
  </si>
  <si>
    <t>Import Charges</t>
  </si>
  <si>
    <t>Surveyor</t>
  </si>
  <si>
    <t>LOC</t>
  </si>
  <si>
    <t>Interest on W.C.</t>
  </si>
  <si>
    <t>Total Costs</t>
  </si>
  <si>
    <t>Net Margin</t>
  </si>
  <si>
    <t>Working Capital Charges</t>
  </si>
  <si>
    <t>Cargo Delivery</t>
  </si>
  <si>
    <t>Purchase Terms</t>
  </si>
  <si>
    <t>Payment for Purchase</t>
  </si>
  <si>
    <t>Payment for Terminal</t>
  </si>
  <si>
    <t>Sale Payment Due</t>
  </si>
  <si>
    <t>Interest Charge Breakdown</t>
  </si>
  <si>
    <t>Days</t>
  </si>
  <si>
    <t>EcoElectrica's Profit Calculation:</t>
  </si>
  <si>
    <t>Received from ELNG</t>
  </si>
  <si>
    <t>per MMBtu</t>
  </si>
  <si>
    <t>=</t>
  </si>
  <si>
    <t>Payments to Cabot</t>
  </si>
  <si>
    <t>Total Savings</t>
  </si>
  <si>
    <t>due 04/20</t>
  </si>
  <si>
    <t xml:space="preserve">III. </t>
  </si>
  <si>
    <t>Net 30</t>
  </si>
  <si>
    <t>Methane Arctic</t>
  </si>
  <si>
    <t>II.</t>
  </si>
  <si>
    <t>I.</t>
  </si>
  <si>
    <t>Savings</t>
  </si>
  <si>
    <t>Cost of Capital</t>
  </si>
  <si>
    <t>Cost of Cargo</t>
  </si>
  <si>
    <t>Price per  MMBtu</t>
  </si>
  <si>
    <t>Volume     MMBtu's</t>
  </si>
  <si>
    <t>Time Gained (Days)</t>
  </si>
  <si>
    <t>Negotiated Terms</t>
  </si>
  <si>
    <t>Discharge Date</t>
  </si>
  <si>
    <t>TVM Savings for EcoElectrica</t>
  </si>
  <si>
    <t>Profits from Lake Charles Re-sale</t>
  </si>
  <si>
    <t>Total Benefit to EcoElectrica</t>
  </si>
  <si>
    <t>Benefit to Enron (50% Interest in project)</t>
  </si>
  <si>
    <t>50% Profits from Lake Charles Re-sale</t>
  </si>
  <si>
    <t xml:space="preserve"> </t>
  </si>
  <si>
    <t>Enron LNG Marketing's Profit</t>
  </si>
  <si>
    <t>Total Benefit to 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</si>
</sst>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_(&quot;$&quot;* #,##0_);_(&quot;$&quot;* \(#,##0\);_(&quot;$&quot;* &quot;-&quot;??_);_(@_)"/>
    <numFmt numFmtId="168" formatCode="_(* #,##0_);_(* \(#,##0\);_(* &quot;-&quot;??_);_(@_)"/>
    <numFmt numFmtId="169" formatCode="_(&quot;$&quot;* #,##0.000_);_(&quot;$&quot;* \(#,##0.000\);_(&quot;$&quot;* &quot;-&quot;??_);_(@_)"/>
    <numFmt numFmtId="173" formatCode="_(&quot;$&quot;* #,##0.0000_);_(&quot;$&quot;* \(#,##0.0000\);_(&quot;$&quot;* &quot;-&quot;????_);_(@_)"/>
    <numFmt numFmtId="179" formatCode="&quot;$&quot;#,##0.000_);[Red]\(&quot;$&quot;#,##0.000\)"/>
    <numFmt numFmtId="193" formatCode="_(&quot;$&quot;* #,##0.00000_);_(&quot;$&quot;* \(#,##0.00000\);_(&quot;$&quot;* &quot;-&quot;??_);_(@_)"/>
    <numFmt numFmtId="196" formatCode="&quot;$&quot;#,##0.0000000_);[Red]\(&quot;$&quot;#,##0.0000000\)"/>
    <numFmt numFmtId="197" formatCode="&quot;$&quot;#,##0.0000_);[Red]\(&quot;$&quot;#,##0.0000\)"/>
    <numFmt numFmtId="198" formatCode="&quot;$&quot;#,##0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Lucida Handwriting"/>
      <family val="4"/>
    </font>
    <font>
      <b/>
      <sz val="10"/>
      <name val="Lucida Sans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8"/>
      <color indexed="12"/>
      <name val="Arial"/>
      <family val="2"/>
    </font>
    <font>
      <b/>
      <sz val="10"/>
      <color indexed="12"/>
      <name val="Arial"/>
      <family val="2"/>
    </font>
    <font>
      <b/>
      <sz val="8"/>
      <name val="Lucida Sans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8"/>
      <name val="Lucida Sans"/>
    </font>
    <font>
      <u val="singleAccounting"/>
      <sz val="10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166" fontId="0" fillId="0" borderId="0" xfId="2" applyNumberFormat="1" applyFont="1"/>
    <xf numFmtId="10" fontId="0" fillId="0" borderId="0" xfId="3" applyNumberFormat="1" applyFont="1"/>
    <xf numFmtId="166" fontId="5" fillId="0" borderId="0" xfId="0" applyNumberFormat="1" applyFont="1"/>
    <xf numFmtId="0" fontId="2" fillId="0" borderId="2" xfId="0" applyFont="1" applyBorder="1"/>
    <xf numFmtId="0" fontId="10" fillId="0" borderId="0" xfId="0" applyFont="1" applyAlignment="1">
      <alignment horizontal="left"/>
    </xf>
    <xf numFmtId="0" fontId="2" fillId="0" borderId="3" xfId="0" applyFont="1" applyBorder="1"/>
    <xf numFmtId="0" fontId="11" fillId="0" borderId="0" xfId="0" applyFont="1" applyBorder="1"/>
    <xf numFmtId="0" fontId="0" fillId="0" borderId="4" xfId="0" applyBorder="1"/>
    <xf numFmtId="0" fontId="2" fillId="0" borderId="5" xfId="0" applyFont="1" applyBorder="1"/>
    <xf numFmtId="0" fontId="7" fillId="2" borderId="6" xfId="0" applyFont="1" applyFill="1" applyBorder="1" applyAlignment="1">
      <alignment horizontal="center"/>
    </xf>
    <xf numFmtId="0" fontId="0" fillId="0" borderId="6" xfId="0" applyBorder="1"/>
    <xf numFmtId="10" fontId="9" fillId="2" borderId="5" xfId="3" applyNumberFormat="1" applyFont="1" applyFill="1" applyBorder="1" applyAlignment="1">
      <alignment horizontal="right"/>
    </xf>
    <xf numFmtId="0" fontId="7" fillId="2" borderId="0" xfId="0" applyFont="1" applyFill="1"/>
    <xf numFmtId="0" fontId="2" fillId="0" borderId="7" xfId="0" applyFont="1" applyBorder="1" applyAlignment="1">
      <alignment horizontal="center" wrapText="1"/>
    </xf>
    <xf numFmtId="168" fontId="6" fillId="0" borderId="6" xfId="1" applyNumberFormat="1" applyFont="1" applyBorder="1"/>
    <xf numFmtId="168" fontId="2" fillId="0" borderId="4" xfId="1" applyNumberFormat="1" applyFont="1" applyBorder="1"/>
    <xf numFmtId="10" fontId="9" fillId="2" borderId="5" xfId="0" applyNumberFormat="1" applyFont="1" applyFill="1" applyBorder="1" applyAlignment="1">
      <alignment horizontal="right"/>
    </xf>
    <xf numFmtId="0" fontId="13" fillId="0" borderId="0" xfId="0" applyFont="1"/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4" fillId="0" borderId="0" xfId="0" applyFont="1"/>
    <xf numFmtId="173" fontId="8" fillId="4" borderId="4" xfId="2" applyNumberFormat="1" applyFon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5" xfId="0" applyFont="1" applyFill="1" applyBorder="1"/>
    <xf numFmtId="168" fontId="0" fillId="0" borderId="6" xfId="1" applyNumberFormat="1" applyFont="1" applyBorder="1"/>
    <xf numFmtId="6" fontId="0" fillId="0" borderId="0" xfId="0" applyNumberFormat="1"/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8" fontId="7" fillId="2" borderId="6" xfId="1" applyNumberFormat="1" applyFont="1" applyFill="1" applyBorder="1"/>
    <xf numFmtId="168" fontId="15" fillId="0" borderId="6" xfId="1" applyNumberFormat="1" applyFont="1" applyBorder="1"/>
    <xf numFmtId="166" fontId="12" fillId="4" borderId="6" xfId="2" applyNumberFormat="1" applyFont="1" applyFill="1" applyBorder="1"/>
    <xf numFmtId="169" fontId="8" fillId="2" borderId="6" xfId="2" applyNumberFormat="1" applyFont="1" applyFill="1" applyBorder="1" applyAlignment="1">
      <alignment horizontal="left"/>
    </xf>
    <xf numFmtId="166" fontId="17" fillId="5" borderId="4" xfId="2" applyNumberFormat="1" applyFont="1" applyFill="1" applyBorder="1"/>
    <xf numFmtId="0" fontId="18" fillId="5" borderId="4" xfId="0" applyFont="1" applyFill="1" applyBorder="1"/>
    <xf numFmtId="166" fontId="16" fillId="4" borderId="6" xfId="2" applyNumberFormat="1" applyFont="1" applyFill="1" applyBorder="1"/>
    <xf numFmtId="166" fontId="16" fillId="4" borderId="6" xfId="2" applyNumberFormat="1" applyFont="1" applyFill="1" applyBorder="1" applyAlignment="1">
      <alignment horizontal="center"/>
    </xf>
    <xf numFmtId="0" fontId="12" fillId="0" borderId="6" xfId="0" applyFont="1" applyBorder="1"/>
    <xf numFmtId="0" fontId="12" fillId="0" borderId="1" xfId="0" applyFont="1" applyBorder="1"/>
    <xf numFmtId="166" fontId="2" fillId="3" borderId="5" xfId="2" applyNumberFormat="1" applyFont="1" applyFill="1" applyBorder="1"/>
    <xf numFmtId="169" fontId="8" fillId="2" borderId="6" xfId="2" applyNumberFormat="1" applyFont="1" applyFill="1" applyBorder="1" applyAlignment="1">
      <alignment horizontal="center" wrapText="1"/>
    </xf>
    <xf numFmtId="166" fontId="0" fillId="0" borderId="0" xfId="0" applyNumberFormat="1"/>
    <xf numFmtId="0" fontId="0" fillId="0" borderId="0" xfId="0" quotePrefix="1"/>
    <xf numFmtId="44" fontId="16" fillId="0" borderId="0" xfId="2" applyFont="1"/>
    <xf numFmtId="166" fontId="16" fillId="0" borderId="0" xfId="0" applyNumberFormat="1" applyFont="1"/>
    <xf numFmtId="169" fontId="0" fillId="0" borderId="0" xfId="2" applyNumberFormat="1" applyFont="1"/>
    <xf numFmtId="43" fontId="0" fillId="0" borderId="0" xfId="1" applyFont="1"/>
    <xf numFmtId="0" fontId="0" fillId="0" borderId="0" xfId="0" applyAlignment="1">
      <alignment wrapText="1"/>
    </xf>
    <xf numFmtId="43" fontId="0" fillId="0" borderId="0" xfId="0" applyNumberFormat="1"/>
    <xf numFmtId="193" fontId="0" fillId="0" borderId="0" xfId="2" applyNumberFormat="1" applyFont="1"/>
    <xf numFmtId="193" fontId="0" fillId="0" borderId="0" xfId="0" applyNumberFormat="1"/>
    <xf numFmtId="166" fontId="12" fillId="4" borderId="0" xfId="2" applyNumberFormat="1" applyFont="1" applyFill="1" applyBorder="1"/>
    <xf numFmtId="168" fontId="0" fillId="0" borderId="0" xfId="2" applyNumberFormat="1" applyFont="1"/>
    <xf numFmtId="0" fontId="19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96" fontId="0" fillId="0" borderId="8" xfId="0" applyNumberFormat="1" applyBorder="1" applyAlignment="1">
      <alignment horizontal="center"/>
    </xf>
    <xf numFmtId="6" fontId="0" fillId="0" borderId="8" xfId="0" applyNumberForma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38" fontId="9" fillId="2" borderId="12" xfId="0" applyNumberFormat="1" applyFont="1" applyFill="1" applyBorder="1" applyAlignment="1">
      <alignment horizontal="center"/>
    </xf>
    <xf numFmtId="179" fontId="9" fillId="2" borderId="12" xfId="0" applyNumberFormat="1" applyFont="1" applyFill="1" applyBorder="1" applyAlignment="1">
      <alignment horizontal="center"/>
    </xf>
    <xf numFmtId="6" fontId="0" fillId="2" borderId="12" xfId="0" applyNumberFormat="1" applyFill="1" applyBorder="1" applyAlignment="1">
      <alignment horizontal="center"/>
    </xf>
    <xf numFmtId="6" fontId="0" fillId="2" borderId="10" xfId="0" applyNumberFormat="1" applyFill="1" applyBorder="1" applyAlignment="1">
      <alignment horizontal="center"/>
    </xf>
    <xf numFmtId="179" fontId="0" fillId="0" borderId="15" xfId="0" applyNumberFormat="1" applyBorder="1" applyAlignment="1">
      <alignment horizontal="center"/>
    </xf>
    <xf numFmtId="179" fontId="0" fillId="0" borderId="16" xfId="0" applyNumberFormat="1" applyBorder="1" applyAlignment="1">
      <alignment horizontal="center"/>
    </xf>
    <xf numFmtId="0" fontId="2" fillId="2" borderId="17" xfId="0" applyFont="1" applyFill="1" applyBorder="1" applyAlignment="1">
      <alignment horizontal="left"/>
    </xf>
    <xf numFmtId="10" fontId="2" fillId="2" borderId="0" xfId="3" applyNumberFormat="1" applyFont="1" applyFill="1" applyBorder="1" applyAlignment="1">
      <alignment horizontal="center"/>
    </xf>
    <xf numFmtId="38" fontId="0" fillId="2" borderId="0" xfId="0" applyNumberFormat="1" applyFill="1" applyBorder="1" applyAlignment="1">
      <alignment horizontal="center"/>
    </xf>
    <xf numFmtId="197" fontId="0" fillId="2" borderId="0" xfId="0" applyNumberFormat="1" applyFill="1" applyBorder="1" applyAlignment="1">
      <alignment horizontal="center"/>
    </xf>
    <xf numFmtId="6" fontId="0" fillId="2" borderId="0" xfId="0" applyNumberFormat="1" applyFill="1" applyBorder="1" applyAlignment="1">
      <alignment horizontal="center"/>
    </xf>
    <xf numFmtId="6" fontId="0" fillId="2" borderId="16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center"/>
    </xf>
    <xf numFmtId="38" fontId="0" fillId="2" borderId="19" xfId="0" applyNumberFormat="1" applyFill="1" applyBorder="1" applyAlignment="1">
      <alignment horizontal="center"/>
    </xf>
    <xf numFmtId="197" fontId="0" fillId="2" borderId="19" xfId="0" applyNumberFormat="1" applyFill="1" applyBorder="1" applyAlignment="1">
      <alignment horizontal="center"/>
    </xf>
    <xf numFmtId="6" fontId="0" fillId="2" borderId="19" xfId="0" applyNumberFormat="1" applyFill="1" applyBorder="1" applyAlignment="1">
      <alignment horizontal="center"/>
    </xf>
    <xf numFmtId="6" fontId="0" fillId="2" borderId="20" xfId="0" applyNumberFormat="1" applyFill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37" fontId="9" fillId="7" borderId="0" xfId="0" applyNumberFormat="1" applyFont="1" applyFill="1" applyBorder="1" applyAlignment="1">
      <alignment horizontal="center"/>
    </xf>
    <xf numFmtId="197" fontId="9" fillId="7" borderId="0" xfId="0" applyNumberFormat="1" applyFont="1" applyFill="1" applyBorder="1" applyAlignment="1">
      <alignment horizontal="center"/>
    </xf>
    <xf numFmtId="6" fontId="0" fillId="7" borderId="0" xfId="0" applyNumberFormat="1" applyFill="1" applyBorder="1" applyAlignment="1">
      <alignment horizontal="center"/>
    </xf>
    <xf numFmtId="6" fontId="0" fillId="7" borderId="16" xfId="0" applyNumberFormat="1" applyFill="1" applyBorder="1" applyAlignment="1">
      <alignment horizontal="center"/>
    </xf>
    <xf numFmtId="0" fontId="2" fillId="7" borderId="11" xfId="0" applyFont="1" applyFill="1" applyBorder="1" applyAlignment="1">
      <alignment horizontal="left"/>
    </xf>
    <xf numFmtId="0" fontId="2" fillId="7" borderId="12" xfId="0" applyFont="1" applyFill="1" applyBorder="1" applyAlignment="1">
      <alignment horizontal="center"/>
    </xf>
    <xf numFmtId="38" fontId="0" fillId="7" borderId="12" xfId="0" applyNumberFormat="1" applyFill="1" applyBorder="1" applyAlignment="1">
      <alignment horizontal="center"/>
    </xf>
    <xf numFmtId="197" fontId="0" fillId="7" borderId="12" xfId="0" applyNumberFormat="1" applyFill="1" applyBorder="1" applyAlignment="1">
      <alignment horizontal="center"/>
    </xf>
    <xf numFmtId="6" fontId="0" fillId="7" borderId="12" xfId="0" applyNumberFormat="1" applyFill="1" applyBorder="1" applyAlignment="1">
      <alignment horizontal="center"/>
    </xf>
    <xf numFmtId="6" fontId="0" fillId="7" borderId="10" xfId="0" applyNumberFormat="1" applyFill="1" applyBorder="1" applyAlignment="1">
      <alignment horizontal="center"/>
    </xf>
    <xf numFmtId="8" fontId="0" fillId="0" borderId="15" xfId="0" applyNumberFormat="1" applyBorder="1" applyAlignment="1">
      <alignment horizontal="center"/>
    </xf>
    <xf numFmtId="8" fontId="0" fillId="0" borderId="16" xfId="0" applyNumberFormat="1" applyBorder="1" applyAlignment="1">
      <alignment horizontal="center"/>
    </xf>
    <xf numFmtId="0" fontId="2" fillId="0" borderId="18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center"/>
    </xf>
    <xf numFmtId="38" fontId="12" fillId="0" borderId="19" xfId="0" applyNumberFormat="1" applyFont="1" applyFill="1" applyBorder="1" applyAlignment="1">
      <alignment horizontal="center"/>
    </xf>
    <xf numFmtId="197" fontId="12" fillId="0" borderId="19" xfId="0" applyNumberFormat="1" applyFont="1" applyFill="1" applyBorder="1" applyAlignment="1">
      <alignment horizontal="center"/>
    </xf>
    <xf numFmtId="6" fontId="12" fillId="0" borderId="19" xfId="0" applyNumberFormat="1" applyFont="1" applyFill="1" applyBorder="1" applyAlignment="1">
      <alignment horizontal="center"/>
    </xf>
    <xf numFmtId="6" fontId="12" fillId="0" borderId="20" xfId="0" applyNumberFormat="1" applyFont="1" applyFill="1" applyBorder="1" applyAlignment="1">
      <alignment horizontal="center"/>
    </xf>
    <xf numFmtId="0" fontId="2" fillId="6" borderId="18" xfId="0" applyFont="1" applyFill="1" applyBorder="1" applyAlignment="1">
      <alignment horizontal="left"/>
    </xf>
    <xf numFmtId="0" fontId="2" fillId="6" borderId="19" xfId="0" applyFont="1" applyFill="1" applyBorder="1" applyAlignment="1">
      <alignment horizontal="center"/>
    </xf>
    <xf numFmtId="38" fontId="0" fillId="6" borderId="19" xfId="0" applyNumberFormat="1" applyFill="1" applyBorder="1" applyAlignment="1">
      <alignment horizontal="center"/>
    </xf>
    <xf numFmtId="197" fontId="0" fillId="6" borderId="19" xfId="0" applyNumberFormat="1" applyFill="1" applyBorder="1" applyAlignment="1">
      <alignment horizontal="center"/>
    </xf>
    <xf numFmtId="6" fontId="0" fillId="6" borderId="19" xfId="0" applyNumberFormat="1" applyFill="1" applyBorder="1" applyAlignment="1">
      <alignment horizontal="center"/>
    </xf>
    <xf numFmtId="6" fontId="0" fillId="6" borderId="20" xfId="0" applyNumberFormat="1" applyFill="1" applyBorder="1" applyAlignment="1">
      <alignment horizontal="center"/>
    </xf>
    <xf numFmtId="0" fontId="0" fillId="0" borderId="0" xfId="0" applyFill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/>
    </xf>
    <xf numFmtId="38" fontId="0" fillId="0" borderId="12" xfId="0" applyNumberFormat="1" applyFill="1" applyBorder="1" applyAlignment="1">
      <alignment horizontal="center"/>
    </xf>
    <xf numFmtId="197" fontId="0" fillId="0" borderId="1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6" fontId="0" fillId="0" borderId="12" xfId="0" applyNumberFormat="1" applyFill="1" applyBorder="1" applyAlignment="1">
      <alignment horizontal="center"/>
    </xf>
    <xf numFmtId="0" fontId="2" fillId="8" borderId="18" xfId="0" applyFont="1" applyFill="1" applyBorder="1" applyAlignment="1">
      <alignment horizontal="left"/>
    </xf>
    <xf numFmtId="10" fontId="2" fillId="8" borderId="19" xfId="0" applyNumberFormat="1" applyFont="1" applyFill="1" applyBorder="1" applyAlignment="1">
      <alignment horizontal="center"/>
    </xf>
    <xf numFmtId="38" fontId="0" fillId="8" borderId="19" xfId="0" applyNumberFormat="1" applyFill="1" applyBorder="1" applyAlignment="1">
      <alignment horizontal="center"/>
    </xf>
    <xf numFmtId="197" fontId="9" fillId="8" borderId="19" xfId="0" applyNumberFormat="1" applyFont="1" applyFill="1" applyBorder="1" applyAlignment="1">
      <alignment horizontal="center"/>
    </xf>
    <xf numFmtId="6" fontId="0" fillId="8" borderId="19" xfId="0" applyNumberFormat="1" applyFill="1" applyBorder="1" applyAlignment="1">
      <alignment horizontal="center"/>
    </xf>
    <xf numFmtId="6" fontId="0" fillId="8" borderId="20" xfId="0" applyNumberFormat="1" applyFill="1" applyBorder="1" applyAlignment="1">
      <alignment horizontal="center"/>
    </xf>
    <xf numFmtId="0" fontId="2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197" fontId="0" fillId="9" borderId="12" xfId="0" applyNumberFormat="1" applyFill="1" applyBorder="1" applyAlignment="1">
      <alignment horizontal="center"/>
    </xf>
    <xf numFmtId="6" fontId="0" fillId="9" borderId="12" xfId="0" applyNumberFormat="1" applyFill="1" applyBorder="1" applyAlignment="1">
      <alignment horizontal="center"/>
    </xf>
    <xf numFmtId="6" fontId="0" fillId="9" borderId="10" xfId="0" applyNumberFormat="1" applyFill="1" applyBorder="1" applyAlignment="1">
      <alignment horizontal="center"/>
    </xf>
    <xf numFmtId="0" fontId="2" fillId="9" borderId="17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97" fontId="0" fillId="9" borderId="0" xfId="0" applyNumberFormat="1" applyFill="1" applyBorder="1" applyAlignment="1">
      <alignment horizontal="center"/>
    </xf>
    <xf numFmtId="6" fontId="0" fillId="9" borderId="0" xfId="0" applyNumberFormat="1" applyFill="1" applyBorder="1" applyAlignment="1">
      <alignment horizontal="center"/>
    </xf>
    <xf numFmtId="6" fontId="0" fillId="9" borderId="16" xfId="0" applyNumberFormat="1" applyFill="1" applyBorder="1" applyAlignment="1">
      <alignment horizontal="center"/>
    </xf>
    <xf numFmtId="0" fontId="2" fillId="9" borderId="21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center"/>
    </xf>
    <xf numFmtId="10" fontId="2" fillId="9" borderId="8" xfId="3" applyNumberFormat="1" applyFont="1" applyFill="1" applyBorder="1" applyAlignment="1">
      <alignment horizontal="center"/>
    </xf>
    <xf numFmtId="197" fontId="0" fillId="9" borderId="8" xfId="0" applyNumberFormat="1" applyFill="1" applyBorder="1" applyAlignment="1">
      <alignment horizontal="center"/>
    </xf>
    <xf numFmtId="6" fontId="0" fillId="9" borderId="8" xfId="0" applyNumberFormat="1" applyFill="1" applyBorder="1" applyAlignment="1">
      <alignment horizontal="center"/>
    </xf>
    <xf numFmtId="6" fontId="0" fillId="9" borderId="14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0" borderId="8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97" fontId="0" fillId="0" borderId="8" xfId="0" applyNumberFormat="1" applyFill="1" applyBorder="1" applyAlignment="1">
      <alignment horizontal="center"/>
    </xf>
    <xf numFmtId="6" fontId="0" fillId="0" borderId="8" xfId="0" applyNumberFormat="1" applyFill="1" applyBorder="1" applyAlignment="1">
      <alignment horizontal="center"/>
    </xf>
    <xf numFmtId="0" fontId="11" fillId="6" borderId="18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center"/>
    </xf>
    <xf numFmtId="197" fontId="11" fillId="6" borderId="19" xfId="0" applyNumberFormat="1" applyFont="1" applyFill="1" applyBorder="1" applyAlignment="1">
      <alignment horizontal="center"/>
    </xf>
    <xf numFmtId="6" fontId="11" fillId="6" borderId="19" xfId="0" applyNumberFormat="1" applyFont="1" applyFill="1" applyBorder="1" applyAlignment="1">
      <alignment horizontal="center"/>
    </xf>
    <xf numFmtId="6" fontId="11" fillId="6" borderId="20" xfId="0" applyNumberFormat="1" applyFont="1" applyFill="1" applyBorder="1" applyAlignment="1">
      <alignment horizontal="center"/>
    </xf>
    <xf numFmtId="0" fontId="11" fillId="0" borderId="0" xfId="0" applyFont="1"/>
    <xf numFmtId="197" fontId="11" fillId="6" borderId="22" xfId="0" applyNumberFormat="1" applyFont="1" applyFill="1" applyBorder="1" applyAlignment="1">
      <alignment horizontal="center"/>
    </xf>
    <xf numFmtId="197" fontId="11" fillId="6" borderId="2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97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197" fontId="0" fillId="0" borderId="0" xfId="0" applyNumberFormat="1"/>
    <xf numFmtId="0" fontId="2" fillId="0" borderId="8" xfId="0" applyFont="1" applyBorder="1"/>
    <xf numFmtId="197" fontId="2" fillId="0" borderId="8" xfId="0" applyNumberFormat="1" applyFont="1" applyBorder="1"/>
    <xf numFmtId="6" fontId="2" fillId="0" borderId="8" xfId="0" applyNumberFormat="1" applyFont="1" applyBorder="1"/>
    <xf numFmtId="6" fontId="2" fillId="0" borderId="8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38" fontId="0" fillId="0" borderId="0" xfId="0" applyNumberFormat="1"/>
    <xf numFmtId="17" fontId="0" fillId="0" borderId="0" xfId="0" applyNumberFormat="1"/>
    <xf numFmtId="179" fontId="0" fillId="0" borderId="0" xfId="0" applyNumberFormat="1"/>
    <xf numFmtId="0" fontId="0" fillId="0" borderId="0" xfId="0" quotePrefix="1" applyAlignment="1">
      <alignment horizontal="center"/>
    </xf>
    <xf numFmtId="6" fontId="6" fillId="0" borderId="0" xfId="0" applyNumberFormat="1" applyFont="1"/>
    <xf numFmtId="198" fontId="2" fillId="0" borderId="23" xfId="0" applyNumberFormat="1" applyFont="1" applyBorder="1"/>
    <xf numFmtId="0" fontId="2" fillId="0" borderId="24" xfId="0" applyFont="1" applyBorder="1"/>
    <xf numFmtId="198" fontId="0" fillId="0" borderId="0" xfId="3" applyNumberFormat="1" applyFont="1"/>
    <xf numFmtId="164" fontId="0" fillId="0" borderId="0" xfId="3" applyNumberFormat="1" applyFont="1"/>
    <xf numFmtId="16" fontId="0" fillId="0" borderId="0" xfId="0" applyNumberFormat="1"/>
    <xf numFmtId="168" fontId="0" fillId="0" borderId="0" xfId="1" applyNumberFormat="1" applyFont="1"/>
    <xf numFmtId="0" fontId="2" fillId="0" borderId="23" xfId="0" applyFont="1" applyBorder="1"/>
    <xf numFmtId="0" fontId="2" fillId="0" borderId="24" xfId="0" applyFont="1" applyBorder="1" applyAlignment="1">
      <alignment wrapText="1"/>
    </xf>
    <xf numFmtId="166" fontId="0" fillId="0" borderId="25" xfId="2" applyNumberFormat="1" applyFont="1" applyBorder="1"/>
    <xf numFmtId="0" fontId="12" fillId="0" borderId="0" xfId="0" applyFont="1"/>
    <xf numFmtId="0" fontId="0" fillId="0" borderId="26" xfId="0" applyBorder="1"/>
    <xf numFmtId="0" fontId="2" fillId="0" borderId="26" xfId="0" applyFont="1" applyBorder="1"/>
    <xf numFmtId="198" fontId="2" fillId="0" borderId="26" xfId="0" applyNumberFormat="1" applyFont="1" applyBorder="1"/>
    <xf numFmtId="166" fontId="2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257175</xdr:colOff>
          <xdr:row>5</xdr:row>
          <xdr:rowOff>0</xdr:rowOff>
        </xdr:from>
        <xdr:to>
          <xdr:col>7</xdr:col>
          <xdr:colOff>381000</xdr:colOff>
          <xdr:row>6</xdr:row>
          <xdr:rowOff>9525</xdr:rowOff>
        </xdr:to>
        <xdr:sp macro="" textlink="">
          <xdr:nvSpPr>
            <xdr:cNvPr id="1192" name="Button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15BA68C1-7727-C136-DB8F-115E564C35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Model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LNG/EGroves/Batchloads/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tch"/>
      <sheetName val="Swap"/>
      <sheetName val="PV"/>
      <sheetName val="LIST"/>
    </sheetNames>
    <sheetDataSet>
      <sheetData sheetId="0" refreshError="1"/>
      <sheetData sheetId="1" refreshError="1"/>
      <sheetData sheetId="2" refreshError="1">
        <row r="9">
          <cell r="E9">
            <v>0.9895458274698461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K26" sqref="K26"/>
    </sheetView>
  </sheetViews>
  <sheetFormatPr defaultRowHeight="12.75" x14ac:dyDescent="0.2"/>
  <cols>
    <col min="7" max="7" width="10.28515625" bestFit="1" customWidth="1"/>
    <col min="9" max="9" width="11.28515625" bestFit="1" customWidth="1"/>
    <col min="11" max="11" width="13.85546875" bestFit="1" customWidth="1"/>
  </cols>
  <sheetData>
    <row r="2" spans="1:11" x14ac:dyDescent="0.2">
      <c r="A2" s="1" t="s">
        <v>125</v>
      </c>
    </row>
    <row r="3" spans="1:11" ht="13.5" thickBot="1" x14ac:dyDescent="0.25"/>
    <row r="4" spans="1:11" ht="39" thickBot="1" x14ac:dyDescent="0.25">
      <c r="B4" s="198" t="s">
        <v>35</v>
      </c>
      <c r="C4" s="199"/>
      <c r="D4" s="191" t="s">
        <v>124</v>
      </c>
      <c r="E4" s="191" t="s">
        <v>123</v>
      </c>
      <c r="F4" s="191" t="s">
        <v>122</v>
      </c>
      <c r="G4" s="191" t="s">
        <v>121</v>
      </c>
      <c r="H4" s="191" t="s">
        <v>120</v>
      </c>
      <c r="I4" s="191" t="s">
        <v>119</v>
      </c>
      <c r="J4" s="191" t="s">
        <v>118</v>
      </c>
      <c r="K4" s="190" t="s">
        <v>117</v>
      </c>
    </row>
    <row r="5" spans="1:11" x14ac:dyDescent="0.2">
      <c r="A5" t="s">
        <v>116</v>
      </c>
      <c r="B5" t="s">
        <v>114</v>
      </c>
      <c r="D5" s="188">
        <v>36928</v>
      </c>
      <c r="E5" t="s">
        <v>113</v>
      </c>
      <c r="F5">
        <v>20</v>
      </c>
      <c r="G5" s="189">
        <v>1421973</v>
      </c>
      <c r="H5" s="55">
        <v>6.0090000000000003</v>
      </c>
      <c r="I5" s="8">
        <f>G5*H5</f>
        <v>8544635.7570000011</v>
      </c>
      <c r="J5" s="187">
        <v>0.105</v>
      </c>
      <c r="K5" s="186">
        <f>((J5*(F5/365))*I5)</f>
        <v>49160.9180539726</v>
      </c>
    </row>
    <row r="7" spans="1:11" x14ac:dyDescent="0.2">
      <c r="A7" t="s">
        <v>115</v>
      </c>
      <c r="B7" t="s">
        <v>114</v>
      </c>
      <c r="D7" s="188">
        <v>36934</v>
      </c>
      <c r="E7" t="s">
        <v>113</v>
      </c>
      <c r="F7">
        <v>20</v>
      </c>
      <c r="G7" s="189">
        <v>1263976</v>
      </c>
      <c r="H7" s="55">
        <v>6.0090000000000003</v>
      </c>
      <c r="I7" s="8">
        <f>G7*H7</f>
        <v>7595231.784</v>
      </c>
      <c r="J7" s="187">
        <v>0.105</v>
      </c>
      <c r="K7" s="186">
        <f>((J7*(F7/365))*I7)</f>
        <v>43698.593825753422</v>
      </c>
    </row>
    <row r="8" spans="1:11" x14ac:dyDescent="0.2">
      <c r="F8">
        <v>20</v>
      </c>
      <c r="G8" s="189">
        <v>157997</v>
      </c>
      <c r="H8" s="55">
        <v>4.3289999999999997</v>
      </c>
      <c r="I8" s="8">
        <f>G8*H8</f>
        <v>683969.01299999992</v>
      </c>
      <c r="J8" s="187">
        <v>0.105</v>
      </c>
      <c r="K8" s="186">
        <f>((J8*(F8/365))*I8)</f>
        <v>3935.1641843835605</v>
      </c>
    </row>
    <row r="9" spans="1:11" x14ac:dyDescent="0.2">
      <c r="K9" s="186"/>
    </row>
    <row r="10" spans="1:11" x14ac:dyDescent="0.2">
      <c r="A10" t="s">
        <v>112</v>
      </c>
      <c r="B10" t="s">
        <v>32</v>
      </c>
      <c r="D10" s="188">
        <v>36960</v>
      </c>
      <c r="E10" t="s">
        <v>111</v>
      </c>
      <c r="F10">
        <v>30</v>
      </c>
      <c r="I10" s="8">
        <v>3038619</v>
      </c>
      <c r="J10" s="187">
        <v>0.105</v>
      </c>
      <c r="K10" s="186">
        <f>((J10*(F10/365))*I10)</f>
        <v>26223.698219178077</v>
      </c>
    </row>
    <row r="11" spans="1:11" ht="13.5" thickBot="1" x14ac:dyDescent="0.25"/>
    <row r="12" spans="1:11" ht="13.5" thickBot="1" x14ac:dyDescent="0.25">
      <c r="I12" s="11" t="s">
        <v>110</v>
      </c>
      <c r="J12" s="185"/>
      <c r="K12" s="184">
        <f>SUM(K5:K10)</f>
        <v>123018.37428328765</v>
      </c>
    </row>
    <row r="16" spans="1:11" ht="13.5" thickBot="1" x14ac:dyDescent="0.25">
      <c r="A16" s="1" t="s">
        <v>126</v>
      </c>
      <c r="K16" s="192">
        <v>3236423</v>
      </c>
    </row>
    <row r="18" spans="1:11" ht="13.5" thickBot="1" x14ac:dyDescent="0.25">
      <c r="A18" s="194"/>
      <c r="B18" s="194"/>
      <c r="C18" s="194"/>
      <c r="D18" s="194"/>
      <c r="E18" s="194"/>
      <c r="F18" s="194"/>
      <c r="G18" s="195" t="s">
        <v>127</v>
      </c>
      <c r="H18" s="194"/>
      <c r="I18" s="194"/>
      <c r="J18" s="194"/>
      <c r="K18" s="196">
        <f>SUM(K12:K16)</f>
        <v>3359441.3742832877</v>
      </c>
    </row>
    <row r="19" spans="1:11" ht="13.5" thickTop="1" x14ac:dyDescent="0.2"/>
    <row r="20" spans="1:11" x14ac:dyDescent="0.2">
      <c r="A20" s="1" t="s">
        <v>128</v>
      </c>
    </row>
    <row r="22" spans="1:11" x14ac:dyDescent="0.2">
      <c r="A22" s="193" t="s">
        <v>116</v>
      </c>
      <c r="B22" s="193" t="s">
        <v>129</v>
      </c>
      <c r="K22" s="8">
        <f>K16/2</f>
        <v>1618211.5</v>
      </c>
    </row>
    <row r="23" spans="1:11" x14ac:dyDescent="0.2">
      <c r="A23" t="s">
        <v>130</v>
      </c>
    </row>
    <row r="24" spans="1:11" ht="13.5" thickBot="1" x14ac:dyDescent="0.25">
      <c r="A24" t="s">
        <v>115</v>
      </c>
      <c r="B24" t="s">
        <v>131</v>
      </c>
      <c r="K24" s="192">
        <v>308302</v>
      </c>
    </row>
    <row r="26" spans="1:11" x14ac:dyDescent="0.2">
      <c r="G26" s="1" t="s">
        <v>132</v>
      </c>
      <c r="H26" s="1"/>
      <c r="I26" s="1"/>
      <c r="J26" s="1"/>
      <c r="K26" s="197">
        <f>SUM(K22:K24)</f>
        <v>1926513.5</v>
      </c>
    </row>
  </sheetData>
  <mergeCells count="1">
    <mergeCell ref="B4:C4"/>
  </mergeCells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B23" sqref="B23"/>
    </sheetView>
  </sheetViews>
  <sheetFormatPr defaultRowHeight="12.75" x14ac:dyDescent="0.2"/>
  <cols>
    <col min="2" max="2" width="22.5703125" bestFit="1" customWidth="1"/>
    <col min="3" max="3" width="10.140625" bestFit="1" customWidth="1"/>
    <col min="4" max="4" width="10.28515625" bestFit="1" customWidth="1"/>
    <col min="5" max="5" width="8.140625" customWidth="1"/>
    <col min="6" max="7" width="12.28515625" bestFit="1" customWidth="1"/>
    <col min="10" max="11" width="10.28515625" bestFit="1" customWidth="1"/>
    <col min="13" max="13" width="12.28515625" bestFit="1" customWidth="1"/>
  </cols>
  <sheetData>
    <row r="1" spans="1:11" ht="15" x14ac:dyDescent="0.25">
      <c r="B1" s="63" t="s">
        <v>75</v>
      </c>
      <c r="C1" s="63"/>
      <c r="D1" s="64"/>
      <c r="E1" s="64"/>
      <c r="F1" s="64"/>
      <c r="G1" s="64"/>
    </row>
    <row r="2" spans="1:11" x14ac:dyDescent="0.2">
      <c r="B2" s="65"/>
      <c r="C2" s="65"/>
      <c r="D2" s="66"/>
      <c r="E2" s="67"/>
      <c r="F2" s="68"/>
      <c r="G2" s="68"/>
      <c r="J2" s="69" t="s">
        <v>76</v>
      </c>
      <c r="K2" s="70" t="s">
        <v>76</v>
      </c>
    </row>
    <row r="3" spans="1:11" x14ac:dyDescent="0.2">
      <c r="B3" s="71"/>
      <c r="C3" s="72"/>
      <c r="D3" s="72" t="s">
        <v>77</v>
      </c>
      <c r="E3" s="72" t="s">
        <v>78</v>
      </c>
      <c r="F3" s="72" t="s">
        <v>79</v>
      </c>
      <c r="G3" s="70" t="s">
        <v>80</v>
      </c>
      <c r="J3" s="73" t="s">
        <v>81</v>
      </c>
      <c r="K3" s="74" t="s">
        <v>82</v>
      </c>
    </row>
    <row r="4" spans="1:11" x14ac:dyDescent="0.2">
      <c r="B4" s="75" t="s">
        <v>83</v>
      </c>
      <c r="C4" s="76"/>
      <c r="D4" s="77">
        <v>2720000</v>
      </c>
      <c r="E4" s="78">
        <v>5.7869999999999999</v>
      </c>
      <c r="F4" s="79">
        <f>-E4*D4</f>
        <v>-15740640</v>
      </c>
      <c r="G4" s="80">
        <f>+F4*[1]PV!$E$9</f>
        <v>-15576084.633704958</v>
      </c>
      <c r="J4" s="81">
        <f>+G4/-$D$7</f>
        <v>-5.8424923607295423</v>
      </c>
      <c r="K4" s="82">
        <f>+G4/$D$4</f>
        <v>-5.7265017035679993</v>
      </c>
    </row>
    <row r="5" spans="1:11" x14ac:dyDescent="0.2">
      <c r="B5" s="83" t="s">
        <v>84</v>
      </c>
      <c r="C5" s="84">
        <v>1.7500000000000002E-2</v>
      </c>
      <c r="D5" s="85">
        <f>+D4*C5</f>
        <v>47600.000000000007</v>
      </c>
      <c r="E5" s="86"/>
      <c r="F5" s="87"/>
      <c r="G5" s="88"/>
      <c r="J5" s="89"/>
      <c r="K5" s="90"/>
    </row>
    <row r="6" spans="1:11" x14ac:dyDescent="0.2">
      <c r="B6" s="91" t="s">
        <v>85</v>
      </c>
      <c r="C6" s="92"/>
      <c r="D6" s="93">
        <f>+D4-D5</f>
        <v>2672400</v>
      </c>
      <c r="E6" s="94"/>
      <c r="F6" s="95"/>
      <c r="G6" s="96"/>
      <c r="J6" s="89"/>
      <c r="K6" s="90"/>
    </row>
    <row r="7" spans="1:11" x14ac:dyDescent="0.2">
      <c r="B7" s="97" t="s">
        <v>86</v>
      </c>
      <c r="C7" s="98"/>
      <c r="D7" s="99">
        <f>-86000*31</f>
        <v>-2666000</v>
      </c>
      <c r="E7" s="100">
        <f>6.79-0.1025-0.06</f>
        <v>6.6275000000000004</v>
      </c>
      <c r="F7" s="101">
        <f>-E7*D7</f>
        <v>17668915</v>
      </c>
      <c r="G7" s="102">
        <f>+F7*[1]PV!$E$9</f>
        <v>17484201.114169374</v>
      </c>
      <c r="J7" s="81">
        <f>+G7/-$D$7</f>
        <v>6.5582149715564046</v>
      </c>
      <c r="K7" s="82">
        <f>+G7/$D$4</f>
        <v>6.4280151155034462</v>
      </c>
    </row>
    <row r="8" spans="1:11" x14ac:dyDescent="0.2">
      <c r="B8" s="97" t="s">
        <v>87</v>
      </c>
      <c r="C8" s="98"/>
      <c r="D8" s="99"/>
      <c r="E8" s="100"/>
      <c r="F8" s="101">
        <f>+E8*D8</f>
        <v>0</v>
      </c>
      <c r="G8" s="102">
        <f>+F8*[1]PV!$E$9</f>
        <v>0</v>
      </c>
      <c r="J8" s="81"/>
      <c r="K8" s="82"/>
    </row>
    <row r="9" spans="1:11" x14ac:dyDescent="0.2">
      <c r="B9" s="103" t="s">
        <v>88</v>
      </c>
      <c r="C9" s="104"/>
      <c r="D9" s="105">
        <f>SUM(D7:D8)</f>
        <v>-2666000</v>
      </c>
      <c r="E9" s="106"/>
      <c r="F9" s="107">
        <f>SUM(F7:F8)</f>
        <v>17668915</v>
      </c>
      <c r="G9" s="108">
        <f>SUM(G7:G8)</f>
        <v>17484201.114169374</v>
      </c>
      <c r="J9" s="109"/>
      <c r="K9" s="110"/>
    </row>
    <row r="10" spans="1:11" x14ac:dyDescent="0.2">
      <c r="B10" s="111" t="s">
        <v>89</v>
      </c>
      <c r="C10" s="112"/>
      <c r="D10" s="113">
        <f>+D9+D6</f>
        <v>6400</v>
      </c>
      <c r="E10" s="114">
        <f>+E7</f>
        <v>6.6275000000000004</v>
      </c>
      <c r="F10" s="115">
        <f>+E10*D10</f>
        <v>42416</v>
      </c>
      <c r="G10" s="116">
        <f>+F10*[1]PV!$E$9</f>
        <v>41972.575817960991</v>
      </c>
      <c r="J10" s="109"/>
      <c r="K10" s="110"/>
    </row>
    <row r="11" spans="1:11" x14ac:dyDescent="0.2">
      <c r="B11" s="117" t="s">
        <v>90</v>
      </c>
      <c r="C11" s="118"/>
      <c r="D11" s="119"/>
      <c r="E11" s="120"/>
      <c r="F11" s="121">
        <f>+F9+F10+F4</f>
        <v>1970691</v>
      </c>
      <c r="G11" s="122">
        <f>+G4+G9+G10</f>
        <v>1950089.0562823766</v>
      </c>
      <c r="J11" s="81">
        <f>+G11/-$D$7</f>
        <v>0.73146626267155912</v>
      </c>
      <c r="K11" s="82">
        <f>+G11/$D$4</f>
        <v>0.71694450598616788</v>
      </c>
    </row>
    <row r="12" spans="1:11" x14ac:dyDescent="0.2">
      <c r="A12" s="123"/>
      <c r="B12" s="124"/>
      <c r="C12" s="125"/>
      <c r="D12" s="126"/>
      <c r="E12" s="127"/>
      <c r="F12" s="128"/>
      <c r="G12" s="129"/>
      <c r="H12" s="123"/>
      <c r="I12" s="123"/>
      <c r="J12" s="81"/>
      <c r="K12" s="82"/>
    </row>
    <row r="13" spans="1:11" x14ac:dyDescent="0.2">
      <c r="A13" s="123"/>
      <c r="B13" s="130" t="s">
        <v>18</v>
      </c>
      <c r="C13" s="131"/>
      <c r="D13" s="132">
        <f>+D4</f>
        <v>2720000</v>
      </c>
      <c r="E13" s="133">
        <v>0.55000000000000004</v>
      </c>
      <c r="F13" s="134">
        <f>-E13*D13</f>
        <v>-1496000.0000000002</v>
      </c>
      <c r="G13" s="135">
        <f>+F13*[1]PV!$E$9</f>
        <v>-1480360.55789489</v>
      </c>
      <c r="H13" s="123"/>
      <c r="I13" s="123"/>
      <c r="J13" s="81"/>
      <c r="K13" s="82"/>
    </row>
    <row r="14" spans="1:11" x14ac:dyDescent="0.2">
      <c r="B14" s="136" t="s">
        <v>91</v>
      </c>
      <c r="C14" s="137"/>
      <c r="D14" s="138"/>
      <c r="E14" s="139"/>
      <c r="F14" s="140">
        <v>-16810</v>
      </c>
      <c r="G14" s="141">
        <f>+F14*[1]PV!$E$9</f>
        <v>-16634.265359768113</v>
      </c>
      <c r="J14" s="81">
        <f>+G14/-$D$7</f>
        <v>-6.239409362253606E-3</v>
      </c>
      <c r="K14" s="82">
        <f>+G14/$D$4</f>
        <v>-6.1155387352088654E-3</v>
      </c>
    </row>
    <row r="15" spans="1:11" x14ac:dyDescent="0.2">
      <c r="B15" s="142" t="s">
        <v>92</v>
      </c>
      <c r="C15" s="143"/>
      <c r="D15" s="144"/>
      <c r="E15" s="145"/>
      <c r="F15" s="146">
        <v>-950</v>
      </c>
      <c r="G15" s="147">
        <f>+F15*[1]PV!$E$9</f>
        <v>-940.0685360963538</v>
      </c>
      <c r="J15" s="81">
        <f>+G15/-$D$7</f>
        <v>-3.5261385449975762E-4</v>
      </c>
      <c r="K15" s="82">
        <f>+G15/$D$4</f>
        <v>-3.4561343238836539E-4</v>
      </c>
    </row>
    <row r="16" spans="1:11" x14ac:dyDescent="0.2">
      <c r="B16" s="142" t="s">
        <v>93</v>
      </c>
      <c r="C16" s="143"/>
      <c r="D16" s="144"/>
      <c r="E16" s="145"/>
      <c r="F16" s="146">
        <v>0</v>
      </c>
      <c r="G16" s="147">
        <f>+F16*[1]PV!$E$9</f>
        <v>0</v>
      </c>
      <c r="J16" s="81">
        <f>+G16/-$D$7</f>
        <v>0</v>
      </c>
      <c r="K16" s="82">
        <f>+G16/$D$4</f>
        <v>0</v>
      </c>
    </row>
    <row r="17" spans="2:13" x14ac:dyDescent="0.2">
      <c r="B17" s="148" t="s">
        <v>94</v>
      </c>
      <c r="C17" s="149"/>
      <c r="D17" s="150"/>
      <c r="E17" s="151"/>
      <c r="F17" s="152">
        <f>-F36</f>
        <v>-148629.38740588637</v>
      </c>
      <c r="G17" s="153">
        <f>+F17*[1]PV!$E$9</f>
        <v>-147075.59014689416</v>
      </c>
      <c r="H17" s="35"/>
      <c r="I17" s="35"/>
      <c r="J17" s="81">
        <f>+G17/-$D$7</f>
        <v>-5.5167138089607715E-2</v>
      </c>
      <c r="K17" s="82">
        <f>+G17/$D$4</f>
        <v>-5.4071908142240499E-2</v>
      </c>
    </row>
    <row r="18" spans="2:13" x14ac:dyDescent="0.2">
      <c r="B18" s="148"/>
      <c r="C18" s="149"/>
      <c r="D18" s="150"/>
      <c r="E18" s="151"/>
      <c r="F18" s="152"/>
      <c r="G18" s="153"/>
      <c r="H18" s="35"/>
      <c r="I18" s="35"/>
      <c r="J18" s="81"/>
      <c r="K18" s="82"/>
    </row>
    <row r="19" spans="2:13" x14ac:dyDescent="0.2">
      <c r="B19" s="148" t="s">
        <v>95</v>
      </c>
      <c r="C19" s="149"/>
      <c r="D19" s="154"/>
      <c r="E19" s="151"/>
      <c r="F19" s="152">
        <f>SUM(F13:F17)</f>
        <v>-1662389.3874058865</v>
      </c>
      <c r="G19" s="153">
        <f>SUM(G13:G17)</f>
        <v>-1645010.4819376485</v>
      </c>
      <c r="J19" s="81">
        <f>+G19/-$D$7</f>
        <v>-0.61703318902387416</v>
      </c>
      <c r="K19" s="82">
        <f>+G19/$D$4</f>
        <v>-0.60478326541825311</v>
      </c>
    </row>
    <row r="20" spans="2:13" x14ac:dyDescent="0.2">
      <c r="B20" s="155"/>
      <c r="C20" s="156"/>
      <c r="D20" s="157"/>
      <c r="E20" s="158"/>
      <c r="F20" s="159"/>
      <c r="G20" s="159"/>
      <c r="H20" s="123"/>
      <c r="I20" s="123"/>
      <c r="J20" s="81"/>
      <c r="K20" s="82"/>
    </row>
    <row r="21" spans="2:13" ht="15.75" x14ac:dyDescent="0.25">
      <c r="B21" s="160" t="s">
        <v>96</v>
      </c>
      <c r="C21" s="161"/>
      <c r="D21" s="161"/>
      <c r="E21" s="162"/>
      <c r="F21" s="163">
        <f>+F11+F19</f>
        <v>308301.61259411345</v>
      </c>
      <c r="G21" s="164">
        <f>+G19+G11</f>
        <v>305078.57434472814</v>
      </c>
      <c r="H21" s="165"/>
      <c r="I21" s="165"/>
      <c r="J21" s="166">
        <f>+G21/-D7</f>
        <v>0.11443307364768497</v>
      </c>
      <c r="K21" s="167">
        <f>+G21/$D$4</f>
        <v>0.11216124056791475</v>
      </c>
    </row>
    <row r="22" spans="2:13" x14ac:dyDescent="0.2">
      <c r="B22" s="168"/>
      <c r="C22" s="169"/>
      <c r="D22" s="170"/>
      <c r="E22" s="171"/>
      <c r="F22" s="170"/>
      <c r="G22" s="170"/>
      <c r="J22" s="170"/>
      <c r="K22" s="170"/>
    </row>
    <row r="23" spans="2:13" x14ac:dyDescent="0.2">
      <c r="B23" s="168"/>
      <c r="C23" s="169"/>
      <c r="D23" s="170"/>
      <c r="E23" s="171"/>
      <c r="F23" s="170"/>
      <c r="G23" s="172"/>
      <c r="J23" s="170"/>
      <c r="K23" s="170"/>
    </row>
    <row r="24" spans="2:13" x14ac:dyDescent="0.2">
      <c r="B24" s="168"/>
      <c r="C24" s="169"/>
      <c r="E24" s="173"/>
      <c r="F24" s="35"/>
      <c r="J24" s="170"/>
    </row>
    <row r="25" spans="2:13" x14ac:dyDescent="0.2">
      <c r="B25" s="174" t="s">
        <v>97</v>
      </c>
      <c r="C25" s="174"/>
      <c r="D25" s="174"/>
      <c r="E25" s="175"/>
      <c r="F25" s="176"/>
      <c r="G25" s="177"/>
    </row>
    <row r="26" spans="2:13" x14ac:dyDescent="0.2">
      <c r="B26" t="s">
        <v>98</v>
      </c>
      <c r="C26" s="178">
        <v>36960</v>
      </c>
      <c r="D26" s="170"/>
      <c r="E26" s="179"/>
      <c r="G26" s="35"/>
    </row>
    <row r="27" spans="2:13" x14ac:dyDescent="0.2">
      <c r="B27" t="s">
        <v>99</v>
      </c>
      <c r="C27" s="170">
        <v>2</v>
      </c>
      <c r="E27" s="52"/>
      <c r="G27" s="35"/>
    </row>
    <row r="28" spans="2:13" x14ac:dyDescent="0.2">
      <c r="B28" t="s">
        <v>100</v>
      </c>
      <c r="C28" s="178">
        <f>+C26+C27</f>
        <v>36962</v>
      </c>
      <c r="G28" s="35"/>
      <c r="H28" t="s">
        <v>105</v>
      </c>
    </row>
    <row r="29" spans="2:13" x14ac:dyDescent="0.2">
      <c r="B29" t="s">
        <v>101</v>
      </c>
      <c r="C29" s="178">
        <v>37001</v>
      </c>
      <c r="G29" s="35"/>
      <c r="H29" t="s">
        <v>106</v>
      </c>
      <c r="J29" s="181">
        <f>E4</f>
        <v>5.7869999999999999</v>
      </c>
      <c r="K29" t="s">
        <v>107</v>
      </c>
      <c r="L29" s="182" t="s">
        <v>108</v>
      </c>
      <c r="M29" s="35">
        <f>-F4</f>
        <v>15740640</v>
      </c>
    </row>
    <row r="30" spans="2:13" x14ac:dyDescent="0.2">
      <c r="B30" t="s">
        <v>102</v>
      </c>
      <c r="C30" s="178">
        <v>37001</v>
      </c>
      <c r="G30" s="35"/>
      <c r="H30" t="s">
        <v>109</v>
      </c>
      <c r="M30" s="35">
        <v>-9465598</v>
      </c>
    </row>
    <row r="31" spans="2:13" x14ac:dyDescent="0.2">
      <c r="C31" s="170"/>
      <c r="D31" s="180"/>
      <c r="M31" s="183">
        <v>-3038619</v>
      </c>
    </row>
    <row r="32" spans="2:13" x14ac:dyDescent="0.2">
      <c r="M32" s="35">
        <f>SUM(M29:M31)</f>
        <v>3236423</v>
      </c>
    </row>
    <row r="33" spans="2:6" x14ac:dyDescent="0.2">
      <c r="B33" t="s">
        <v>103</v>
      </c>
      <c r="C33" t="s">
        <v>104</v>
      </c>
    </row>
    <row r="34" spans="2:6" x14ac:dyDescent="0.2">
      <c r="B34" s="8">
        <v>15792548</v>
      </c>
      <c r="C34" s="52">
        <v>8</v>
      </c>
      <c r="D34" s="9">
        <v>0.11</v>
      </c>
      <c r="F34" s="146">
        <f>(+D34*C34/365.25)*B34</f>
        <v>38049.123175906912</v>
      </c>
    </row>
    <row r="35" spans="2:6" x14ac:dyDescent="0.2">
      <c r="B35" s="8">
        <v>15792548</v>
      </c>
      <c r="C35" s="52">
        <v>31</v>
      </c>
      <c r="D35" s="9">
        <v>8.2500000000000004E-2</v>
      </c>
      <c r="F35" s="146">
        <f>(+D35*C35/365.25)*B35</f>
        <v>110580.26422997947</v>
      </c>
    </row>
    <row r="36" spans="2:6" x14ac:dyDescent="0.2">
      <c r="F36" s="35">
        <f>SUM(F34:F35)</f>
        <v>148629.38740588637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H51"/>
  <sheetViews>
    <sheetView topLeftCell="A29" zoomScaleNormal="100" workbookViewId="0">
      <selection activeCell="C47" sqref="C47"/>
    </sheetView>
  </sheetViews>
  <sheetFormatPr defaultRowHeight="12.75" x14ac:dyDescent="0.2"/>
  <cols>
    <col min="1" max="1" width="3.7109375" customWidth="1"/>
    <col min="2" max="2" width="50.7109375" bestFit="1" customWidth="1"/>
    <col min="3" max="3" width="25.7109375" customWidth="1"/>
    <col min="5" max="5" width="13.85546875" bestFit="1" customWidth="1"/>
    <col min="6" max="6" width="12.42578125" bestFit="1" customWidth="1"/>
    <col min="7" max="7" width="21.5703125" customWidth="1"/>
    <col min="8" max="8" width="13.85546875" customWidth="1"/>
  </cols>
  <sheetData>
    <row r="1" spans="2:3" ht="13.5" x14ac:dyDescent="0.25">
      <c r="B1" s="2" t="s">
        <v>41</v>
      </c>
    </row>
    <row r="2" spans="2:3" ht="13.5" thickBot="1" x14ac:dyDescent="0.25"/>
    <row r="3" spans="2:3" ht="13.5" thickBot="1" x14ac:dyDescent="0.25">
      <c r="B3" s="11" t="s">
        <v>40</v>
      </c>
      <c r="C3" s="19">
        <v>2.5000000000000001E-3</v>
      </c>
    </row>
    <row r="4" spans="2:3" ht="13.5" thickBot="1" x14ac:dyDescent="0.25">
      <c r="B4" s="11" t="s">
        <v>50</v>
      </c>
      <c r="C4" s="29">
        <v>0.55000000000000004</v>
      </c>
    </row>
    <row r="5" spans="2:3" ht="13.5" thickBot="1" x14ac:dyDescent="0.25">
      <c r="B5" s="16" t="s">
        <v>27</v>
      </c>
      <c r="C5" s="24">
        <v>1.7500000000000002E-2</v>
      </c>
    </row>
    <row r="6" spans="2:3" ht="16.5" thickBot="1" x14ac:dyDescent="0.3">
      <c r="B6" s="14"/>
    </row>
    <row r="7" spans="2:3" ht="25.5" x14ac:dyDescent="0.2">
      <c r="B7" s="4" t="s">
        <v>39</v>
      </c>
      <c r="C7" s="21" t="s">
        <v>59</v>
      </c>
    </row>
    <row r="8" spans="2:3" x14ac:dyDescent="0.2">
      <c r="B8" s="28" t="s">
        <v>58</v>
      </c>
      <c r="C8" s="50">
        <v>6.79</v>
      </c>
    </row>
    <row r="9" spans="2:3" ht="13.5" thickBot="1" x14ac:dyDescent="0.25">
      <c r="B9" s="12" t="s">
        <v>54</v>
      </c>
      <c r="C9" s="42">
        <v>3.48</v>
      </c>
    </row>
    <row r="10" spans="2:3" ht="13.5" thickBot="1" x14ac:dyDescent="0.25">
      <c r="B10" s="27" t="s">
        <v>35</v>
      </c>
      <c r="C10" s="36" t="s">
        <v>32</v>
      </c>
    </row>
    <row r="11" spans="2:3" ht="13.5" thickBot="1" x14ac:dyDescent="0.25">
      <c r="B11" s="26" t="s">
        <v>33</v>
      </c>
      <c r="C11" s="37" t="s">
        <v>34</v>
      </c>
    </row>
    <row r="12" spans="2:3" x14ac:dyDescent="0.2">
      <c r="B12" s="6" t="s">
        <v>2</v>
      </c>
      <c r="C12" s="17">
        <v>2200</v>
      </c>
    </row>
    <row r="13" spans="2:3" x14ac:dyDescent="0.2">
      <c r="B13" s="6" t="s">
        <v>3</v>
      </c>
      <c r="C13" s="17" t="s">
        <v>36</v>
      </c>
    </row>
    <row r="14" spans="2:3" x14ac:dyDescent="0.2">
      <c r="B14" s="6" t="s">
        <v>4</v>
      </c>
      <c r="C14" s="17">
        <v>2200</v>
      </c>
    </row>
    <row r="15" spans="2:3" x14ac:dyDescent="0.2">
      <c r="B15" s="6" t="s">
        <v>5</v>
      </c>
      <c r="C15" s="17">
        <v>17.5</v>
      </c>
    </row>
    <row r="16" spans="2:3" x14ac:dyDescent="0.2">
      <c r="B16" s="6" t="s">
        <v>6</v>
      </c>
      <c r="C16" s="17">
        <v>17.5</v>
      </c>
    </row>
    <row r="17" spans="2:6" x14ac:dyDescent="0.2">
      <c r="B17" s="6" t="s">
        <v>7</v>
      </c>
      <c r="C17" s="17">
        <v>0</v>
      </c>
    </row>
    <row r="18" spans="2:6" x14ac:dyDescent="0.2">
      <c r="B18" s="6" t="s">
        <v>8</v>
      </c>
      <c r="C18" s="17">
        <v>1</v>
      </c>
    </row>
    <row r="19" spans="2:6" ht="13.5" thickBot="1" x14ac:dyDescent="0.25">
      <c r="B19" s="15" t="s">
        <v>9</v>
      </c>
      <c r="C19" s="38">
        <v>1</v>
      </c>
    </row>
    <row r="20" spans="2:6" x14ac:dyDescent="0.2">
      <c r="B20" s="3" t="s">
        <v>0</v>
      </c>
      <c r="C20" s="18"/>
    </row>
    <row r="21" spans="2:6" x14ac:dyDescent="0.2">
      <c r="B21" s="6" t="s">
        <v>20</v>
      </c>
      <c r="C21" s="30">
        <f>(C17*2)</f>
        <v>0</v>
      </c>
    </row>
    <row r="22" spans="2:6" x14ac:dyDescent="0.2">
      <c r="B22" s="6" t="s">
        <v>21</v>
      </c>
      <c r="C22" s="30">
        <f>ROUNDUP(C18+C19,1)</f>
        <v>2</v>
      </c>
    </row>
    <row r="23" spans="2:6" x14ac:dyDescent="0.2">
      <c r="B23" s="6" t="s">
        <v>22</v>
      </c>
      <c r="C23" s="30">
        <f>ROUNDUP(C12/(C15*24),0)</f>
        <v>6</v>
      </c>
    </row>
    <row r="24" spans="2:6" x14ac:dyDescent="0.2">
      <c r="B24" s="6" t="s">
        <v>23</v>
      </c>
      <c r="C24" s="31">
        <f>ROUNDUP(C14/(C16*24),0)</f>
        <v>6</v>
      </c>
    </row>
    <row r="25" spans="2:6" ht="13.5" thickBot="1" x14ac:dyDescent="0.25">
      <c r="B25" s="13" t="s">
        <v>1</v>
      </c>
      <c r="C25" s="32">
        <f>SUM(C21:C24)</f>
        <v>14</v>
      </c>
    </row>
    <row r="26" spans="2:6" x14ac:dyDescent="0.2">
      <c r="B26" s="6" t="s">
        <v>49</v>
      </c>
      <c r="C26" s="39">
        <f>121000*23.5</f>
        <v>2843500</v>
      </c>
    </row>
    <row r="27" spans="2:6" x14ac:dyDescent="0.2">
      <c r="B27" s="6" t="s">
        <v>24</v>
      </c>
      <c r="C27" s="34">
        <f>($C$3*C26)*C23</f>
        <v>42652.5</v>
      </c>
    </row>
    <row r="28" spans="2:6" x14ac:dyDescent="0.2">
      <c r="B28" s="6" t="s">
        <v>25</v>
      </c>
      <c r="C28" s="34">
        <f>($C$3*C26)*C24</f>
        <v>42652.5</v>
      </c>
    </row>
    <row r="29" spans="2:6" x14ac:dyDescent="0.2">
      <c r="B29" s="6" t="s">
        <v>31</v>
      </c>
      <c r="C29" s="34">
        <f>($C$3*C26)*C22</f>
        <v>14217.5</v>
      </c>
    </row>
    <row r="30" spans="2:6" ht="15" x14ac:dyDescent="0.35">
      <c r="B30" s="6" t="s">
        <v>57</v>
      </c>
      <c r="C30" s="40">
        <v>23978</v>
      </c>
    </row>
    <row r="31" spans="2:6" ht="13.5" thickBot="1" x14ac:dyDescent="0.25">
      <c r="B31" s="6" t="s">
        <v>26</v>
      </c>
      <c r="C31" s="34">
        <f>C26-C27-C28-C29-C30</f>
        <v>2719999.5</v>
      </c>
    </row>
    <row r="32" spans="2:6" ht="26.25" thickBot="1" x14ac:dyDescent="0.25">
      <c r="B32" s="33" t="s">
        <v>42</v>
      </c>
      <c r="C32" s="49">
        <f>C9*C31</f>
        <v>9465598.2599999998</v>
      </c>
      <c r="F32" s="57" t="s">
        <v>68</v>
      </c>
    </row>
    <row r="33" spans="2:8" x14ac:dyDescent="0.2">
      <c r="B33" s="6" t="s">
        <v>46</v>
      </c>
      <c r="C33" s="22">
        <f>$C$5*C31</f>
        <v>47599.991250000006</v>
      </c>
      <c r="E33" s="53"/>
    </row>
    <row r="34" spans="2:8" ht="13.5" thickBot="1" x14ac:dyDescent="0.25">
      <c r="B34" s="3" t="s">
        <v>47</v>
      </c>
      <c r="C34" s="23">
        <f>C31-C33</f>
        <v>2672399.50875</v>
      </c>
      <c r="E34" s="56">
        <v>2666000</v>
      </c>
    </row>
    <row r="35" spans="2:8" x14ac:dyDescent="0.2">
      <c r="B35" s="47" t="s">
        <v>64</v>
      </c>
      <c r="C35" s="41">
        <f>C34*($C$8-0.1625)</f>
        <v>17711327.744240627</v>
      </c>
      <c r="E35" s="61">
        <f>E34*($C$8-0.1625)</f>
        <v>17668915</v>
      </c>
      <c r="F35" s="59">
        <f>(C35-E35)/C31</f>
        <v>1.559292354304723E-2</v>
      </c>
    </row>
    <row r="36" spans="2:8" x14ac:dyDescent="0.2">
      <c r="B36" s="47" t="s">
        <v>55</v>
      </c>
      <c r="C36" s="45">
        <f>-C31*0.1</f>
        <v>-271999.95</v>
      </c>
    </row>
    <row r="37" spans="2:8" x14ac:dyDescent="0.2">
      <c r="B37" s="18" t="s">
        <v>43</v>
      </c>
      <c r="C37" s="45">
        <f>-C32</f>
        <v>-9465598.2599999998</v>
      </c>
    </row>
    <row r="38" spans="2:8" x14ac:dyDescent="0.2">
      <c r="B38" s="6" t="s">
        <v>38</v>
      </c>
      <c r="C38" s="45">
        <f>-C4*C31</f>
        <v>-1495999.7250000001</v>
      </c>
      <c r="E38" s="54"/>
    </row>
    <row r="39" spans="2:8" x14ac:dyDescent="0.2">
      <c r="B39" s="6" t="s">
        <v>52</v>
      </c>
      <c r="C39" s="45">
        <v>0</v>
      </c>
    </row>
    <row r="40" spans="2:8" x14ac:dyDescent="0.2">
      <c r="B40" s="47" t="s">
        <v>53</v>
      </c>
      <c r="C40" s="45">
        <v>0</v>
      </c>
    </row>
    <row r="41" spans="2:8" x14ac:dyDescent="0.2">
      <c r="B41" s="47" t="s">
        <v>56</v>
      </c>
      <c r="C41" s="45">
        <v>0</v>
      </c>
      <c r="E41" s="54"/>
    </row>
    <row r="42" spans="2:8" x14ac:dyDescent="0.2">
      <c r="B42" s="47" t="s">
        <v>44</v>
      </c>
      <c r="C42" s="45">
        <v>-20609</v>
      </c>
      <c r="E42" s="8">
        <v>12534</v>
      </c>
      <c r="F42" s="60">
        <f>-(C42+E42)/C31</f>
        <v>2.9687505457262034E-3</v>
      </c>
    </row>
    <row r="43" spans="2:8" x14ac:dyDescent="0.2">
      <c r="B43" s="47" t="s">
        <v>45</v>
      </c>
      <c r="C43" s="45">
        <v>-2000</v>
      </c>
      <c r="E43" s="51"/>
    </row>
    <row r="44" spans="2:8" x14ac:dyDescent="0.2">
      <c r="B44" s="48" t="s">
        <v>51</v>
      </c>
      <c r="C44" s="46">
        <v>-72901</v>
      </c>
      <c r="E44" s="8">
        <v>110140</v>
      </c>
      <c r="F44" s="59">
        <f>(C44+E44)/C31</f>
        <v>1.3690811340222674E-2</v>
      </c>
    </row>
    <row r="45" spans="2:8" ht="13.5" thickBot="1" x14ac:dyDescent="0.25">
      <c r="B45" s="44" t="s">
        <v>37</v>
      </c>
      <c r="C45" s="43">
        <f>SUM(C35:C44)</f>
        <v>6382219.809240628</v>
      </c>
      <c r="H45" s="8"/>
    </row>
    <row r="46" spans="2:8" x14ac:dyDescent="0.2">
      <c r="B46" s="52"/>
      <c r="C46" s="8"/>
      <c r="E46" t="s">
        <v>69</v>
      </c>
      <c r="F46" s="60">
        <f>SUM(F35:F44)</f>
        <v>3.2252485428996107E-2</v>
      </c>
    </row>
    <row r="47" spans="2:8" x14ac:dyDescent="0.2">
      <c r="B47" t="s">
        <v>62</v>
      </c>
      <c r="C47" s="8">
        <v>3038619</v>
      </c>
    </row>
    <row r="48" spans="2:8" x14ac:dyDescent="0.2">
      <c r="B48" t="s">
        <v>63</v>
      </c>
      <c r="C48" s="51">
        <f>C45-C47</f>
        <v>3343600.809240628</v>
      </c>
      <c r="E48" t="s">
        <v>70</v>
      </c>
      <c r="F48" s="58">
        <f>C51-F46</f>
        <v>5.7941522875279938</v>
      </c>
    </row>
    <row r="49" spans="2:3" x14ac:dyDescent="0.2">
      <c r="C49" s="35"/>
    </row>
    <row r="50" spans="2:3" x14ac:dyDescent="0.2">
      <c r="B50" t="s">
        <v>66</v>
      </c>
      <c r="C50" s="51">
        <f>C32+C45</f>
        <v>15847818.069240628</v>
      </c>
    </row>
    <row r="51" spans="2:3" x14ac:dyDescent="0.2">
      <c r="B51" t="s">
        <v>67</v>
      </c>
      <c r="C51" s="55">
        <f>C50/C31</f>
        <v>5.8264047729569901</v>
      </c>
    </row>
  </sheetData>
  <pageMargins left="0.75" right="0.75" top="1" bottom="1" header="0.5" footer="0.5"/>
  <pageSetup scale="81" orientation="portrait" r:id="rId1"/>
  <headerFooter alignWithMargins="0">
    <oddFooter>&amp;L&amp;D&amp;RCreated by:   Dustin Collins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92" r:id="rId4" name="Button 168">
              <controlPr defaultSize="0" print="0" autoFill="0" autoPict="0" macro="[0]!Macro1">
                <anchor moveWithCells="1" sizeWithCells="1">
                  <from>
                    <xdr:col>5</xdr:col>
                    <xdr:colOff>257175</xdr:colOff>
                    <xdr:row>5</xdr:row>
                    <xdr:rowOff>0</xdr:rowOff>
                  </from>
                  <to>
                    <xdr:col>7</xdr:col>
                    <xdr:colOff>381000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4"/>
  <sheetViews>
    <sheetView topLeftCell="A2" zoomScaleNormal="100" workbookViewId="0">
      <selection activeCell="E6" sqref="E6"/>
    </sheetView>
  </sheetViews>
  <sheetFormatPr defaultRowHeight="12.75" x14ac:dyDescent="0.2"/>
  <cols>
    <col min="1" max="1" width="20.42578125" customWidth="1"/>
    <col min="2" max="2" width="12.42578125" customWidth="1"/>
    <col min="6" max="6" width="12.28515625" bestFit="1" customWidth="1"/>
  </cols>
  <sheetData>
    <row r="1" spans="1:6" x14ac:dyDescent="0.2">
      <c r="A1" s="1" t="s">
        <v>10</v>
      </c>
    </row>
    <row r="2" spans="1:6" ht="13.5" thickBot="1" x14ac:dyDescent="0.25">
      <c r="A2" s="1"/>
    </row>
    <row r="3" spans="1:6" ht="13.5" thickBot="1" x14ac:dyDescent="0.25">
      <c r="A3" s="198" t="s">
        <v>30</v>
      </c>
      <c r="B3" s="199"/>
      <c r="C3" s="199"/>
      <c r="D3" s="199"/>
      <c r="E3" s="199"/>
      <c r="F3" s="200"/>
    </row>
    <row r="4" spans="1:6" x14ac:dyDescent="0.2">
      <c r="C4" s="7"/>
      <c r="D4" s="7" t="s">
        <v>13</v>
      </c>
      <c r="E4" s="7" t="s">
        <v>15</v>
      </c>
      <c r="F4" s="7" t="s">
        <v>15</v>
      </c>
    </row>
    <row r="5" spans="1:6" x14ac:dyDescent="0.2">
      <c r="A5" s="1" t="s">
        <v>11</v>
      </c>
      <c r="B5" s="7" t="s">
        <v>19</v>
      </c>
      <c r="C5" s="7" t="s">
        <v>12</v>
      </c>
      <c r="D5" s="7" t="s">
        <v>14</v>
      </c>
      <c r="E5" s="7" t="s">
        <v>16</v>
      </c>
      <c r="F5" s="7" t="s">
        <v>17</v>
      </c>
    </row>
    <row r="6" spans="1:6" x14ac:dyDescent="0.2">
      <c r="A6" t="s">
        <v>65</v>
      </c>
      <c r="B6" s="8">
        <f>'Spot Cargo Model'!C50-C38</f>
        <v>15847818.069240628</v>
      </c>
      <c r="C6" s="20">
        <v>10</v>
      </c>
      <c r="D6" s="20">
        <v>32</v>
      </c>
      <c r="E6" s="9">
        <f>0.085*(D6/365)</f>
        <v>7.4520547945205488E-3</v>
      </c>
      <c r="F6" s="62">
        <f>-E6*B6</f>
        <v>-118098.80862557401</v>
      </c>
    </row>
    <row r="7" spans="1:6" x14ac:dyDescent="0.2">
      <c r="A7" t="s">
        <v>28</v>
      </c>
      <c r="B7" s="8">
        <f>'Spot Cargo Model'!C42</f>
        <v>-20609</v>
      </c>
      <c r="C7" s="20">
        <v>10</v>
      </c>
      <c r="D7" s="20">
        <v>32</v>
      </c>
      <c r="E7" s="9">
        <f>0.085*(D7/365)</f>
        <v>7.4520547945205488E-3</v>
      </c>
      <c r="F7" s="62">
        <f>E7*B7</f>
        <v>-153.57939726027399</v>
      </c>
    </row>
    <row r="8" spans="1:6" x14ac:dyDescent="0.2">
      <c r="A8" t="s">
        <v>74</v>
      </c>
      <c r="B8" s="8">
        <f>'Spot Cargo Model'!C35</f>
        <v>17711327.744240627</v>
      </c>
      <c r="C8" s="20">
        <v>42</v>
      </c>
      <c r="D8" s="20">
        <v>0</v>
      </c>
      <c r="E8" s="9">
        <f>0.085*(D8/365)</f>
        <v>0</v>
      </c>
      <c r="F8" s="62">
        <f>E8*B8</f>
        <v>0</v>
      </c>
    </row>
    <row r="9" spans="1:6" x14ac:dyDescent="0.2">
      <c r="A9" t="s">
        <v>18</v>
      </c>
      <c r="B9" s="8">
        <f>'Spot Cargo Model'!C38</f>
        <v>-1495999.7250000001</v>
      </c>
      <c r="C9" s="20">
        <v>47</v>
      </c>
      <c r="D9" s="20">
        <v>5</v>
      </c>
      <c r="E9" s="9">
        <f>0.085*(D9/365)</f>
        <v>1.1643835616438356E-3</v>
      </c>
      <c r="F9" s="62">
        <f>-E9*B9</f>
        <v>1741.9174880136986</v>
      </c>
    </row>
    <row r="10" spans="1:6" x14ac:dyDescent="0.2">
      <c r="A10" s="5" t="s">
        <v>1</v>
      </c>
      <c r="B10" s="5"/>
      <c r="C10" s="5"/>
      <c r="D10" s="5"/>
      <c r="E10" s="5"/>
      <c r="F10" s="10">
        <f>SUM(F6:F9)</f>
        <v>-116510.47053482058</v>
      </c>
    </row>
    <row r="14" spans="1:6" x14ac:dyDescent="0.2">
      <c r="A14" s="25" t="s">
        <v>29</v>
      </c>
    </row>
    <row r="15" spans="1:6" x14ac:dyDescent="0.2">
      <c r="A15" t="s">
        <v>71</v>
      </c>
    </row>
    <row r="16" spans="1:6" x14ac:dyDescent="0.2">
      <c r="A16" t="s">
        <v>48</v>
      </c>
    </row>
    <row r="17" spans="1:6" x14ac:dyDescent="0.2">
      <c r="A17" t="s">
        <v>60</v>
      </c>
    </row>
    <row r="18" spans="1:6" x14ac:dyDescent="0.2">
      <c r="A18" t="s">
        <v>73</v>
      </c>
    </row>
    <row r="19" spans="1:6" x14ac:dyDescent="0.2">
      <c r="A19" t="s">
        <v>72</v>
      </c>
    </row>
    <row r="22" spans="1:6" x14ac:dyDescent="0.2">
      <c r="C22" s="7"/>
      <c r="D22" s="7" t="s">
        <v>13</v>
      </c>
      <c r="E22" s="7" t="s">
        <v>15</v>
      </c>
      <c r="F22" s="7" t="s">
        <v>15</v>
      </c>
    </row>
    <row r="23" spans="1:6" x14ac:dyDescent="0.2">
      <c r="B23" t="s">
        <v>19</v>
      </c>
      <c r="C23" s="7" t="s">
        <v>12</v>
      </c>
      <c r="D23" s="7" t="s">
        <v>14</v>
      </c>
      <c r="E23" s="7" t="s">
        <v>16</v>
      </c>
      <c r="F23" s="7" t="s">
        <v>61</v>
      </c>
    </row>
    <row r="24" spans="1:6" x14ac:dyDescent="0.2">
      <c r="B24" s="8">
        <f>(68500*22.54)*3.48</f>
        <v>5373085.2000000002</v>
      </c>
      <c r="C24" s="20">
        <v>30</v>
      </c>
      <c r="D24" s="20">
        <v>20</v>
      </c>
      <c r="E24" s="9">
        <f>0.085*(D24/365)</f>
        <v>4.6575342465753422E-3</v>
      </c>
      <c r="F24" s="8">
        <f>E24*B24</f>
        <v>25025.328328767122</v>
      </c>
    </row>
  </sheetData>
  <mergeCells count="1">
    <mergeCell ref="A3:F3"/>
  </mergeCells>
  <pageMargins left="0.75" right="0.75" top="1" bottom="1" header="0.5" footer="0.5"/>
  <pageSetup orientation="landscape" r:id="rId1"/>
  <headerFooter alignWithMargins="0">
    <oddFooter>&amp;L&amp;D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TVM Savings</vt:lpstr>
      <vt:lpstr>Groves' Model</vt:lpstr>
      <vt:lpstr>Spot Cargo Model</vt:lpstr>
      <vt:lpstr>Working Capital Calc.</vt:lpstr>
      <vt:lpstr>'Groves'' Model'!Print_Area</vt:lpstr>
      <vt:lpstr>'Spot Cargo Model'!Print_Area</vt:lpstr>
      <vt:lpstr>'TVM Savings'!Print_Area</vt:lpstr>
      <vt:lpstr>'Working Capital Calc.'!Print_Area</vt:lpstr>
      <vt:lpstr>'Spot Cargo Model'!Print_Titles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2001-02-07T16:52:34Z</cp:lastPrinted>
  <dcterms:created xsi:type="dcterms:W3CDTF">2000-02-09T22:04:25Z</dcterms:created>
  <dcterms:modified xsi:type="dcterms:W3CDTF">2023-09-15T20:32:42Z</dcterms:modified>
</cp:coreProperties>
</file>