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A3A85A01-7DA9-4C28-A07F-94546801FEC8}" xr6:coauthVersionLast="47" xr6:coauthVersionMax="47" xr10:uidLastSave="{00000000-0000-0000-0000-000000000000}"/>
  <bookViews>
    <workbookView xWindow="-120" yWindow="-120" windowWidth="38640" windowHeight="15720" activeTab="1"/>
  </bookViews>
  <sheets>
    <sheet name="Attachment 1" sheetId="1" r:id="rId1"/>
    <sheet name="Attachment 2" sheetId="4" r:id="rId2"/>
    <sheet name="Attachment 3" sheetId="2" r:id="rId3"/>
    <sheet name="Sheet3" sheetId="3" r:id="rId4"/>
  </sheets>
  <definedNames>
    <definedName name="_xlnm.Print_Area" localSheetId="0">'Attachment 1'!$A$1:$L$44</definedName>
    <definedName name="_xlnm.Print_Area" localSheetId="1">'Attachment 2'!$A$1:$P$40</definedName>
    <definedName name="_xlnm.Print_Area" localSheetId="2">'Attachment 3'!$A$1:$N$117</definedName>
    <definedName name="_xlnm.Print_Titles" localSheetId="2">'Attachment 3'!$1:$4</definedName>
  </definedNames>
  <calcPr calcId="0" fullCalcOnLoad="1" calcOnSave="0"/>
</workbook>
</file>

<file path=xl/calcChain.xml><?xml version="1.0" encoding="utf-8"?>
<calcChain xmlns="http://schemas.openxmlformats.org/spreadsheetml/2006/main">
  <c r="E9" i="1" l="1"/>
  <c r="F9" i="1"/>
  <c r="G9" i="1"/>
  <c r="I9" i="1"/>
  <c r="C10" i="1"/>
  <c r="G10" i="1"/>
  <c r="I10" i="1"/>
  <c r="C12" i="1"/>
  <c r="E12" i="1"/>
  <c r="F12" i="1"/>
  <c r="G12" i="1"/>
  <c r="I12" i="1"/>
  <c r="C13" i="1"/>
  <c r="G13" i="1"/>
  <c r="I13" i="1"/>
  <c r="C17" i="1"/>
  <c r="G17" i="1"/>
  <c r="I17" i="1"/>
  <c r="C18" i="1"/>
  <c r="G18" i="1"/>
  <c r="I18" i="1"/>
  <c r="C15" i="4"/>
  <c r="E15" i="4"/>
  <c r="I15" i="4"/>
  <c r="K15" i="4"/>
  <c r="C17" i="4"/>
  <c r="E17" i="4"/>
  <c r="C19" i="4"/>
  <c r="C29" i="4"/>
  <c r="G6" i="2"/>
  <c r="I6" i="2"/>
  <c r="K6" i="2"/>
  <c r="M6" i="2"/>
  <c r="G9" i="2"/>
  <c r="G17" i="2"/>
  <c r="I17" i="2"/>
  <c r="K17" i="2"/>
  <c r="M17" i="2"/>
  <c r="R17" i="2"/>
  <c r="S17" i="2"/>
  <c r="G21" i="2"/>
  <c r="K21" i="2"/>
  <c r="M21" i="2"/>
  <c r="S21" i="2"/>
  <c r="G28" i="2"/>
  <c r="I28" i="2"/>
  <c r="K28" i="2"/>
  <c r="M28" i="2"/>
  <c r="R28" i="2"/>
  <c r="S28" i="2"/>
  <c r="G29" i="2"/>
  <c r="I29" i="2"/>
  <c r="K29" i="2"/>
  <c r="M29" i="2"/>
  <c r="R29" i="2"/>
  <c r="S29" i="2"/>
  <c r="G30" i="2"/>
  <c r="I30" i="2"/>
  <c r="K30" i="2"/>
  <c r="M30" i="2"/>
  <c r="G33" i="2"/>
  <c r="K33" i="2"/>
  <c r="M33" i="2"/>
  <c r="S33" i="2"/>
  <c r="I36" i="2"/>
  <c r="K36" i="2"/>
  <c r="M36" i="2"/>
  <c r="I37" i="2"/>
  <c r="K37" i="2"/>
  <c r="M37" i="2"/>
  <c r="R37" i="2"/>
  <c r="S37" i="2"/>
  <c r="C45" i="2"/>
  <c r="E45" i="2"/>
  <c r="G45" i="2"/>
  <c r="E48" i="2"/>
</calcChain>
</file>

<file path=xl/sharedStrings.xml><?xml version="1.0" encoding="utf-8"?>
<sst xmlns="http://schemas.openxmlformats.org/spreadsheetml/2006/main" count="220" uniqueCount="158">
  <si>
    <t>PPOA</t>
  </si>
  <si>
    <t>Production (kwh/day)</t>
  </si>
  <si>
    <t>Comments</t>
  </si>
  <si>
    <t>Less than 54%</t>
  </si>
  <si>
    <t>54% to 76%</t>
  </si>
  <si>
    <t>Greater than 76%</t>
  </si>
  <si>
    <t>Dispatch Level</t>
  </si>
  <si>
    <t>LNG</t>
  </si>
  <si>
    <t>LPG</t>
  </si>
  <si>
    <t>No.2 Oil</t>
  </si>
  <si>
    <t>MMBtu/kwh @ 100% Dispatch</t>
  </si>
  <si>
    <t>FUEL</t>
  </si>
  <si>
    <t>LNG - Cabot Contract</t>
  </si>
  <si>
    <t>Demand Charge</t>
  </si>
  <si>
    <t>Demand Surcharge</t>
  </si>
  <si>
    <t>Commodity Charge</t>
  </si>
  <si>
    <t>Cargo Cancellations</t>
  </si>
  <si>
    <t>Cargo Deviations</t>
  </si>
  <si>
    <t>Cargo Nomination Procedure</t>
  </si>
  <si>
    <t>No purchase contract. Expected spot purchase price: Mont Belvieu + 8.5 cents per gallon.</t>
  </si>
  <si>
    <t>0.091300 MMBtu/gallon.</t>
  </si>
  <si>
    <t>No purchase contract. Expected spot purchase price: Platt's Low Sulfur No.2 U.S. Gulf Coast Waterborne + 4.25 cents per gallon.</t>
  </si>
  <si>
    <t>0.131850 MMBtu/gallon.</t>
  </si>
  <si>
    <t xml:space="preserve"> </t>
  </si>
  <si>
    <t>Air permit limits use to 54,000,000 gallons per year.</t>
  </si>
  <si>
    <t>per MMBtu esc. @ "Adjustment Factor"*</t>
  </si>
  <si>
    <t>Section</t>
  </si>
  <si>
    <t>"GAMMA Standard Cargo"</t>
  </si>
  <si>
    <t>119,000 cubic meters (2,717,960 MMBtu)</t>
  </si>
  <si>
    <t>"Annual Contract Quantity" (ACQ)</t>
  </si>
  <si>
    <t>Minimum of 19,460,000 MMBtu's or 66% of all LNG consumed at the Power Facility</t>
  </si>
  <si>
    <t>Penalty for Failure to Meet Annual Minimum Quantity "Annual Level"</t>
  </si>
  <si>
    <t>Shortfall below "Annual Level" times</t>
  </si>
  <si>
    <t>Annual Minimum Quantity "Annual Level"</t>
  </si>
  <si>
    <t># MMBtu's in Winter Cargo times</t>
  </si>
  <si>
    <t>Quantity</t>
  </si>
  <si>
    <t>Price</t>
  </si>
  <si>
    <t>Demurrage</t>
  </si>
  <si>
    <t xml:space="preserve">         Vessels 110,000 cubic meters or smaller</t>
  </si>
  <si>
    <t xml:space="preserve">         Vessels larger than 110,000 cubic meters</t>
  </si>
  <si>
    <t>1st three days @ $30,000/day, 2nd three days @ $60,000/day, $120,000/day thereafter</t>
  </si>
  <si>
    <t>1st three days @ $50,000/day, 2nd three days @ $100,000/day, $200,000/day thereafter</t>
  </si>
  <si>
    <t>8.1,8.2</t>
  </si>
  <si>
    <t>Cargo Delivery Date Changes</t>
  </si>
  <si>
    <t>Logistics</t>
  </si>
  <si>
    <t>Term</t>
  </si>
  <si>
    <t>Initial Contract Year</t>
  </si>
  <si>
    <t>Final Contract Year</t>
  </si>
  <si>
    <t>2001 Estimate</t>
  </si>
  <si>
    <t>Maximum of 1 times "GAMMA Standard Cargo" or Total Winter Cargo Quantity Delivered (unless Buyer has event of Force Majeure) times</t>
  </si>
  <si>
    <t>0.68 times</t>
  </si>
  <si>
    <t>1 times</t>
  </si>
  <si>
    <r>
      <t>* "Adjustment Factor" for Contract Year</t>
    </r>
    <r>
      <rPr>
        <sz val="8"/>
        <rFont val="Arial"/>
        <family val="2"/>
      </rPr>
      <t>n+1</t>
    </r>
    <r>
      <rPr>
        <sz val="10"/>
        <rFont val="Arial"/>
      </rPr>
      <t xml:space="preserve"> = 1 + 0.5*((PR-CPI</t>
    </r>
    <r>
      <rPr>
        <sz val="8"/>
        <rFont val="Arial"/>
        <family val="2"/>
      </rPr>
      <t>n</t>
    </r>
    <r>
      <rPr>
        <sz val="10"/>
        <rFont val="Arial"/>
      </rPr>
      <t>/PR-CPI</t>
    </r>
    <r>
      <rPr>
        <sz val="8"/>
        <rFont val="Arial"/>
        <family val="2"/>
      </rPr>
      <t>1995</t>
    </r>
    <r>
      <rPr>
        <sz val="10"/>
        <rFont val="Arial"/>
      </rPr>
      <t>)-1)       PR-CPI</t>
    </r>
    <r>
      <rPr>
        <sz val="8"/>
        <rFont val="Arial"/>
        <family val="2"/>
      </rPr>
      <t>1995</t>
    </r>
    <r>
      <rPr>
        <sz val="10"/>
        <rFont val="Arial"/>
      </rPr>
      <t xml:space="preserve"> equals "the average of the 12 monthly values of PR-CPI for the calendar year 1995, being 137.0". PR-CPI</t>
    </r>
    <r>
      <rPr>
        <sz val="8"/>
        <rFont val="Arial"/>
        <family val="2"/>
      </rPr>
      <t>n</t>
    </r>
    <r>
      <rPr>
        <sz val="10"/>
        <rFont val="Arial"/>
      </rPr>
      <t xml:space="preserve"> equals "the average of the 12 monthly values of PR-CPI for the prior Contract Year". PR-CPI1999 was 169.63333. "Adjustment Factor" for the Year 2000 is 1.119100.</t>
    </r>
  </si>
  <si>
    <t>prior year NYMEX**</t>
  </si>
  <si>
    <t>per MMBtu esc. @ Puerto Rico CPI***</t>
  </si>
  <si>
    <r>
      <t>** NYMEX Natural Gas price used in Year</t>
    </r>
    <r>
      <rPr>
        <sz val="8"/>
        <rFont val="Arial"/>
        <family val="2"/>
      </rPr>
      <t>n+1</t>
    </r>
    <r>
      <rPr>
        <sz val="10"/>
        <rFont val="Arial"/>
      </rPr>
      <t xml:space="preserve"> is the average of the thirty-six (36) closing prices for the NYMEX natural gas futures (Henry Hub) for each month of the prior Contract Year (Year</t>
    </r>
    <r>
      <rPr>
        <sz val="8"/>
        <rFont val="Arial"/>
        <family val="2"/>
      </rPr>
      <t>n</t>
    </r>
    <r>
      <rPr>
        <sz val="10"/>
        <rFont val="Arial"/>
      </rPr>
      <t>), taking the closing prices for the last three trading days for each of the 12 such contracts.</t>
    </r>
  </si>
  <si>
    <t>Profits resulting from cargo deviations are not addressed in the contract. A profit sharing arrangement should be negotiable when opportunities arise. Cabot will want a portion of any profits.</t>
  </si>
  <si>
    <t>Negotiable, subject to reasonable efforts.</t>
  </si>
  <si>
    <t>7.2( a )</t>
  </si>
  <si>
    <t>7.2( c )( ii )</t>
  </si>
  <si>
    <t>7.2( c )( i )</t>
  </si>
  <si>
    <t>By the 12th day of each month, EcoElectrica specifies to Cabot five-day delivery ranges for cargoes to be received in each of the next three following months. The ranges specified for the second and third months are tentative. Ranges should allow 25 days between cargoes.</t>
  </si>
  <si>
    <t>Delivery is November 23 - December 15 unless it is delivered late.</t>
  </si>
  <si>
    <t>Delivery is 40 to 50 days following the earlier of December 15 and the Last Cargo Delivery Date. If the Last Cargo is less than a GAMMA Standard Cargo, such period shall be shortened proportionately. Winter Period is January 1 to earlier of Winter Cargo Delivery Date or February 19.</t>
  </si>
  <si>
    <t>7.2( c )( iii ) , Appendix 1 Def. 44</t>
  </si>
  <si>
    <t>Cancelable with no penalty up to 10 days prior to the middle day of the Delivery Window. Cancellation after 10-day notice period requires that EcoElectrica reimburse Cabot for any economic loss resulting from delivery to other location. Sharing of any profits resulting from a cargo cancellation is not addressed in the contract.</t>
  </si>
  <si>
    <t>Commodity Surcharge (Winter Cargo Only)</t>
  </si>
  <si>
    <t>Total</t>
  </si>
  <si>
    <r>
      <t>*** Puerto Rico CPI escalation factor for Contract Year</t>
    </r>
    <r>
      <rPr>
        <sz val="8"/>
        <rFont val="Arial"/>
        <family val="2"/>
      </rPr>
      <t>n+1</t>
    </r>
    <r>
      <rPr>
        <sz val="10"/>
        <rFont val="Arial"/>
      </rPr>
      <t xml:space="preserve"> = (PR-CPI</t>
    </r>
    <r>
      <rPr>
        <sz val="8"/>
        <rFont val="Arial"/>
        <family val="2"/>
      </rPr>
      <t>n</t>
    </r>
    <r>
      <rPr>
        <sz val="10"/>
        <rFont val="Arial"/>
      </rPr>
      <t>/PR-CPI</t>
    </r>
    <r>
      <rPr>
        <sz val="8"/>
        <rFont val="Arial"/>
        <family val="2"/>
      </rPr>
      <t>1995</t>
    </r>
    <r>
      <rPr>
        <sz val="10"/>
        <rFont val="Arial"/>
      </rPr>
      <t>)       PR-CPI</t>
    </r>
    <r>
      <rPr>
        <sz val="8"/>
        <rFont val="Arial"/>
        <family val="2"/>
      </rPr>
      <t>1995</t>
    </r>
    <r>
      <rPr>
        <sz val="10"/>
        <rFont val="Arial"/>
      </rPr>
      <t xml:space="preserve"> equals "the average of the 12 monthly values of PR-CPI for the calendar year 1995, being 137.0". PR-CPI</t>
    </r>
    <r>
      <rPr>
        <sz val="8"/>
        <rFont val="Arial"/>
        <family val="2"/>
      </rPr>
      <t>n</t>
    </r>
    <r>
      <rPr>
        <sz val="10"/>
        <rFont val="Arial"/>
      </rPr>
      <t xml:space="preserve"> equals "the average of the 12 monthly values of PR-CPI for the prior Contract Year". PR-CPI1999 was 169.63333. Puerto Rico CPI escalation factor for the Year 2000 is 1.238199.</t>
    </r>
  </si>
  <si>
    <t>Assumptions:</t>
  </si>
  <si>
    <t xml:space="preserve">      2. NYMEX Natural Gas Futures: Avg. Last 3 Days for January-October 2000 Contracts = $3.59913333/MMBtu</t>
  </si>
  <si>
    <t xml:space="preserve">  Two Components:</t>
  </si>
  <si>
    <t xml:space="preserve">       NYMEX Related Component</t>
  </si>
  <si>
    <t xml:space="preserve">       + Fixed Component with escalator</t>
  </si>
  <si>
    <t xml:space="preserve">  Prior to Trinidad 2nd liquefaction train</t>
  </si>
  <si>
    <t xml:space="preserve">  Normal Cargo</t>
  </si>
  <si>
    <t xml:space="preserve">  Last Cargo of the Contract Year</t>
  </si>
  <si>
    <t xml:space="preserve">  Winter Cargo</t>
  </si>
  <si>
    <t xml:space="preserve">  Early Spring Cargo</t>
  </si>
  <si>
    <t>STRICTLY CONFIDENTIAL</t>
  </si>
  <si>
    <t>FOB Conversion</t>
  </si>
  <si>
    <t>6.2( e )</t>
  </si>
  <si>
    <t xml:space="preserve">  After Trinidad 2nd liquefaction train (est. 2003 completion)</t>
  </si>
  <si>
    <t>Maximum of 9 times "GAMMA Standard Cargo" or Total Quantity Delivered (unless Buyer has event of Force Majeure) times</t>
  </si>
  <si>
    <t>Underdeliveries</t>
  </si>
  <si>
    <t>Cabot pays EcoElectrica difference between cost of propane and LNG cost for the contract year.</t>
  </si>
  <si>
    <t xml:space="preserve">       Special Algeria Contingency</t>
  </si>
  <si>
    <t>Cabot's obligation to deliver a Winter Cargo is contingent upon their ability to load an equal or greater volume of LNG in Algeria for delivery to its Boston LNG terminal. Such Algerian loading would have to occur in a period that extends two days before the loading of the EcoElectrica cargo that precedes the Winter Cargo to three days before the scheduled loading of the Winter Cargo. Cabot has until three days before the scheduled loading of the Winter Cargo to notify EcoElectrica of an inability to deliver the Winter Cargo. EcoElectrica can trigger an earlier commitment by Cabot to deliver a Winter Cargo. If EcoElectrica notifies Cabot by December 1 that it has the opportunity to secure replacement fuel for the Winter Cargo, then Cabot has 10 days to commit to a delivery or not. If no Winter Cargo is delivered as a result of Cabot's inability to make a delivery, then no Demand Charge, Demand Surcharge, or Commodity Surcharge is paid by EcoElectrica on the expected Winter Cargo quantity.</t>
  </si>
  <si>
    <t>9 times "GAMMA Standard Cargo" - 1,071,000 cubic meters (24,461,640 MMBtu)</t>
  </si>
  <si>
    <t>n.a.</t>
  </si>
  <si>
    <t>MMBtu or $/MMBtu</t>
  </si>
  <si>
    <t>MMBtu or $</t>
  </si>
  <si>
    <t>Note: Demand Surcharge is not payable in the event that there is a "Carryover Late Cargo" from prior year</t>
  </si>
  <si>
    <t>EcoElectrica Billing Model</t>
  </si>
  <si>
    <t xml:space="preserve">Appendix K </t>
  </si>
  <si>
    <t>EPI =</t>
  </si>
  <si>
    <t>(</t>
  </si>
  <si>
    <t>/</t>
  </si>
  <si>
    <t xml:space="preserve">Where: </t>
  </si>
  <si>
    <r>
      <t>r</t>
    </r>
    <r>
      <rPr>
        <b/>
        <sz val="10"/>
        <rFont val="Arial"/>
        <family val="2"/>
      </rPr>
      <t xml:space="preserve"> =</t>
    </r>
  </si>
  <si>
    <t>PR-CPI</t>
  </si>
  <si>
    <t xml:space="preserve">Average of the twelve (12) monthly values of the PR-CPI for the twelve (12) months ending on December 31 of the year immediately prior to the date of the adjustment. </t>
  </si>
  <si>
    <t>PR-CPI value for January 1994</t>
  </si>
  <si>
    <t>and:</t>
  </si>
  <si>
    <r>
      <t>g</t>
    </r>
    <r>
      <rPr>
        <b/>
        <sz val="10"/>
        <rFont val="Arial"/>
        <family val="2"/>
      </rPr>
      <t xml:space="preserve"> =</t>
    </r>
  </si>
  <si>
    <t>U.S. Spot Gas Price</t>
  </si>
  <si>
    <t>U.S. Spot Gas Price for prior year</t>
  </si>
  <si>
    <r>
      <t>g</t>
    </r>
    <r>
      <rPr>
        <b/>
        <sz val="10"/>
        <rFont val="Arial"/>
        <family val="2"/>
      </rPr>
      <t>o =</t>
    </r>
  </si>
  <si>
    <t xml:space="preserve">and: </t>
  </si>
  <si>
    <r>
      <t>r</t>
    </r>
    <r>
      <rPr>
        <b/>
        <sz val="8"/>
        <rFont val="Arial"/>
        <family val="2"/>
      </rPr>
      <t>i</t>
    </r>
    <r>
      <rPr>
        <b/>
        <sz val="10"/>
        <rFont val="Arial"/>
        <family val="2"/>
      </rPr>
      <t/>
    </r>
  </si>
  <si>
    <r>
      <t>r</t>
    </r>
    <r>
      <rPr>
        <b/>
        <sz val="8"/>
        <rFont val="Arial"/>
        <family val="2"/>
      </rPr>
      <t>0</t>
    </r>
    <r>
      <rPr>
        <b/>
        <sz val="10"/>
        <rFont val="Arial"/>
        <family val="2"/>
      </rPr>
      <t/>
    </r>
  </si>
  <si>
    <r>
      <t>g</t>
    </r>
    <r>
      <rPr>
        <b/>
        <sz val="8"/>
        <rFont val="Arial"/>
        <family val="2"/>
      </rPr>
      <t>i</t>
    </r>
    <r>
      <rPr>
        <b/>
        <sz val="10"/>
        <rFont val="Arial"/>
        <family val="2"/>
      </rPr>
      <t/>
    </r>
  </si>
  <si>
    <r>
      <t>g</t>
    </r>
    <r>
      <rPr>
        <b/>
        <sz val="8"/>
        <rFont val="Arial"/>
        <family val="2"/>
      </rPr>
      <t>0</t>
    </r>
  </si>
  <si>
    <r>
      <t>r</t>
    </r>
    <r>
      <rPr>
        <b/>
        <sz val="8"/>
        <rFont val="Arial"/>
        <family val="2"/>
      </rPr>
      <t>i</t>
    </r>
    <r>
      <rPr>
        <b/>
        <sz val="10"/>
        <rFont val="Arial"/>
        <family val="2"/>
      </rPr>
      <t xml:space="preserve"> = </t>
    </r>
  </si>
  <si>
    <r>
      <t>r</t>
    </r>
    <r>
      <rPr>
        <b/>
        <sz val="8"/>
        <rFont val="Arial"/>
        <family val="2"/>
      </rPr>
      <t>0</t>
    </r>
    <r>
      <rPr>
        <b/>
        <sz val="10"/>
        <rFont val="Arial"/>
        <family val="2"/>
      </rPr>
      <t xml:space="preserve"> = </t>
    </r>
  </si>
  <si>
    <r>
      <t>g</t>
    </r>
    <r>
      <rPr>
        <b/>
        <sz val="8"/>
        <rFont val="Arial"/>
        <family val="2"/>
      </rPr>
      <t>i</t>
    </r>
    <r>
      <rPr>
        <b/>
        <sz val="10"/>
        <rFont val="Arial"/>
        <family val="2"/>
      </rPr>
      <t xml:space="preserve"> = </t>
    </r>
  </si>
  <si>
    <t xml:space="preserve">The Energy Price Index "EPI" will be used to adjust the Energy Purchase Price. The base Energy Purchase Price as of January 1, 1994 is $0.01957/kWh. The base Energy Purchase Price will be adjusted on the first day of each year during the term by the Energy Price Index. The values reported for the PR-CPI and U.S. Spot Gas Index for the year immediately prior to the date of adjustment shall be used to adjust the EPI. </t>
  </si>
  <si>
    <r>
      <t>"</t>
    </r>
    <r>
      <rPr>
        <b/>
        <sz val="10"/>
        <rFont val="Arial"/>
        <family val="2"/>
      </rPr>
      <t>U.S. Spot Gas Index</t>
    </r>
    <r>
      <rPr>
        <sz val="10"/>
        <rFont val="Arial"/>
        <family val="2"/>
      </rPr>
      <t xml:space="preserve">" = the average of the thirty-six (36) values representing the New York Mercantile Exchange ("NYMEX") closing prices on the last three (3) trading days of the NYMEX natural gas futures contracts for each of the twelve (12) months of the prior year or, is such values are not available, an equivalent measure agreed by the Parties which averages U.S. monthly spot gas prices traded on a national objectively verifiable  market, or such other index as the Parties may agree. </t>
    </r>
  </si>
  <si>
    <t>for Year 1994</t>
  </si>
  <si>
    <t>U.S. Spot Gas Price base value (1994 Avg.)</t>
  </si>
  <si>
    <t>Energy Price Index est. Year 2001</t>
  </si>
  <si>
    <t>for Year 2000 est.</t>
  </si>
  <si>
    <t>Negotiable</t>
  </si>
  <si>
    <t>Fuel Requirements:</t>
  </si>
  <si>
    <t>Minimum</t>
  </si>
  <si>
    <t>Maximum</t>
  </si>
  <si>
    <t>LNG Consumption if 100% Dispatch Efficiency Maintained (MMBtu/day) *</t>
  </si>
  <si>
    <t>Year 2001 Estimated Energy Payment Assuming LNG Consumed at 100% Dispatch Rate ($/MMBtu) *</t>
  </si>
  <si>
    <t>LNG Consumption if 100% Dispatch Efficiency Maintained (MMBtu/Year) *</t>
  </si>
  <si>
    <t>Total $</t>
  </si>
  <si>
    <t>Total $/MMBtu</t>
  </si>
  <si>
    <t>Year 2001 Estimated Energy Payment Unadjusted for Dispatch Rate other than 100% ($/kwh) *</t>
  </si>
  <si>
    <t>Energy Payment revenue matches LNG all-in cost. PREPA will attempt to dispatch to 76% if its alternative cost of generation is greater than EcoElectrica's all-in LNG cost. 9 GAMMA Standard Cargoes is sufficient to meet a 76% dispatch rate.</t>
  </si>
  <si>
    <t xml:space="preserve">Energy Payment ($/kwh) based on EcoElectrica's offered rate. PREPA will attempt to dispatch above 76% if its alternative cost of generation is greater than EcoElectrica's offered rate. EcoElectrica's offered rate will be based on its cost of purchasing fuel (most likely outside of the Cabot contract). </t>
  </si>
  <si>
    <r>
      <t>(</t>
    </r>
    <r>
      <rPr>
        <b/>
        <sz val="12"/>
        <rFont val="Arial"/>
        <family val="2"/>
      </rPr>
      <t>r</t>
    </r>
    <r>
      <rPr>
        <b/>
        <sz val="8"/>
        <rFont val="Arial"/>
        <family val="2"/>
      </rPr>
      <t>i</t>
    </r>
    <r>
      <rPr>
        <b/>
        <sz val="10"/>
        <rFont val="Arial"/>
        <family val="2"/>
      </rPr>
      <t>/</t>
    </r>
    <r>
      <rPr>
        <b/>
        <sz val="12"/>
        <rFont val="Arial"/>
        <family val="2"/>
      </rPr>
      <t>r</t>
    </r>
    <r>
      <rPr>
        <b/>
        <sz val="8"/>
        <rFont val="Arial"/>
        <family val="2"/>
      </rPr>
      <t>0)</t>
    </r>
    <r>
      <rPr>
        <b/>
        <sz val="10"/>
        <rFont val="Arial"/>
        <family val="2"/>
      </rPr>
      <t>x0.5+(</t>
    </r>
    <r>
      <rPr>
        <b/>
        <sz val="12"/>
        <rFont val="Arial"/>
        <family val="2"/>
      </rPr>
      <t>g</t>
    </r>
    <r>
      <rPr>
        <b/>
        <sz val="8"/>
        <rFont val="Arial"/>
        <family val="2"/>
      </rPr>
      <t>i</t>
    </r>
    <r>
      <rPr>
        <b/>
        <sz val="10"/>
        <rFont val="Arial"/>
        <family val="2"/>
      </rPr>
      <t>/</t>
    </r>
    <r>
      <rPr>
        <b/>
        <sz val="12"/>
        <rFont val="Arial"/>
        <family val="2"/>
      </rPr>
      <t>g</t>
    </r>
    <r>
      <rPr>
        <b/>
        <sz val="8"/>
        <rFont val="Arial"/>
        <family val="2"/>
      </rPr>
      <t>0</t>
    </r>
    <r>
      <rPr>
        <b/>
        <sz val="10"/>
        <rFont val="Arial"/>
        <family val="2"/>
      </rPr>
      <t>)x0.5</t>
    </r>
  </si>
  <si>
    <t>) x</t>
  </si>
  <si>
    <t>+ (</t>
  </si>
  <si>
    <t>Energy Payment revenue matches LNG all-in cost. PREPA obligated to dispatch at a minimum of 54%.</t>
  </si>
  <si>
    <t>Non- Winter Cargo</t>
  </si>
  <si>
    <t>Winter Cargo</t>
  </si>
  <si>
    <t xml:space="preserve">Delivery is within last 10 days of Early Spring Period unless there was no Winter Cargo. In that case, the first cargo of the year will be treated as the Early Spring Cargo. The Early Spring Period begins the day following the end of the Winter Period. The Early Spring Period ends the later of 1. the earlier of a. 50 days following the Winter Cargo Delivery Date and b. 100 days from the earlier of December 15 and the Last Cargo Delivery Date and 2. the last day of any Delivery Range requested by EcoElectrica for an Early Spring Cargo. </t>
  </si>
  <si>
    <t>Capacity Payment</t>
  </si>
  <si>
    <t>Energy Payment</t>
  </si>
  <si>
    <t xml:space="preserve">           "Adjustment Factor" for Contract Year 2001 =</t>
  </si>
  <si>
    <t xml:space="preserve">        PR CPI esc. factor for Contract Year 2001 =</t>
  </si>
  <si>
    <t xml:space="preserve">      3. NYMEX Natural Gas Futures @ Close on</t>
  </si>
  <si>
    <t>:                                                                  November '00 =</t>
  </si>
  <si>
    <t xml:space="preserve">                                                            December '00 =</t>
  </si>
  <si>
    <t>% of Total Price</t>
  </si>
  <si>
    <t xml:space="preserve">EcoElectrica has one time opportunity to enter into negotiations with Cabot to convert the remainder of the contract to an FOB arrangement. EcoElectrica will be obliged to provide the LNG tanker. Any agreement between EcoElectrica and Cabot must be approved by Atlantic LNG. </t>
  </si>
  <si>
    <t>+</t>
  </si>
  <si>
    <t>Capacity:</t>
  </si>
  <si>
    <t xml:space="preserve">    LNG and LPG ==&gt; 12,168,000 kwh/day @ 100% Dispatch (507MW)</t>
  </si>
  <si>
    <t xml:space="preserve">    Diesel ==&gt; 11,160,000 kwh/day @ 100% Dispatch (465MW)</t>
  </si>
  <si>
    <t>In the Year 2001, EcoElectrica will receive approximately $11.5 MM per month from PREPA as compensation for making its power generation capacity available to PREPA. The payment is dependent on EcoElectrica's actual availabilty and escalates each year by a combination of Puerto Rico CPI and a 2% escalator. Note that the Capacity Payment gets reduced if the plant operates on diesel because availability is lower on diesel operations.</t>
  </si>
  <si>
    <t>* Energy Payment Will Be Adjusted for Actual Fuel Consumption (Fuel Cost Correction Curves) at Actual Dispatch Rate such that Energy Payment per MMBtu Consumed is Constant at $0.01957 per kwh escalated by a combination of Puerto Rico CPI and NYMEX Henry Hub Natural Gas Prices. See attached Appendix K-EPI-2001.</t>
  </si>
  <si>
    <t xml:space="preserve">      4. NYMEX Natural Gas Futures Price Avg. for Year 2000 ($/MMBtu) :</t>
  </si>
  <si>
    <r>
      <t xml:space="preserve">      1.                                                      PR-CPI</t>
    </r>
    <r>
      <rPr>
        <sz val="8"/>
        <rFont val="Arial"/>
        <family val="2"/>
      </rPr>
      <t>2000</t>
    </r>
    <r>
      <rPr>
        <sz val="10"/>
        <rFont val="Arial"/>
      </rPr>
      <t xml:space="preserve">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</si>
</sst>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7" formatCode="&quot;$&quot;#,##0.00_);\(&quot;$&quot;#,##0.00\)"/>
    <numFmt numFmtId="164" formatCode="&quot;$&quot;#,##0.000"/>
    <numFmt numFmtId="165" formatCode="&quot;$&quot;#,##0.00"/>
    <numFmt numFmtId="166" formatCode="#,##0.000000"/>
    <numFmt numFmtId="167" formatCode="&quot;$&quot;#,##0.000000"/>
    <numFmt numFmtId="168" formatCode="#,##0.0_);\(#,##0.0\)"/>
    <numFmt numFmtId="170" formatCode="#,##0.0000_);\(#,##0.0000\)"/>
    <numFmt numFmtId="175" formatCode="0.0"/>
    <numFmt numFmtId="182" formatCode="0.0000"/>
    <numFmt numFmtId="184" formatCode="&quot;$&quot;#,##0.0000"/>
    <numFmt numFmtId="186" formatCode="mm/dd/yy"/>
    <numFmt numFmtId="193" formatCode="0.0%"/>
    <numFmt numFmtId="204" formatCode="0.000000"/>
    <numFmt numFmtId="206" formatCode="&quot;$&quot;#,##0.000000_);\(&quot;$&quot;#,##0.000000\)"/>
  </numFmts>
  <fonts count="16" x14ac:knownFonts="1">
    <font>
      <sz val="10"/>
      <name val="Arial"/>
    </font>
    <font>
      <b/>
      <sz val="10"/>
      <name val="Arial"/>
      <family val="2"/>
    </font>
    <font>
      <b/>
      <u/>
      <sz val="10"/>
      <name val="Arial"/>
      <family val="2"/>
    </font>
    <font>
      <b/>
      <u/>
      <sz val="14"/>
      <name val="Arial"/>
      <family val="2"/>
    </font>
    <font>
      <sz val="8"/>
      <name val="Arial"/>
      <family val="2"/>
    </font>
    <font>
      <b/>
      <u/>
      <sz val="12"/>
      <name val="Arial"/>
      <family val="2"/>
    </font>
    <font>
      <b/>
      <sz val="16"/>
      <color indexed="10"/>
      <name val="Arial"/>
      <family val="2"/>
    </font>
    <font>
      <u/>
      <sz val="10"/>
      <name val="Arial"/>
      <family val="2"/>
    </font>
    <font>
      <b/>
      <sz val="12"/>
      <name val="Arial"/>
      <family val="2"/>
    </font>
    <font>
      <b/>
      <sz val="8"/>
      <name val="Arial"/>
      <family val="2"/>
    </font>
    <font>
      <b/>
      <sz val="10"/>
      <color indexed="12"/>
      <name val="Arial"/>
      <family val="2"/>
    </font>
    <font>
      <sz val="10"/>
      <name val="Arial"/>
      <family val="2"/>
    </font>
    <font>
      <b/>
      <sz val="10"/>
      <color indexed="8"/>
      <name val="Arial"/>
      <family val="2"/>
    </font>
    <font>
      <sz val="9"/>
      <name val="Arial"/>
      <family val="2"/>
    </font>
    <font>
      <sz val="10"/>
      <color indexed="12"/>
      <name val="Arial"/>
      <family val="2"/>
    </font>
    <font>
      <b/>
      <sz val="10"/>
      <color indexed="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5">
    <xf numFmtId="0" fontId="0" fillId="0" borderId="0" xfId="0"/>
    <xf numFmtId="0" fontId="3" fillId="0" borderId="0" xfId="0" applyFont="1"/>
    <xf numFmtId="0" fontId="1" fillId="0" borderId="0" xfId="0" applyFont="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xf numFmtId="0" fontId="2" fillId="0" borderId="0" xfId="0" applyFont="1" applyAlignment="1">
      <alignment horizontal="center"/>
    </xf>
    <xf numFmtId="0" fontId="0" fillId="0" borderId="0" xfId="0" applyAlignment="1">
      <alignment horizontal="right"/>
    </xf>
    <xf numFmtId="164" fontId="0" fillId="0" borderId="0" xfId="0" applyNumberFormat="1" applyAlignment="1">
      <alignment horizontal="center"/>
    </xf>
    <xf numFmtId="0" fontId="5" fillId="0" borderId="0" xfId="0" applyFont="1"/>
    <xf numFmtId="0" fontId="2" fillId="0" borderId="0" xfId="0" applyFont="1" applyAlignment="1">
      <alignment horizontal="right"/>
    </xf>
    <xf numFmtId="0" fontId="0" fillId="0" borderId="0" xfId="0" applyAlignment="1">
      <alignment horizontal="center" wrapText="1"/>
    </xf>
    <xf numFmtId="0" fontId="0" fillId="0" borderId="0" xfId="0" applyAlignment="1">
      <alignment horizontal="right" wrapText="1"/>
    </xf>
    <xf numFmtId="0" fontId="6" fillId="0" borderId="0" xfId="0" applyFont="1" applyAlignment="1">
      <alignment horizontal="center"/>
    </xf>
    <xf numFmtId="37" fontId="0" fillId="0" borderId="0" xfId="0" applyNumberFormat="1"/>
    <xf numFmtId="167" fontId="0" fillId="0" borderId="0" xfId="0" applyNumberFormat="1"/>
    <xf numFmtId="167" fontId="0" fillId="0" borderId="0" xfId="0" applyNumberFormat="1" applyAlignment="1">
      <alignment horizontal="right"/>
    </xf>
    <xf numFmtId="167" fontId="7" fillId="0" borderId="0" xfId="0" applyNumberFormat="1" applyFont="1"/>
    <xf numFmtId="7" fontId="0" fillId="0" borderId="0" xfId="0" applyNumberFormat="1"/>
    <xf numFmtId="7" fontId="0" fillId="0" borderId="0" xfId="0" applyNumberFormat="1" applyAlignment="1">
      <alignment horizontal="right"/>
    </xf>
    <xf numFmtId="0" fontId="0" fillId="0" borderId="0" xfId="0" applyAlignment="1">
      <alignment horizontal="center"/>
    </xf>
    <xf numFmtId="0" fontId="1" fillId="0" borderId="0" xfId="0" applyFont="1"/>
    <xf numFmtId="0" fontId="0" fillId="0" borderId="0" xfId="0" applyAlignment="1">
      <alignment vertical="top" wrapText="1"/>
    </xf>
    <xf numFmtId="168" fontId="0" fillId="0" borderId="0" xfId="0" applyNumberFormat="1"/>
    <xf numFmtId="0" fontId="0" fillId="0" borderId="0" xfId="0" applyAlignment="1">
      <alignment horizontal="left" vertical="top"/>
    </xf>
    <xf numFmtId="0" fontId="8" fillId="0" borderId="0" xfId="0" applyFont="1" applyAlignment="1">
      <alignment horizontal="center"/>
    </xf>
    <xf numFmtId="0" fontId="0" fillId="0" borderId="0" xfId="0" quotePrefix="1" applyAlignment="1">
      <alignment horizontal="center"/>
    </xf>
    <xf numFmtId="182" fontId="1" fillId="0" borderId="0" xfId="0" applyNumberFormat="1" applyFont="1" applyAlignment="1">
      <alignment horizontal="center"/>
    </xf>
    <xf numFmtId="175" fontId="1" fillId="0" borderId="0" xfId="0" applyNumberFormat="1" applyFont="1" applyAlignment="1">
      <alignment horizontal="center"/>
    </xf>
    <xf numFmtId="182" fontId="1" fillId="0" borderId="0" xfId="0" applyNumberFormat="1" applyFont="1"/>
    <xf numFmtId="0" fontId="8" fillId="0" borderId="0" xfId="0" applyFont="1"/>
    <xf numFmtId="0" fontId="8" fillId="0" borderId="0" xfId="0" applyFont="1" applyAlignment="1">
      <alignment vertical="top" wrapText="1"/>
    </xf>
    <xf numFmtId="37" fontId="11" fillId="0" borderId="0" xfId="0" applyNumberFormat="1" applyFont="1" applyBorder="1"/>
    <xf numFmtId="0" fontId="11" fillId="0" borderId="0" xfId="0" applyFont="1"/>
    <xf numFmtId="170" fontId="1" fillId="0" borderId="0" xfId="0" applyNumberFormat="1" applyFont="1" applyBorder="1"/>
    <xf numFmtId="204" fontId="1" fillId="0" borderId="0" xfId="0" applyNumberFormat="1" applyFont="1" applyAlignment="1">
      <alignment horizontal="center"/>
    </xf>
    <xf numFmtId="166" fontId="1" fillId="0" borderId="0" xfId="0" applyNumberFormat="1" applyFont="1" applyAlignment="1">
      <alignment horizontal="center"/>
    </xf>
    <xf numFmtId="175" fontId="12" fillId="0" borderId="0" xfId="0" applyNumberFormat="1" applyFont="1"/>
    <xf numFmtId="204" fontId="10" fillId="0" borderId="0" xfId="0" applyNumberFormat="1" applyFont="1" applyAlignment="1">
      <alignment wrapText="1"/>
    </xf>
    <xf numFmtId="3" fontId="0" fillId="0" borderId="0" xfId="0" applyNumberFormat="1"/>
    <xf numFmtId="164" fontId="0" fillId="0" borderId="0" xfId="0" applyNumberFormat="1"/>
    <xf numFmtId="165" fontId="0" fillId="0" borderId="0" xfId="0" applyNumberFormat="1"/>
    <xf numFmtId="165" fontId="7" fillId="0" borderId="0" xfId="0" applyNumberFormat="1" applyFont="1"/>
    <xf numFmtId="165" fontId="0" fillId="0" borderId="0" xfId="0" applyNumberFormat="1" applyAlignment="1">
      <alignment horizontal="right"/>
    </xf>
    <xf numFmtId="0" fontId="0" fillId="0" borderId="0" xfId="0" applyAlignment="1">
      <alignment horizontal="left"/>
    </xf>
    <xf numFmtId="204" fontId="13" fillId="0" borderId="0" xfId="0" applyNumberFormat="1" applyFont="1" applyAlignment="1">
      <alignment horizontal="left"/>
    </xf>
    <xf numFmtId="186" fontId="14" fillId="0" borderId="0" xfId="0" applyNumberFormat="1" applyFont="1" applyAlignment="1">
      <alignment horizontal="center"/>
    </xf>
    <xf numFmtId="184" fontId="14" fillId="0" borderId="0" xfId="0" applyNumberFormat="1" applyFont="1" applyAlignment="1">
      <alignment horizontal="left"/>
    </xf>
    <xf numFmtId="206" fontId="15" fillId="0" borderId="0" xfId="0" applyNumberFormat="1" applyFont="1"/>
    <xf numFmtId="193" fontId="1" fillId="0" borderId="0" xfId="0" applyNumberFormat="1" applyFont="1"/>
    <xf numFmtId="193" fontId="1" fillId="0" borderId="0" xfId="0" applyNumberFormat="1" applyFont="1" applyAlignment="1">
      <alignment horizontal="right"/>
    </xf>
    <xf numFmtId="204" fontId="0" fillId="0" borderId="0" xfId="0" applyNumberFormat="1"/>
    <xf numFmtId="204" fontId="14" fillId="0" borderId="0" xfId="0" applyNumberFormat="1" applyFont="1"/>
    <xf numFmtId="0" fontId="0" fillId="0" borderId="0" xfId="0" applyAlignment="1">
      <alignment wrapText="1"/>
    </xf>
    <xf numFmtId="0" fontId="1" fillId="0" borderId="0" xfId="0" applyFont="1" applyAlignment="1">
      <alignment horizontal="center"/>
    </xf>
    <xf numFmtId="0" fontId="0" fillId="0" borderId="0" xfId="0" applyAlignment="1"/>
    <xf numFmtId="0" fontId="11" fillId="0" borderId="0" xfId="0" applyFont="1" applyAlignment="1">
      <alignment vertical="top" wrapText="1"/>
    </xf>
    <xf numFmtId="0" fontId="11" fillId="0" borderId="0" xfId="0" applyFont="1" applyAlignment="1">
      <alignment wrapText="1"/>
    </xf>
    <xf numFmtId="0" fontId="0" fillId="0" borderId="0" xfId="0" applyAlignment="1">
      <alignment vertical="top" wrapText="1"/>
    </xf>
    <xf numFmtId="0" fontId="0" fillId="0" borderId="0" xfId="0" quotePrefix="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right" wrapText="1"/>
    </xf>
    <xf numFmtId="167" fontId="14" fillId="0" borderId="0" xfId="0" applyNumberFormat="1" applyFont="1" applyAlignment="1">
      <alignment horizontal="left"/>
    </xf>
    <xf numFmtId="167" fontId="0" fillId="0" borderId="0" xfId="0" applyNumberForma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L40"/>
  <sheetViews>
    <sheetView workbookViewId="0">
      <selection activeCell="F9" sqref="F9"/>
    </sheetView>
  </sheetViews>
  <sheetFormatPr defaultRowHeight="12.75" x14ac:dyDescent="0.2"/>
  <cols>
    <col min="1" max="1" width="2.5703125" customWidth="1"/>
    <col min="2" max="2" width="17.28515625" customWidth="1"/>
    <col min="3" max="3" width="14.7109375" customWidth="1"/>
    <col min="4" max="4" width="10.5703125" customWidth="1"/>
    <col min="5" max="5" width="26.7109375" customWidth="1"/>
    <col min="6" max="6" width="25.140625" customWidth="1"/>
    <col min="7" max="7" width="20.42578125" customWidth="1"/>
    <col min="8" max="8" width="13.140625" customWidth="1"/>
    <col min="9" max="9" width="20.42578125" customWidth="1"/>
    <col min="10" max="10" width="13.140625" customWidth="1"/>
    <col min="11" max="11" width="61" customWidth="1"/>
    <col min="12" max="12" width="3.7109375" customWidth="1"/>
  </cols>
  <sheetData>
    <row r="3" spans="2:12" ht="20.25" x14ac:dyDescent="0.3">
      <c r="B3" s="1" t="s">
        <v>0</v>
      </c>
      <c r="E3" s="13" t="s">
        <v>79</v>
      </c>
    </row>
    <row r="5" spans="2:12" ht="15.75" x14ac:dyDescent="0.25">
      <c r="B5" s="9" t="s">
        <v>142</v>
      </c>
    </row>
    <row r="6" spans="2:12" ht="60" customHeight="1" x14ac:dyDescent="0.2">
      <c r="B6" s="2" t="s">
        <v>6</v>
      </c>
      <c r="C6" s="54" t="s">
        <v>1</v>
      </c>
      <c r="D6" s="54"/>
      <c r="E6" s="2" t="s">
        <v>131</v>
      </c>
      <c r="F6" s="2" t="s">
        <v>127</v>
      </c>
      <c r="G6" s="2" t="s">
        <v>126</v>
      </c>
      <c r="H6" s="2"/>
      <c r="I6" s="2" t="s">
        <v>128</v>
      </c>
      <c r="J6" s="2"/>
      <c r="K6" s="3" t="s">
        <v>2</v>
      </c>
      <c r="L6" s="2"/>
    </row>
    <row r="9" spans="2:12" x14ac:dyDescent="0.2">
      <c r="B9" t="s">
        <v>3</v>
      </c>
      <c r="C9" s="39">
        <v>0</v>
      </c>
      <c r="D9" t="s">
        <v>124</v>
      </c>
      <c r="E9" s="15">
        <f>0.01957*'Attachment 2'!$C$19</f>
        <v>3.3745025548412751E-2</v>
      </c>
      <c r="F9" s="40">
        <f>E9/$D$33</f>
        <v>4.5155928741352538</v>
      </c>
      <c r="G9" s="39">
        <f>C9*$D$33</f>
        <v>0</v>
      </c>
      <c r="H9" t="s">
        <v>124</v>
      </c>
      <c r="I9" s="39">
        <f>G9*365</f>
        <v>0</v>
      </c>
      <c r="J9" t="s">
        <v>124</v>
      </c>
      <c r="K9" s="53" t="s">
        <v>137</v>
      </c>
    </row>
    <row r="10" spans="2:12" x14ac:dyDescent="0.2">
      <c r="C10" s="39">
        <f>12168000*0.54</f>
        <v>6570720</v>
      </c>
      <c r="D10" t="s">
        <v>125</v>
      </c>
      <c r="G10" s="39">
        <f>C10*$D$33</f>
        <v>49102.990559999998</v>
      </c>
      <c r="H10" t="s">
        <v>125</v>
      </c>
      <c r="I10" s="39">
        <f>G10*365</f>
        <v>17922591.554400001</v>
      </c>
      <c r="J10" t="s">
        <v>125</v>
      </c>
      <c r="K10" s="53"/>
    </row>
    <row r="11" spans="2:12" x14ac:dyDescent="0.2">
      <c r="C11" s="39"/>
      <c r="G11" s="39"/>
      <c r="I11" s="39"/>
    </row>
    <row r="12" spans="2:12" x14ac:dyDescent="0.2">
      <c r="B12" t="s">
        <v>4</v>
      </c>
      <c r="C12" s="39">
        <f>12168000*0.54</f>
        <v>6570720</v>
      </c>
      <c r="D12" t="s">
        <v>124</v>
      </c>
      <c r="E12" s="15">
        <f>0.01957*'Attachment 2'!$C$19</f>
        <v>3.3745025548412751E-2</v>
      </c>
      <c r="F12" s="40">
        <f>E12/$D$33</f>
        <v>4.5155928741352538</v>
      </c>
      <c r="G12" s="39">
        <f>C12*$D$33</f>
        <v>49102.990559999998</v>
      </c>
      <c r="H12" t="s">
        <v>124</v>
      </c>
      <c r="I12" s="39">
        <f t="shared" ref="I12:I18" si="0">G12*365</f>
        <v>17922591.554400001</v>
      </c>
      <c r="J12" t="s">
        <v>124</v>
      </c>
      <c r="K12" s="53" t="s">
        <v>132</v>
      </c>
    </row>
    <row r="13" spans="2:12" x14ac:dyDescent="0.2">
      <c r="C13" s="39">
        <f>12168000*0.76</f>
        <v>9247680</v>
      </c>
      <c r="D13" t="s">
        <v>125</v>
      </c>
      <c r="E13" s="15"/>
      <c r="F13" s="15"/>
      <c r="G13" s="39">
        <f>C13*$D$33</f>
        <v>69107.912639999995</v>
      </c>
      <c r="H13" t="s">
        <v>125</v>
      </c>
      <c r="I13" s="39">
        <f t="shared" si="0"/>
        <v>25224388.113599997</v>
      </c>
      <c r="J13" t="s">
        <v>125</v>
      </c>
      <c r="K13" s="53"/>
    </row>
    <row r="14" spans="2:12" x14ac:dyDescent="0.2">
      <c r="C14" s="39"/>
      <c r="E14" s="15"/>
      <c r="F14" s="15"/>
      <c r="G14" s="39"/>
      <c r="I14" s="39"/>
      <c r="K14" s="53"/>
    </row>
    <row r="15" spans="2:12" x14ac:dyDescent="0.2">
      <c r="C15" s="39"/>
      <c r="E15" s="15"/>
      <c r="F15" s="15"/>
      <c r="G15" s="39"/>
      <c r="I15" s="39"/>
      <c r="K15" s="53"/>
    </row>
    <row r="16" spans="2:12" x14ac:dyDescent="0.2">
      <c r="C16" s="39"/>
      <c r="G16" s="39"/>
      <c r="I16" s="39"/>
    </row>
    <row r="17" spans="2:11" x14ac:dyDescent="0.2">
      <c r="B17" t="s">
        <v>5</v>
      </c>
      <c r="C17" s="39">
        <f>12168000*0.76</f>
        <v>9247680</v>
      </c>
      <c r="D17" t="s">
        <v>124</v>
      </c>
      <c r="E17" s="7" t="s">
        <v>122</v>
      </c>
      <c r="F17" s="7" t="s">
        <v>122</v>
      </c>
      <c r="G17" s="39">
        <f>C17*$D$33</f>
        <v>69107.912639999995</v>
      </c>
      <c r="H17" t="s">
        <v>124</v>
      </c>
      <c r="I17" s="39">
        <f t="shared" si="0"/>
        <v>25224388.113599997</v>
      </c>
      <c r="J17" t="s">
        <v>124</v>
      </c>
      <c r="K17" s="53" t="s">
        <v>133</v>
      </c>
    </row>
    <row r="18" spans="2:11" x14ac:dyDescent="0.2">
      <c r="C18" s="39">
        <f>12168000</f>
        <v>12168000</v>
      </c>
      <c r="D18" t="s">
        <v>125</v>
      </c>
      <c r="G18" s="39">
        <f>C18*$D$33</f>
        <v>90931.463999999993</v>
      </c>
      <c r="H18" t="s">
        <v>125</v>
      </c>
      <c r="I18" s="39">
        <f t="shared" si="0"/>
        <v>33189984.359999996</v>
      </c>
      <c r="J18" t="s">
        <v>125</v>
      </c>
      <c r="K18" s="53"/>
    </row>
    <row r="19" spans="2:11" x14ac:dyDescent="0.2">
      <c r="C19" s="39"/>
      <c r="G19" s="39"/>
      <c r="I19" s="39"/>
      <c r="K19" s="53"/>
    </row>
    <row r="20" spans="2:11" x14ac:dyDescent="0.2">
      <c r="C20" s="39"/>
      <c r="G20" s="39"/>
      <c r="I20" s="39"/>
      <c r="K20" s="55"/>
    </row>
    <row r="21" spans="2:11" x14ac:dyDescent="0.2">
      <c r="C21" s="39"/>
      <c r="K21" s="55"/>
    </row>
    <row r="23" spans="2:11" ht="15.75" x14ac:dyDescent="0.25">
      <c r="B23" s="9" t="s">
        <v>141</v>
      </c>
    </row>
    <row r="24" spans="2:11" x14ac:dyDescent="0.2">
      <c r="B24" s="53" t="s">
        <v>154</v>
      </c>
      <c r="C24" s="53"/>
      <c r="D24" s="53"/>
      <c r="E24" s="53"/>
      <c r="F24" s="53"/>
      <c r="G24" s="53"/>
      <c r="H24" s="53"/>
      <c r="I24" s="53"/>
      <c r="J24" s="53"/>
      <c r="K24" s="53"/>
    </row>
    <row r="25" spans="2:11" x14ac:dyDescent="0.2">
      <c r="B25" s="53"/>
      <c r="C25" s="53"/>
      <c r="D25" s="53"/>
      <c r="E25" s="53"/>
      <c r="F25" s="53"/>
      <c r="G25" s="53"/>
      <c r="H25" s="53"/>
      <c r="I25" s="53"/>
      <c r="J25" s="53"/>
      <c r="K25" s="53"/>
    </row>
    <row r="29" spans="2:11" x14ac:dyDescent="0.2">
      <c r="B29" t="s">
        <v>151</v>
      </c>
    </row>
    <row r="30" spans="2:11" x14ac:dyDescent="0.2">
      <c r="B30" t="s">
        <v>152</v>
      </c>
    </row>
    <row r="31" spans="2:11" x14ac:dyDescent="0.2">
      <c r="B31" t="s">
        <v>153</v>
      </c>
    </row>
    <row r="33" spans="2:10" x14ac:dyDescent="0.2">
      <c r="B33" t="s">
        <v>123</v>
      </c>
      <c r="C33" t="s">
        <v>7</v>
      </c>
      <c r="D33" s="52">
        <v>7.4729999999999996E-3</v>
      </c>
      <c r="E33" t="s">
        <v>10</v>
      </c>
    </row>
    <row r="34" spans="2:10" x14ac:dyDescent="0.2">
      <c r="C34" t="s">
        <v>8</v>
      </c>
      <c r="D34" s="51">
        <v>7.5339999999999999E-3</v>
      </c>
      <c r="E34" t="s">
        <v>10</v>
      </c>
    </row>
    <row r="35" spans="2:10" x14ac:dyDescent="0.2">
      <c r="C35" t="s">
        <v>9</v>
      </c>
      <c r="D35" s="51">
        <v>7.3689999999999997E-3</v>
      </c>
      <c r="E35" t="s">
        <v>10</v>
      </c>
    </row>
    <row r="38" spans="2:10" x14ac:dyDescent="0.2">
      <c r="B38" s="53" t="s">
        <v>155</v>
      </c>
      <c r="C38" s="53"/>
      <c r="D38" s="53"/>
      <c r="E38" s="53"/>
      <c r="F38" s="53"/>
      <c r="G38" s="4"/>
      <c r="H38" s="4"/>
      <c r="I38" s="4"/>
      <c r="J38" s="4"/>
    </row>
    <row r="39" spans="2:10" x14ac:dyDescent="0.2">
      <c r="B39" s="53"/>
      <c r="C39" s="53"/>
      <c r="D39" s="53"/>
      <c r="E39" s="53"/>
      <c r="F39" s="53"/>
      <c r="G39" s="4"/>
      <c r="H39" s="4"/>
      <c r="I39" s="4"/>
      <c r="J39" s="4"/>
    </row>
    <row r="40" spans="2:10" x14ac:dyDescent="0.2">
      <c r="B40" s="53"/>
      <c r="C40" s="53"/>
      <c r="D40" s="53"/>
      <c r="E40" s="53"/>
      <c r="F40" s="53"/>
      <c r="G40" s="4"/>
      <c r="H40" s="4"/>
      <c r="I40" s="4"/>
      <c r="J40" s="4"/>
    </row>
  </sheetData>
  <mergeCells count="6">
    <mergeCell ref="B38:F40"/>
    <mergeCell ref="C6:D6"/>
    <mergeCell ref="K12:K15"/>
    <mergeCell ref="K17:K21"/>
    <mergeCell ref="K9:K10"/>
    <mergeCell ref="B24:K25"/>
  </mergeCells>
  <pageMargins left="0.25" right="0.25" top="0.25" bottom="0.25" header="0.5" footer="0.5"/>
  <pageSetup paperSize="5" scale="76" orientation="landscape" r:id="rId1"/>
  <headerFooter alignWithMargins="0">
    <oddFooter>&amp;C&amp;A&amp;R&amp;F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7"/>
  <sheetViews>
    <sheetView tabSelected="1" zoomScaleNormal="100" workbookViewId="0">
      <selection activeCell="I25" sqref="I25"/>
    </sheetView>
  </sheetViews>
  <sheetFormatPr defaultRowHeight="12.75" x14ac:dyDescent="0.2"/>
  <cols>
    <col min="1" max="1" width="12.28515625" customWidth="1"/>
    <col min="2" max="2" width="4.28515625" customWidth="1"/>
    <col min="3" max="3" width="11.7109375" customWidth="1"/>
    <col min="4" max="4" width="2" customWidth="1"/>
    <col min="6" max="6" width="3.140625" customWidth="1"/>
    <col min="7" max="7" width="12.85546875" customWidth="1"/>
    <col min="8" max="8" width="4.28515625" customWidth="1"/>
    <col min="9" max="9" width="9.7109375" customWidth="1"/>
    <col min="10" max="10" width="2" customWidth="1"/>
    <col min="12" max="12" width="3.140625" customWidth="1"/>
    <col min="14" max="14" width="1.7109375" customWidth="1"/>
  </cols>
  <sheetData>
    <row r="1" spans="1:24" ht="20.25" x14ac:dyDescent="0.3">
      <c r="A1" s="21" t="s">
        <v>93</v>
      </c>
      <c r="H1" s="13" t="s">
        <v>79</v>
      </c>
    </row>
    <row r="2" spans="1:24" x14ac:dyDescent="0.2">
      <c r="A2" s="21" t="s">
        <v>94</v>
      </c>
    </row>
    <row r="3" spans="1:24" ht="15.75" x14ac:dyDescent="0.25">
      <c r="A3" s="30" t="s">
        <v>120</v>
      </c>
    </row>
    <row r="4" spans="1:24" x14ac:dyDescent="0.2">
      <c r="A4" s="21"/>
    </row>
    <row r="6" spans="1:24" ht="12.75" customHeight="1" x14ac:dyDescent="0.2">
      <c r="A6" s="58" t="s">
        <v>116</v>
      </c>
      <c r="B6" s="53"/>
      <c r="C6" s="53"/>
      <c r="D6" s="53"/>
      <c r="E6" s="53"/>
      <c r="F6" s="53"/>
      <c r="G6" s="53"/>
      <c r="H6" s="53"/>
      <c r="I6" s="53"/>
      <c r="J6" s="53"/>
      <c r="K6" s="53"/>
      <c r="L6" s="53"/>
      <c r="M6" s="53"/>
      <c r="N6" s="53"/>
      <c r="O6" s="53"/>
    </row>
    <row r="7" spans="1:24" x14ac:dyDescent="0.2">
      <c r="A7" s="53"/>
      <c r="B7" s="53"/>
      <c r="C7" s="53"/>
      <c r="D7" s="53"/>
      <c r="E7" s="53"/>
      <c r="F7" s="53"/>
      <c r="G7" s="53"/>
      <c r="H7" s="53"/>
      <c r="I7" s="53"/>
      <c r="J7" s="53"/>
      <c r="K7" s="53"/>
      <c r="L7" s="53"/>
      <c r="M7" s="53"/>
      <c r="N7" s="53"/>
      <c r="O7" s="53"/>
    </row>
    <row r="8" spans="1:24" x14ac:dyDescent="0.2">
      <c r="A8" s="53"/>
      <c r="B8" s="53"/>
      <c r="C8" s="53"/>
      <c r="D8" s="53"/>
      <c r="E8" s="53"/>
      <c r="F8" s="53"/>
      <c r="G8" s="53"/>
      <c r="H8" s="53"/>
      <c r="I8" s="53"/>
      <c r="J8" s="53"/>
      <c r="K8" s="53"/>
      <c r="L8" s="53"/>
      <c r="M8" s="53"/>
      <c r="N8" s="53"/>
      <c r="O8" s="53"/>
    </row>
    <row r="9" spans="1:24" x14ac:dyDescent="0.2">
      <c r="A9" s="53"/>
      <c r="B9" s="53"/>
      <c r="C9" s="53"/>
      <c r="D9" s="53"/>
      <c r="E9" s="53"/>
      <c r="F9" s="53"/>
      <c r="G9" s="53"/>
      <c r="H9" s="53"/>
      <c r="I9" s="53"/>
      <c r="J9" s="53"/>
      <c r="K9" s="53"/>
      <c r="L9" s="53"/>
      <c r="M9" s="53"/>
      <c r="N9" s="53"/>
      <c r="O9" s="53"/>
    </row>
    <row r="10" spans="1:24" x14ac:dyDescent="0.2">
      <c r="A10" s="53"/>
      <c r="B10" s="53"/>
      <c r="C10" s="53"/>
      <c r="D10" s="53"/>
      <c r="E10" s="53"/>
      <c r="F10" s="53"/>
      <c r="G10" s="53"/>
      <c r="H10" s="53"/>
      <c r="I10" s="53"/>
      <c r="J10" s="53"/>
      <c r="K10" s="53"/>
      <c r="L10" s="53"/>
      <c r="M10" s="53"/>
      <c r="N10" s="53"/>
      <c r="O10" s="53"/>
    </row>
    <row r="11" spans="1:24" ht="15.75" x14ac:dyDescent="0.25">
      <c r="A11" s="21" t="s">
        <v>95</v>
      </c>
      <c r="B11" s="21" t="s">
        <v>134</v>
      </c>
      <c r="C11" s="23"/>
      <c r="F11" s="24"/>
      <c r="G11" s="24"/>
      <c r="H11" s="24"/>
    </row>
    <row r="13" spans="1:24" ht="15.75" x14ac:dyDescent="0.25">
      <c r="A13" s="21" t="s">
        <v>95</v>
      </c>
      <c r="B13" t="s">
        <v>96</v>
      </c>
      <c r="C13" s="25" t="s">
        <v>109</v>
      </c>
      <c r="D13" s="26" t="s">
        <v>97</v>
      </c>
      <c r="E13" s="25" t="s">
        <v>110</v>
      </c>
      <c r="F13" s="20" t="s">
        <v>135</v>
      </c>
      <c r="G13" s="3">
        <v>0.5</v>
      </c>
      <c r="H13" s="26" t="s">
        <v>136</v>
      </c>
      <c r="I13" s="25" t="s">
        <v>111</v>
      </c>
      <c r="J13" s="26" t="s">
        <v>97</v>
      </c>
      <c r="K13" s="25" t="s">
        <v>112</v>
      </c>
      <c r="L13" s="20" t="s">
        <v>135</v>
      </c>
      <c r="M13" s="3">
        <v>0.5</v>
      </c>
      <c r="N13" s="26"/>
      <c r="O13" s="20"/>
      <c r="P13" s="20"/>
      <c r="Q13" s="20"/>
      <c r="R13" s="20"/>
      <c r="S13" s="20"/>
      <c r="T13" s="20"/>
      <c r="U13" s="20"/>
      <c r="V13" s="20"/>
      <c r="W13" s="20"/>
      <c r="X13" s="20"/>
    </row>
    <row r="14" spans="1:24" x14ac:dyDescent="0.2">
      <c r="A14" s="21"/>
      <c r="B14" s="21"/>
      <c r="C14" s="23"/>
    </row>
    <row r="15" spans="1:24" x14ac:dyDescent="0.2">
      <c r="A15" s="21" t="s">
        <v>95</v>
      </c>
      <c r="B15" t="s">
        <v>96</v>
      </c>
      <c r="C15" s="35">
        <f>C24</f>
        <v>180.52500000000001</v>
      </c>
      <c r="D15" s="26" t="s">
        <v>97</v>
      </c>
      <c r="E15" s="28">
        <f>C26</f>
        <v>128.30000000000001</v>
      </c>
      <c r="F15" s="20" t="s">
        <v>135</v>
      </c>
      <c r="G15" s="3">
        <v>0.5</v>
      </c>
      <c r="H15" s="26" t="s">
        <v>136</v>
      </c>
      <c r="I15" s="36">
        <f>C29</f>
        <v>3.9110830000000001</v>
      </c>
      <c r="J15" s="26" t="s">
        <v>97</v>
      </c>
      <c r="K15" s="27">
        <f>C31</f>
        <v>1.9157</v>
      </c>
      <c r="L15" s="20" t="s">
        <v>135</v>
      </c>
      <c r="M15" s="3">
        <v>0.5</v>
      </c>
      <c r="N15" s="26"/>
    </row>
    <row r="17" spans="1:15" x14ac:dyDescent="0.2">
      <c r="A17" s="21" t="s">
        <v>95</v>
      </c>
      <c r="C17" s="27">
        <f>($C$15/$E$15)*$G$15</f>
        <v>0.70352689010132496</v>
      </c>
      <c r="D17" s="20" t="s">
        <v>150</v>
      </c>
      <c r="E17" s="27">
        <f>($I$15/$K$15)*$M$15</f>
        <v>1.0207973586678498</v>
      </c>
      <c r="F17" s="20"/>
      <c r="J17" s="26"/>
      <c r="K17" s="27"/>
      <c r="L17" s="20"/>
      <c r="M17" s="3"/>
    </row>
    <row r="19" spans="1:15" x14ac:dyDescent="0.2">
      <c r="A19" s="21" t="s">
        <v>95</v>
      </c>
      <c r="C19" s="29">
        <f>($C$15/$E$15)*$G$15+($I$15/$K$15)*$M$15</f>
        <v>1.7243242487691748</v>
      </c>
    </row>
    <row r="21" spans="1:15" ht="15.75" x14ac:dyDescent="0.25">
      <c r="A21" s="21" t="s">
        <v>98</v>
      </c>
      <c r="B21" s="30" t="s">
        <v>99</v>
      </c>
      <c r="C21" t="s">
        <v>100</v>
      </c>
    </row>
    <row r="22" spans="1:15" ht="15.75" x14ac:dyDescent="0.2">
      <c r="B22" s="31" t="s">
        <v>113</v>
      </c>
      <c r="C22" s="58" t="s">
        <v>101</v>
      </c>
      <c r="D22" s="53"/>
      <c r="E22" s="53"/>
      <c r="F22" s="53"/>
      <c r="G22" s="53"/>
      <c r="H22" s="53"/>
      <c r="I22" s="53"/>
      <c r="J22" s="53"/>
      <c r="K22" s="53"/>
      <c r="L22" s="53"/>
      <c r="M22" s="53"/>
      <c r="N22" s="53"/>
      <c r="O22" s="53"/>
    </row>
    <row r="23" spans="1:15" ht="15.75" x14ac:dyDescent="0.2">
      <c r="B23" s="31"/>
      <c r="C23" s="53"/>
      <c r="D23" s="53"/>
      <c r="E23" s="53"/>
      <c r="F23" s="53"/>
      <c r="G23" s="53"/>
      <c r="H23" s="53"/>
      <c r="I23" s="53"/>
      <c r="J23" s="53"/>
      <c r="K23" s="53"/>
      <c r="L23" s="53"/>
      <c r="M23" s="53"/>
      <c r="N23" s="53"/>
      <c r="O23" s="53"/>
    </row>
    <row r="24" spans="1:15" ht="15.75" x14ac:dyDescent="0.2">
      <c r="B24" s="31" t="s">
        <v>113</v>
      </c>
      <c r="C24" s="38">
        <v>180.52500000000001</v>
      </c>
      <c r="D24" s="4"/>
      <c r="E24" s="55" t="s">
        <v>121</v>
      </c>
      <c r="F24" s="55"/>
      <c r="G24" s="55"/>
      <c r="H24" s="55"/>
      <c r="I24" s="55"/>
      <c r="J24" s="55"/>
      <c r="K24" s="55"/>
      <c r="L24" s="55"/>
      <c r="M24" s="55"/>
      <c r="N24" s="4"/>
      <c r="O24" s="4"/>
    </row>
    <row r="25" spans="1:15" ht="15.75" x14ac:dyDescent="0.25">
      <c r="B25" s="30" t="s">
        <v>114</v>
      </c>
      <c r="C25" t="s">
        <v>102</v>
      </c>
    </row>
    <row r="26" spans="1:15" ht="15.75" x14ac:dyDescent="0.25">
      <c r="B26" s="30" t="s">
        <v>114</v>
      </c>
      <c r="C26" s="37">
        <v>128.30000000000001</v>
      </c>
    </row>
    <row r="27" spans="1:15" ht="15.75" x14ac:dyDescent="0.25">
      <c r="A27" t="s">
        <v>103</v>
      </c>
      <c r="B27" s="30" t="s">
        <v>104</v>
      </c>
      <c r="C27" t="s">
        <v>105</v>
      </c>
    </row>
    <row r="28" spans="1:15" ht="15.75" x14ac:dyDescent="0.25">
      <c r="B28" s="30" t="s">
        <v>115</v>
      </c>
      <c r="C28" t="s">
        <v>106</v>
      </c>
    </row>
    <row r="29" spans="1:15" ht="15.75" x14ac:dyDescent="0.25">
      <c r="B29" s="30" t="s">
        <v>115</v>
      </c>
      <c r="C29" s="48">
        <f>ROUND('Attachment 3'!$E$48,6)</f>
        <v>3.9110830000000001</v>
      </c>
      <c r="E29" s="55" t="s">
        <v>121</v>
      </c>
      <c r="F29" s="55"/>
      <c r="G29" s="55"/>
      <c r="H29" s="55"/>
      <c r="I29" s="55"/>
      <c r="J29" s="55"/>
      <c r="K29" s="55"/>
      <c r="L29" s="55"/>
      <c r="M29" s="55"/>
    </row>
    <row r="30" spans="1:15" ht="15.75" x14ac:dyDescent="0.25">
      <c r="B30" s="30" t="s">
        <v>107</v>
      </c>
      <c r="C30" s="32" t="s">
        <v>119</v>
      </c>
      <c r="D30" s="33"/>
      <c r="E30" s="33"/>
      <c r="F30" s="33"/>
      <c r="G30" s="33"/>
    </row>
    <row r="31" spans="1:15" ht="15.75" x14ac:dyDescent="0.25">
      <c r="B31" s="30" t="s">
        <v>107</v>
      </c>
      <c r="C31" s="34">
        <v>1.9157</v>
      </c>
      <c r="D31" s="33"/>
      <c r="E31" s="55" t="s">
        <v>118</v>
      </c>
      <c r="F31" s="55"/>
      <c r="G31" s="55"/>
      <c r="H31" s="55"/>
      <c r="I31" s="55"/>
      <c r="J31" s="55"/>
      <c r="K31" s="55"/>
      <c r="L31" s="55"/>
      <c r="M31" s="55"/>
    </row>
    <row r="32" spans="1:15" ht="15.75" x14ac:dyDescent="0.25">
      <c r="B32" s="30"/>
      <c r="C32" s="34"/>
      <c r="D32" s="33"/>
      <c r="E32" s="5"/>
      <c r="F32" s="5"/>
      <c r="G32" s="5"/>
      <c r="H32" s="5"/>
      <c r="I32" s="5"/>
      <c r="J32" s="5"/>
      <c r="K32" s="5"/>
      <c r="L32" s="5"/>
      <c r="M32" s="5"/>
    </row>
    <row r="33" spans="1:15" ht="12.75" customHeight="1" x14ac:dyDescent="0.2">
      <c r="A33" s="22" t="s">
        <v>108</v>
      </c>
      <c r="B33" s="56" t="s">
        <v>117</v>
      </c>
      <c r="C33" s="57"/>
      <c r="D33" s="57"/>
      <c r="E33" s="57"/>
      <c r="F33" s="57"/>
      <c r="G33" s="57"/>
      <c r="H33" s="57"/>
      <c r="I33" s="57"/>
      <c r="J33" s="57"/>
      <c r="K33" s="57"/>
      <c r="L33" s="57"/>
      <c r="M33" s="57"/>
      <c r="N33" s="57"/>
      <c r="O33" s="57"/>
    </row>
    <row r="34" spans="1:15" x14ac:dyDescent="0.2">
      <c r="B34" s="57"/>
      <c r="C34" s="57"/>
      <c r="D34" s="57"/>
      <c r="E34" s="57"/>
      <c r="F34" s="57"/>
      <c r="G34" s="57"/>
      <c r="H34" s="57"/>
      <c r="I34" s="57"/>
      <c r="J34" s="57"/>
      <c r="K34" s="57"/>
      <c r="L34" s="57"/>
      <c r="M34" s="57"/>
      <c r="N34" s="57"/>
      <c r="O34" s="57"/>
    </row>
    <row r="35" spans="1:15" x14ac:dyDescent="0.2">
      <c r="B35" s="57"/>
      <c r="C35" s="57"/>
      <c r="D35" s="57"/>
      <c r="E35" s="57"/>
      <c r="F35" s="57"/>
      <c r="G35" s="57"/>
      <c r="H35" s="57"/>
      <c r="I35" s="57"/>
      <c r="J35" s="57"/>
      <c r="K35" s="57"/>
      <c r="L35" s="57"/>
      <c r="M35" s="57"/>
      <c r="N35" s="57"/>
      <c r="O35" s="57"/>
    </row>
    <row r="36" spans="1:15" x14ac:dyDescent="0.2">
      <c r="B36" s="57"/>
      <c r="C36" s="57"/>
      <c r="D36" s="57"/>
      <c r="E36" s="57"/>
      <c r="F36" s="57"/>
      <c r="G36" s="57"/>
      <c r="H36" s="57"/>
      <c r="I36" s="57"/>
      <c r="J36" s="57"/>
      <c r="K36" s="57"/>
      <c r="L36" s="57"/>
      <c r="M36" s="57"/>
      <c r="N36" s="57"/>
      <c r="O36" s="57"/>
    </row>
    <row r="37" spans="1:15" x14ac:dyDescent="0.2">
      <c r="B37" s="53"/>
      <c r="C37" s="53"/>
      <c r="D37" s="53"/>
      <c r="E37" s="53"/>
      <c r="F37" s="53"/>
      <c r="G37" s="53"/>
      <c r="H37" s="53"/>
      <c r="I37" s="53"/>
      <c r="J37" s="53"/>
      <c r="K37" s="53"/>
      <c r="L37" s="53"/>
      <c r="M37" s="53"/>
      <c r="N37" s="53"/>
      <c r="O37" s="53"/>
    </row>
  </sheetData>
  <mergeCells count="6">
    <mergeCell ref="B33:O37"/>
    <mergeCell ref="E29:M29"/>
    <mergeCell ref="A6:O10"/>
    <mergeCell ref="C22:O23"/>
    <mergeCell ref="E24:M24"/>
    <mergeCell ref="E31:M31"/>
  </mergeCells>
  <pageMargins left="0.5" right="0.5" top="0.6" bottom="0.6" header="0.35" footer="0.28000000000000003"/>
  <pageSetup paperSize="5" scale="91" orientation="landscape" r:id="rId1"/>
  <headerFooter alignWithMargins="0">
    <oddFooter>&amp;C&amp;A&amp;R&amp;F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18"/>
  <sheetViews>
    <sheetView zoomScale="60" workbookViewId="0">
      <selection activeCell="G24" sqref="G24"/>
    </sheetView>
  </sheetViews>
  <sheetFormatPr defaultRowHeight="12.75" x14ac:dyDescent="0.2"/>
  <cols>
    <col min="1" max="1" width="3.28515625" customWidth="1"/>
    <col min="2" max="2" width="44.85546875" customWidth="1"/>
    <col min="3" max="3" width="11.42578125" customWidth="1"/>
    <col min="4" max="4" width="47.5703125" customWidth="1"/>
    <col min="6" max="6" width="44.28515625" customWidth="1"/>
    <col min="7" max="7" width="23.140625" customWidth="1"/>
    <col min="8" max="8" width="2.85546875" customWidth="1"/>
    <col min="9" max="9" width="23.140625" customWidth="1"/>
    <col min="10" max="10" width="2.42578125" customWidth="1"/>
    <col min="11" max="11" width="23.140625" customWidth="1"/>
    <col min="12" max="12" width="2.28515625" customWidth="1"/>
    <col min="13" max="13" width="22.85546875" customWidth="1"/>
    <col min="14" max="14" width="3" customWidth="1"/>
    <col min="15" max="15" width="8.140625" customWidth="1"/>
    <col min="18" max="18" width="23.140625" customWidth="1"/>
    <col min="19" max="19" width="23" customWidth="1"/>
  </cols>
  <sheetData>
    <row r="1" spans="2:19" ht="20.25" x14ac:dyDescent="0.3">
      <c r="B1" s="1" t="s">
        <v>11</v>
      </c>
      <c r="D1" s="13" t="s">
        <v>79</v>
      </c>
    </row>
    <row r="2" spans="2:19" x14ac:dyDescent="0.2">
      <c r="I2" s="3" t="s">
        <v>138</v>
      </c>
      <c r="J2" s="3"/>
      <c r="K2" s="3" t="s">
        <v>139</v>
      </c>
      <c r="M2" s="3" t="s">
        <v>67</v>
      </c>
      <c r="R2" s="3"/>
      <c r="S2" s="3"/>
    </row>
    <row r="3" spans="2:19" ht="15.75" x14ac:dyDescent="0.25">
      <c r="B3" s="9" t="s">
        <v>12</v>
      </c>
      <c r="G3" s="3" t="s">
        <v>48</v>
      </c>
      <c r="H3" s="3"/>
      <c r="I3" s="3" t="s">
        <v>48</v>
      </c>
      <c r="J3" s="3"/>
      <c r="K3" s="3" t="s">
        <v>48</v>
      </c>
      <c r="M3" s="3" t="s">
        <v>48</v>
      </c>
    </row>
    <row r="4" spans="2:19" x14ac:dyDescent="0.2">
      <c r="C4" s="6" t="s">
        <v>26</v>
      </c>
      <c r="G4" s="6" t="s">
        <v>90</v>
      </c>
      <c r="H4" s="6"/>
      <c r="I4" s="6" t="s">
        <v>91</v>
      </c>
      <c r="J4" s="6"/>
      <c r="K4" s="6" t="s">
        <v>91</v>
      </c>
      <c r="L4" s="6"/>
      <c r="M4" s="6" t="s">
        <v>91</v>
      </c>
    </row>
    <row r="5" spans="2:19" x14ac:dyDescent="0.2">
      <c r="B5" s="6" t="s">
        <v>35</v>
      </c>
      <c r="C5" s="6"/>
    </row>
    <row r="6" spans="2:19" x14ac:dyDescent="0.2">
      <c r="B6" t="s">
        <v>29</v>
      </c>
      <c r="C6" s="7">
        <v>5.2</v>
      </c>
      <c r="D6" s="59" t="s">
        <v>88</v>
      </c>
      <c r="E6" s="60"/>
      <c r="F6" s="60"/>
      <c r="G6" s="39">
        <f>119000*9*22.84</f>
        <v>24461640</v>
      </c>
      <c r="H6" s="39"/>
      <c r="I6" s="39">
        <f>119000*8*22.84</f>
        <v>21743680</v>
      </c>
      <c r="J6" s="39"/>
      <c r="K6" s="39">
        <f>119000*1*22.84</f>
        <v>2717960</v>
      </c>
      <c r="L6" s="39"/>
      <c r="M6" s="39">
        <f>I6+K6</f>
        <v>24461640</v>
      </c>
      <c r="R6" s="14"/>
      <c r="S6" s="14"/>
    </row>
    <row r="7" spans="2:19" x14ac:dyDescent="0.2">
      <c r="B7" t="s">
        <v>27</v>
      </c>
      <c r="C7" s="7">
        <v>5.0999999999999996</v>
      </c>
      <c r="D7" s="60" t="s">
        <v>28</v>
      </c>
      <c r="E7" s="60"/>
      <c r="F7" s="60"/>
    </row>
    <row r="8" spans="2:19" x14ac:dyDescent="0.2">
      <c r="B8" t="s">
        <v>33</v>
      </c>
      <c r="C8" s="7">
        <v>7.5</v>
      </c>
      <c r="D8" s="61" t="s">
        <v>30</v>
      </c>
      <c r="E8" s="61"/>
      <c r="F8" s="61"/>
    </row>
    <row r="9" spans="2:19" ht="25.5" x14ac:dyDescent="0.2">
      <c r="B9" s="4" t="s">
        <v>31</v>
      </c>
      <c r="C9" s="7">
        <v>7.5</v>
      </c>
      <c r="D9" s="7" t="s">
        <v>32</v>
      </c>
      <c r="E9" s="8">
        <v>0.3</v>
      </c>
      <c r="F9" t="s">
        <v>25</v>
      </c>
      <c r="G9" s="15">
        <f>E9*(1+0.5*(('Attachment 2'!$C$24/137)-1))</f>
        <v>0.34765510948905104</v>
      </c>
      <c r="H9" s="15"/>
      <c r="I9" s="18"/>
      <c r="J9" s="15"/>
      <c r="K9" s="18"/>
      <c r="M9" s="18"/>
      <c r="R9" s="18"/>
    </row>
    <row r="10" spans="2:19" x14ac:dyDescent="0.2">
      <c r="B10" s="4" t="s">
        <v>84</v>
      </c>
      <c r="C10" s="7">
        <v>5.3</v>
      </c>
      <c r="D10" s="60" t="s">
        <v>85</v>
      </c>
      <c r="E10" s="60"/>
      <c r="F10" s="60"/>
      <c r="G10" s="15"/>
      <c r="H10" s="15"/>
      <c r="I10" s="18"/>
      <c r="J10" s="15"/>
      <c r="K10" s="18"/>
      <c r="M10" s="18"/>
      <c r="R10" s="18"/>
    </row>
    <row r="11" spans="2:19" x14ac:dyDescent="0.2">
      <c r="C11" s="7"/>
      <c r="D11" s="7"/>
      <c r="G11" s="15"/>
      <c r="H11" s="15"/>
      <c r="I11" s="18"/>
      <c r="J11" s="15"/>
      <c r="K11" s="18"/>
      <c r="M11" s="18"/>
      <c r="R11" s="18"/>
    </row>
    <row r="12" spans="2:19" x14ac:dyDescent="0.2">
      <c r="B12" s="6" t="s">
        <v>45</v>
      </c>
      <c r="C12" s="7"/>
      <c r="D12" s="7"/>
      <c r="G12" s="15"/>
      <c r="H12" s="15"/>
      <c r="I12" s="18"/>
      <c r="J12" s="15"/>
      <c r="K12" s="18"/>
      <c r="M12" s="18"/>
      <c r="R12" s="18"/>
    </row>
    <row r="13" spans="2:19" x14ac:dyDescent="0.2">
      <c r="B13" t="s">
        <v>46</v>
      </c>
      <c r="C13" s="7"/>
      <c r="D13" s="7">
        <v>2000</v>
      </c>
      <c r="G13" s="15"/>
      <c r="H13" s="15"/>
      <c r="I13" s="18"/>
      <c r="J13" s="15"/>
      <c r="K13" s="18"/>
      <c r="M13" s="18"/>
      <c r="R13" s="18"/>
    </row>
    <row r="14" spans="2:19" x14ac:dyDescent="0.2">
      <c r="B14" t="s">
        <v>47</v>
      </c>
      <c r="C14" s="7"/>
      <c r="D14" s="7">
        <v>2019</v>
      </c>
      <c r="G14" s="15"/>
      <c r="H14" s="15"/>
      <c r="I14" s="18"/>
      <c r="J14" s="15"/>
      <c r="K14" s="18"/>
      <c r="M14" s="18"/>
      <c r="R14" s="3" t="s">
        <v>148</v>
      </c>
      <c r="S14" s="3" t="s">
        <v>148</v>
      </c>
    </row>
    <row r="15" spans="2:19" x14ac:dyDescent="0.2">
      <c r="C15" s="7"/>
      <c r="D15" s="7"/>
      <c r="G15" s="15"/>
      <c r="H15" s="15"/>
      <c r="I15" s="18"/>
      <c r="J15" s="15"/>
      <c r="K15" s="18"/>
      <c r="M15" s="18"/>
      <c r="R15" s="3" t="s">
        <v>138</v>
      </c>
      <c r="S15" s="3" t="s">
        <v>139</v>
      </c>
    </row>
    <row r="16" spans="2:19" x14ac:dyDescent="0.2">
      <c r="B16" s="6" t="s">
        <v>36</v>
      </c>
      <c r="C16" s="10"/>
      <c r="G16" s="15"/>
      <c r="H16" s="15"/>
      <c r="I16" s="18"/>
      <c r="J16" s="15"/>
      <c r="K16" s="18"/>
      <c r="M16" s="18"/>
      <c r="R16" s="18"/>
    </row>
    <row r="17" spans="2:19" ht="12" customHeight="1" x14ac:dyDescent="0.2">
      <c r="B17" t="s">
        <v>13</v>
      </c>
      <c r="C17" s="7" t="s">
        <v>42</v>
      </c>
      <c r="D17" s="60" t="s">
        <v>83</v>
      </c>
      <c r="E17" s="8">
        <v>0.73</v>
      </c>
      <c r="F17" t="s">
        <v>25</v>
      </c>
      <c r="G17" s="15">
        <f>E17*(1+0.5*(('Attachment 2'!$C$24/137)-1))</f>
        <v>0.8459607664233576</v>
      </c>
      <c r="H17" s="15"/>
      <c r="I17" s="41">
        <f>119000*8*22.84*$G17</f>
        <v>18394300.197664231</v>
      </c>
      <c r="J17" s="41"/>
      <c r="K17" s="41">
        <f>119000*1*22.84*$G17</f>
        <v>2299287.5247080289</v>
      </c>
      <c r="L17" s="41"/>
      <c r="M17" s="41">
        <f>I17+K17</f>
        <v>20693587.72237226</v>
      </c>
      <c r="R17" s="49">
        <f>G17/I$37</f>
        <v>0.19541441667326237</v>
      </c>
      <c r="S17" s="49">
        <f>G17/K$37</f>
        <v>0.14077307631895403</v>
      </c>
    </row>
    <row r="18" spans="2:19" x14ac:dyDescent="0.2">
      <c r="C18" s="7"/>
      <c r="D18" s="53"/>
      <c r="E18" s="8"/>
      <c r="G18" s="15"/>
      <c r="H18" s="15"/>
      <c r="I18" s="18"/>
      <c r="J18" s="15"/>
      <c r="K18" s="18"/>
      <c r="M18" s="18"/>
      <c r="R18" s="49"/>
      <c r="S18" s="49"/>
    </row>
    <row r="19" spans="2:19" x14ac:dyDescent="0.2">
      <c r="C19" s="7"/>
      <c r="D19" s="53"/>
      <c r="E19" s="8"/>
      <c r="G19" s="15"/>
      <c r="H19" s="15"/>
      <c r="I19" s="18"/>
      <c r="J19" s="15"/>
      <c r="K19" s="18"/>
      <c r="M19" s="18"/>
      <c r="R19" s="49"/>
      <c r="S19" s="49"/>
    </row>
    <row r="20" spans="2:19" x14ac:dyDescent="0.2">
      <c r="C20" s="7"/>
      <c r="D20" s="4"/>
      <c r="E20" s="8"/>
      <c r="G20" s="15"/>
      <c r="H20" s="15"/>
      <c r="I20" s="18"/>
      <c r="J20" s="15"/>
      <c r="K20" s="18"/>
      <c r="M20" s="18"/>
      <c r="R20" s="49"/>
      <c r="S20" s="49"/>
    </row>
    <row r="21" spans="2:19" ht="12.75" customHeight="1" x14ac:dyDescent="0.2">
      <c r="B21" t="s">
        <v>14</v>
      </c>
      <c r="C21" s="7" t="s">
        <v>42</v>
      </c>
      <c r="D21" s="60" t="s">
        <v>49</v>
      </c>
      <c r="E21" s="8">
        <v>0.72499999999999998</v>
      </c>
      <c r="F21" t="s">
        <v>25</v>
      </c>
      <c r="G21" s="15">
        <f>E21*(1+0.5*(('Attachment 2'!$C$24/137)-1))</f>
        <v>0.84016651459854008</v>
      </c>
      <c r="H21" s="15"/>
      <c r="I21" s="18">
        <v>0</v>
      </c>
      <c r="J21" s="15"/>
      <c r="K21" s="18">
        <f>119000*1*22.84*$G21</f>
        <v>2283538.9800182479</v>
      </c>
      <c r="M21" s="41">
        <f>I21+K21</f>
        <v>2283538.9800182479</v>
      </c>
      <c r="R21" s="49">
        <v>0</v>
      </c>
      <c r="S21" s="49">
        <f>G21/K$37</f>
        <v>0.13980887716608448</v>
      </c>
    </row>
    <row r="22" spans="2:19" ht="12.75" customHeight="1" x14ac:dyDescent="0.2">
      <c r="C22" s="7"/>
      <c r="D22" s="60"/>
      <c r="E22" s="8"/>
      <c r="G22" s="15"/>
      <c r="H22" s="15"/>
      <c r="I22" s="18"/>
      <c r="J22" s="15"/>
      <c r="K22" s="18"/>
      <c r="M22" s="41"/>
      <c r="R22" s="49"/>
      <c r="S22" s="49"/>
    </row>
    <row r="23" spans="2:19" ht="12.75" customHeight="1" x14ac:dyDescent="0.2">
      <c r="C23" s="7"/>
      <c r="D23" s="60"/>
      <c r="E23" s="8"/>
      <c r="G23" s="15"/>
      <c r="H23" s="15"/>
      <c r="I23" s="18"/>
      <c r="J23" s="15"/>
      <c r="K23" s="18"/>
      <c r="M23" s="41"/>
      <c r="R23" s="49"/>
      <c r="S23" s="49"/>
    </row>
    <row r="24" spans="2:19" ht="30" customHeight="1" x14ac:dyDescent="0.2">
      <c r="C24" s="7" t="s">
        <v>59</v>
      </c>
      <c r="D24" s="11" t="s">
        <v>92</v>
      </c>
      <c r="E24" s="8"/>
      <c r="G24" s="15"/>
      <c r="H24" s="15"/>
      <c r="I24" s="18"/>
      <c r="J24" s="15"/>
      <c r="K24" s="18"/>
      <c r="M24" s="41"/>
      <c r="R24" s="49"/>
      <c r="S24" s="49"/>
    </row>
    <row r="25" spans="2:19" x14ac:dyDescent="0.2">
      <c r="C25" s="7"/>
      <c r="G25" s="15"/>
      <c r="H25" s="15"/>
      <c r="I25" s="18"/>
      <c r="J25" s="15"/>
      <c r="K25" s="18"/>
      <c r="M25" s="18"/>
      <c r="R25" s="49"/>
      <c r="S25" s="49"/>
    </row>
    <row r="26" spans="2:19" x14ac:dyDescent="0.2">
      <c r="B26" t="s">
        <v>15</v>
      </c>
      <c r="C26" s="7"/>
      <c r="G26" s="15"/>
      <c r="H26" s="15"/>
      <c r="I26" s="18"/>
      <c r="J26" s="15"/>
      <c r="K26" s="18"/>
      <c r="M26" s="18"/>
      <c r="R26" s="49"/>
      <c r="S26" s="49"/>
    </row>
    <row r="27" spans="2:19" x14ac:dyDescent="0.2">
      <c r="B27" t="s">
        <v>71</v>
      </c>
      <c r="C27" s="7"/>
      <c r="G27" s="15"/>
      <c r="H27" s="15"/>
      <c r="I27" s="18"/>
      <c r="J27" s="15"/>
      <c r="K27" s="18"/>
      <c r="M27" s="18"/>
      <c r="R27" s="49"/>
      <c r="S27" s="49"/>
    </row>
    <row r="28" spans="2:19" x14ac:dyDescent="0.2">
      <c r="B28" t="s">
        <v>72</v>
      </c>
      <c r="C28" s="7">
        <v>8.3000000000000007</v>
      </c>
      <c r="D28" s="7" t="s">
        <v>50</v>
      </c>
      <c r="E28" s="53" t="s">
        <v>53</v>
      </c>
      <c r="F28" s="53"/>
      <c r="G28" s="15">
        <f>0.68*'Attachment 2'!C29</f>
        <v>2.6595364400000001</v>
      </c>
      <c r="H28" s="15"/>
      <c r="I28" s="41">
        <f>I6*$G28</f>
        <v>57828109.299699202</v>
      </c>
      <c r="J28" s="41"/>
      <c r="K28" s="41">
        <f>K6*$G28</f>
        <v>7228513.6624624003</v>
      </c>
      <c r="L28" s="41"/>
      <c r="M28" s="41">
        <f>M6*$G28</f>
        <v>65056622.962161601</v>
      </c>
      <c r="R28" s="49">
        <f>G28/I$37</f>
        <v>0.61434499408427323</v>
      </c>
      <c r="S28" s="49">
        <f>G28/K$37</f>
        <v>0.44256322645321927</v>
      </c>
    </row>
    <row r="29" spans="2:19" x14ac:dyDescent="0.2">
      <c r="B29" t="s">
        <v>73</v>
      </c>
      <c r="C29" s="7">
        <v>8.3000000000000007</v>
      </c>
      <c r="D29" s="7" t="s">
        <v>51</v>
      </c>
      <c r="E29" s="8">
        <v>0.625</v>
      </c>
      <c r="F29" t="s">
        <v>54</v>
      </c>
      <c r="G29" s="17">
        <f>E29*('Attachment 2'!$C$24/137)</f>
        <v>0.82356295620437958</v>
      </c>
      <c r="H29" s="17"/>
      <c r="I29" s="42">
        <f>I6*$G29</f>
        <v>17907289.379562043</v>
      </c>
      <c r="J29" s="42"/>
      <c r="K29" s="42">
        <f>K6*$G29</f>
        <v>2238411.1724452553</v>
      </c>
      <c r="L29" s="41"/>
      <c r="M29" s="42">
        <f>M6*$G29</f>
        <v>20145700.552007299</v>
      </c>
      <c r="R29" s="49">
        <f>G29/I$37</f>
        <v>0.19024058924246443</v>
      </c>
      <c r="S29" s="49">
        <f>G29/K$37</f>
        <v>0.137045942895658</v>
      </c>
    </row>
    <row r="30" spans="2:19" x14ac:dyDescent="0.2">
      <c r="C30" s="7"/>
      <c r="D30" s="7"/>
      <c r="E30" s="8"/>
      <c r="F30" s="7" t="s">
        <v>67</v>
      </c>
      <c r="G30" s="15">
        <f>G28+G29</f>
        <v>3.4830993962043797</v>
      </c>
      <c r="H30" s="15"/>
      <c r="I30" s="41">
        <f>I28+I29</f>
        <v>75735398.679261237</v>
      </c>
      <c r="J30" s="41"/>
      <c r="K30" s="41">
        <f>K28+K29</f>
        <v>9466924.8349076547</v>
      </c>
      <c r="L30" s="41"/>
      <c r="M30" s="41">
        <f>M28+M29</f>
        <v>85202323.514168903</v>
      </c>
      <c r="R30" s="49"/>
      <c r="S30" s="49"/>
    </row>
    <row r="31" spans="2:19" x14ac:dyDescent="0.2">
      <c r="C31" s="7"/>
      <c r="G31" s="15"/>
      <c r="H31" s="15"/>
      <c r="I31" s="18"/>
      <c r="J31" s="15"/>
      <c r="K31" s="18"/>
      <c r="M31" s="18"/>
      <c r="R31" s="49"/>
      <c r="S31" s="49"/>
    </row>
    <row r="32" spans="2:19" x14ac:dyDescent="0.2">
      <c r="B32" t="s">
        <v>66</v>
      </c>
      <c r="C32" s="7">
        <v>8.3000000000000007</v>
      </c>
      <c r="G32" s="15"/>
      <c r="H32" s="15"/>
      <c r="I32" s="18"/>
      <c r="J32" s="15"/>
      <c r="K32" s="18"/>
      <c r="M32" s="18"/>
      <c r="R32" s="49"/>
      <c r="S32" s="49"/>
    </row>
    <row r="33" spans="2:19" x14ac:dyDescent="0.2">
      <c r="B33" t="s">
        <v>74</v>
      </c>
      <c r="C33" s="7"/>
      <c r="D33" s="7" t="s">
        <v>34</v>
      </c>
      <c r="E33" s="8">
        <v>0.72499999999999998</v>
      </c>
      <c r="F33" t="s">
        <v>25</v>
      </c>
      <c r="G33" s="15">
        <f>E33*(1+0.5*(('Attachment 2'!$C$24/137)-1))</f>
        <v>0.84016651459854008</v>
      </c>
      <c r="H33" s="15"/>
      <c r="I33" s="18">
        <v>0</v>
      </c>
      <c r="J33" s="15"/>
      <c r="K33" s="18">
        <f>119000*1*22.84*$G33</f>
        <v>2283538.9800182479</v>
      </c>
      <c r="M33" s="41">
        <f>I33+K33</f>
        <v>2283538.9800182479</v>
      </c>
      <c r="R33" s="49">
        <v>0</v>
      </c>
      <c r="S33" s="49">
        <f>G33/K$37</f>
        <v>0.13980887716608448</v>
      </c>
    </row>
    <row r="34" spans="2:19" x14ac:dyDescent="0.2">
      <c r="B34" t="s">
        <v>82</v>
      </c>
      <c r="C34" s="7"/>
      <c r="D34" s="7" t="s">
        <v>34</v>
      </c>
      <c r="E34" s="8">
        <v>0.22500000000000001</v>
      </c>
      <c r="F34" t="s">
        <v>25</v>
      </c>
      <c r="G34" s="16" t="s">
        <v>89</v>
      </c>
      <c r="H34" s="16"/>
      <c r="I34" s="19"/>
      <c r="J34" s="16"/>
      <c r="K34" s="19"/>
      <c r="M34" s="19"/>
      <c r="R34" s="50"/>
      <c r="S34" s="49"/>
    </row>
    <row r="35" spans="2:19" ht="34.5" customHeight="1" x14ac:dyDescent="0.2">
      <c r="C35" s="7" t="s">
        <v>59</v>
      </c>
      <c r="D35" s="11" t="s">
        <v>92</v>
      </c>
      <c r="E35" s="8"/>
      <c r="G35" s="15"/>
      <c r="H35" s="15"/>
      <c r="I35" s="18"/>
      <c r="J35" s="15"/>
      <c r="K35" s="18"/>
      <c r="M35" s="18"/>
      <c r="R35" s="49"/>
      <c r="S35" s="49"/>
    </row>
    <row r="36" spans="2:19" x14ac:dyDescent="0.2">
      <c r="C36" s="7"/>
      <c r="G36" s="7" t="s">
        <v>129</v>
      </c>
      <c r="H36" s="7"/>
      <c r="I36" s="41">
        <f>I17+I21+I30+I33</f>
        <v>94129698.876925468</v>
      </c>
      <c r="J36" s="43"/>
      <c r="K36" s="41">
        <f>K17+K21+K30+K33</f>
        <v>16333290.319652177</v>
      </c>
      <c r="L36" s="41"/>
      <c r="M36" s="41">
        <f>M17+M21+M30+M33</f>
        <v>110462989.19657765</v>
      </c>
      <c r="N36" s="41"/>
      <c r="O36" s="41"/>
      <c r="R36" s="49"/>
      <c r="S36" s="49"/>
    </row>
    <row r="37" spans="2:19" x14ac:dyDescent="0.2">
      <c r="C37" s="7"/>
      <c r="G37" s="7" t="s">
        <v>130</v>
      </c>
      <c r="H37" s="7"/>
      <c r="I37" s="15">
        <f>I36/I6</f>
        <v>4.3290601626277372</v>
      </c>
      <c r="J37" s="16"/>
      <c r="K37" s="15">
        <f>K36/K6</f>
        <v>6.0093931918248158</v>
      </c>
      <c r="L37" s="15"/>
      <c r="M37" s="15">
        <f>M36/M6</f>
        <v>4.5157638325385241</v>
      </c>
      <c r="R37" s="49">
        <f>SUM(R17:R36)</f>
        <v>1</v>
      </c>
      <c r="S37" s="49">
        <f>SUM(S17:S36)</f>
        <v>1.0000000000000002</v>
      </c>
    </row>
    <row r="38" spans="2:19" ht="37.5" customHeight="1" x14ac:dyDescent="0.2">
      <c r="B38" s="53" t="s">
        <v>52</v>
      </c>
      <c r="C38" s="53"/>
      <c r="D38" s="53"/>
      <c r="E38" s="53"/>
      <c r="F38" s="55"/>
      <c r="M38" s="18"/>
    </row>
    <row r="39" spans="2:19" ht="12.75" customHeight="1" x14ac:dyDescent="0.2">
      <c r="B39" s="4"/>
      <c r="C39" s="4"/>
      <c r="D39" s="4"/>
      <c r="E39" s="4"/>
      <c r="F39" s="5"/>
      <c r="M39" s="18"/>
    </row>
    <row r="40" spans="2:19" ht="31.5" customHeight="1" x14ac:dyDescent="0.2">
      <c r="B40" s="53" t="s">
        <v>55</v>
      </c>
      <c r="C40" s="53"/>
      <c r="D40" s="53"/>
      <c r="E40" s="53"/>
      <c r="F40" s="53"/>
      <c r="M40" s="18"/>
    </row>
    <row r="41" spans="2:19" ht="12.75" customHeight="1" x14ac:dyDescent="0.2">
      <c r="B41" s="4"/>
      <c r="C41" s="4"/>
      <c r="D41" s="4"/>
      <c r="E41" s="4"/>
      <c r="F41" s="5"/>
      <c r="M41" s="18"/>
    </row>
    <row r="42" spans="2:19" ht="46.5" customHeight="1" x14ac:dyDescent="0.2">
      <c r="B42" s="53" t="s">
        <v>68</v>
      </c>
      <c r="C42" s="53"/>
      <c r="D42" s="53"/>
      <c r="E42" s="53"/>
      <c r="F42" s="55"/>
      <c r="M42" s="18"/>
    </row>
    <row r="43" spans="2:19" x14ac:dyDescent="0.2">
      <c r="C43" s="7"/>
      <c r="M43" s="18"/>
    </row>
    <row r="44" spans="2:19" x14ac:dyDescent="0.2">
      <c r="B44" t="s">
        <v>69</v>
      </c>
      <c r="C44" s="7"/>
      <c r="M44" s="18"/>
    </row>
    <row r="45" spans="2:19" x14ac:dyDescent="0.2">
      <c r="B45" s="44" t="s">
        <v>157</v>
      </c>
      <c r="C45" s="45">
        <f>'Attachment 2'!C24</f>
        <v>180.52500000000001</v>
      </c>
      <c r="D45" s="5" t="s">
        <v>143</v>
      </c>
      <c r="E45" s="45">
        <f>1+0.5*((C45/137)-1)</f>
        <v>1.1588503649635036</v>
      </c>
      <c r="F45" s="5" t="s">
        <v>144</v>
      </c>
      <c r="G45" s="45">
        <f>(C45/137)</f>
        <v>1.3177007299270074</v>
      </c>
      <c r="M45" s="18"/>
    </row>
    <row r="46" spans="2:19" x14ac:dyDescent="0.2">
      <c r="B46" s="55" t="s">
        <v>70</v>
      </c>
      <c r="C46" s="55"/>
      <c r="D46" s="55"/>
    </row>
    <row r="47" spans="2:19" x14ac:dyDescent="0.2">
      <c r="B47" s="5" t="s">
        <v>145</v>
      </c>
      <c r="C47" s="46" t="s">
        <v>89</v>
      </c>
      <c r="D47" s="5" t="s">
        <v>146</v>
      </c>
      <c r="E47" s="47" t="s">
        <v>89</v>
      </c>
      <c r="F47" s="5" t="s">
        <v>147</v>
      </c>
      <c r="G47" s="47" t="s">
        <v>89</v>
      </c>
    </row>
    <row r="48" spans="2:19" x14ac:dyDescent="0.2">
      <c r="B48" s="55" t="s">
        <v>156</v>
      </c>
      <c r="C48" s="55"/>
      <c r="D48" s="55"/>
      <c r="E48" s="63">
        <f>(30*3.59913333+4.659+4.664+4.541+6.577+6.368+6.016)/36</f>
        <v>3.911083330555555</v>
      </c>
      <c r="F48" s="64"/>
    </row>
    <row r="49" spans="2:6" x14ac:dyDescent="0.2">
      <c r="B49" s="5"/>
      <c r="C49" s="7"/>
    </row>
    <row r="50" spans="2:6" x14ac:dyDescent="0.2">
      <c r="C50" s="7"/>
    </row>
    <row r="51" spans="2:6" x14ac:dyDescent="0.2">
      <c r="B51" s="6" t="s">
        <v>44</v>
      </c>
      <c r="C51" s="7"/>
    </row>
    <row r="52" spans="2:6" x14ac:dyDescent="0.2">
      <c r="B52" t="s">
        <v>18</v>
      </c>
      <c r="C52" s="7"/>
    </row>
    <row r="53" spans="2:6" ht="12.75" customHeight="1" x14ac:dyDescent="0.2">
      <c r="B53" t="s">
        <v>75</v>
      </c>
      <c r="C53" s="7" t="s">
        <v>58</v>
      </c>
      <c r="D53" s="53" t="s">
        <v>61</v>
      </c>
      <c r="E53" s="53"/>
      <c r="F53" s="53"/>
    </row>
    <row r="54" spans="2:6" ht="12.75" customHeight="1" x14ac:dyDescent="0.2">
      <c r="C54" s="7"/>
      <c r="D54" s="53"/>
      <c r="E54" s="53"/>
      <c r="F54" s="53"/>
    </row>
    <row r="55" spans="2:6" ht="12.75" customHeight="1" x14ac:dyDescent="0.2">
      <c r="C55" s="7"/>
      <c r="D55" s="53"/>
      <c r="E55" s="53"/>
      <c r="F55" s="53"/>
    </row>
    <row r="56" spans="2:6" x14ac:dyDescent="0.2">
      <c r="B56" t="s">
        <v>76</v>
      </c>
      <c r="C56" s="7" t="s">
        <v>60</v>
      </c>
      <c r="D56" s="55" t="s">
        <v>62</v>
      </c>
      <c r="E56" s="55"/>
    </row>
    <row r="57" spans="2:6" ht="12.75" customHeight="1" x14ac:dyDescent="0.2">
      <c r="B57" t="s">
        <v>77</v>
      </c>
      <c r="C57" s="7" t="s">
        <v>59</v>
      </c>
      <c r="D57" s="53" t="s">
        <v>63</v>
      </c>
      <c r="E57" s="53"/>
      <c r="F57" s="53"/>
    </row>
    <row r="58" spans="2:6" ht="12.75" customHeight="1" x14ac:dyDescent="0.2">
      <c r="C58" s="7"/>
      <c r="D58" s="53"/>
      <c r="E58" s="53"/>
      <c r="F58" s="53"/>
    </row>
    <row r="59" spans="2:6" ht="12.75" customHeight="1" x14ac:dyDescent="0.2">
      <c r="C59" s="7"/>
      <c r="D59" s="53"/>
      <c r="E59" s="53"/>
      <c r="F59" s="53"/>
    </row>
    <row r="60" spans="2:6" ht="12.75" customHeight="1" x14ac:dyDescent="0.2">
      <c r="B60" t="s">
        <v>86</v>
      </c>
      <c r="C60" s="7">
        <v>12.3</v>
      </c>
      <c r="D60" s="53" t="s">
        <v>87</v>
      </c>
      <c r="E60" s="53"/>
      <c r="F60" s="53"/>
    </row>
    <row r="61" spans="2:6" ht="12.75" customHeight="1" x14ac:dyDescent="0.2">
      <c r="C61" s="7"/>
      <c r="D61" s="53"/>
      <c r="E61" s="53"/>
      <c r="F61" s="53"/>
    </row>
    <row r="62" spans="2:6" ht="12.75" customHeight="1" x14ac:dyDescent="0.2">
      <c r="C62" s="7"/>
      <c r="D62" s="53"/>
      <c r="E62" s="53"/>
      <c r="F62" s="53"/>
    </row>
    <row r="63" spans="2:6" ht="12.75" customHeight="1" x14ac:dyDescent="0.2">
      <c r="C63" s="7"/>
      <c r="D63" s="53"/>
      <c r="E63" s="53"/>
      <c r="F63" s="53"/>
    </row>
    <row r="64" spans="2:6" ht="12.75" customHeight="1" x14ac:dyDescent="0.2">
      <c r="C64" s="7"/>
      <c r="D64" s="53"/>
      <c r="E64" s="53"/>
      <c r="F64" s="53"/>
    </row>
    <row r="65" spans="2:6" ht="12.75" customHeight="1" x14ac:dyDescent="0.2">
      <c r="C65" s="7"/>
      <c r="D65" s="53"/>
      <c r="E65" s="53"/>
      <c r="F65" s="53"/>
    </row>
    <row r="66" spans="2:6" ht="12.75" customHeight="1" x14ac:dyDescent="0.2">
      <c r="C66" s="7"/>
      <c r="D66" s="53"/>
      <c r="E66" s="53"/>
      <c r="F66" s="53"/>
    </row>
    <row r="67" spans="2:6" ht="12.75" customHeight="1" x14ac:dyDescent="0.2">
      <c r="C67" s="7"/>
      <c r="D67" s="53"/>
      <c r="E67" s="53"/>
      <c r="F67" s="53"/>
    </row>
    <row r="68" spans="2:6" ht="12.75" customHeight="1" x14ac:dyDescent="0.2">
      <c r="C68" s="7"/>
      <c r="D68" s="53"/>
      <c r="E68" s="53"/>
      <c r="F68" s="53"/>
    </row>
    <row r="69" spans="2:6" ht="12.75" customHeight="1" x14ac:dyDescent="0.2">
      <c r="B69" t="s">
        <v>78</v>
      </c>
      <c r="C69" s="62" t="s">
        <v>64</v>
      </c>
      <c r="D69" s="53" t="s">
        <v>140</v>
      </c>
      <c r="E69" s="53"/>
      <c r="F69" s="53"/>
    </row>
    <row r="70" spans="2:6" ht="12.75" customHeight="1" x14ac:dyDescent="0.2">
      <c r="C70" s="62"/>
      <c r="D70" s="53"/>
      <c r="E70" s="53"/>
      <c r="F70" s="53"/>
    </row>
    <row r="71" spans="2:6" ht="12.75" customHeight="1" x14ac:dyDescent="0.2">
      <c r="C71" s="62"/>
      <c r="D71" s="53"/>
      <c r="E71" s="53"/>
      <c r="F71" s="53"/>
    </row>
    <row r="72" spans="2:6" ht="12.75" customHeight="1" x14ac:dyDescent="0.2">
      <c r="C72" s="62"/>
      <c r="D72" s="53"/>
      <c r="E72" s="53"/>
      <c r="F72" s="53"/>
    </row>
    <row r="73" spans="2:6" ht="12.75" customHeight="1" x14ac:dyDescent="0.2">
      <c r="C73" s="12"/>
      <c r="D73" s="53"/>
      <c r="E73" s="53"/>
      <c r="F73" s="53"/>
    </row>
    <row r="74" spans="2:6" x14ac:dyDescent="0.2">
      <c r="C74" s="7"/>
    </row>
    <row r="75" spans="2:6" x14ac:dyDescent="0.2">
      <c r="B75" t="s">
        <v>43</v>
      </c>
      <c r="C75" s="7">
        <v>7.3</v>
      </c>
      <c r="D75" t="s">
        <v>57</v>
      </c>
    </row>
    <row r="76" spans="2:6" x14ac:dyDescent="0.2">
      <c r="C76" s="7"/>
    </row>
    <row r="77" spans="2:6" ht="12.75" customHeight="1" x14ac:dyDescent="0.2">
      <c r="B77" t="s">
        <v>16</v>
      </c>
      <c r="C77" s="7">
        <v>7.4</v>
      </c>
      <c r="D77" s="53" t="s">
        <v>65</v>
      </c>
      <c r="E77" s="53"/>
      <c r="F77" s="53"/>
    </row>
    <row r="78" spans="2:6" ht="12.75" customHeight="1" x14ac:dyDescent="0.2">
      <c r="C78" s="7"/>
      <c r="D78" s="53"/>
      <c r="E78" s="53"/>
      <c r="F78" s="53"/>
    </row>
    <row r="79" spans="2:6" ht="12.75" customHeight="1" x14ac:dyDescent="0.2">
      <c r="C79" s="7"/>
      <c r="D79" s="53"/>
      <c r="E79" s="53"/>
      <c r="F79" s="53"/>
    </row>
    <row r="80" spans="2:6" x14ac:dyDescent="0.2">
      <c r="C80" s="7"/>
    </row>
    <row r="81" spans="2:6" ht="12.75" customHeight="1" x14ac:dyDescent="0.2">
      <c r="B81" t="s">
        <v>17</v>
      </c>
      <c r="C81" s="7">
        <v>7.4</v>
      </c>
      <c r="D81" s="53" t="s">
        <v>56</v>
      </c>
      <c r="E81" s="53"/>
      <c r="F81" s="53"/>
    </row>
    <row r="82" spans="2:6" ht="12.75" customHeight="1" x14ac:dyDescent="0.2">
      <c r="C82" s="7"/>
      <c r="D82" s="53"/>
      <c r="E82" s="53"/>
      <c r="F82" s="53"/>
    </row>
    <row r="83" spans="2:6" x14ac:dyDescent="0.2">
      <c r="C83" s="7"/>
    </row>
    <row r="84" spans="2:6" x14ac:dyDescent="0.2">
      <c r="B84" t="s">
        <v>37</v>
      </c>
      <c r="C84" s="7">
        <v>6.8</v>
      </c>
    </row>
    <row r="85" spans="2:6" x14ac:dyDescent="0.2">
      <c r="B85" t="s">
        <v>39</v>
      </c>
      <c r="C85" s="7"/>
      <c r="D85" s="55" t="s">
        <v>41</v>
      </c>
      <c r="E85" s="55"/>
      <c r="F85" s="55"/>
    </row>
    <row r="86" spans="2:6" x14ac:dyDescent="0.2">
      <c r="B86" t="s">
        <v>38</v>
      </c>
      <c r="C86" s="7"/>
      <c r="D86" s="55" t="s">
        <v>40</v>
      </c>
      <c r="E86" s="55"/>
      <c r="F86" s="55"/>
    </row>
    <row r="87" spans="2:6" x14ac:dyDescent="0.2">
      <c r="C87" s="7"/>
      <c r="D87" s="5"/>
      <c r="E87" s="5"/>
      <c r="F87" s="5"/>
    </row>
    <row r="88" spans="2:6" x14ac:dyDescent="0.2">
      <c r="C88" s="7"/>
      <c r="D88" s="5"/>
      <c r="E88" s="5"/>
      <c r="F88" s="5"/>
    </row>
    <row r="89" spans="2:6" x14ac:dyDescent="0.2">
      <c r="C89" s="7"/>
      <c r="D89" s="5"/>
      <c r="E89" s="5"/>
      <c r="F89" s="5"/>
    </row>
    <row r="90" spans="2:6" x14ac:dyDescent="0.2">
      <c r="B90" s="6" t="s">
        <v>80</v>
      </c>
      <c r="C90" s="7"/>
    </row>
    <row r="91" spans="2:6" ht="12.75" customHeight="1" x14ac:dyDescent="0.2">
      <c r="B91" t="s">
        <v>80</v>
      </c>
      <c r="C91" s="7" t="s">
        <v>81</v>
      </c>
      <c r="D91" s="53" t="s">
        <v>149</v>
      </c>
      <c r="E91" s="53"/>
      <c r="F91" s="53"/>
    </row>
    <row r="92" spans="2:6" ht="12.75" customHeight="1" x14ac:dyDescent="0.2">
      <c r="C92" s="7"/>
      <c r="D92" s="55"/>
      <c r="E92" s="55"/>
      <c r="F92" s="55"/>
    </row>
    <row r="93" spans="2:6" ht="12.75" customHeight="1" x14ac:dyDescent="0.2">
      <c r="C93" s="7"/>
      <c r="D93" s="55"/>
      <c r="E93" s="55"/>
      <c r="F93" s="55"/>
    </row>
    <row r="94" spans="2:6" x14ac:dyDescent="0.2">
      <c r="C94" s="7"/>
    </row>
    <row r="95" spans="2:6" x14ac:dyDescent="0.2">
      <c r="C95" s="7"/>
    </row>
    <row r="96" spans="2:6" x14ac:dyDescent="0.2">
      <c r="C96" s="7"/>
    </row>
    <row r="97" spans="2:6" x14ac:dyDescent="0.2">
      <c r="C97" s="7"/>
    </row>
    <row r="98" spans="2:6" x14ac:dyDescent="0.2">
      <c r="C98" s="7"/>
    </row>
    <row r="99" spans="2:6" x14ac:dyDescent="0.2">
      <c r="C99" s="7"/>
    </row>
    <row r="100" spans="2:6" x14ac:dyDescent="0.2">
      <c r="C100" s="7"/>
    </row>
    <row r="101" spans="2:6" x14ac:dyDescent="0.2">
      <c r="C101" s="7"/>
    </row>
    <row r="102" spans="2:6" ht="15.75" x14ac:dyDescent="0.25">
      <c r="B102" s="9" t="s">
        <v>8</v>
      </c>
    </row>
    <row r="104" spans="2:6" x14ac:dyDescent="0.2">
      <c r="B104" s="55" t="s">
        <v>19</v>
      </c>
      <c r="C104" s="55"/>
      <c r="D104" s="55"/>
    </row>
    <row r="105" spans="2:6" x14ac:dyDescent="0.2">
      <c r="B105" t="s">
        <v>20</v>
      </c>
    </row>
    <row r="108" spans="2:6" ht="15.75" x14ac:dyDescent="0.25">
      <c r="B108" s="9" t="s">
        <v>9</v>
      </c>
    </row>
    <row r="110" spans="2:6" x14ac:dyDescent="0.2">
      <c r="B110" s="55" t="s">
        <v>24</v>
      </c>
      <c r="C110" s="55"/>
      <c r="D110" s="55"/>
    </row>
    <row r="111" spans="2:6" x14ac:dyDescent="0.2">
      <c r="B111" s="55" t="s">
        <v>21</v>
      </c>
      <c r="C111" s="55"/>
      <c r="D111" s="55"/>
      <c r="E111" s="55"/>
      <c r="F111" s="55"/>
    </row>
    <row r="112" spans="2:6" x14ac:dyDescent="0.2">
      <c r="B112" t="s">
        <v>22</v>
      </c>
    </row>
    <row r="118" spans="3:3" x14ac:dyDescent="0.2">
      <c r="C118" t="s">
        <v>23</v>
      </c>
    </row>
  </sheetData>
  <mergeCells count="27">
    <mergeCell ref="B48:D48"/>
    <mergeCell ref="B110:D110"/>
    <mergeCell ref="B111:F111"/>
    <mergeCell ref="D91:F93"/>
    <mergeCell ref="D17:D19"/>
    <mergeCell ref="D21:D23"/>
    <mergeCell ref="D53:F55"/>
    <mergeCell ref="B38:F38"/>
    <mergeCell ref="B42:F42"/>
    <mergeCell ref="B46:D46"/>
    <mergeCell ref="E48:F48"/>
    <mergeCell ref="D69:F73"/>
    <mergeCell ref="C69:C72"/>
    <mergeCell ref="D77:F79"/>
    <mergeCell ref="D81:F82"/>
    <mergeCell ref="D86:F86"/>
    <mergeCell ref="B104:D104"/>
    <mergeCell ref="D6:F6"/>
    <mergeCell ref="D10:F10"/>
    <mergeCell ref="D8:F8"/>
    <mergeCell ref="D7:F7"/>
    <mergeCell ref="D85:F85"/>
    <mergeCell ref="E28:F28"/>
    <mergeCell ref="B40:F40"/>
    <mergeCell ref="D56:E56"/>
    <mergeCell ref="D57:F59"/>
    <mergeCell ref="D60:F68"/>
  </mergeCells>
  <printOptions gridLines="1"/>
  <pageMargins left="0.25" right="0.25" top="0.25" bottom="0.25" header="0.5" footer="0.5"/>
  <pageSetup paperSize="5" scale="65" orientation="landscape" r:id="rId1"/>
  <headerFooter alignWithMargins="0">
    <oddFooter>&amp;C&amp;A&amp;R&amp;F</oddFooter>
  </headerFooter>
  <rowBreaks count="2" manualBreakCount="2">
    <brk id="49" max="16383" man="1"/>
    <brk id="8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Attachment 1</vt:lpstr>
      <vt:lpstr>Attachment 2</vt:lpstr>
      <vt:lpstr>Attachment 3</vt:lpstr>
      <vt:lpstr>Sheet3</vt:lpstr>
      <vt:lpstr>'Attachment 1'!Print_Area</vt:lpstr>
      <vt:lpstr>'Attachment 2'!Print_Area</vt:lpstr>
      <vt:lpstr>'Attachment 3'!Print_Area</vt:lpstr>
      <vt:lpstr>'Attachment 3'!Print_Titles</vt:lpstr>
    </vt:vector>
  </TitlesOfParts>
  <Company>EI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dc:creator>
  <cp:lastModifiedBy>Jan Havlíček</cp:lastModifiedBy>
  <cp:lastPrinted>2001-01-18T23:11:40Z</cp:lastPrinted>
  <dcterms:created xsi:type="dcterms:W3CDTF">2000-10-04T17:59:14Z</dcterms:created>
  <dcterms:modified xsi:type="dcterms:W3CDTF">2023-09-15T20:34:15Z</dcterms:modified>
</cp:coreProperties>
</file>