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5A07AB-CC82-4CE5-A023-9CAF3E5FCE7F}" xr6:coauthVersionLast="47" xr6:coauthVersionMax="47" xr10:uidLastSave="{00000000-0000-0000-0000-000000000000}"/>
  <bookViews>
    <workbookView xWindow="-120" yWindow="-120" windowWidth="38640" windowHeight="15720"/>
  </bookViews>
  <sheets>
    <sheet name="Comparison Winter Cargo &amp; Spot" sheetId="3" r:id="rId1"/>
    <sheet name="NYMEX 2001" sheetId="4" r:id="rId2"/>
    <sheet name="Price" sheetId="1" r:id="rId3"/>
    <sheet name="Benefits" sheetId="2" r:id="rId4"/>
  </sheets>
  <definedNames>
    <definedName name="_xlnm.Print_Area" localSheetId="3">Benefits!$A$1:$J$18</definedName>
    <definedName name="_xlnm.Print_Area" localSheetId="0">'Comparison Winter Cargo &amp; Spot'!$A$1:$I$32</definedName>
    <definedName name="_xlnm.Print_Area" localSheetId="2">Price!$A$1:$I$37</definedName>
  </definedNames>
  <calcPr calcId="0" iterate="1"/>
</workbook>
</file>

<file path=xl/calcChain.xml><?xml version="1.0" encoding="utf-8"?>
<calcChain xmlns="http://schemas.openxmlformats.org/spreadsheetml/2006/main">
  <c r="F8" i="3" l="1"/>
  <c r="H8" i="3"/>
  <c r="F11" i="3"/>
  <c r="H11" i="3"/>
  <c r="F14" i="3"/>
  <c r="H14" i="3"/>
  <c r="F16" i="3"/>
  <c r="H16" i="3"/>
  <c r="F19" i="3"/>
  <c r="G19" i="3"/>
  <c r="H19" i="3"/>
  <c r="F21" i="3"/>
  <c r="G21" i="3"/>
  <c r="H21" i="3"/>
  <c r="F23" i="3"/>
  <c r="H23" i="3"/>
  <c r="H25" i="3"/>
  <c r="F27" i="3"/>
  <c r="H27" i="3"/>
  <c r="H30" i="3"/>
  <c r="H32" i="3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2" i="4"/>
  <c r="C7" i="1"/>
  <c r="C8" i="1"/>
  <c r="C9" i="1"/>
  <c r="C10" i="1"/>
  <c r="C11" i="1"/>
  <c r="C12" i="1"/>
  <c r="C13" i="1"/>
  <c r="C14" i="1"/>
  <c r="C15" i="1"/>
  <c r="C16" i="1"/>
  <c r="C19" i="1"/>
  <c r="C20" i="1"/>
  <c r="D23" i="1"/>
  <c r="D35" i="1"/>
</calcChain>
</file>

<file path=xl/sharedStrings.xml><?xml version="1.0" encoding="utf-8"?>
<sst xmlns="http://schemas.openxmlformats.org/spreadsheetml/2006/main" count="68" uniqueCount="67">
  <si>
    <t>$/MMBtu</t>
  </si>
  <si>
    <t>Commodity Surcharge</t>
  </si>
  <si>
    <t>Comm. Charge - Fixed Comp.</t>
  </si>
  <si>
    <t>1/12 times 0.68 times Avg. Jly '01 NYMEX NX3</t>
  </si>
  <si>
    <t>1/12 times 0.68 times Avg. Aug '01 NYMEX NX3</t>
  </si>
  <si>
    <t>1/12 times 0.68 times Avg. Sep '01 NYMEX NX3</t>
  </si>
  <si>
    <t>1/12 times 0.68 times Avg. Oct '01 NYMEX NX3</t>
  </si>
  <si>
    <t>1/12 times 0.68 times Avg. Nov '01 NYMEX NX3</t>
  </si>
  <si>
    <t>1/12 times 0.68 times Avg. Dec '01 NYMEX NX3</t>
  </si>
  <si>
    <t>Avg. Jly '01 NYMEX NG NX3</t>
  </si>
  <si>
    <t>Avg. Aug '01 NYMEX NG NX3</t>
  </si>
  <si>
    <t>Avg. Sep '01 NYMEX NG NX3</t>
  </si>
  <si>
    <t>Avg. Oct '01 NYMEX NG NX3</t>
  </si>
  <si>
    <t>Avg. Nov '01 NYMEX NG NX3</t>
  </si>
  <si>
    <t>Avg. Dec '01 NYMEX NG NX3</t>
  </si>
  <si>
    <t>Cabot LNG Supply Contract</t>
  </si>
  <si>
    <t>Winter Cargo</t>
  </si>
  <si>
    <t>Benefits:</t>
  </si>
  <si>
    <t>Eliminate risk of Cabot NOT delivering a Winter Cargo</t>
  </si>
  <si>
    <t>Eliminate potential supply shortfall between Year 2000 Last Cargo</t>
  </si>
  <si>
    <t>and Year 2001 Early Spring Cargo</t>
  </si>
  <si>
    <t>Price improvement versus Cabot</t>
  </si>
  <si>
    <t>Ex-Ship Price</t>
  </si>
  <si>
    <t>NX3</t>
  </si>
  <si>
    <t>Contract</t>
  </si>
  <si>
    <t>Trading</t>
  </si>
  <si>
    <t>Closing</t>
  </si>
  <si>
    <t>Month</t>
  </si>
  <si>
    <t>Date</t>
  </si>
  <si>
    <t>Prices</t>
  </si>
  <si>
    <t>?</t>
  </si>
  <si>
    <t>Average</t>
  </si>
  <si>
    <t>6/12 times 0.68 times Avg. Jan-Jun '01 NYMEX NX3</t>
  </si>
  <si>
    <r>
      <t>PR-CPI</t>
    </r>
    <r>
      <rPr>
        <b/>
        <sz val="8"/>
        <rFont val="Arial"/>
        <family val="2"/>
      </rPr>
      <t>2001</t>
    </r>
    <r>
      <rPr>
        <b/>
        <sz val="10"/>
        <rFont val="Arial"/>
        <family val="2"/>
      </rPr>
      <t xml:space="preserve"> = </t>
    </r>
  </si>
  <si>
    <t>Demand Charge</t>
  </si>
  <si>
    <t>Demand Surcharge</t>
  </si>
  <si>
    <t>2002 Estimated Delivered Price of Winter Cargo</t>
  </si>
  <si>
    <t>Estimated Final Contract Settlements 3/8/01</t>
  </si>
  <si>
    <t xml:space="preserve">2002 Est. Commodity Charge per contract - NYMEX </t>
  </si>
  <si>
    <t>2002 Est. Commodity Charge per contract - PRCPI</t>
  </si>
  <si>
    <t>($0.625*PRCPIn/137)</t>
  </si>
  <si>
    <t>Price per MMBtu</t>
  </si>
  <si>
    <t>MMBtus</t>
  </si>
  <si>
    <t>Total price per MMBtu</t>
  </si>
  <si>
    <t>2002 Est. Demand Charge</t>
  </si>
  <si>
    <t>2002 Est. Demand Surcharge Charge</t>
  </si>
  <si>
    <t>Total Est. Commodity and Demand Charge</t>
  </si>
  <si>
    <t>EcoElectrica, L.P.</t>
  </si>
  <si>
    <t>Year 2002</t>
  </si>
  <si>
    <t>[$5.089972(est.NYMEX)*68%]</t>
  </si>
  <si>
    <t>A</t>
  </si>
  <si>
    <t>B</t>
  </si>
  <si>
    <t>C=A+B</t>
  </si>
  <si>
    <t>D</t>
  </si>
  <si>
    <t>A - D</t>
  </si>
  <si>
    <t>C - D</t>
  </si>
  <si>
    <t>[$0.73 * 1.195087(AF)*119,000*9-8(ACQ)*22.84]</t>
  </si>
  <si>
    <t>2002 Est. Commodity SurCharge per contract - PRCPI</t>
  </si>
  <si>
    <t>[$0.725 * 1.195087(AF)*119,000(ACQ)*22.84/12]</t>
  </si>
  <si>
    <t>EcoElectrica savings by buying 10% less than the Commodity Charge and Surcharge</t>
  </si>
  <si>
    <t>Adjustment Factor=</t>
  </si>
  <si>
    <t>$0.725*[1+0.5*(190.453875/137) -1)]</t>
  </si>
  <si>
    <t>(with Cabot release of Demand Charge and Surcharge)</t>
  </si>
  <si>
    <t>(without Cabot release of Demand Charge and Surcharge)</t>
  </si>
  <si>
    <t>($271,796 + $4,726,130)</t>
  </si>
  <si>
    <t>Purchase non-Cabot LNG at 10 cents  less than the Commodity Charge and Surcharge per MMBtu</t>
  </si>
  <si>
    <t>Comparison of Winter Cargo and 10 cents less than the Commodity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</si>
</sst>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43" formatCode="_(* #,##0.00_);_(* \(#,##0.00\);_(* &quot;-&quot;??_);_(@_)"/>
    <numFmt numFmtId="164" formatCode="&quot;$&quot;#,##0.000_);\(&quot;$&quot;#,##0.000\)"/>
    <numFmt numFmtId="165" formatCode="0.0%"/>
    <numFmt numFmtId="166" formatCode="mm/dd/yy"/>
    <numFmt numFmtId="167" formatCode="mmm\-dd\-yy"/>
    <numFmt numFmtId="168" formatCode="&quot;$&quot;#,##0.000000"/>
    <numFmt numFmtId="179" formatCode="#,##0.000000_);\(#,##0.000000\)"/>
    <numFmt numFmtId="180" formatCode="&quot;$&quot;#,##0.000000_);\(&quot;$&quot;#,##0.000000\)"/>
    <numFmt numFmtId="182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164" fontId="2" fillId="3" borderId="0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4" fillId="0" borderId="0" xfId="0" applyFont="1"/>
    <xf numFmtId="164" fontId="3" fillId="3" borderId="0" xfId="0" applyNumberFormat="1" applyFont="1" applyFill="1" applyBorder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17" fontId="0" fillId="0" borderId="0" xfId="0" applyNumberFormat="1"/>
    <xf numFmtId="167" fontId="0" fillId="0" borderId="0" xfId="0" applyNumberFormat="1"/>
    <xf numFmtId="168" fontId="0" fillId="0" borderId="0" xfId="0" applyNumberFormat="1"/>
    <xf numFmtId="167" fontId="0" fillId="0" borderId="0" xfId="0" applyNumberFormat="1" applyAlignment="1">
      <alignment horizontal="right"/>
    </xf>
    <xf numFmtId="166" fontId="0" fillId="0" borderId="0" xfId="0" applyNumberFormat="1"/>
    <xf numFmtId="0" fontId="2" fillId="0" borderId="0" xfId="0" applyFont="1" applyAlignment="1">
      <alignment horizontal="right"/>
    </xf>
    <xf numFmtId="179" fontId="2" fillId="4" borderId="0" xfId="0" applyNumberFormat="1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0" fontId="0" fillId="0" borderId="0" xfId="0" quotePrefix="1"/>
    <xf numFmtId="180" fontId="0" fillId="0" borderId="0" xfId="0" applyNumberFormat="1"/>
    <xf numFmtId="180" fontId="2" fillId="0" borderId="0" xfId="0" applyNumberFormat="1" applyFont="1"/>
    <xf numFmtId="182" fontId="0" fillId="0" borderId="0" xfId="1" applyNumberFormat="1" applyFont="1"/>
    <xf numFmtId="5" fontId="0" fillId="0" borderId="0" xfId="0" applyNumberFormat="1"/>
    <xf numFmtId="180" fontId="10" fillId="0" borderId="0" xfId="0" applyNumberFormat="1" applyFont="1"/>
    <xf numFmtId="182" fontId="10" fillId="0" borderId="0" xfId="1" applyNumberFormat="1" applyFont="1"/>
    <xf numFmtId="5" fontId="10" fillId="0" borderId="0" xfId="0" applyNumberFormat="1" applyFont="1"/>
    <xf numFmtId="182" fontId="2" fillId="0" borderId="0" xfId="1" applyNumberFormat="1" applyFont="1"/>
    <xf numFmtId="5" fontId="2" fillId="0" borderId="0" xfId="0" applyNumberFormat="1" applyFont="1"/>
    <xf numFmtId="0" fontId="2" fillId="0" borderId="0" xfId="0" quotePrefix="1" applyFont="1"/>
    <xf numFmtId="0" fontId="0" fillId="0" borderId="0" xfId="0" quotePrefix="1" applyAlignment="1">
      <alignment horizontal="right"/>
    </xf>
    <xf numFmtId="180" fontId="0" fillId="0" borderId="0" xfId="0" quotePrefix="1" applyNumberFormat="1"/>
    <xf numFmtId="0" fontId="11" fillId="2" borderId="0" xfId="0" applyFont="1" applyFill="1" applyAlignment="1">
      <alignment horizontal="center" wrapText="1"/>
    </xf>
    <xf numFmtId="0" fontId="11" fillId="2" borderId="0" xfId="0" applyFont="1" applyFill="1" applyAlignment="1">
      <alignment horizontal="center"/>
    </xf>
    <xf numFmtId="0" fontId="0" fillId="0" borderId="0" xfId="0" quotePrefix="1" applyAlignment="1">
      <alignment horizontal="right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G8" sqref="G8"/>
    </sheetView>
  </sheetViews>
  <sheetFormatPr defaultRowHeight="12.75" x14ac:dyDescent="0.2"/>
  <cols>
    <col min="5" max="5" width="5.28515625" customWidth="1"/>
    <col min="6" max="7" width="11.140625" customWidth="1"/>
    <col min="8" max="8" width="15.28515625" customWidth="1"/>
    <col min="9" max="9" width="6.7109375" customWidth="1"/>
  </cols>
  <sheetData>
    <row r="1" spans="1:9" ht="15" x14ac:dyDescent="0.25">
      <c r="A1" s="6" t="s">
        <v>47</v>
      </c>
    </row>
    <row r="2" spans="1:9" ht="15" x14ac:dyDescent="0.25">
      <c r="A2" s="6" t="s">
        <v>66</v>
      </c>
    </row>
    <row r="3" spans="1:9" ht="15" x14ac:dyDescent="0.25">
      <c r="A3" s="6" t="s">
        <v>48</v>
      </c>
    </row>
    <row r="4" spans="1:9" x14ac:dyDescent="0.2">
      <c r="A4" s="8"/>
    </row>
    <row r="5" spans="1:9" x14ac:dyDescent="0.2">
      <c r="A5" s="8"/>
    </row>
    <row r="6" spans="1:9" ht="24" x14ac:dyDescent="0.2">
      <c r="F6" s="37" t="s">
        <v>41</v>
      </c>
      <c r="G6" s="38" t="s">
        <v>42</v>
      </c>
      <c r="H6" s="37" t="s">
        <v>43</v>
      </c>
    </row>
    <row r="8" spans="1:9" ht="29.25" customHeight="1" x14ac:dyDescent="0.2">
      <c r="A8" s="41" t="s">
        <v>38</v>
      </c>
      <c r="B8" s="41"/>
      <c r="C8" s="41"/>
      <c r="D8" s="41"/>
      <c r="F8" s="25">
        <f>5.089972*0.68</f>
        <v>3.4611809600000005</v>
      </c>
      <c r="G8" s="27">
        <v>2717960</v>
      </c>
      <c r="H8" s="28">
        <f>F8*G8</f>
        <v>9407351.402041601</v>
      </c>
    </row>
    <row r="9" spans="1:9" x14ac:dyDescent="0.2">
      <c r="A9" s="24" t="s">
        <v>49</v>
      </c>
      <c r="F9" s="25"/>
      <c r="G9" s="27"/>
      <c r="H9" s="28"/>
    </row>
    <row r="10" spans="1:9" ht="9" customHeight="1" x14ac:dyDescent="0.2">
      <c r="F10" s="25"/>
      <c r="G10" s="27"/>
      <c r="H10" s="28"/>
    </row>
    <row r="11" spans="1:9" ht="24.75" customHeight="1" x14ac:dyDescent="0.2">
      <c r="A11" s="41" t="s">
        <v>39</v>
      </c>
      <c r="B11" s="41"/>
      <c r="C11" s="41"/>
      <c r="D11" s="41"/>
      <c r="F11" s="25">
        <f>0.625*(Price!$D$23/137)</f>
        <v>0.86885891879562038</v>
      </c>
      <c r="G11" s="27">
        <v>2717960</v>
      </c>
      <c r="H11" s="28">
        <f>F11*G11</f>
        <v>2361523.7869297443</v>
      </c>
    </row>
    <row r="12" spans="1:9" x14ac:dyDescent="0.2">
      <c r="A12" s="24" t="s">
        <v>40</v>
      </c>
      <c r="F12" s="25"/>
      <c r="G12" s="27"/>
      <c r="H12" s="28"/>
    </row>
    <row r="13" spans="1:9" ht="9" customHeight="1" x14ac:dyDescent="0.2">
      <c r="A13" s="24"/>
      <c r="F13" s="25"/>
      <c r="G13" s="27"/>
      <c r="H13" s="28"/>
    </row>
    <row r="14" spans="1:9" ht="25.5" customHeight="1" x14ac:dyDescent="0.2">
      <c r="A14" s="41" t="s">
        <v>57</v>
      </c>
      <c r="B14" s="41"/>
      <c r="C14" s="41"/>
      <c r="D14" s="41"/>
      <c r="F14" s="25">
        <f>0.725*(Price!D35)</f>
        <v>0.86643817290145975</v>
      </c>
      <c r="G14" s="27">
        <v>2717960</v>
      </c>
      <c r="H14" s="28">
        <f>F14*G14</f>
        <v>2354944.2964192517</v>
      </c>
    </row>
    <row r="15" spans="1:9" x14ac:dyDescent="0.2">
      <c r="A15" s="24" t="s">
        <v>61</v>
      </c>
      <c r="F15" s="25"/>
      <c r="G15" s="27"/>
      <c r="H15" s="28"/>
    </row>
    <row r="16" spans="1:9" x14ac:dyDescent="0.2">
      <c r="F16" s="26">
        <f>SUM(F8:F14)</f>
        <v>5.1964780516970803</v>
      </c>
      <c r="G16" s="32"/>
      <c r="H16" s="33">
        <f>H8+H11+H14</f>
        <v>14123819.485390596</v>
      </c>
      <c r="I16" s="24" t="s">
        <v>50</v>
      </c>
    </row>
    <row r="17" spans="1:9" ht="9" customHeight="1" x14ac:dyDescent="0.2">
      <c r="F17" s="26"/>
      <c r="G17" s="32"/>
      <c r="H17" s="33"/>
    </row>
    <row r="18" spans="1:9" x14ac:dyDescent="0.2">
      <c r="A18" s="34" t="s">
        <v>44</v>
      </c>
      <c r="F18" s="26"/>
      <c r="G18" s="32"/>
      <c r="H18" s="33"/>
    </row>
    <row r="19" spans="1:9" x14ac:dyDescent="0.2">
      <c r="A19" s="24" t="s">
        <v>56</v>
      </c>
      <c r="F19" s="29">
        <f>Price!C19</f>
        <v>0.87241360857664219</v>
      </c>
      <c r="G19" s="30">
        <f>(9*119000*22.84)-(8*119000*22.84)</f>
        <v>2717960</v>
      </c>
      <c r="H19" s="31">
        <f>F19*G19</f>
        <v>2371185.2915669703</v>
      </c>
    </row>
    <row r="20" spans="1:9" ht="9" customHeight="1" x14ac:dyDescent="0.2">
      <c r="F20" s="26"/>
      <c r="G20" s="30"/>
      <c r="H20" s="31"/>
    </row>
    <row r="21" spans="1:9" x14ac:dyDescent="0.2">
      <c r="A21" s="34" t="s">
        <v>45</v>
      </c>
      <c r="F21" s="29">
        <f>Price!C20</f>
        <v>0.86643817290145975</v>
      </c>
      <c r="G21" s="30">
        <f>119000*22.84</f>
        <v>2717960</v>
      </c>
      <c r="H21" s="31">
        <f>F21*G21</f>
        <v>2354944.2964192517</v>
      </c>
    </row>
    <row r="22" spans="1:9" x14ac:dyDescent="0.2">
      <c r="A22" s="24" t="s">
        <v>58</v>
      </c>
      <c r="F22" s="29"/>
      <c r="G22" s="30"/>
      <c r="H22" s="31"/>
    </row>
    <row r="23" spans="1:9" x14ac:dyDescent="0.2">
      <c r="A23" s="24"/>
      <c r="F23" s="29">
        <f>F19+F21</f>
        <v>1.7388517814781019</v>
      </c>
      <c r="G23" s="31"/>
      <c r="H23" s="33">
        <f>H19+H21</f>
        <v>4726129.5879862215</v>
      </c>
      <c r="I23" t="s">
        <v>51</v>
      </c>
    </row>
    <row r="24" spans="1:9" ht="9" customHeight="1" x14ac:dyDescent="0.2">
      <c r="A24" s="24"/>
      <c r="F24" s="26"/>
      <c r="G24" s="32"/>
      <c r="H24" s="31"/>
    </row>
    <row r="25" spans="1:9" x14ac:dyDescent="0.2">
      <c r="A25" t="s">
        <v>46</v>
      </c>
      <c r="F25" s="26"/>
      <c r="G25" s="32"/>
      <c r="H25" s="33">
        <f>H16+H23</f>
        <v>18849949.073376819</v>
      </c>
      <c r="I25" t="s">
        <v>52</v>
      </c>
    </row>
    <row r="26" spans="1:9" ht="9" customHeight="1" x14ac:dyDescent="0.2">
      <c r="F26" s="26"/>
      <c r="G26" s="32"/>
      <c r="H26" s="33"/>
    </row>
    <row r="27" spans="1:9" ht="39" customHeight="1" x14ac:dyDescent="0.2">
      <c r="A27" s="41" t="s">
        <v>65</v>
      </c>
      <c r="B27" s="41"/>
      <c r="C27" s="41"/>
      <c r="D27" s="41"/>
      <c r="F27" s="26">
        <f>F16-0.1</f>
        <v>5.0964780516970807</v>
      </c>
      <c r="G27" s="27">
        <v>2717960</v>
      </c>
      <c r="H27" s="33">
        <f>F27*G27</f>
        <v>13852023.485390598</v>
      </c>
      <c r="I27" t="s">
        <v>53</v>
      </c>
    </row>
    <row r="28" spans="1:9" ht="9" customHeight="1" x14ac:dyDescent="0.2">
      <c r="F28" s="25"/>
      <c r="G28" s="27"/>
      <c r="H28" s="28"/>
    </row>
    <row r="29" spans="1:9" ht="39.75" customHeight="1" x14ac:dyDescent="0.2">
      <c r="A29" s="42" t="s">
        <v>59</v>
      </c>
      <c r="B29" s="42"/>
      <c r="C29" s="42"/>
      <c r="D29" s="42"/>
      <c r="F29" s="25"/>
      <c r="H29" s="33"/>
    </row>
    <row r="30" spans="1:9" ht="24.75" customHeight="1" x14ac:dyDescent="0.2">
      <c r="A30" s="39" t="s">
        <v>62</v>
      </c>
      <c r="B30" s="39"/>
      <c r="C30" s="39"/>
      <c r="D30" s="39"/>
      <c r="F30" s="36" t="s">
        <v>64</v>
      </c>
      <c r="H30" s="33">
        <f>H25-H27</f>
        <v>4997925.5879862215</v>
      </c>
      <c r="I30" s="24" t="s">
        <v>55</v>
      </c>
    </row>
    <row r="31" spans="1:9" ht="9" customHeight="1" x14ac:dyDescent="0.2">
      <c r="A31" s="35"/>
      <c r="B31" s="35"/>
      <c r="C31" s="35"/>
      <c r="D31" s="35"/>
      <c r="F31" s="25"/>
      <c r="H31" s="33"/>
      <c r="I31" s="24"/>
    </row>
    <row r="32" spans="1:9" ht="24.75" customHeight="1" x14ac:dyDescent="0.2">
      <c r="A32" s="40" t="s">
        <v>63</v>
      </c>
      <c r="B32" s="40"/>
      <c r="C32" s="40"/>
      <c r="D32" s="40"/>
      <c r="F32" s="25"/>
      <c r="H32" s="33">
        <f>H16-H27</f>
        <v>271795.99999999814</v>
      </c>
      <c r="I32" s="24" t="s">
        <v>54</v>
      </c>
    </row>
    <row r="33" spans="6:6" x14ac:dyDescent="0.2">
      <c r="F33" s="25"/>
    </row>
    <row r="34" spans="6:6" x14ac:dyDescent="0.2">
      <c r="F34" s="25"/>
    </row>
  </sheetData>
  <mergeCells count="7">
    <mergeCell ref="A30:D30"/>
    <mergeCell ref="A32:D32"/>
    <mergeCell ref="A27:D27"/>
    <mergeCell ref="A8:D8"/>
    <mergeCell ref="A11:D11"/>
    <mergeCell ref="A14:D14"/>
    <mergeCell ref="A29:D29"/>
  </mergeCells>
  <pageMargins left="0.75" right="0.75" top="1" bottom="1" header="0.5" footer="0.5"/>
  <pageSetup scale="90"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8"/>
  <sheetViews>
    <sheetView topLeftCell="A15" workbookViewId="0">
      <selection activeCell="D45" sqref="D45"/>
    </sheetView>
  </sheetViews>
  <sheetFormatPr defaultRowHeight="12.75" x14ac:dyDescent="0.2"/>
  <cols>
    <col min="2" max="2" width="10.140625" bestFit="1" customWidth="1"/>
    <col min="3" max="3" width="14.5703125" customWidth="1"/>
    <col min="4" max="4" width="13.42578125" customWidth="1"/>
  </cols>
  <sheetData>
    <row r="2" spans="2:10" x14ac:dyDescent="0.2">
      <c r="D2" s="15" t="s">
        <v>23</v>
      </c>
    </row>
    <row r="3" spans="2:10" x14ac:dyDescent="0.2">
      <c r="B3" s="15" t="s">
        <v>24</v>
      </c>
      <c r="C3" s="15" t="s">
        <v>25</v>
      </c>
      <c r="D3" s="15" t="s">
        <v>26</v>
      </c>
      <c r="E3" s="15"/>
      <c r="F3" s="15"/>
      <c r="G3" s="15"/>
      <c r="H3" s="15"/>
      <c r="I3" s="15"/>
      <c r="J3" s="15"/>
    </row>
    <row r="4" spans="2:10" x14ac:dyDescent="0.2">
      <c r="B4" s="15" t="s">
        <v>27</v>
      </c>
      <c r="C4" s="15" t="s">
        <v>28</v>
      </c>
      <c r="D4" s="15" t="s">
        <v>29</v>
      </c>
      <c r="E4" s="15"/>
      <c r="F4" s="15"/>
      <c r="G4" s="15"/>
      <c r="H4" s="15"/>
      <c r="I4" s="15"/>
      <c r="J4" s="15"/>
    </row>
    <row r="5" spans="2:10" x14ac:dyDescent="0.2">
      <c r="B5" s="16">
        <v>36892</v>
      </c>
      <c r="C5" s="17">
        <v>36882</v>
      </c>
      <c r="D5" s="18">
        <v>9.5790000000000006</v>
      </c>
    </row>
    <row r="6" spans="2:10" x14ac:dyDescent="0.2">
      <c r="B6" s="16">
        <v>36892</v>
      </c>
      <c r="C6" s="17">
        <v>36886</v>
      </c>
      <c r="D6" s="18">
        <v>9.8049999999999997</v>
      </c>
    </row>
    <row r="7" spans="2:10" x14ac:dyDescent="0.2">
      <c r="B7" s="16">
        <v>36892</v>
      </c>
      <c r="C7" s="17">
        <v>36887</v>
      </c>
      <c r="D7" s="18">
        <v>9.9779999999999998</v>
      </c>
    </row>
    <row r="8" spans="2:10" x14ac:dyDescent="0.2">
      <c r="B8" s="16">
        <v>36923</v>
      </c>
      <c r="C8" s="17">
        <v>36916</v>
      </c>
      <c r="D8" s="18">
        <v>7.27</v>
      </c>
    </row>
    <row r="9" spans="2:10" x14ac:dyDescent="0.2">
      <c r="B9" s="16">
        <v>36923</v>
      </c>
      <c r="C9" s="17">
        <v>36917</v>
      </c>
      <c r="D9" s="18">
        <v>7.2560000000000002</v>
      </c>
    </row>
    <row r="10" spans="2:10" x14ac:dyDescent="0.2">
      <c r="B10" s="16">
        <v>36923</v>
      </c>
      <c r="C10" s="17">
        <v>36920</v>
      </c>
      <c r="D10" s="18">
        <v>6.2930000000000001</v>
      </c>
    </row>
    <row r="11" spans="2:10" x14ac:dyDescent="0.2">
      <c r="B11" s="16">
        <v>36951</v>
      </c>
      <c r="C11" s="17">
        <v>36944</v>
      </c>
      <c r="D11" s="18">
        <v>5.1420000000000003</v>
      </c>
    </row>
    <row r="12" spans="2:10" x14ac:dyDescent="0.2">
      <c r="B12" s="16">
        <v>36951</v>
      </c>
      <c r="C12" s="17">
        <v>36945</v>
      </c>
      <c r="D12" s="18">
        <v>5.1310000000000002</v>
      </c>
    </row>
    <row r="13" spans="2:10" x14ac:dyDescent="0.2">
      <c r="B13" s="16">
        <v>36951</v>
      </c>
      <c r="C13" s="17">
        <v>36948</v>
      </c>
      <c r="D13" s="18">
        <v>4.9980000000000002</v>
      </c>
    </row>
    <row r="14" spans="2:10" x14ac:dyDescent="0.2">
      <c r="B14" s="16">
        <v>36982</v>
      </c>
      <c r="C14" s="17">
        <v>36976</v>
      </c>
      <c r="D14" s="18">
        <v>5.3220000000000001</v>
      </c>
    </row>
    <row r="15" spans="2:10" x14ac:dyDescent="0.2">
      <c r="B15" s="16">
        <v>36982</v>
      </c>
      <c r="C15" s="17">
        <v>36977</v>
      </c>
      <c r="D15" s="18">
        <v>5.6210000000000004</v>
      </c>
    </row>
    <row r="16" spans="2:10" x14ac:dyDescent="0.2">
      <c r="B16" s="16">
        <v>36982</v>
      </c>
      <c r="C16" s="17">
        <v>36978</v>
      </c>
      <c r="D16" s="18">
        <v>5.3840000000000003</v>
      </c>
    </row>
    <row r="17" spans="2:5" x14ac:dyDescent="0.2">
      <c r="B17" s="16">
        <v>37012</v>
      </c>
      <c r="C17" s="17">
        <v>37005</v>
      </c>
      <c r="D17" s="18">
        <v>5.0780000000000003</v>
      </c>
    </row>
    <row r="18" spans="2:5" x14ac:dyDescent="0.2">
      <c r="B18" s="16">
        <v>37012</v>
      </c>
      <c r="C18" s="17">
        <v>37006</v>
      </c>
      <c r="D18" s="18">
        <v>4.9809999999999999</v>
      </c>
    </row>
    <row r="19" spans="2:5" x14ac:dyDescent="0.2">
      <c r="B19" s="16">
        <v>37012</v>
      </c>
      <c r="C19" s="17">
        <v>37007</v>
      </c>
      <c r="D19" s="18">
        <v>4.891</v>
      </c>
    </row>
    <row r="20" spans="2:5" x14ac:dyDescent="0.2">
      <c r="B20" s="16">
        <v>37043</v>
      </c>
      <c r="C20" s="17">
        <v>37035</v>
      </c>
      <c r="D20" s="18">
        <v>4.0540000000000003</v>
      </c>
    </row>
    <row r="21" spans="2:5" x14ac:dyDescent="0.2">
      <c r="B21" s="16">
        <v>37043</v>
      </c>
      <c r="C21" s="17">
        <v>37036</v>
      </c>
      <c r="D21" s="18">
        <v>3.9729999999999999</v>
      </c>
    </row>
    <row r="22" spans="2:5" x14ac:dyDescent="0.2">
      <c r="B22" s="16">
        <v>37043</v>
      </c>
      <c r="C22" s="17">
        <v>37040</v>
      </c>
      <c r="D22" s="18">
        <v>3.738</v>
      </c>
    </row>
    <row r="23" spans="2:5" x14ac:dyDescent="0.2">
      <c r="B23" s="16">
        <v>37073</v>
      </c>
      <c r="C23" s="17"/>
      <c r="D23" s="18">
        <f>Price!C28</f>
        <v>3.915</v>
      </c>
      <c r="E23" t="s">
        <v>30</v>
      </c>
    </row>
    <row r="24" spans="2:5" x14ac:dyDescent="0.2">
      <c r="B24" s="16">
        <v>37073</v>
      </c>
      <c r="C24" s="17"/>
      <c r="D24" s="18">
        <f t="shared" ref="D24:D40" si="0">D23</f>
        <v>3.915</v>
      </c>
    </row>
    <row r="25" spans="2:5" x14ac:dyDescent="0.2">
      <c r="B25" s="16">
        <v>37073</v>
      </c>
      <c r="C25" s="17"/>
      <c r="D25" s="18">
        <f t="shared" si="0"/>
        <v>3.915</v>
      </c>
    </row>
    <row r="26" spans="2:5" x14ac:dyDescent="0.2">
      <c r="B26" s="16">
        <v>37104</v>
      </c>
      <c r="C26" s="17"/>
      <c r="D26" s="18">
        <f>Price!C29</f>
        <v>4.01</v>
      </c>
    </row>
    <row r="27" spans="2:5" x14ac:dyDescent="0.2">
      <c r="B27" s="16">
        <v>37104</v>
      </c>
      <c r="C27" s="17"/>
      <c r="D27" s="18">
        <f t="shared" si="0"/>
        <v>4.01</v>
      </c>
    </row>
    <row r="28" spans="2:5" x14ac:dyDescent="0.2">
      <c r="B28" s="16">
        <v>37104</v>
      </c>
      <c r="C28" s="17"/>
      <c r="D28" s="18">
        <f t="shared" si="0"/>
        <v>4.01</v>
      </c>
    </row>
    <row r="29" spans="2:5" x14ac:dyDescent="0.2">
      <c r="B29" s="16">
        <v>37135</v>
      </c>
      <c r="C29" s="17"/>
      <c r="D29" s="18">
        <f>Price!C30</f>
        <v>4.0599999999999996</v>
      </c>
    </row>
    <row r="30" spans="2:5" x14ac:dyDescent="0.2">
      <c r="B30" s="16">
        <v>37135</v>
      </c>
      <c r="C30" s="17"/>
      <c r="D30" s="18">
        <f t="shared" si="0"/>
        <v>4.0599999999999996</v>
      </c>
    </row>
    <row r="31" spans="2:5" x14ac:dyDescent="0.2">
      <c r="B31" s="16">
        <v>37135</v>
      </c>
      <c r="C31" s="17"/>
      <c r="D31" s="18">
        <f t="shared" si="0"/>
        <v>4.0599999999999996</v>
      </c>
    </row>
    <row r="32" spans="2:5" x14ac:dyDescent="0.2">
      <c r="B32" s="16">
        <v>37165</v>
      </c>
      <c r="C32" s="17"/>
      <c r="D32" s="18">
        <f>Price!C31</f>
        <v>4.13</v>
      </c>
    </row>
    <row r="33" spans="2:4" x14ac:dyDescent="0.2">
      <c r="B33" s="16">
        <v>37165</v>
      </c>
      <c r="C33" s="17"/>
      <c r="D33" s="18">
        <f t="shared" si="0"/>
        <v>4.13</v>
      </c>
    </row>
    <row r="34" spans="2:4" x14ac:dyDescent="0.2">
      <c r="B34" s="16">
        <v>37165</v>
      </c>
      <c r="C34" s="17"/>
      <c r="D34" s="18">
        <f t="shared" si="0"/>
        <v>4.13</v>
      </c>
    </row>
    <row r="35" spans="2:4" x14ac:dyDescent="0.2">
      <c r="B35" s="16">
        <v>37196</v>
      </c>
      <c r="C35" s="17"/>
      <c r="D35" s="18">
        <f>Price!C32</f>
        <v>4.3099999999999996</v>
      </c>
    </row>
    <row r="36" spans="2:4" x14ac:dyDescent="0.2">
      <c r="B36" s="16">
        <v>37196</v>
      </c>
      <c r="C36" s="17"/>
      <c r="D36" s="18">
        <f t="shared" si="0"/>
        <v>4.3099999999999996</v>
      </c>
    </row>
    <row r="37" spans="2:4" x14ac:dyDescent="0.2">
      <c r="B37" s="16">
        <v>37196</v>
      </c>
      <c r="C37" s="17"/>
      <c r="D37" s="18">
        <f t="shared" si="0"/>
        <v>4.3099999999999996</v>
      </c>
    </row>
    <row r="38" spans="2:4" x14ac:dyDescent="0.2">
      <c r="B38" s="16">
        <v>37226</v>
      </c>
      <c r="C38" s="17"/>
      <c r="D38" s="18">
        <f>Price!C33</f>
        <v>4.49</v>
      </c>
    </row>
    <row r="39" spans="2:4" x14ac:dyDescent="0.2">
      <c r="B39" s="16">
        <v>37226</v>
      </c>
      <c r="C39" s="17"/>
      <c r="D39" s="18">
        <f t="shared" si="0"/>
        <v>4.49</v>
      </c>
    </row>
    <row r="40" spans="2:4" x14ac:dyDescent="0.2">
      <c r="B40" s="16">
        <v>37226</v>
      </c>
      <c r="C40" s="17"/>
      <c r="D40" s="18">
        <f t="shared" si="0"/>
        <v>4.49</v>
      </c>
    </row>
    <row r="41" spans="2:4" x14ac:dyDescent="0.2">
      <c r="C41" s="17"/>
      <c r="D41" s="18"/>
    </row>
    <row r="42" spans="2:4" x14ac:dyDescent="0.2">
      <c r="C42" s="19" t="s">
        <v>31</v>
      </c>
      <c r="D42" s="18">
        <f>AVERAGE(D5:D40)</f>
        <v>5.0899722222222241</v>
      </c>
    </row>
    <row r="43" spans="2:4" x14ac:dyDescent="0.2">
      <c r="C43" s="17"/>
      <c r="D43" s="18"/>
    </row>
    <row r="44" spans="2:4" x14ac:dyDescent="0.2">
      <c r="C44" s="17"/>
      <c r="D44" s="18"/>
    </row>
    <row r="45" spans="2:4" x14ac:dyDescent="0.2">
      <c r="C45" s="20"/>
      <c r="D45" s="18"/>
    </row>
    <row r="46" spans="2:4" x14ac:dyDescent="0.2">
      <c r="C46" s="20"/>
      <c r="D46" s="18"/>
    </row>
    <row r="47" spans="2:4" x14ac:dyDescent="0.2">
      <c r="C47" s="20"/>
      <c r="D47" s="18"/>
    </row>
    <row r="48" spans="2:4" x14ac:dyDescent="0.2">
      <c r="D48" s="18"/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"/>
  <sheetViews>
    <sheetView topLeftCell="A10" workbookViewId="0">
      <selection activeCell="D35" sqref="D35"/>
    </sheetView>
  </sheetViews>
  <sheetFormatPr defaultRowHeight="12.75" x14ac:dyDescent="0.2"/>
  <cols>
    <col min="4" max="4" width="11.140625" bestFit="1" customWidth="1"/>
  </cols>
  <sheetData>
    <row r="2" spans="3:4" ht="20.25" x14ac:dyDescent="0.3">
      <c r="D2" s="10" t="s">
        <v>15</v>
      </c>
    </row>
    <row r="3" spans="3:4" ht="15.75" x14ac:dyDescent="0.25">
      <c r="D3" s="9" t="s">
        <v>36</v>
      </c>
    </row>
    <row r="4" spans="3:4" x14ac:dyDescent="0.2">
      <c r="D4" s="1" t="s">
        <v>0</v>
      </c>
    </row>
    <row r="6" spans="3:4" x14ac:dyDescent="0.2">
      <c r="C6" s="1"/>
    </row>
    <row r="7" spans="3:4" x14ac:dyDescent="0.2">
      <c r="C7" s="23">
        <f>0.725*(1+0.5*((Price!$D$23/137)-1))</f>
        <v>0.86643817290145975</v>
      </c>
      <c r="D7" s="3" t="s">
        <v>1</v>
      </c>
    </row>
    <row r="8" spans="3:4" x14ac:dyDescent="0.2">
      <c r="C8" s="23">
        <f>0.625*(Price!$D$23/137)</f>
        <v>0.86885891879562038</v>
      </c>
      <c r="D8" s="3" t="s">
        <v>2</v>
      </c>
    </row>
    <row r="9" spans="3:4" x14ac:dyDescent="0.2">
      <c r="C9" s="2">
        <f>(6/12)*0.68*AVERAGE('NYMEX 2001'!D5:D22)</f>
        <v>2.0493311111111114</v>
      </c>
      <c r="D9" s="3" t="s">
        <v>32</v>
      </c>
    </row>
    <row r="10" spans="3:4" x14ac:dyDescent="0.2">
      <c r="C10" s="4">
        <f>(1/12)*0.68*AVERAGE('NYMEX 2001'!D23:D25)</f>
        <v>0.22185000000000005</v>
      </c>
      <c r="D10" s="3" t="s">
        <v>3</v>
      </c>
    </row>
    <row r="11" spans="3:4" x14ac:dyDescent="0.2">
      <c r="C11" s="4">
        <f>(1/12)*0.68*AVERAGE('NYMEX 2001'!D26:D28)</f>
        <v>0.22723333333333334</v>
      </c>
      <c r="D11" s="3" t="s">
        <v>4</v>
      </c>
    </row>
    <row r="12" spans="3:4" x14ac:dyDescent="0.2">
      <c r="C12" s="4">
        <f>(1/12)*0.68*AVERAGE('NYMEX 2001'!D29:D31)</f>
        <v>0.23006666666666667</v>
      </c>
      <c r="D12" s="3" t="s">
        <v>5</v>
      </c>
    </row>
    <row r="13" spans="3:4" x14ac:dyDescent="0.2">
      <c r="C13" s="4">
        <f>(1/12)*0.68*AVERAGE('NYMEX 2001'!D32:D34)</f>
        <v>0.23403333333333334</v>
      </c>
      <c r="D13" s="3" t="s">
        <v>6</v>
      </c>
    </row>
    <row r="14" spans="3:4" x14ac:dyDescent="0.2">
      <c r="C14" s="4">
        <f>(1/12)*0.68*AVERAGE('NYMEX 2001'!D35:D37)</f>
        <v>0.24423333333333333</v>
      </c>
      <c r="D14" s="3" t="s">
        <v>7</v>
      </c>
    </row>
    <row r="15" spans="3:4" x14ac:dyDescent="0.2">
      <c r="C15" s="7">
        <f>(1/12)*0.68*AVERAGE('NYMEX 2001'!D38:D40)</f>
        <v>0.25443333333333334</v>
      </c>
      <c r="D15" s="3" t="s">
        <v>8</v>
      </c>
    </row>
    <row r="16" spans="3:4" x14ac:dyDescent="0.2">
      <c r="C16" s="5">
        <f>SUM(C7:C15)</f>
        <v>5.1964782028081924</v>
      </c>
      <c r="D16" s="3" t="s">
        <v>22</v>
      </c>
    </row>
    <row r="18" spans="3:5" x14ac:dyDescent="0.2">
      <c r="C18" s="5"/>
      <c r="D18" s="11"/>
      <c r="E18" s="8"/>
    </row>
    <row r="19" spans="3:5" x14ac:dyDescent="0.2">
      <c r="C19" s="23">
        <f>0.73*(1+0.5*((Price!$D$23/137)-1))</f>
        <v>0.87241360857664219</v>
      </c>
      <c r="D19" s="3" t="s">
        <v>34</v>
      </c>
    </row>
    <row r="20" spans="3:5" x14ac:dyDescent="0.2">
      <c r="C20" s="23">
        <f>0.725*(1+0.5*((Price!$D$23/137)-1))</f>
        <v>0.86643817290145975</v>
      </c>
      <c r="D20" s="3" t="s">
        <v>35</v>
      </c>
    </row>
    <row r="23" spans="3:5" x14ac:dyDescent="0.2">
      <c r="C23" s="21" t="s">
        <v>33</v>
      </c>
      <c r="D23" s="22">
        <f>180.525*1.055</f>
        <v>190.45387499999998</v>
      </c>
    </row>
    <row r="26" spans="3:5" ht="15" x14ac:dyDescent="0.25">
      <c r="C26" s="6" t="s">
        <v>37</v>
      </c>
    </row>
    <row r="27" spans="3:5" x14ac:dyDescent="0.2">
      <c r="C27" s="3"/>
      <c r="D27" s="3"/>
    </row>
    <row r="28" spans="3:5" x14ac:dyDescent="0.2">
      <c r="C28" s="4">
        <v>3.915</v>
      </c>
      <c r="D28" s="3" t="s">
        <v>9</v>
      </c>
    </row>
    <row r="29" spans="3:5" x14ac:dyDescent="0.2">
      <c r="C29" s="4">
        <v>4.01</v>
      </c>
      <c r="D29" s="3" t="s">
        <v>10</v>
      </c>
    </row>
    <row r="30" spans="3:5" x14ac:dyDescent="0.2">
      <c r="C30" s="4">
        <v>4.0599999999999996</v>
      </c>
      <c r="D30" s="3" t="s">
        <v>11</v>
      </c>
    </row>
    <row r="31" spans="3:5" x14ac:dyDescent="0.2">
      <c r="C31" s="4">
        <v>4.13</v>
      </c>
      <c r="D31" s="3" t="s">
        <v>12</v>
      </c>
    </row>
    <row r="32" spans="3:5" x14ac:dyDescent="0.2">
      <c r="C32" s="4">
        <v>4.3099999999999996</v>
      </c>
      <c r="D32" s="3" t="s">
        <v>13</v>
      </c>
    </row>
    <row r="33" spans="2:4" x14ac:dyDescent="0.2">
      <c r="C33" s="4">
        <v>4.49</v>
      </c>
      <c r="D33" s="3" t="s">
        <v>14</v>
      </c>
    </row>
    <row r="35" spans="2:4" x14ac:dyDescent="0.2">
      <c r="B35" t="s">
        <v>60</v>
      </c>
      <c r="D35">
        <f>1+0.5*((D23/137)-1)</f>
        <v>1.1950871350364962</v>
      </c>
    </row>
  </sheetData>
  <pageMargins left="0.75" right="0.75" top="1" bottom="1" header="0.5" footer="0.5"/>
  <pageSetup orientation="portrait" r:id="rId1"/>
  <headerFooter alignWithMargins="0">
    <oddFooter>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G15" sqref="G15"/>
    </sheetView>
  </sheetViews>
  <sheetFormatPr defaultRowHeight="12.75" x14ac:dyDescent="0.2"/>
  <sheetData>
    <row r="3" spans="2:5" ht="20.25" x14ac:dyDescent="0.3">
      <c r="E3" s="10" t="s">
        <v>15</v>
      </c>
    </row>
    <row r="4" spans="2:5" ht="15.75" x14ac:dyDescent="0.25">
      <c r="E4" s="9" t="s">
        <v>16</v>
      </c>
    </row>
    <row r="5" spans="2:5" x14ac:dyDescent="0.2">
      <c r="E5" s="1"/>
    </row>
    <row r="6" spans="2:5" x14ac:dyDescent="0.2">
      <c r="D6" s="1"/>
    </row>
    <row r="7" spans="2:5" x14ac:dyDescent="0.2">
      <c r="D7" s="1"/>
    </row>
    <row r="9" spans="2:5" ht="18" x14ac:dyDescent="0.25">
      <c r="B9" s="12" t="s">
        <v>17</v>
      </c>
    </row>
    <row r="11" spans="2:5" ht="15.75" x14ac:dyDescent="0.25">
      <c r="B11" s="13" t="s">
        <v>18</v>
      </c>
    </row>
    <row r="12" spans="2:5" ht="15" x14ac:dyDescent="0.2">
      <c r="B12" s="14"/>
    </row>
    <row r="13" spans="2:5" ht="15.75" x14ac:dyDescent="0.25">
      <c r="B13" s="13" t="s">
        <v>19</v>
      </c>
    </row>
    <row r="14" spans="2:5" ht="15.75" x14ac:dyDescent="0.25">
      <c r="B14" s="13" t="s">
        <v>20</v>
      </c>
    </row>
    <row r="15" spans="2:5" ht="15" x14ac:dyDescent="0.2">
      <c r="B15" s="14"/>
    </row>
    <row r="16" spans="2:5" ht="15.75" x14ac:dyDescent="0.25">
      <c r="B16" s="13" t="s">
        <v>21</v>
      </c>
    </row>
  </sheetData>
  <printOptions horizontalCentered="1"/>
  <pageMargins left="0.75" right="0.75" top="1" bottom="1" header="0.5" footer="0.5"/>
  <pageSetup scale="13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Comparison Winter Cargo &amp; Spot</vt:lpstr>
      <vt:lpstr>NYMEX 2001</vt:lpstr>
      <vt:lpstr>Price</vt:lpstr>
      <vt:lpstr>Benefits</vt:lpstr>
      <vt:lpstr>Benefits!Print_Area</vt:lpstr>
      <vt:lpstr>'Comparison Winter Cargo &amp; Spot'!Print_Area</vt:lpstr>
      <vt:lpstr>Price!Print_Area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pybarbo</dc:creator>
  <cp:lastModifiedBy>Jan Havlíček</cp:lastModifiedBy>
  <cp:lastPrinted>2001-06-11T21:47:12Z</cp:lastPrinted>
  <dcterms:created xsi:type="dcterms:W3CDTF">2001-05-21T15:02:46Z</dcterms:created>
  <dcterms:modified xsi:type="dcterms:W3CDTF">2023-09-15T20:34:25Z</dcterms:modified>
</cp:coreProperties>
</file>