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60D54045-F7A5-40FC-90F7-D30B9764880D}" xr6:coauthVersionLast="47" xr6:coauthVersionMax="47" xr10:uidLastSave="{00000000-0000-0000-0000-000000000000}"/>
  <bookViews>
    <workbookView xWindow="-120" yWindow="-120" windowWidth="38640" windowHeight="15720" firstSheet="1" activeTab="2"/>
  </bookViews>
  <sheets>
    <sheet name="Summary Sheet" sheetId="7" r:id="rId1"/>
    <sheet name="No. of Req. Sheets" sheetId="24" r:id="rId2"/>
    <sheet name="Beginning of Year Input" sheetId="4" r:id="rId3"/>
    <sheet name="Monthly Input" sheetId="25" r:id="rId4"/>
    <sheet name="1st Cargo Input" sheetId="9" r:id="rId5"/>
    <sheet name="End of Year Input" sheetId="12" r:id="rId6"/>
    <sheet name="Estimated Monthly Demand Charge" sheetId="8" r:id="rId7"/>
    <sheet name="Adjustment Factor" sheetId="2" r:id="rId8"/>
    <sheet name="Commodity Charge" sheetId="5" r:id="rId9"/>
    <sheet name="Propane Index" sheetId="11" r:id="rId10"/>
    <sheet name="Demurrage" sheetId="15" r:id="rId11"/>
    <sheet name="Annual Demand Charge Rec" sheetId="21" r:id="rId12"/>
    <sheet name="Annual Adjustment" sheetId="3" r:id="rId13"/>
    <sheet name="When to  Order" sheetId="17" r:id="rId14"/>
  </sheets>
  <definedNames>
    <definedName name="_xlnm.Print_Area" localSheetId="4">'1st Cargo Input'!$A$1:$J$124</definedName>
    <definedName name="_xlnm.Print_Area" localSheetId="7">'Adjustment Factor'!$A$1:$N$23</definedName>
    <definedName name="_xlnm.Print_Area" localSheetId="12">'Annual Adjustment'!$A$1:$L$50</definedName>
    <definedName name="_xlnm.Print_Area" localSheetId="11">'Annual Demand Charge Rec'!$A$1:$L$44</definedName>
    <definedName name="_xlnm.Print_Area" localSheetId="2">'Beginning of Year Input'!$A$1:$G$78</definedName>
    <definedName name="_xlnm.Print_Area" localSheetId="8">'Commodity Charge'!$A$1:$M$32</definedName>
    <definedName name="_xlnm.Print_Area" localSheetId="10">Demurrage!$A$1:$I$23</definedName>
    <definedName name="_xlnm.Print_Area" localSheetId="5">'End of Year Input'!$A$1:$G$49</definedName>
    <definedName name="_xlnm.Print_Area" localSheetId="6">'Estimated Monthly Demand Charge'!$A$2:$L$24</definedName>
    <definedName name="_xlnm.Print_Area" localSheetId="9">'Propane Index'!$A$3:$I$30</definedName>
    <definedName name="_xlnm.Print_Area" localSheetId="0">'Summary Sheet'!$A$1:$I$47</definedName>
  </definedNames>
  <calcPr calcId="0" iterate="1"/>
</workbook>
</file>

<file path=xl/calcChain.xml><?xml version="1.0" encoding="utf-8"?>
<calcChain xmlns="http://schemas.openxmlformats.org/spreadsheetml/2006/main">
  <c r="H30" i="9" l="1"/>
  <c r="F61" i="9"/>
  <c r="J62" i="9"/>
  <c r="F9" i="2"/>
  <c r="L9" i="2"/>
  <c r="H6" i="3"/>
  <c r="B7" i="3"/>
  <c r="D7" i="3"/>
  <c r="F7" i="3"/>
  <c r="H7" i="3"/>
  <c r="H10" i="3"/>
  <c r="B11" i="3"/>
  <c r="D11" i="3"/>
  <c r="F11" i="3"/>
  <c r="H11" i="3"/>
  <c r="B16" i="3"/>
  <c r="D16" i="3"/>
  <c r="F16" i="3"/>
  <c r="B19" i="3"/>
  <c r="D19" i="3"/>
  <c r="F19" i="3"/>
  <c r="B24" i="3"/>
  <c r="D24" i="3"/>
  <c r="F24" i="3"/>
  <c r="B28" i="3"/>
  <c r="D28" i="3"/>
  <c r="F28" i="3"/>
  <c r="B36" i="3"/>
  <c r="D36" i="3"/>
  <c r="F36" i="3"/>
  <c r="B40" i="3"/>
  <c r="D40" i="3"/>
  <c r="F40" i="3"/>
  <c r="B43" i="3"/>
  <c r="D43" i="3"/>
  <c r="F43" i="3"/>
  <c r="F45" i="3"/>
  <c r="F47" i="3"/>
  <c r="F55" i="3"/>
  <c r="F57" i="3"/>
  <c r="B6" i="21"/>
  <c r="D6" i="21"/>
  <c r="F6" i="21"/>
  <c r="H6" i="21"/>
  <c r="J6" i="21"/>
  <c r="B10" i="21"/>
  <c r="D10" i="21"/>
  <c r="F10" i="21"/>
  <c r="H10" i="21"/>
  <c r="B13" i="21"/>
  <c r="D13" i="21"/>
  <c r="B14" i="21"/>
  <c r="D14" i="21"/>
  <c r="B15" i="21"/>
  <c r="D15" i="21"/>
  <c r="B16" i="21"/>
  <c r="D16" i="21"/>
  <c r="B17" i="21"/>
  <c r="D17" i="21"/>
  <c r="B18" i="21"/>
  <c r="D18" i="21"/>
  <c r="B19" i="21"/>
  <c r="D19" i="21"/>
  <c r="B20" i="21"/>
  <c r="D20" i="21"/>
  <c r="B21" i="21"/>
  <c r="D21" i="21"/>
  <c r="B22" i="21"/>
  <c r="D22" i="21"/>
  <c r="D23" i="21"/>
  <c r="B27" i="21"/>
  <c r="D27" i="21"/>
  <c r="F27" i="21"/>
  <c r="H27" i="21"/>
  <c r="B34" i="21"/>
  <c r="D34" i="21"/>
  <c r="F34" i="21"/>
  <c r="H34" i="21"/>
  <c r="J34" i="21"/>
  <c r="L34" i="21"/>
  <c r="B38" i="21"/>
  <c r="D38" i="21"/>
  <c r="F38" i="21"/>
  <c r="H38" i="21"/>
  <c r="J38" i="21"/>
  <c r="L38" i="21"/>
  <c r="E30" i="4"/>
  <c r="E32" i="4"/>
  <c r="G42" i="4"/>
  <c r="G45" i="4"/>
  <c r="G48" i="4"/>
  <c r="G51" i="4"/>
  <c r="G54" i="4"/>
  <c r="G57" i="4"/>
  <c r="G60" i="4"/>
  <c r="G63" i="4"/>
  <c r="G66" i="4"/>
  <c r="G69" i="4"/>
  <c r="G72" i="4"/>
  <c r="G75" i="4"/>
  <c r="E76" i="4"/>
  <c r="E77" i="4"/>
  <c r="G77" i="4"/>
  <c r="B7" i="5"/>
  <c r="D7" i="5"/>
  <c r="F7" i="5"/>
  <c r="B10" i="5"/>
  <c r="D10" i="5"/>
  <c r="F10" i="5"/>
  <c r="H10" i="5"/>
  <c r="J10" i="5"/>
  <c r="B13" i="5"/>
  <c r="D13" i="5"/>
  <c r="F13" i="5"/>
  <c r="H13" i="5"/>
  <c r="J13" i="5"/>
  <c r="M13" i="5"/>
  <c r="B18" i="5"/>
  <c r="D18" i="5"/>
  <c r="F18" i="5"/>
  <c r="D22" i="5"/>
  <c r="F22" i="5"/>
  <c r="D26" i="5"/>
  <c r="H26" i="5"/>
  <c r="B31" i="5"/>
  <c r="D31" i="5"/>
  <c r="F31" i="5"/>
  <c r="I4" i="15"/>
  <c r="I6" i="15"/>
  <c r="B6" i="8"/>
  <c r="D6" i="8"/>
  <c r="F6" i="8"/>
  <c r="D11" i="8"/>
  <c r="F11" i="8"/>
  <c r="L11" i="8"/>
  <c r="D16" i="8"/>
  <c r="F16" i="8"/>
  <c r="L16" i="8"/>
  <c r="J8" i="25"/>
  <c r="F25" i="24"/>
  <c r="B5" i="11"/>
  <c r="E5" i="11"/>
  <c r="I5" i="11"/>
  <c r="B6" i="11"/>
  <c r="E6" i="11"/>
  <c r="I6" i="11"/>
  <c r="B7" i="11"/>
  <c r="E7" i="11"/>
  <c r="I7" i="11"/>
  <c r="B8" i="11"/>
  <c r="E8" i="11"/>
  <c r="I8" i="11"/>
  <c r="B9" i="11"/>
  <c r="E9" i="11"/>
  <c r="I9" i="11"/>
  <c r="B10" i="11"/>
  <c r="E10" i="11"/>
  <c r="I10" i="11"/>
  <c r="B11" i="11"/>
  <c r="E11" i="11"/>
  <c r="I11" i="11"/>
  <c r="B12" i="11"/>
  <c r="E12" i="11"/>
  <c r="I12" i="11"/>
  <c r="B13" i="11"/>
  <c r="E13" i="11"/>
  <c r="I13" i="11"/>
  <c r="B14" i="11"/>
  <c r="E14" i="11"/>
  <c r="I14" i="11"/>
  <c r="B15" i="11"/>
  <c r="E15" i="11"/>
  <c r="I15" i="11"/>
  <c r="B16" i="11"/>
  <c r="E16" i="11"/>
  <c r="I16" i="11"/>
  <c r="B17" i="11"/>
  <c r="E17" i="11"/>
  <c r="I17" i="11"/>
  <c r="B18" i="11"/>
  <c r="E18" i="11"/>
  <c r="I18" i="11"/>
  <c r="B19" i="11"/>
  <c r="E19" i="11"/>
  <c r="I19" i="11"/>
  <c r="B20" i="11"/>
  <c r="E20" i="11"/>
  <c r="I20" i="11"/>
  <c r="B21" i="11"/>
  <c r="E21" i="11"/>
  <c r="I21" i="11"/>
  <c r="B22" i="11"/>
  <c r="E22" i="11"/>
  <c r="I22" i="11"/>
  <c r="B23" i="11"/>
  <c r="E23" i="11"/>
  <c r="I23" i="11"/>
  <c r="B24" i="11"/>
  <c r="E24" i="11"/>
  <c r="I24" i="11"/>
  <c r="B25" i="11"/>
  <c r="E25" i="11"/>
  <c r="I25" i="11"/>
  <c r="B26" i="11"/>
  <c r="E26" i="11"/>
  <c r="I26" i="11"/>
  <c r="B27" i="11"/>
  <c r="E27" i="11"/>
  <c r="I27" i="11"/>
  <c r="B28" i="11"/>
  <c r="E28" i="11"/>
  <c r="I28" i="11"/>
  <c r="B29" i="11"/>
  <c r="E29" i="11"/>
  <c r="I29" i="11"/>
  <c r="I30" i="11"/>
  <c r="B35" i="11"/>
  <c r="E35" i="11"/>
  <c r="I35" i="11"/>
  <c r="K35" i="11"/>
  <c r="B36" i="11"/>
  <c r="E36" i="11"/>
  <c r="I36" i="11"/>
  <c r="K36" i="11"/>
  <c r="B37" i="11"/>
  <c r="E37" i="11"/>
  <c r="I37" i="11"/>
  <c r="K37" i="11"/>
  <c r="B38" i="11"/>
  <c r="E38" i="11"/>
  <c r="I38" i="11"/>
  <c r="K38" i="11"/>
  <c r="B39" i="11"/>
  <c r="E39" i="11"/>
  <c r="I39" i="11"/>
  <c r="K39" i="11"/>
  <c r="B40" i="11"/>
  <c r="E40" i="11"/>
  <c r="I40" i="11"/>
  <c r="K40" i="11"/>
  <c r="B41" i="11"/>
  <c r="E41" i="11"/>
  <c r="I41" i="11"/>
  <c r="K41" i="11"/>
  <c r="B42" i="11"/>
  <c r="E42" i="11"/>
  <c r="I42" i="11"/>
  <c r="K42" i="11"/>
  <c r="B43" i="11"/>
  <c r="E43" i="11"/>
  <c r="I43" i="11"/>
  <c r="K43" i="11"/>
  <c r="B44" i="11"/>
  <c r="E44" i="11"/>
  <c r="I44" i="11"/>
  <c r="K44" i="11"/>
  <c r="B45" i="11"/>
  <c r="E45" i="11"/>
  <c r="I45" i="11"/>
  <c r="K45" i="11"/>
  <c r="B46" i="11"/>
  <c r="E46" i="11"/>
  <c r="I46" i="11"/>
  <c r="K46" i="11"/>
  <c r="B47" i="11"/>
  <c r="E47" i="11"/>
  <c r="I47" i="11"/>
  <c r="K47" i="11"/>
  <c r="B48" i="11"/>
  <c r="E48" i="11"/>
  <c r="I48" i="11"/>
  <c r="K48" i="11"/>
  <c r="B49" i="11"/>
  <c r="E49" i="11"/>
  <c r="I49" i="11"/>
  <c r="K49" i="11"/>
  <c r="B50" i="11"/>
  <c r="E50" i="11"/>
  <c r="I50" i="11"/>
  <c r="K50" i="11"/>
  <c r="B51" i="11"/>
  <c r="E51" i="11"/>
  <c r="I51" i="11"/>
  <c r="K51" i="11"/>
  <c r="B52" i="11"/>
  <c r="E52" i="11"/>
  <c r="I52" i="11"/>
  <c r="K52" i="11"/>
  <c r="B53" i="11"/>
  <c r="E53" i="11"/>
  <c r="I53" i="11"/>
  <c r="K53" i="11"/>
  <c r="B54" i="11"/>
  <c r="E54" i="11"/>
  <c r="I54" i="11"/>
  <c r="K54" i="11"/>
  <c r="B55" i="11"/>
  <c r="E55" i="11"/>
  <c r="I55" i="11"/>
  <c r="K55" i="11"/>
  <c r="B56" i="11"/>
  <c r="E56" i="11"/>
  <c r="I56" i="11"/>
  <c r="K56" i="11"/>
  <c r="B57" i="11"/>
  <c r="E57" i="11"/>
  <c r="I57" i="11"/>
  <c r="K57" i="11"/>
  <c r="B58" i="11"/>
  <c r="E58" i="11"/>
  <c r="I58" i="11"/>
  <c r="K58" i="11"/>
  <c r="B59" i="11"/>
  <c r="E59" i="11"/>
  <c r="I59" i="11"/>
  <c r="K59" i="11"/>
  <c r="K60" i="11"/>
  <c r="H8" i="7"/>
  <c r="H10" i="7"/>
  <c r="H12" i="7"/>
  <c r="H14" i="7"/>
  <c r="H16" i="7"/>
  <c r="H17" i="7"/>
  <c r="H18" i="7"/>
  <c r="H20" i="7"/>
  <c r="H21" i="7"/>
  <c r="H23" i="7"/>
  <c r="H24" i="7"/>
</calcChain>
</file>

<file path=xl/sharedStrings.xml><?xml version="1.0" encoding="utf-8"?>
<sst xmlns="http://schemas.openxmlformats.org/spreadsheetml/2006/main" count="724" uniqueCount="292">
  <si>
    <t>Eco Electrica LP</t>
  </si>
  <si>
    <t xml:space="preserve">LNG Sales Contract </t>
  </si>
  <si>
    <t>Article 8 - Price</t>
  </si>
  <si>
    <t>+</t>
  </si>
  <si>
    <t>=</t>
  </si>
  <si>
    <t>/</t>
  </si>
  <si>
    <t>Where:</t>
  </si>
  <si>
    <t>The "Adjustment Factor" applicable to any Contract Year shall equal, 1 + 0.5 ((PR-CPIn/PR-CPIo) - 1):</t>
  </si>
  <si>
    <t>x</t>
  </si>
  <si>
    <t>((PR-CPIn</t>
  </si>
  <si>
    <t>-</t>
  </si>
  <si>
    <t>Adjustment Factor</t>
  </si>
  <si>
    <t>If no Winter Cargo was delivered, or if no LNG was delivered during a Contract Year, the heating value of the Winter Cargo or the LNG during that Contract Year for purposes of the above calculations shall be 22.84 MMBtu/cm.</t>
  </si>
  <si>
    <r>
      <t>(i)</t>
    </r>
    <r>
      <rPr>
        <sz val="9"/>
        <rFont val="Arial"/>
        <family val="2"/>
      </rPr>
      <t xml:space="preserve"> the amount of any adjustment pursuant to Section 5.3(a); plus</t>
    </r>
  </si>
  <si>
    <r>
      <t>(ii)</t>
    </r>
    <r>
      <rPr>
        <sz val="9"/>
        <rFont val="Arial"/>
        <family val="2"/>
      </rPr>
      <t xml:space="preserve"> the amount of any adjustment pursuant to Section 5.3(b).</t>
    </r>
  </si>
  <si>
    <t>January</t>
  </si>
  <si>
    <t>February</t>
  </si>
  <si>
    <t>March</t>
  </si>
  <si>
    <t>April</t>
  </si>
  <si>
    <t>May</t>
  </si>
  <si>
    <t>June</t>
  </si>
  <si>
    <t>July</t>
  </si>
  <si>
    <t>Total</t>
  </si>
  <si>
    <t>divided by 12 mths</t>
  </si>
  <si>
    <t>Item No.</t>
  </si>
  <si>
    <t>LNG Sales Contract</t>
  </si>
  <si>
    <t>PR-CPIn</t>
  </si>
  <si>
    <t>8.3 Commodity Charge</t>
  </si>
  <si>
    <r>
      <t>(a)</t>
    </r>
    <r>
      <rPr>
        <sz val="9"/>
        <rFont val="Arial"/>
        <family val="2"/>
      </rPr>
      <t xml:space="preserve"> For each MMBtu of LNG delivered in any Contract Year, Buyer shall pay to Seller a "Commodity Charge Rate" (expressed in U.S. Dollars per MMBtu) equal to the sum of:</t>
    </r>
  </si>
  <si>
    <r>
      <t>(b)</t>
    </r>
    <r>
      <rPr>
        <sz val="9"/>
        <rFont val="Arial"/>
        <family val="2"/>
      </rPr>
      <t xml:space="preserve"> In addition to the amount stated in paragraph (a), above, for each MMBtu of LNG delivered in a Winter Cargo, Buyer shall pay to the Seller a "Commodity Surcharge Rate" equal to the product of (x) $0.725 per MMBtu and (y) the Adjustment Factor, as defined in Section 8.1(a). If commercial operations of a second liquefaction train commence at, or utilizing common facilities with, the Trinidad Facilities, then, upon commencement of such operations, the amount of $0.725 per MMBtu in the preceding sentence shall be reduced to $0.225 per MMBtu. </t>
    </r>
  </si>
  <si>
    <t>8.1 Estimated Monthly Demand Charge</t>
  </si>
  <si>
    <t>(i)</t>
  </si>
  <si>
    <t>(ii)</t>
  </si>
  <si>
    <t>Estimated Monthly Demand Charge</t>
  </si>
  <si>
    <t xml:space="preserve">Demand   Charge  Rate </t>
  </si>
  <si>
    <t>$0.73/MMBtu</t>
  </si>
  <si>
    <t>X</t>
  </si>
  <si>
    <t>22.84 MMBtu/cm</t>
  </si>
  <si>
    <t>GAMMA Standard Cargo</t>
  </si>
  <si>
    <t># of Months in the Contract Year</t>
  </si>
  <si>
    <t>Demand Charge Rate</t>
  </si>
  <si>
    <t>The "Demand Charge Rate" applicable to any Contract Year shall be the product of $0.73 per MMBtu times the Adjustment Factor</t>
  </si>
  <si>
    <t>Demand Surcharge Rate</t>
  </si>
  <si>
    <t>The "Demand Surcharge Rate" applicable to any Contract Year shall be the product of $0.725 per MMBtu times the Adjustment Factor</t>
  </si>
  <si>
    <t xml:space="preserve">Demand  Surcharge  Rate </t>
  </si>
  <si>
    <t>divided by</t>
  </si>
  <si>
    <t>8.1 (b) Excused from Payment of Estimated Monthly Demand Charge</t>
  </si>
  <si>
    <t>PR-CPIo)</t>
  </si>
  <si>
    <t>1)</t>
  </si>
  <si>
    <t>Data input=</t>
  </si>
  <si>
    <t>$0.625 per MMBtu</t>
  </si>
  <si>
    <t>Commodity Charge Rate</t>
  </si>
  <si>
    <t xml:space="preserve">Enter the number of months in Contract Year </t>
  </si>
  <si>
    <t>8.1 (a) Number of months in Contract Year</t>
  </si>
  <si>
    <r>
      <t>(i)</t>
    </r>
    <r>
      <rPr>
        <sz val="9"/>
        <rFont val="Arial"/>
        <family val="2"/>
      </rPr>
      <t xml:space="preserve"> 68% of the average of the thirty-six (36) closing prices for the NYMEX natural gas futures contracts(Henry Hub) for each month of the prior Contract Year, taking the closing prices for the last three trading days for each of the 12 such contracts; and </t>
    </r>
  </si>
  <si>
    <r>
      <t>(ii)</t>
    </r>
    <r>
      <rPr>
        <sz val="9"/>
        <rFont val="Arial"/>
        <family val="2"/>
      </rPr>
      <t xml:space="preserve"> the product of (x) $0.625 per MMBtu times (y) the ratio of the value fo PR-CPIn to the value of PR-CPIo, each as defined in Sect. 8.1(a).</t>
    </r>
  </si>
  <si>
    <t>Propane Index</t>
  </si>
  <si>
    <r>
      <t>PR-CPI</t>
    </r>
    <r>
      <rPr>
        <sz val="9"/>
        <rFont val="Arial"/>
        <family val="2"/>
      </rPr>
      <t xml:space="preserve"> is the "Consumer Price Index for All Families and Revised Wage Earners' Families in Puerto Rico", as published monthly by the Puerto Rico Bureau of Labor Statistics, Department of Labor and Human Resources.</t>
    </r>
  </si>
  <si>
    <t>(a) For each month, commencing with the month in which the Initial Delivery Date occurs, or is deemed to occur pursuant to Section 4.4, Buyer shall pay to Seller the "Estimated Monthly Demand Charge" equal to the sum of:</t>
  </si>
  <si>
    <t>Annual Contract Quantity, ACQ (cm)</t>
  </si>
  <si>
    <t>(i) the product of (x) the Demand Charge Rate, times (y) the ACQ (in cubic meters), times (z) 22.84 MMBtu/cubic meter, plus</t>
  </si>
  <si>
    <t xml:space="preserve">(ii) the product of (x) the Demand Surcharge Rate, times (y) a GAMMA Standard Cargo, times (z) 22.84 MMBtu/cubic meter, divided by the number of months in the Contract Year. </t>
  </si>
  <si>
    <t>$0.725/MMBtu</t>
  </si>
  <si>
    <r>
      <t>PR-CPI</t>
    </r>
    <r>
      <rPr>
        <b/>
        <sz val="8"/>
        <rFont val="Arial"/>
        <family val="2"/>
      </rPr>
      <t>o</t>
    </r>
    <r>
      <rPr>
        <sz val="9"/>
        <rFont val="Arial"/>
        <family val="2"/>
      </rPr>
      <t xml:space="preserve"> is the average of the 12 monthly values of PR-CPI for the calendar year 1995, being 137.0.</t>
    </r>
  </si>
  <si>
    <r>
      <t>PR-CPI</t>
    </r>
    <r>
      <rPr>
        <b/>
        <sz val="8"/>
        <rFont val="Arial"/>
        <family val="2"/>
      </rPr>
      <t>n</t>
    </r>
    <r>
      <rPr>
        <sz val="9"/>
        <rFont val="Arial"/>
        <family val="2"/>
      </rPr>
      <t xml:space="preserve"> is the average of the 12 monthly values of PR-CPI for the prior Contract Year.</t>
    </r>
  </si>
  <si>
    <t>Summary Sheet</t>
  </si>
  <si>
    <t>8.1(a)(i) Demand Charge</t>
  </si>
  <si>
    <t>8.1(a)(i) Demand Surcharge</t>
  </si>
  <si>
    <t xml:space="preserve">5.2 Annual Contract Quantities </t>
  </si>
  <si>
    <t>Late Delivery Days</t>
  </si>
  <si>
    <t>Date (mm/dd/yy)</t>
  </si>
  <si>
    <t>Propane Reference Price</t>
  </si>
  <si>
    <t>Computed:</t>
  </si>
  <si>
    <t>$0.32 per gallon</t>
  </si>
  <si>
    <t>$0.02 per MMBtu for a Late Delivery Day</t>
  </si>
  <si>
    <t>Reduction</t>
  </si>
  <si>
    <t>(PR-CPIn</t>
  </si>
  <si>
    <t xml:space="preserve">   =</t>
  </si>
  <si>
    <t>Average of the 36 NYMEX closing prices for each month of the prior Contract Year</t>
  </si>
  <si>
    <t xml:space="preserve">Commodity Surcharge Rate </t>
  </si>
  <si>
    <t xml:space="preserve">x   </t>
  </si>
  <si>
    <t>Adjusted Late Delivery Days Reduction</t>
  </si>
  <si>
    <t xml:space="preserve">, less   </t>
  </si>
  <si>
    <t>Commodity Charge &amp; Surcharge Rates</t>
  </si>
  <si>
    <t>Adjusted Commodity Charge &amp; Surcharge Rates</t>
  </si>
  <si>
    <t>MMBtu of LNG delivered</t>
  </si>
  <si>
    <t xml:space="preserve">Commodity Charge </t>
  </si>
  <si>
    <t>68%</t>
  </si>
  <si>
    <t>Y</t>
  </si>
  <si>
    <t>8.3 (a) Enter MMBtu of LNG delivered</t>
  </si>
  <si>
    <t>(</t>
  </si>
  <si>
    <t>8.3 (a) (i) Commodity Charge</t>
  </si>
  <si>
    <t>Average PR CPI</t>
  </si>
  <si>
    <t>8.3 (c) (i) Enter MMBtu Value of Late Delivery Cargo</t>
  </si>
  <si>
    <t>Total Demand Charge</t>
  </si>
  <si>
    <t>8.3(a)&amp;(b) Commodity Charge &amp; Surcharge</t>
  </si>
  <si>
    <t xml:space="preserve"> (</t>
  </si>
  <si>
    <t>)</t>
  </si>
  <si>
    <t>Data Input =</t>
  </si>
  <si>
    <t>Late      Delivery    Days</t>
  </si>
  <si>
    <t>8.3(c)(iii) Carryover Late Cargo</t>
  </si>
  <si>
    <t>8.3(c)(iv) Delay in Prior Cargo</t>
  </si>
  <si>
    <t>Within 45 days after the end of each Contract Year, Seller shall provide to Buyer a reconciliation of the Estimated Monthly Demand Charges paid during such Contract Year against the Annual Demand Charge for such Contract Year, as follows.</t>
  </si>
  <si>
    <t>Greater of GAMMA Standard Cargo and LNG delivered in the Winter Cargo</t>
  </si>
  <si>
    <t>less</t>
  </si>
  <si>
    <t>)   x</t>
  </si>
  <si>
    <t>Heating value of the Winter Cargo, not to exceed 1080 Btu/scf</t>
  </si>
  <si>
    <t xml:space="preserve">Greater of ACQ and LNG delivered during the Contract Year </t>
  </si>
  <si>
    <t>Weighted average heating value of LNG delivered during Contract Year, not to exceed 1080 Btu/scf</t>
  </si>
  <si>
    <t>ACQ</t>
  </si>
  <si>
    <t>LNG actually delivered during the Contract Year</t>
  </si>
  <si>
    <t>Quantity not delivered as a result of Buyer, does not include FM</t>
  </si>
  <si>
    <t>Winter Cargo</t>
  </si>
  <si>
    <t>Quantity not delivered in a Winter Cargo as a result of Buyer, does not include FM</t>
  </si>
  <si>
    <t>(iv)</t>
  </si>
  <si>
    <t>(iii)</t>
  </si>
  <si>
    <t xml:space="preserve">Heating value of the Winter Cargo, not to exceed 1080 Btu/scf </t>
  </si>
  <si>
    <t>Annual Demand Charge</t>
  </si>
  <si>
    <r>
      <t>(a)</t>
    </r>
    <r>
      <rPr>
        <sz val="9"/>
        <rFont val="Arial"/>
        <family val="2"/>
      </rPr>
      <t xml:space="preserve"> The "Annual Demand Charge" payable by Buyer to Seller with respect to each Contract Year shall equal:</t>
    </r>
  </si>
  <si>
    <t xml:space="preserve">Cargo No. </t>
  </si>
  <si>
    <t>LNG in c/m</t>
  </si>
  <si>
    <t>Failure to schedule</t>
  </si>
  <si>
    <t>Cancellation of scheduled cargo</t>
  </si>
  <si>
    <t>Other cause attributable to Buyer</t>
  </si>
  <si>
    <t>No. of Cargoes</t>
  </si>
  <si>
    <t>August</t>
  </si>
  <si>
    <t>September</t>
  </si>
  <si>
    <r>
      <t>Enter the 12 monthly values of PR-CPI</t>
    </r>
    <r>
      <rPr>
        <sz val="8"/>
        <rFont val="Arial"/>
        <family val="2"/>
      </rPr>
      <t>n</t>
    </r>
    <r>
      <rPr>
        <sz val="9"/>
        <rFont val="Arial"/>
        <family val="2"/>
      </rPr>
      <t xml:space="preserve"> for the prior Contract Year, then average them:</t>
    </r>
  </si>
  <si>
    <t>Enter the average of the 36 closing prices for the NYMEX NG futures contracts (Henry Hub) for each month of the prior Contract Year, taking the closing prices for the last three trading days for each of the 12 such contracts</t>
  </si>
  <si>
    <t>Date</t>
  </si>
  <si>
    <t>Closing Price</t>
  </si>
  <si>
    <t>8.3 (b) Winter Cargo, Second Liquefaction Train</t>
  </si>
  <si>
    <t>Enter a "Y" if this is a Winter Cargo; otherwise, "N"</t>
  </si>
  <si>
    <t>Enter a "Y" upon commencement of commercial operations of a second liquefaction train, or utilizing common facilities with, the Trinidad Facilities; otherwise, "N"</t>
  </si>
  <si>
    <t>N</t>
  </si>
  <si>
    <t>$0.725 or $0.225 per MMBtu</t>
  </si>
  <si>
    <t>$0.03 per MMBtu for a Late Delivery Day</t>
  </si>
  <si>
    <t xml:space="preserve">Hour for hour fraction of Late Delivery Day </t>
  </si>
  <si>
    <t>7.2(b)(ii) Late Delivery Day, Scheduling</t>
  </si>
  <si>
    <t xml:space="preserve"> 7.2 (d) Late Delivery Day, Discharging</t>
  </si>
  <si>
    <t>7.2(e) Late Delivery Day,  Short Cargo</t>
  </si>
  <si>
    <t>Hour for hour fraction of Late Delivery Day (not extension of Grace Period);  i.e. 12/24</t>
  </si>
  <si>
    <t>8.3 (c) (iii) Carryover Late Cargo</t>
  </si>
  <si>
    <t>Enter the cumulative price reduction (of Carryover Late Cargo under 7.2(c)(ii) ) attributable to such prior Contract Year Late Delivery Days</t>
  </si>
  <si>
    <t>Enter the reduction in the Annual Adjustment under Sect. 5.3(a) that would have occurred had the Carryover Late Cargo been delivered on December 31 of the prior Contract Year divided by the MMBtu value of the Carryover Late Cargo; and 8.3(c)(iv)</t>
  </si>
  <si>
    <t>8.1 (a) Estimated Monthly Demand Charge, the "Adjustment Factor"</t>
  </si>
  <si>
    <t>Adjusted Late Delivery Days Reduction Rate</t>
  </si>
  <si>
    <t>8.1 (a) Estimated Monthly Demand Charges, the "Adjustment Factor"</t>
  </si>
  <si>
    <t>EcoElectrica, LP</t>
  </si>
  <si>
    <t>8.2  Annual Demand Charge Reconciliation</t>
  </si>
  <si>
    <t>6.8 Demurrage</t>
  </si>
  <si>
    <t>Enter a "Y" if the LNG Tanker has a cargo capacity in excess 110,000 cubic meters;  otherwise, enter an "N".</t>
  </si>
  <si>
    <t>Enter a "Y" if the LNG Tanker has a cargo capacity equal to or less than 110,000 cubic meters;  otherwise, enter an "N".</t>
  </si>
  <si>
    <r>
      <t>Demurrage charge for LNG Tankers having a cargo capacity equal or less than 110,000 cubic meters</t>
    </r>
    <r>
      <rPr>
        <sz val="9"/>
        <rFont val="Arial"/>
        <family val="2"/>
      </rPr>
      <t xml:space="preserve"> ($30,000 per day for the first three days, $60,000 for the next three days, and $120,000 for each day thereafter</t>
    </r>
  </si>
  <si>
    <t>Calculated =</t>
  </si>
  <si>
    <r>
      <t>6.8 Demurrage</t>
    </r>
    <r>
      <rPr>
        <sz val="9"/>
        <rFont val="Arial"/>
        <family val="2"/>
      </rPr>
      <t xml:space="preserve"> - If Actual Unloading Time exceeds Allotted Unloading Time (including any extension in accordance with Section 6.7 (c)), Buyer shall pay Seller demurrage…</t>
    </r>
  </si>
  <si>
    <r>
      <t xml:space="preserve">Demurrage charge for LNG Tankers having a cargo capacity in excess of 110,000 cubic meters </t>
    </r>
    <r>
      <rPr>
        <sz val="9"/>
        <rFont val="Arial"/>
        <family val="2"/>
      </rPr>
      <t>($50,000 per day for the first three days of excess time, $100,000 per day for the next three days, and $200,000 per day for each day thereafter.</t>
    </r>
  </si>
  <si>
    <t>Enter number of days of excess time (In addition to full days, may enter partial days by dividing the # of hours in the partial day by 24)</t>
  </si>
  <si>
    <t>October</t>
  </si>
  <si>
    <t>November</t>
  </si>
  <si>
    <t>6.9 Compensation for Excess Boil-Off</t>
  </si>
  <si>
    <t>Enter cargo number, the total quantity of LNG delivered during the Contract Year (in cubic meters), heating value in Btu/scf  of LNG delivered [8.2 (a)(i) ]:</t>
  </si>
  <si>
    <t>Enter the heating value of the Winter Cargo, not to exceed 1080 But/scf [8.2 (a)(ii) ]</t>
  </si>
  <si>
    <t>Weighted average heating value of LNG delivered during Contract Year</t>
  </si>
  <si>
    <t>Enter the total quantity of LNG delivered in the Winter Cargo (in cubic meters), excluding any quantities delivered in a Carryover Late Cargo [8.2 (a)(ii) ]</t>
  </si>
  <si>
    <t xml:space="preserve">   x</t>
  </si>
  <si>
    <t>Enter below quantity in cubic meters not delivered as a result of the failure of Buyer to request the scheduling of a cargo, the cancellation by Buyer of a scheduled cargo, or from any other cause attributable to Buyer (excluding any quatity not delivered as a result of an event of Force Majeure [8.2 (a)(iii)]</t>
  </si>
  <si>
    <t>Failure to schedule a Winter Cargo</t>
  </si>
  <si>
    <t>Cancellation of scheduled Winter Cargo</t>
  </si>
  <si>
    <t>Other cause attributable to Buyer(Winter Cargo)</t>
  </si>
  <si>
    <t>Enter below quantity in cubic meters not delivered as a result of the failure of Buyer to request the scheduling of a Winter Cargo, the cancellation by Buyer of a scheduled Winter Cargo, or from any cause attributable to Buyer, excluding any quantity not delivered as result of an event of FM [8.2 (a)(iv)]</t>
  </si>
  <si>
    <t>Heating value of LNG delivered in Btu/scf</t>
  </si>
  <si>
    <t>1-01</t>
  </si>
  <si>
    <t>1-02</t>
  </si>
  <si>
    <t>1-03</t>
  </si>
  <si>
    <t>1-04</t>
  </si>
  <si>
    <t>1-05</t>
  </si>
  <si>
    <t>1-06</t>
  </si>
  <si>
    <t>1-07</t>
  </si>
  <si>
    <t>1-08</t>
  </si>
  <si>
    <t>1-09</t>
  </si>
  <si>
    <t>1-10</t>
  </si>
  <si>
    <t xml:space="preserve">  +</t>
  </si>
  <si>
    <t>5.3 Underdeliveries</t>
  </si>
  <si>
    <t>Enter quantity of LNG delivered during the Winter Period in Contract Year</t>
  </si>
  <si>
    <t>Quantity of LNG delivered during the Winter Period</t>
  </si>
  <si>
    <t>Winter Volume Credit</t>
  </si>
  <si>
    <t>95% of GAMMA Standard Cargo</t>
  </si>
  <si>
    <t>Enter Winter Volume Credit in c/m</t>
  </si>
  <si>
    <t>Quantities of LNG deliveries in Contract Year</t>
  </si>
  <si>
    <t>98% of the ACQ</t>
  </si>
  <si>
    <t>Difference between G2 and G20 is the Carryover Late Cargo1?</t>
  </si>
  <si>
    <t>Enter "N" if any portion of such Annual Underdeliveries is not the result of (I) Buyer's failure to request the scheduling of a cargo, (ii) cancellation by Buyer of a scheduled cargo, (iii) any other cause attributable to Buyer, (iv) and event of Force Majeure, or (v) ..., otherwise, enter "Y"</t>
  </si>
  <si>
    <t>"Winter Shortfall Quantity" or "Winter Underdeliveries" :</t>
  </si>
  <si>
    <t>"Annual Shortfall Quantity" or "Annual Underdeliveries" :</t>
  </si>
  <si>
    <t>(Divided by 36)</t>
  </si>
  <si>
    <t>MMBtu value of the Annual Shortfall Quatity</t>
  </si>
  <si>
    <t>Used conversion of 1mmbtu/cm =35.315 mmbtu/scf</t>
  </si>
  <si>
    <t>Demand Surcharge + Commodity Charge + Commodity Surcharge Rates</t>
  </si>
  <si>
    <t>Commodity Charge Rates</t>
  </si>
  <si>
    <t>Winter Amount</t>
  </si>
  <si>
    <t>Annual Amount</t>
  </si>
  <si>
    <t>MMBtu value of the Winter Shortfall  Quantity</t>
  </si>
  <si>
    <t>Enter the total dollar value of any price reduction applied pursuant to Section 8.3(c) for Late Delivery Days during the Contract Year</t>
  </si>
  <si>
    <t>Used conversion of 1 mmbtu/cm = 35.315mmbtu/scf</t>
  </si>
  <si>
    <t>22.84 mmbtu/cm =806.6 mmbtu/scf</t>
  </si>
  <si>
    <t>"Winter and Annual Amounts"</t>
  </si>
  <si>
    <t>"Propane Replacement Amount"</t>
  </si>
  <si>
    <t>Propane Reference Price 8.3©</t>
  </si>
  <si>
    <t>Propane Replacement Amount (Winter)</t>
  </si>
  <si>
    <t>Propane Replacement Amount (Annual)</t>
  </si>
  <si>
    <t>Propane Replacement Amount (Winter):</t>
  </si>
  <si>
    <t>Propane Replacement Amount (Annual):</t>
  </si>
  <si>
    <t>OPTIONAL - NOT PART OF CONTRACT - NOT COMPLETED</t>
  </si>
  <si>
    <t>For the Winter Amount:</t>
  </si>
  <si>
    <t>For the Annual Amount:</t>
  </si>
  <si>
    <t>8.3 © Propane Reference Price</t>
  </si>
  <si>
    <t>Enter Propane Reference Price, Section 8.3©</t>
  </si>
  <si>
    <t>For Winter, Propane Replacement Amt - Winter Amt</t>
  </si>
  <si>
    <t>For Annual, Propane Replacement Amt - Annual Amt</t>
  </si>
  <si>
    <t>Annual Adjustment before $ Amt Late Delivery Days in Contract Year</t>
  </si>
  <si>
    <t>Less total $ value of Late Delivery Days in Contract Year</t>
  </si>
  <si>
    <t>Enter the total dollar value of any price reduction applied pursuant to Section 8.3© for Late Delivery Days in Contract Year</t>
  </si>
  <si>
    <t xml:space="preserve">"Winter Shortfall Quantity" </t>
  </si>
  <si>
    <t>Enter "N", if any portion of such Winter Underdeliveries is not the result of (I) Buyer's failure to request the scheduling of a cargo, (ii) cancellation by Buyer of a scheduled cargo, (iii) any other cause attributable to Buyer, (iv) and event of Force Majeure, or (v) non-delivery of a Winter Cargo excused pursuant to Section 12.3, otherwise, enter "Y"</t>
  </si>
  <si>
    <t>The "Annual Adjustments" to be credited to Buyer at the end of each Contract Year shall be the sum of:</t>
  </si>
  <si>
    <t>5.3 (a) (ii) Annual Adjustment:</t>
  </si>
  <si>
    <t>5.3 (a) (i) Annual Adjustment:</t>
  </si>
  <si>
    <t>5.3 (a) Annual Adjustment:</t>
  </si>
  <si>
    <t>Enter a "Y" if Seller, in any Contract Year, refuses (i) to schedule a cargo for Buyer when required to do so under this Contract, or (ii) to deliver and sell to Buyer a cargo which Seller is obligated to deliver to Buyer and instead delivers and sells such cargo to another purchaser, and if, in such Contract Year, a Winter Shortfall Quantity or Annual Shortfall Quantity occurs, all or a portion of which results from Seller's action, ..., otherwise, enter "N" [Refer to 5.3(b)]</t>
  </si>
  <si>
    <t>Enter that portion of the incremental value, if any, which Seller obtains from the sale of such cargo to another purchaser as compared to the timely delivery and sale of such cargo to Buyer, that exceeds the sum of (A) the dollar value of any price reduction incurred pursuant to Section 8.3(c) as a result of such actions and (B) the adjustment payable under section 5.3(a) in respect of such Winter Shortfall Quantity or Annual Shortfall Quantity (or the portion thereof attributable to Seller's action)  [Refer to 5.3(b)]</t>
  </si>
  <si>
    <t>Annual Adjustment incremental value under 5.3(b)</t>
  </si>
  <si>
    <t>Annual Adjustment under Section 5.3(a)</t>
  </si>
  <si>
    <t>Annual Adjustment under Section 8.2 (b)</t>
  </si>
  <si>
    <t xml:space="preserve">8.2 (b) Annual Adjustments </t>
  </si>
  <si>
    <t>Amount due Cabot LNG Corporation</t>
  </si>
  <si>
    <r>
      <t>(ii)</t>
    </r>
    <r>
      <rPr>
        <sz val="9"/>
        <rFont val="Arial"/>
        <family val="2"/>
      </rPr>
      <t xml:space="preserve"> the product of (x) the greater of a GAMMA Standard Cargo and the total quantity of LNG delivered in the Winter Cargo (in cubic meters), excluding any quantities delivered in a Carryover Late Cargo, times (y) the heating value of the Winter Cargo, not to exceed 1080 Btu/scf, times (z) the Demand Charge Rate; plus</t>
    </r>
  </si>
  <si>
    <r>
      <t>(iii)</t>
    </r>
    <r>
      <rPr>
        <sz val="9"/>
        <rFont val="Arial"/>
        <family val="2"/>
      </rPr>
      <t xml:space="preserve"> the product of (x) the amount (in cubic meters) , if any, by which the ACQ exceeds the sum of the quantity of LNG actually delivered during the Contract Year plus any quantity not delivered as a result of the failure of Buyer to request the scheduling of a cargo, the cancellation by Buyer of a scheduled cargo, or from any other cause attributable to Buyer (excluding any quantity not delivered as a result of an event of Force Majeure), times (y) the weighted average heating value of the LNG delivered during such Contract Year, not to exceed 1080 Btu/scf, times (z) the Demand Charge Rate; minus</t>
    </r>
  </si>
  <si>
    <r>
      <t>(iv)</t>
    </r>
    <r>
      <rPr>
        <sz val="9"/>
        <rFont val="Arial"/>
        <family val="2"/>
      </rPr>
      <t xml:space="preserve"> the product of (x) the amount in (cubic meters), if any, by which a GAMMA Standard Cargo exceeds the sum of the quantity of the Winter Cargo, excluding any quantities delivered in a Carryover Late Cargo, plus any quantity not delivered as a result of the failure of Buyer to request the scheduling of a Winter Cargo, the cancellation by Buyer of a scheduled Winter Cargo, or from any other cause attributable to Buyer (excluding any quantity not delivered as a result of an event of Force Majeure), times (y) the heating value of the Winter Cargo, not to exceed 1080 Btu/scf, times (z) the Demand Surcharge Charge Rate</t>
    </r>
  </si>
  <si>
    <t>6.4 (b) Port Charges that Exceed $40,000</t>
  </si>
  <si>
    <t xml:space="preserve">6.4 Port Charges </t>
  </si>
  <si>
    <t>Total Demand and Commodity Charges</t>
  </si>
  <si>
    <t>6.4 (e) Less Costs or Loss  incurred, attributable to Seller</t>
  </si>
  <si>
    <t>Enter total port charges (other than items covered under Section 6.4(a)) per delivery., Refer to Section 6.4(b)</t>
  </si>
  <si>
    <r>
      <t>7.2 (e) Short Cargo</t>
    </r>
    <r>
      <rPr>
        <sz val="9"/>
        <rFont val="Arial"/>
        <family val="2"/>
      </rPr>
      <t xml:space="preserve"> - Section shall not apply to the extent the cargo has been reduced by excess boil-off for which Seller is entitled to compensation pursuant to Section 6.9, or as a result of a request by Buyer to deliver less than 95% of such Standard Cargo</t>
    </r>
  </si>
  <si>
    <t>December</t>
  </si>
  <si>
    <t>Enter the first date of the month for which the Estimated Monthly Demand Charge is being calculated; i.e.: mm/dd/yy</t>
  </si>
  <si>
    <t>Enter a "Y" if the number of days computed above is 50 days or more, and the nondelivery is as a result of a failure of Seller to meet its delivery obligations hereunder when Seller was obligated to deliver at least one cargo during such period;  otherwise, enter an "N".</t>
  </si>
  <si>
    <t>Enter a "Y" if the number of days computed above is 50 days or more, and the nondelivery is as a result of an event of Force Majeure under this Contract  affecting either Buyer or Seller;  otherwise, enter an "N".</t>
  </si>
  <si>
    <t>Enter date of last cargo delivered under this Contract (prior to relevant month)</t>
  </si>
  <si>
    <t xml:space="preserve">(b) The Estimated Monthly Demand Charge shall be payable hereunder for each month regardless of whether any LNG is delivered by Seller to Buyer during that month; provided, however, that Buyer shall be excused from such payment for any month if no cargo has been delivered under this Contract in the 50-day period immediately prior to such month as a result of (i) a failure of Seller to meet its delivery obligations hereunder when Seller was obligated to deliver at least one cargo during such period, or (ii) an event of Force Majeure under this Contract affecting either Buyer or Seller. (Note: This section is reflected in the above formulas of this worksheet and in the Monthly Input worksheet) </t>
  </si>
  <si>
    <t>Mathew Standard Cargo</t>
  </si>
  <si>
    <t>Enter the number of MATHEW Standard Cargoes</t>
  </si>
  <si>
    <t>Enter in cubic meters the MATHEW Standard Cargo</t>
  </si>
  <si>
    <t>8.3 (c) Late Delivery Days</t>
  </si>
  <si>
    <t>7.2(b)(ii)…If neither of such date ranges would allow Buyer, pursuant to Section 7.2(b)(iv), to select a three-day Delivery Window wholly within the 15-day period commencing five days immediately prior to and ending five days immediately following the requested Delivery Range, then each day by which such 15-day period would have to be extended to permit such a three-day Delivery Window shall be a Late Delivery Day. (Refer to the complete section in the contract.)</t>
  </si>
  <si>
    <t>7.2(d) Seller shall use best reasonable efforts to commence discharge of each cargo as early as practicable on its Scheduled Delivery Date. If a delivery has not been completed (I.e., the cargo has not been fully discharged) by 24:00 hours on the day following the Scheduled Delivery Date ( the "Grace Period") then each day beyond the Grace Period that the delivery is completed shall be a Late Delivery Day. The Grace Period shall be extended hour-for-hour by the time of any delay of the LNG Tanker in arriving at the Unloading Port, proceeding from the anchorage or berthing or unloading at Buyer's Receiving Facilities which is caused by ... (refer to the contract for the complete wording of this section).</t>
  </si>
  <si>
    <t>For Scheduling (Sect. 7.2(b)(ii)), enter a "Y" if Late Delivery Day results from an event of Force Majeure affecting Seller, actions or omissions attributable to Buyer, its agents or employees, or the state or condition of Buyer's Receiving Facilities; otherwise, "N"</t>
  </si>
  <si>
    <t>For Discharging (Sect. 7.2(d)), enter a "Y" if Late Delivery Day results from an event of Force Majeure affecting Seller, actions or omissions attributable to Buyer, its agents or employees, or the state or condition of Buyer's Receiving Facilities; otherwise, "N"</t>
  </si>
  <si>
    <t>8.3(c)(i)' If the cargo contains less than 2.8 million MMBtus, the amount of reduction per MMBtu shall be multiplied by a fraction equal to 2.8 million divided by the MMBtu value of such cargo</t>
  </si>
  <si>
    <t>Enter the total of the daily losses or costs incurred by Buyer up to a maximum of $50,000 a day multiplied by the Adjusment Factor, and pro rata for any part of a day, per Section 6.4(e).  (Prepare worksheet, to include date and details. Incorporate within this workbook,  and tie total to amount entered here.)</t>
  </si>
  <si>
    <t>Enter the per hour MMBtu value (in MMBtus) of boil-off (calculated as provided in Section 5.3(a))</t>
  </si>
  <si>
    <t xml:space="preserve">Enter a "Y" if the Commodity Surcharge Rate is applicable. </t>
  </si>
  <si>
    <t>Enter the number of full hours by which commencement of unloading is delayed beyond the the 30-hour period (plus any period that Allotted Loading Time is extended pursuant to Section 6.7(c))</t>
  </si>
  <si>
    <t xml:space="preserve">For Late Delivery Day cargo Short Cargo (7.2(e)), if applicable, enter the MMBtu value of Late Delivery Cargo </t>
  </si>
  <si>
    <r>
      <t xml:space="preserve">If applicable, enter Propane Reference Price [8.3(c)] of Scheduling [7.2(b)(ii)] Late Delivery Days, </t>
    </r>
    <r>
      <rPr>
        <b/>
        <sz val="9"/>
        <rFont val="Arial"/>
        <family val="2"/>
      </rPr>
      <t>applicable to the cargo first delivered after occurrence</t>
    </r>
  </si>
  <si>
    <r>
      <t>Enter in cubic meters cargo of LNG</t>
    </r>
    <r>
      <rPr>
        <sz val="9"/>
        <rFont val="Arial"/>
        <family val="2"/>
      </rPr>
      <t>. Refer to 8.3©</t>
    </r>
  </si>
  <si>
    <r>
      <t>Enter in cubic meters Standard Cargo</t>
    </r>
    <r>
      <rPr>
        <sz val="9"/>
        <rFont val="Arial"/>
        <family val="2"/>
      </rPr>
      <t xml:space="preserve"> as shown on the Ninety-Day Schedule</t>
    </r>
  </si>
  <si>
    <r>
      <t xml:space="preserve">If applicable, enter Propane Reference Price [8.3(d)] of Discharging [7.2(d)] Late Delivery Days, </t>
    </r>
    <r>
      <rPr>
        <b/>
        <sz val="9"/>
        <rFont val="Arial"/>
        <family val="2"/>
      </rPr>
      <t xml:space="preserve">applicable to the cargo first delivered after occurrence </t>
    </r>
  </si>
  <si>
    <t>*</t>
  </si>
  <si>
    <t>Beginning of Year Input</t>
  </si>
  <si>
    <t>End of Year Input</t>
  </si>
  <si>
    <t>1st Cargo (This Cargo)</t>
  </si>
  <si>
    <t>Estimanted Monthly Demand Charge</t>
  </si>
  <si>
    <t>Commodity Charge</t>
  </si>
  <si>
    <t>Demurrage</t>
  </si>
  <si>
    <t>Annual Demand Charge Reconciliation</t>
  </si>
  <si>
    <t xml:space="preserve">* = </t>
  </si>
  <si>
    <t>Sheets that will have to be repeated for months or cargoes</t>
  </si>
  <si>
    <t>No. of req. sheets</t>
  </si>
  <si>
    <t>Enter a "Y" if this is a Carryover Late Cargo under 7.2©(ii), "N"</t>
  </si>
  <si>
    <t>Enter a "Y" if there was an Annual Shortfall Quantity under Section 5.3 with respect to the prior Contract Year; otherwise, "N"</t>
  </si>
  <si>
    <r>
      <t>8.3(c)(iv)</t>
    </r>
    <r>
      <rPr>
        <sz val="9"/>
        <rFont val="Arial"/>
        <family val="2"/>
      </rPr>
      <t xml:space="preserve"> Enter the number of Late Delivery Days for any one cargo incurred as a result of a delay in the scheduling or delivery of the prior cargo hereunder shall be reduced on a day-for-day basis to the extent that Late Delivery Days were incurred for such prior cargo with respect to such delay.</t>
    </r>
  </si>
  <si>
    <t>Number of days difference</t>
  </si>
  <si>
    <t>Annual Adjustments</t>
  </si>
  <si>
    <r>
      <t>(i)</t>
    </r>
    <r>
      <rPr>
        <sz val="9"/>
        <rFont val="Arial"/>
        <family val="2"/>
      </rPr>
      <t xml:space="preserve">  the product of (x) the greater of the ACQ and the total quantity of LNG delivered during the Contract Year (in cubic meters) times (y) the weighted average heating value of the LNG delivered during such Contract Year, not to exceed 1080 Btu/scf, times (z) the Demand Charge Rate; plus</t>
    </r>
  </si>
  <si>
    <t>This should go in the ANDCR w/s</t>
  </si>
  <si>
    <t xml:space="preserve">The heating value s/b entered in each cargo input. </t>
  </si>
  <si>
    <t>Late Delivery Day - Discharging:</t>
  </si>
  <si>
    <t>Late Delivery Day - Scheduling:</t>
  </si>
  <si>
    <t>Average for the Last Three Trading Days</t>
  </si>
  <si>
    <t>(Refer to Sect. 5.2(b) 9 cargos)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</si>
</sst>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7">
    <numFmt numFmtId="5" formatCode="&quot;$&quot;#,##0_);\(&quot;$&quot;#,##0\)"/>
    <numFmt numFmtId="7" formatCode="&quot;$&quot;#,##0.00_);\(&quot;$&quot;#,##0.00\)"/>
    <numFmt numFmtId="8" formatCode="&quot;$&quot;#,##0.00_);[Red]\(&quot;$&quot;#,##0.00\)"/>
    <numFmt numFmtId="44" formatCode="_(&quot;$&quot;* #,##0.00_);_(&quot;$&quot;* \(#,##0.00\);_(&quot;$&quot;* &quot;-&quot;??_);_(@_)"/>
    <numFmt numFmtId="43" formatCode="_(* #,##0.00_);_(* \(#,##0.00\);_(* &quot;-&quot;??_);_(@_)"/>
    <numFmt numFmtId="167" formatCode="_(* #,##0_);_(* \(#,##0\);_(* &quot;-&quot;??_);_(@_)"/>
    <numFmt numFmtId="168" formatCode="#,##0.0_);\(#,##0.0\)"/>
    <numFmt numFmtId="169" formatCode="0.0000"/>
    <numFmt numFmtId="171" formatCode="#,##0.000"/>
    <numFmt numFmtId="173" formatCode="0.0"/>
    <numFmt numFmtId="174" formatCode="0.000000000"/>
    <numFmt numFmtId="178" formatCode="0.00000"/>
    <numFmt numFmtId="179" formatCode="&quot;$&quot;#,##0.000_);\(&quot;$&quot;#,##0.000\)"/>
    <numFmt numFmtId="180" formatCode="&quot;$&quot;#,##0.00000_);\(&quot;$&quot;#,##0.00000\)"/>
    <numFmt numFmtId="186" formatCode="_(&quot;$&quot;* #,##0.0_);_(&quot;$&quot;* \(#,##0.0\);_(&quot;$&quot;* &quot;-&quot;??_);_(@_)"/>
    <numFmt numFmtId="187" formatCode="_(&quot;$&quot;* #,##0_);_(&quot;$&quot;* \(#,##0\);_(&quot;$&quot;* &quot;-&quot;??_);_(@_)"/>
    <numFmt numFmtId="189" formatCode="&quot;$&quot;#,##0.000_);[Red]\(&quot;$&quot;#,##0.000\)"/>
    <numFmt numFmtId="191" formatCode="&quot;$&quot;#,##0.00000_);[Red]\(&quot;$&quot;#,##0.00000\)"/>
    <numFmt numFmtId="192" formatCode="&quot;$&quot;#,##0.000000_);[Red]\(&quot;$&quot;#,##0.000000\)"/>
    <numFmt numFmtId="194" formatCode="mm/dd/yy"/>
    <numFmt numFmtId="197" formatCode="&quot;$&quot;#,##0.00"/>
    <numFmt numFmtId="202" formatCode="_(&quot;$&quot;* #,##0.0000_);_(&quot;$&quot;* \(#,##0.0000\);_(&quot;$&quot;* &quot;-&quot;??_);_(@_)"/>
    <numFmt numFmtId="203" formatCode="_(&quot;$&quot;* #,##0.00000_);_(&quot;$&quot;* \(#,##0.00000\);_(&quot;$&quot;* &quot;-&quot;??_);_(@_)"/>
    <numFmt numFmtId="213" formatCode="0.00000_);\(0.00000\)"/>
    <numFmt numFmtId="226" formatCode="#,##0.00000"/>
    <numFmt numFmtId="230" formatCode="0.0%"/>
    <numFmt numFmtId="240" formatCode="0_);[Red]\(0\)"/>
  </numFmts>
  <fonts count="13" x14ac:knownFonts="1">
    <font>
      <sz val="10"/>
      <name val="Arial"/>
    </font>
    <font>
      <sz val="10"/>
      <name val="Arial"/>
    </font>
    <font>
      <b/>
      <sz val="10"/>
      <name val="Arial"/>
      <family val="2"/>
    </font>
    <font>
      <sz val="10"/>
      <name val="Arial"/>
      <family val="2"/>
    </font>
    <font>
      <b/>
      <sz val="8"/>
      <name val="Arial"/>
      <family val="2"/>
    </font>
    <font>
      <sz val="8"/>
      <name val="Arial"/>
      <family val="2"/>
    </font>
    <font>
      <sz val="9"/>
      <name val="Arial"/>
      <family val="2"/>
    </font>
    <font>
      <b/>
      <sz val="9"/>
      <name val="Arial"/>
      <family val="2"/>
    </font>
    <font>
      <b/>
      <sz val="12"/>
      <name val="Arial"/>
      <family val="2"/>
    </font>
    <font>
      <b/>
      <u/>
      <sz val="8"/>
      <name val="Arial"/>
      <family val="2"/>
    </font>
    <font>
      <i/>
      <sz val="8"/>
      <name val="Arial"/>
      <family val="2"/>
    </font>
    <font>
      <i/>
      <sz val="10"/>
      <name val="Arial"/>
      <family val="2"/>
    </font>
    <font>
      <u/>
      <sz val="10"/>
      <name val="Arial"/>
      <family val="2"/>
    </font>
  </fonts>
  <fills count="3">
    <fill>
      <patternFill patternType="none"/>
    </fill>
    <fill>
      <patternFill patternType="gray125"/>
    </fill>
    <fill>
      <patternFill patternType="solid">
        <fgColor indexed="42"/>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top/>
      <bottom style="double">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61">
    <xf numFmtId="0" fontId="0" fillId="0" borderId="0" xfId="0"/>
    <xf numFmtId="0" fontId="2" fillId="0" borderId="0" xfId="0" applyFont="1"/>
    <xf numFmtId="0" fontId="2" fillId="0" borderId="0" xfId="0" applyFont="1" applyAlignment="1">
      <alignment horizontal="center"/>
    </xf>
    <xf numFmtId="0" fontId="2" fillId="0" borderId="0" xfId="0" quotePrefix="1" applyFont="1" applyAlignment="1">
      <alignment horizontal="center"/>
    </xf>
    <xf numFmtId="0" fontId="2" fillId="0" borderId="0" xfId="0" applyFont="1" applyBorder="1" applyAlignment="1">
      <alignment horizontal="center"/>
    </xf>
    <xf numFmtId="0" fontId="2" fillId="0" borderId="1" xfId="0" quotePrefix="1" applyFont="1" applyBorder="1" applyAlignment="1">
      <alignment horizontal="center"/>
    </xf>
    <xf numFmtId="0" fontId="0" fillId="0" borderId="0" xfId="0" quotePrefix="1"/>
    <xf numFmtId="0" fontId="2" fillId="0" borderId="0" xfId="0" quotePrefix="1" applyFont="1"/>
    <xf numFmtId="0" fontId="2" fillId="0" borderId="1" xfId="0" applyFont="1" applyBorder="1" applyAlignment="1">
      <alignment horizontal="center"/>
    </xf>
    <xf numFmtId="0" fontId="0" fillId="0" borderId="0" xfId="0" applyBorder="1"/>
    <xf numFmtId="168" fontId="0" fillId="0" borderId="0" xfId="0" applyNumberFormat="1" applyAlignment="1">
      <alignment vertical="justify"/>
    </xf>
    <xf numFmtId="0" fontId="3" fillId="0" borderId="0" xfId="0" applyFont="1"/>
    <xf numFmtId="168" fontId="3" fillId="0" borderId="0" xfId="0" applyNumberFormat="1" applyFont="1" applyAlignment="1">
      <alignment vertical="justify"/>
    </xf>
    <xf numFmtId="0" fontId="3" fillId="0" borderId="0" xfId="0" applyFont="1" applyAlignment="1">
      <alignment horizontal="left" vertical="top" wrapText="1"/>
    </xf>
    <xf numFmtId="0" fontId="4" fillId="0" borderId="0" xfId="0" applyFont="1" applyAlignment="1">
      <alignment horizontal="right"/>
    </xf>
    <xf numFmtId="168" fontId="3" fillId="0" borderId="0" xfId="0" applyNumberFormat="1" applyFont="1" applyBorder="1" applyAlignment="1">
      <alignment vertical="justify"/>
    </xf>
    <xf numFmtId="0" fontId="5" fillId="0" borderId="0" xfId="0" applyFont="1" applyAlignment="1">
      <alignment horizontal="left" vertical="top" wrapText="1"/>
    </xf>
    <xf numFmtId="0" fontId="3" fillId="0" borderId="0" xfId="0" applyFont="1" applyBorder="1"/>
    <xf numFmtId="10" fontId="0" fillId="0" borderId="0" xfId="0" applyNumberFormat="1" applyAlignment="1">
      <alignment horizontal="right"/>
    </xf>
    <xf numFmtId="0" fontId="8" fillId="0" borderId="1" xfId="0" applyFont="1" applyBorder="1" applyAlignment="1">
      <alignment horizontal="center"/>
    </xf>
    <xf numFmtId="0" fontId="0" fillId="0" borderId="0" xfId="0" applyNumberFormat="1"/>
    <xf numFmtId="0" fontId="0" fillId="0" borderId="0" xfId="0" applyNumberFormat="1" applyAlignment="1">
      <alignment horizontal="center"/>
    </xf>
    <xf numFmtId="169" fontId="2" fillId="0" borderId="0" xfId="0" applyNumberFormat="1" applyFont="1" applyBorder="1"/>
    <xf numFmtId="2" fontId="0" fillId="0" borderId="0" xfId="0" applyNumberFormat="1"/>
    <xf numFmtId="0" fontId="4" fillId="0" borderId="1" xfId="0" applyFont="1" applyBorder="1" applyAlignment="1">
      <alignment horizontal="center"/>
    </xf>
    <xf numFmtId="0" fontId="0" fillId="0" borderId="0" xfId="0" applyAlignment="1">
      <alignment horizontal="center"/>
    </xf>
    <xf numFmtId="0" fontId="4" fillId="0" borderId="1" xfId="0" applyFont="1" applyBorder="1" applyAlignment="1">
      <alignment horizontal="center" wrapText="1"/>
    </xf>
    <xf numFmtId="0" fontId="4" fillId="0" borderId="0" xfId="0" applyFont="1" applyAlignment="1">
      <alignment horizontal="center"/>
    </xf>
    <xf numFmtId="0" fontId="4" fillId="0" borderId="0" xfId="0" applyFont="1" applyAlignment="1">
      <alignment horizontal="left" wrapText="1"/>
    </xf>
    <xf numFmtId="0" fontId="2" fillId="0" borderId="1" xfId="0" applyFont="1" applyBorder="1" applyAlignment="1">
      <alignment horizontal="center" wrapText="1"/>
    </xf>
    <xf numFmtId="0" fontId="2" fillId="0" borderId="0" xfId="0" applyFont="1" applyAlignment="1">
      <alignment horizontal="center" wrapText="1"/>
    </xf>
    <xf numFmtId="0" fontId="4" fillId="0" borderId="0" xfId="0" applyFont="1" applyAlignment="1">
      <alignment horizontal="left" vertical="top" wrapText="1"/>
    </xf>
    <xf numFmtId="0" fontId="4" fillId="0" borderId="2" xfId="0" applyFont="1" applyBorder="1" applyAlignment="1">
      <alignment horizontal="center" wrapText="1"/>
    </xf>
    <xf numFmtId="0" fontId="7" fillId="0" borderId="0" xfId="0" quotePrefix="1" applyFont="1" applyAlignment="1">
      <alignment vertical="top" wrapText="1"/>
    </xf>
    <xf numFmtId="0" fontId="2" fillId="0" borderId="0" xfId="0" quotePrefix="1" applyFont="1" applyAlignment="1">
      <alignment vertical="top" wrapText="1"/>
    </xf>
    <xf numFmtId="0" fontId="0" fillId="0" borderId="0" xfId="0" quotePrefix="1" applyAlignment="1">
      <alignment vertical="top" wrapText="1"/>
    </xf>
    <xf numFmtId="0" fontId="6" fillId="0" borderId="0" xfId="0" quotePrefix="1" applyFont="1" applyAlignment="1">
      <alignment vertical="top" wrapText="1"/>
    </xf>
    <xf numFmtId="0" fontId="5" fillId="0" borderId="0" xfId="0" applyFont="1"/>
    <xf numFmtId="0" fontId="6" fillId="0" borderId="0" xfId="0" applyFont="1"/>
    <xf numFmtId="178" fontId="0" fillId="0" borderId="0" xfId="0" applyNumberFormat="1" applyAlignment="1">
      <alignment horizontal="center"/>
    </xf>
    <xf numFmtId="178" fontId="0" fillId="0" borderId="0" xfId="0" applyNumberFormat="1"/>
    <xf numFmtId="0" fontId="7" fillId="0" borderId="1" xfId="0" quotePrefix="1" applyFont="1" applyBorder="1" applyAlignment="1">
      <alignment horizontal="center" wrapText="1"/>
    </xf>
    <xf numFmtId="0" fontId="4" fillId="0" borderId="0" xfId="0" applyFont="1" applyAlignment="1">
      <alignment horizontal="center" wrapText="1"/>
    </xf>
    <xf numFmtId="9" fontId="0" fillId="0" borderId="0" xfId="0" applyNumberFormat="1" applyAlignment="1">
      <alignment horizontal="center"/>
    </xf>
    <xf numFmtId="9" fontId="4" fillId="0" borderId="1" xfId="0" applyNumberFormat="1" applyFont="1" applyBorder="1" applyAlignment="1">
      <alignment horizontal="center" wrapText="1"/>
    </xf>
    <xf numFmtId="179" fontId="0" fillId="0" borderId="0" xfId="0" applyNumberFormat="1" applyAlignment="1">
      <alignment horizontal="center"/>
    </xf>
    <xf numFmtId="187" fontId="0" fillId="0" borderId="0" xfId="2" applyNumberFormat="1" applyFont="1" applyAlignment="1">
      <alignment horizontal="center"/>
    </xf>
    <xf numFmtId="167" fontId="0" fillId="0" borderId="0" xfId="1" applyNumberFormat="1" applyFont="1"/>
    <xf numFmtId="0" fontId="7" fillId="0" borderId="0" xfId="0" quotePrefix="1" applyFont="1" applyAlignment="1">
      <alignment horizontal="center" vertical="top" wrapText="1"/>
    </xf>
    <xf numFmtId="0" fontId="7" fillId="0" borderId="0" xfId="0" applyFont="1"/>
    <xf numFmtId="0" fontId="4" fillId="0" borderId="0" xfId="0" applyFont="1" applyBorder="1" applyAlignment="1">
      <alignment horizontal="center" wrapText="1"/>
    </xf>
    <xf numFmtId="0" fontId="6" fillId="0" borderId="0" xfId="0" applyFont="1" applyAlignment="1">
      <alignment horizontal="left" vertical="top"/>
    </xf>
    <xf numFmtId="0" fontId="6" fillId="0" borderId="0" xfId="0" applyFont="1" applyAlignment="1">
      <alignment horizontal="left" wrapText="1"/>
    </xf>
    <xf numFmtId="167" fontId="0" fillId="0" borderId="0" xfId="1" applyNumberFormat="1" applyFont="1" applyAlignment="1"/>
    <xf numFmtId="0" fontId="4" fillId="0" borderId="1" xfId="0" applyFont="1" applyBorder="1" applyAlignment="1">
      <alignment horizontal="right" wrapText="1"/>
    </xf>
    <xf numFmtId="194" fontId="0" fillId="0" borderId="0" xfId="1" applyNumberFormat="1" applyFont="1" applyAlignment="1">
      <alignment horizontal="right"/>
    </xf>
    <xf numFmtId="0" fontId="0" fillId="0" borderId="0" xfId="1" applyNumberFormat="1" applyFont="1" applyAlignment="1">
      <alignment horizontal="right"/>
    </xf>
    <xf numFmtId="14" fontId="0" fillId="0" borderId="0" xfId="1" applyNumberFormat="1" applyFont="1" applyAlignment="1">
      <alignment horizontal="right"/>
    </xf>
    <xf numFmtId="4" fontId="0" fillId="0" borderId="0" xfId="0" applyNumberFormat="1" applyAlignment="1">
      <alignment horizontal="center"/>
    </xf>
    <xf numFmtId="167" fontId="0" fillId="0" borderId="0" xfId="1" applyNumberFormat="1" applyFont="1" applyAlignment="1">
      <alignment horizontal="center"/>
    </xf>
    <xf numFmtId="44" fontId="0" fillId="0" borderId="0" xfId="0" quotePrefix="1" applyNumberFormat="1" applyAlignment="1">
      <alignment vertical="top" wrapText="1"/>
    </xf>
    <xf numFmtId="44" fontId="0" fillId="0" borderId="0" xfId="2" quotePrefix="1" applyNumberFormat="1" applyFont="1" applyAlignment="1">
      <alignment vertical="top" wrapText="1"/>
    </xf>
    <xf numFmtId="0" fontId="4" fillId="0" borderId="0" xfId="0" applyFont="1" applyBorder="1" applyAlignment="1">
      <alignment wrapText="1"/>
    </xf>
    <xf numFmtId="0" fontId="0" fillId="0" borderId="0" xfId="0" applyAlignment="1">
      <alignment horizontal="left"/>
    </xf>
    <xf numFmtId="194" fontId="0" fillId="0" borderId="0" xfId="0" applyNumberFormat="1"/>
    <xf numFmtId="2" fontId="0" fillId="0" borderId="0" xfId="0" applyNumberFormat="1" applyAlignment="1">
      <alignment horizontal="center"/>
    </xf>
    <xf numFmtId="203" fontId="0" fillId="0" borderId="0" xfId="2" quotePrefix="1" applyNumberFormat="1" applyFont="1" applyAlignment="1">
      <alignment horizontal="center" vertical="top" wrapText="1"/>
    </xf>
    <xf numFmtId="0" fontId="4" fillId="0" borderId="1" xfId="0" quotePrefix="1" applyFont="1" applyBorder="1" applyAlignment="1">
      <alignment horizontal="center" wrapText="1"/>
    </xf>
    <xf numFmtId="197" fontId="0" fillId="0" borderId="0" xfId="0" applyNumberFormat="1" applyAlignment="1">
      <alignment horizontal="center"/>
    </xf>
    <xf numFmtId="0" fontId="2" fillId="0" borderId="0" xfId="0" applyFont="1" applyBorder="1" applyAlignment="1">
      <alignment horizontal="center" wrapText="1"/>
    </xf>
    <xf numFmtId="0" fontId="0" fillId="0" borderId="0" xfId="0" applyAlignment="1">
      <alignment horizontal="right"/>
    </xf>
    <xf numFmtId="0" fontId="2" fillId="0" borderId="0" xfId="0" quotePrefix="1" applyFont="1" applyAlignment="1">
      <alignment horizontal="right"/>
    </xf>
    <xf numFmtId="0" fontId="2" fillId="0" borderId="0" xfId="0" applyFont="1" applyAlignment="1">
      <alignment horizontal="left" wrapText="1"/>
    </xf>
    <xf numFmtId="173" fontId="0" fillId="0" borderId="0" xfId="0" applyNumberFormat="1" applyAlignment="1">
      <alignment horizontal="center"/>
    </xf>
    <xf numFmtId="203" fontId="0" fillId="0" borderId="0" xfId="2" quotePrefix="1" applyNumberFormat="1" applyFont="1" applyAlignment="1">
      <alignment vertical="top" wrapText="1"/>
    </xf>
    <xf numFmtId="44" fontId="2" fillId="0" borderId="0" xfId="2" applyNumberFormat="1" applyFont="1" applyAlignment="1">
      <alignment horizontal="center" vertical="top" wrapText="1"/>
    </xf>
    <xf numFmtId="0" fontId="2" fillId="0" borderId="0" xfId="0" applyFont="1" applyAlignment="1">
      <alignment horizontal="left"/>
    </xf>
    <xf numFmtId="0" fontId="2" fillId="0" borderId="0" xfId="0" applyFont="1" applyAlignment="1">
      <alignment horizontal="right"/>
    </xf>
    <xf numFmtId="9" fontId="2" fillId="0" borderId="1" xfId="0" quotePrefix="1" applyNumberFormat="1" applyFont="1" applyBorder="1" applyAlignment="1">
      <alignment horizontal="center"/>
    </xf>
    <xf numFmtId="0" fontId="7" fillId="0" borderId="0" xfId="0" applyFont="1" applyAlignment="1">
      <alignment horizontal="left" wrapText="1"/>
    </xf>
    <xf numFmtId="167" fontId="0" fillId="0" borderId="0" xfId="1" applyNumberFormat="1" applyFont="1" applyAlignment="1">
      <alignment horizontal="right"/>
    </xf>
    <xf numFmtId="0" fontId="5" fillId="0" borderId="0" xfId="0" applyFont="1" applyAlignment="1">
      <alignment horizontal="right"/>
    </xf>
    <xf numFmtId="0" fontId="4" fillId="0" borderId="0" xfId="0" applyFont="1"/>
    <xf numFmtId="189" fontId="0" fillId="0" borderId="0" xfId="0" quotePrefix="1" applyNumberFormat="1" applyAlignment="1">
      <alignment horizontal="center"/>
    </xf>
    <xf numFmtId="8" fontId="0" fillId="0" borderId="0" xfId="0" quotePrefix="1" applyNumberFormat="1" applyAlignment="1">
      <alignment horizontal="center"/>
    </xf>
    <xf numFmtId="0" fontId="4" fillId="0" borderId="1" xfId="0" quotePrefix="1" applyFont="1" applyBorder="1" applyAlignment="1">
      <alignment wrapText="1"/>
    </xf>
    <xf numFmtId="180" fontId="0" fillId="0" borderId="0" xfId="2" applyNumberFormat="1" applyFont="1" applyAlignment="1">
      <alignment horizontal="center"/>
    </xf>
    <xf numFmtId="7" fontId="0" fillId="0" borderId="0" xfId="2" applyNumberFormat="1" applyFont="1"/>
    <xf numFmtId="180" fontId="2" fillId="0" borderId="0" xfId="0" applyNumberFormat="1" applyFont="1" applyAlignment="1">
      <alignment horizontal="center" wrapText="1"/>
    </xf>
    <xf numFmtId="180" fontId="3" fillId="0" borderId="0" xfId="2" applyNumberFormat="1" applyFont="1" applyBorder="1" applyAlignment="1">
      <alignment horizontal="center" wrapText="1"/>
    </xf>
    <xf numFmtId="180" fontId="2" fillId="0" borderId="0" xfId="0" applyNumberFormat="1" applyFont="1" applyAlignment="1">
      <alignment horizontal="left" wrapText="1"/>
    </xf>
    <xf numFmtId="180" fontId="2" fillId="0" borderId="0" xfId="0" applyNumberFormat="1" applyFont="1" applyAlignment="1">
      <alignment horizontal="left"/>
    </xf>
    <xf numFmtId="180" fontId="0" fillId="0" borderId="0" xfId="0" applyNumberFormat="1"/>
    <xf numFmtId="180" fontId="2" fillId="0" borderId="0" xfId="0" applyNumberFormat="1" applyFont="1" applyAlignment="1">
      <alignment horizontal="center"/>
    </xf>
    <xf numFmtId="180" fontId="0" fillId="0" borderId="0" xfId="2" quotePrefix="1" applyNumberFormat="1" applyFont="1" applyAlignment="1">
      <alignment horizontal="center" vertical="top" wrapText="1"/>
    </xf>
    <xf numFmtId="180" fontId="0" fillId="0" borderId="0" xfId="2" quotePrefix="1" applyNumberFormat="1" applyFont="1" applyAlignment="1">
      <alignment vertical="top" wrapText="1"/>
    </xf>
    <xf numFmtId="180" fontId="0" fillId="0" borderId="0" xfId="0" applyNumberFormat="1" applyAlignment="1">
      <alignment horizontal="center"/>
    </xf>
    <xf numFmtId="180" fontId="0" fillId="0" borderId="0" xfId="2" applyNumberFormat="1" applyFont="1"/>
    <xf numFmtId="180" fontId="0" fillId="0" borderId="0" xfId="1" applyNumberFormat="1" applyFont="1" applyAlignment="1">
      <alignment horizontal="center"/>
    </xf>
    <xf numFmtId="167" fontId="0" fillId="0" borderId="0" xfId="1" applyNumberFormat="1" applyFont="1" applyAlignment="1">
      <alignment horizontal="center" wrapText="1"/>
    </xf>
    <xf numFmtId="0" fontId="7" fillId="0" borderId="0" xfId="0" applyFont="1" applyAlignment="1">
      <alignment horizontal="left" vertical="top" wrapText="1"/>
    </xf>
    <xf numFmtId="0" fontId="6" fillId="0" borderId="0" xfId="0" quotePrefix="1" applyFont="1"/>
    <xf numFmtId="0" fontId="4" fillId="0" borderId="0" xfId="0" applyFont="1" applyBorder="1" applyAlignment="1">
      <alignment horizontal="center"/>
    </xf>
    <xf numFmtId="0" fontId="5" fillId="0" borderId="0" xfId="0" applyNumberFormat="1" applyFont="1" applyAlignment="1">
      <alignment horizontal="right"/>
    </xf>
    <xf numFmtId="0" fontId="7" fillId="0" borderId="0" xfId="0" applyFont="1" applyAlignment="1">
      <alignment horizontal="center" wrapText="1"/>
    </xf>
    <xf numFmtId="0" fontId="6" fillId="0" borderId="0" xfId="0" applyFont="1" applyAlignment="1">
      <alignment vertical="top" wrapText="1"/>
    </xf>
    <xf numFmtId="0" fontId="7" fillId="0" borderId="1" xfId="0" applyFont="1" applyBorder="1" applyAlignment="1">
      <alignment horizontal="center" wrapText="1"/>
    </xf>
    <xf numFmtId="0" fontId="6" fillId="0" borderId="0" xfId="0" quotePrefix="1" applyFont="1" applyAlignment="1">
      <alignment horizontal="left" wrapText="1"/>
    </xf>
    <xf numFmtId="0" fontId="7" fillId="0" borderId="0" xfId="0" quotePrefix="1" applyFont="1" applyAlignment="1">
      <alignment wrapText="1"/>
    </xf>
    <xf numFmtId="0" fontId="7" fillId="0" borderId="0" xfId="0" quotePrefix="1" applyFont="1" applyAlignment="1">
      <alignment horizontal="right" wrapText="1"/>
    </xf>
    <xf numFmtId="0" fontId="7" fillId="0" borderId="0" xfId="0" quotePrefix="1" applyFont="1" applyAlignment="1">
      <alignment horizontal="left" wrapText="1"/>
    </xf>
    <xf numFmtId="191" fontId="6" fillId="0" borderId="0" xfId="0" quotePrefix="1" applyNumberFormat="1" applyFont="1" applyAlignment="1">
      <alignment vertical="top" wrapText="1"/>
    </xf>
    <xf numFmtId="0" fontId="6" fillId="0" borderId="0" xfId="0" applyFont="1" applyAlignment="1">
      <alignment horizontal="center"/>
    </xf>
    <xf numFmtId="0" fontId="6" fillId="0" borderId="0" xfId="0" applyFont="1" applyBorder="1" applyAlignment="1">
      <alignment horizontal="center" wrapText="1"/>
    </xf>
    <xf numFmtId="0" fontId="6" fillId="0" borderId="0" xfId="0" applyFont="1" applyAlignment="1">
      <alignment horizontal="center" wrapText="1"/>
    </xf>
    <xf numFmtId="0" fontId="6" fillId="0" borderId="0" xfId="0" quotePrefix="1" applyFont="1" applyAlignment="1">
      <alignment wrapText="1"/>
    </xf>
    <xf numFmtId="167" fontId="6" fillId="0" borderId="0" xfId="1" applyNumberFormat="1" applyFont="1"/>
    <xf numFmtId="0" fontId="5" fillId="0" borderId="0" xfId="0" applyFont="1" applyBorder="1" applyAlignment="1">
      <alignment horizontal="right"/>
    </xf>
    <xf numFmtId="167" fontId="0" fillId="0" borderId="0" xfId="1" applyNumberFormat="1" applyFont="1" applyBorder="1" applyAlignment="1">
      <alignment horizontal="right"/>
    </xf>
    <xf numFmtId="0" fontId="5" fillId="0" borderId="0" xfId="0" quotePrefix="1" applyFont="1" applyAlignment="1">
      <alignment horizontal="center"/>
    </xf>
    <xf numFmtId="0" fontId="5" fillId="0" borderId="0" xfId="0" applyFont="1" applyAlignment="1">
      <alignment horizontal="center"/>
    </xf>
    <xf numFmtId="0" fontId="6" fillId="0" borderId="0" xfId="0" applyFont="1" applyAlignment="1">
      <alignment horizontal="left" vertical="top" wrapText="1"/>
    </xf>
    <xf numFmtId="0" fontId="3" fillId="0" borderId="0" xfId="0" applyFont="1" applyAlignment="1">
      <alignment horizontal="center"/>
    </xf>
    <xf numFmtId="0" fontId="3" fillId="0" borderId="0" xfId="0" quotePrefix="1" applyFont="1" applyAlignment="1">
      <alignment horizontal="left"/>
    </xf>
    <xf numFmtId="0" fontId="6" fillId="0" borderId="0" xfId="0" quotePrefix="1" applyFont="1" applyAlignment="1">
      <alignment horizontal="right"/>
    </xf>
    <xf numFmtId="0" fontId="5" fillId="0" borderId="0" xfId="0" applyFont="1" applyAlignment="1">
      <alignment horizontal="center" wrapText="1"/>
    </xf>
    <xf numFmtId="203" fontId="0" fillId="0" borderId="0" xfId="2" applyNumberFormat="1" applyFont="1"/>
    <xf numFmtId="203" fontId="0" fillId="0" borderId="3" xfId="2" applyNumberFormat="1" applyFont="1" applyBorder="1" applyAlignment="1">
      <alignment horizontal="center"/>
    </xf>
    <xf numFmtId="168" fontId="6" fillId="0" borderId="0" xfId="0" applyNumberFormat="1" applyFont="1" applyBorder="1" applyAlignment="1">
      <alignment vertical="justify"/>
    </xf>
    <xf numFmtId="0" fontId="6" fillId="0" borderId="0" xfId="0" applyFont="1" applyBorder="1" applyAlignment="1"/>
    <xf numFmtId="178" fontId="7" fillId="0" borderId="4" xfId="0" applyNumberFormat="1" applyFont="1" applyBorder="1" applyAlignment="1"/>
    <xf numFmtId="0" fontId="4" fillId="0" borderId="1" xfId="0" applyFont="1" applyBorder="1" applyAlignment="1">
      <alignment horizontal="right"/>
    </xf>
    <xf numFmtId="0" fontId="9" fillId="0" borderId="0" xfId="0" applyFont="1" applyBorder="1" applyAlignment="1">
      <alignment horizontal="center" wrapText="1"/>
    </xf>
    <xf numFmtId="0" fontId="9" fillId="0" borderId="0" xfId="0" applyFont="1" applyAlignment="1">
      <alignment horizontal="center" wrapText="1"/>
    </xf>
    <xf numFmtId="0" fontId="4" fillId="0" borderId="0" xfId="0" applyFont="1" applyBorder="1" applyAlignment="1">
      <alignment horizontal="center" vertical="top" wrapText="1"/>
    </xf>
    <xf numFmtId="0" fontId="5" fillId="0" borderId="0" xfId="0" applyFont="1" applyAlignment="1">
      <alignment horizontal="left" wrapText="1"/>
    </xf>
    <xf numFmtId="5" fontId="0" fillId="0" borderId="0" xfId="2" applyNumberFormat="1" applyFont="1"/>
    <xf numFmtId="173" fontId="0" fillId="0" borderId="0" xfId="0" applyNumberFormat="1"/>
    <xf numFmtId="7" fontId="0" fillId="0" borderId="0" xfId="2" applyNumberFormat="1" applyFont="1" applyAlignment="1">
      <alignment horizontal="right"/>
    </xf>
    <xf numFmtId="0" fontId="7" fillId="0" borderId="0" xfId="0" quotePrefix="1" applyFont="1" applyAlignment="1">
      <alignment horizontal="left" vertical="top" wrapText="1"/>
    </xf>
    <xf numFmtId="0" fontId="6" fillId="0" borderId="0" xfId="0" quotePrefix="1" applyFont="1" applyAlignment="1">
      <alignment horizontal="left" vertical="top" wrapText="1"/>
    </xf>
    <xf numFmtId="167" fontId="6" fillId="0" borderId="0" xfId="1" quotePrefix="1" applyNumberFormat="1" applyFont="1" applyAlignment="1">
      <alignment vertical="top" wrapText="1"/>
    </xf>
    <xf numFmtId="43" fontId="0" fillId="0" borderId="0" xfId="1" applyFont="1"/>
    <xf numFmtId="167" fontId="0" fillId="0" borderId="0" xfId="0" applyNumberFormat="1"/>
    <xf numFmtId="167" fontId="6" fillId="0" borderId="1" xfId="1" quotePrefix="1" applyNumberFormat="1" applyFont="1" applyBorder="1" applyAlignment="1">
      <alignment vertical="top" wrapText="1"/>
    </xf>
    <xf numFmtId="0" fontId="0" fillId="0" borderId="0" xfId="0" applyNumberFormat="1" applyBorder="1"/>
    <xf numFmtId="167" fontId="6" fillId="0" borderId="0" xfId="1" applyNumberFormat="1" applyFont="1" applyBorder="1" applyAlignment="1">
      <alignment horizontal="center"/>
    </xf>
    <xf numFmtId="44" fontId="6" fillId="0" borderId="0" xfId="2" applyFont="1" applyAlignment="1">
      <alignment horizontal="center"/>
    </xf>
    <xf numFmtId="2" fontId="6" fillId="0" borderId="0" xfId="0" applyNumberFormat="1" applyFont="1" applyBorder="1" applyAlignment="1">
      <alignment horizontal="center" wrapText="1"/>
    </xf>
    <xf numFmtId="167" fontId="6" fillId="0" borderId="0" xfId="1" applyNumberFormat="1" applyFont="1" applyBorder="1" applyAlignment="1">
      <alignment horizontal="center" wrapText="1"/>
    </xf>
    <xf numFmtId="44" fontId="6" fillId="0" borderId="0" xfId="2" applyFont="1"/>
    <xf numFmtId="186" fontId="6" fillId="0" borderId="0" xfId="2" applyNumberFormat="1" applyFont="1" applyAlignment="1">
      <alignment horizontal="center"/>
    </xf>
    <xf numFmtId="44" fontId="6" fillId="0" borderId="0" xfId="2" quotePrefix="1" applyFont="1" applyAlignment="1">
      <alignment vertical="top" wrapText="1"/>
    </xf>
    <xf numFmtId="167" fontId="6" fillId="0" borderId="2" xfId="1" applyNumberFormat="1" applyFont="1" applyBorder="1" applyAlignment="1">
      <alignment horizontal="right"/>
    </xf>
    <xf numFmtId="202" fontId="6" fillId="0" borderId="0" xfId="2" applyNumberFormat="1" applyFont="1" applyBorder="1" applyAlignment="1">
      <alignment horizontal="center" wrapText="1"/>
    </xf>
    <xf numFmtId="202" fontId="6" fillId="0" borderId="0" xfId="2" applyNumberFormat="1" applyFont="1"/>
    <xf numFmtId="202" fontId="6" fillId="0" borderId="0" xfId="2" quotePrefix="1" applyNumberFormat="1" applyFont="1" applyAlignment="1">
      <alignment vertical="top" wrapText="1"/>
    </xf>
    <xf numFmtId="0" fontId="6" fillId="0" borderId="0" xfId="0" applyNumberFormat="1" applyFont="1" applyAlignment="1">
      <alignment horizontal="center"/>
    </xf>
    <xf numFmtId="171" fontId="6" fillId="0" borderId="0" xfId="0" applyNumberFormat="1" applyFont="1" applyAlignment="1">
      <alignment horizontal="center"/>
    </xf>
    <xf numFmtId="226" fontId="7" fillId="0" borderId="5" xfId="0" applyNumberFormat="1" applyFont="1" applyBorder="1" applyAlignment="1">
      <alignment horizontal="center"/>
    </xf>
    <xf numFmtId="0" fontId="6" fillId="0" borderId="0" xfId="0" quotePrefix="1" applyNumberFormat="1" applyFont="1"/>
    <xf numFmtId="0" fontId="7" fillId="0" borderId="0" xfId="0" quotePrefix="1" applyFont="1" applyAlignment="1">
      <alignment horizontal="center" wrapText="1"/>
    </xf>
    <xf numFmtId="0" fontId="4" fillId="0" borderId="1" xfId="0" applyFont="1" applyBorder="1" applyAlignment="1">
      <alignment horizontal="center" vertical="top" wrapText="1"/>
    </xf>
    <xf numFmtId="167" fontId="6" fillId="0" borderId="0" xfId="1" quotePrefix="1" applyNumberFormat="1" applyFont="1" applyAlignment="1">
      <alignment horizontal="right" vertical="top" wrapText="1"/>
    </xf>
    <xf numFmtId="0" fontId="6" fillId="0" borderId="0" xfId="0" quotePrefix="1" applyFont="1" applyAlignment="1">
      <alignment horizontal="center" wrapText="1"/>
    </xf>
    <xf numFmtId="167" fontId="6" fillId="0" borderId="0" xfId="1" quotePrefix="1" applyNumberFormat="1" applyFont="1" applyAlignment="1">
      <alignment horizontal="left" vertical="top" wrapText="1"/>
    </xf>
    <xf numFmtId="0" fontId="7" fillId="0" borderId="1" xfId="0" quotePrefix="1" applyFont="1" applyBorder="1" applyAlignment="1">
      <alignment horizontal="center"/>
    </xf>
    <xf numFmtId="39" fontId="4" fillId="0" borderId="1" xfId="0" applyNumberFormat="1" applyFont="1" applyBorder="1" applyAlignment="1">
      <alignment horizontal="center" wrapText="1"/>
    </xf>
    <xf numFmtId="7" fontId="0" fillId="0" borderId="0" xfId="0" applyNumberFormat="1"/>
    <xf numFmtId="43" fontId="0" fillId="0" borderId="0" xfId="1" applyNumberFormat="1" applyFont="1"/>
    <xf numFmtId="7" fontId="0" fillId="0" borderId="0" xfId="1" applyNumberFormat="1" applyFont="1" applyAlignment="1">
      <alignment horizontal="right"/>
    </xf>
    <xf numFmtId="7" fontId="0" fillId="0" borderId="0" xfId="1" applyNumberFormat="1" applyFont="1"/>
    <xf numFmtId="7" fontId="0" fillId="0" borderId="1" xfId="0" applyNumberFormat="1" applyBorder="1"/>
    <xf numFmtId="0" fontId="7" fillId="0" borderId="1" xfId="0" applyFont="1" applyBorder="1" applyAlignment="1">
      <alignment horizontal="center"/>
    </xf>
    <xf numFmtId="0" fontId="7" fillId="0" borderId="0" xfId="0" quotePrefix="1" applyFont="1"/>
    <xf numFmtId="7" fontId="0" fillId="0" borderId="6" xfId="0" applyNumberFormat="1" applyBorder="1"/>
    <xf numFmtId="39" fontId="4" fillId="0" borderId="1" xfId="0" quotePrefix="1" applyNumberFormat="1" applyFont="1" applyBorder="1" applyAlignment="1">
      <alignment horizontal="center" wrapText="1"/>
    </xf>
    <xf numFmtId="0" fontId="0" fillId="0" borderId="0" xfId="0" quotePrefix="1" applyAlignment="1">
      <alignment horizontal="center"/>
    </xf>
    <xf numFmtId="7" fontId="0" fillId="0" borderId="4" xfId="0" applyNumberFormat="1" applyBorder="1"/>
    <xf numFmtId="7" fontId="3" fillId="0" borderId="0" xfId="2" applyNumberFormat="1" applyFont="1" applyAlignment="1">
      <alignment wrapText="1"/>
    </xf>
    <xf numFmtId="7" fontId="3" fillId="0" borderId="1" xfId="2" applyNumberFormat="1" applyFont="1" applyBorder="1" applyAlignment="1">
      <alignment wrapText="1"/>
    </xf>
    <xf numFmtId="7" fontId="0" fillId="0" borderId="2" xfId="2" applyNumberFormat="1" applyFont="1" applyBorder="1" applyAlignment="1">
      <alignment wrapText="1"/>
    </xf>
    <xf numFmtId="7" fontId="0" fillId="0" borderId="1" xfId="2" applyNumberFormat="1" applyFont="1" applyBorder="1" applyAlignment="1">
      <alignment wrapText="1"/>
    </xf>
    <xf numFmtId="7" fontId="3" fillId="0" borderId="2" xfId="2" applyNumberFormat="1" applyFont="1" applyBorder="1"/>
    <xf numFmtId="7" fontId="0" fillId="0" borderId="1" xfId="2" applyNumberFormat="1" applyFont="1" applyBorder="1" applyAlignment="1">
      <alignment horizontal="right"/>
    </xf>
    <xf numFmtId="7" fontId="0" fillId="0" borderId="0" xfId="2" applyNumberFormat="1" applyFont="1" applyBorder="1" applyAlignment="1">
      <alignment horizontal="right"/>
    </xf>
    <xf numFmtId="7" fontId="6" fillId="0" borderId="0" xfId="0" quotePrefix="1" applyNumberFormat="1" applyFont="1" applyAlignment="1">
      <alignment horizontal="center" wrapText="1"/>
    </xf>
    <xf numFmtId="174" fontId="0" fillId="0" borderId="0" xfId="0" applyNumberFormat="1"/>
    <xf numFmtId="7" fontId="3" fillId="0" borderId="0" xfId="0" applyNumberFormat="1" applyFont="1" applyAlignment="1">
      <alignment horizontal="center" wrapText="1"/>
    </xf>
    <xf numFmtId="8" fontId="3" fillId="0" borderId="0" xfId="0" applyNumberFormat="1" applyFont="1" applyAlignment="1">
      <alignment horizontal="center" wrapText="1"/>
    </xf>
    <xf numFmtId="167" fontId="0" fillId="2" borderId="0" xfId="1" applyNumberFormat="1" applyFont="1" applyFill="1"/>
    <xf numFmtId="167" fontId="3" fillId="2" borderId="0" xfId="1" applyNumberFormat="1" applyFont="1" applyFill="1" applyAlignment="1">
      <alignment horizontal="right"/>
    </xf>
    <xf numFmtId="0" fontId="0" fillId="2" borderId="0" xfId="0" applyFill="1"/>
    <xf numFmtId="0" fontId="0" fillId="2" borderId="0" xfId="0" applyFill="1" applyAlignment="1">
      <alignment horizontal="right"/>
    </xf>
    <xf numFmtId="7" fontId="0" fillId="2" borderId="0" xfId="0" applyNumberFormat="1" applyFill="1"/>
    <xf numFmtId="194" fontId="0" fillId="2" borderId="0" xfId="1" applyNumberFormat="1" applyFont="1" applyFill="1" applyAlignment="1">
      <alignment horizontal="right"/>
    </xf>
    <xf numFmtId="0" fontId="0" fillId="2" borderId="0" xfId="1" applyNumberFormat="1" applyFont="1" applyFill="1" applyAlignment="1">
      <alignment horizontal="center"/>
    </xf>
    <xf numFmtId="167" fontId="0" fillId="2" borderId="0" xfId="1" applyNumberFormat="1" applyFont="1" applyFill="1" applyAlignment="1">
      <alignment horizontal="center"/>
    </xf>
    <xf numFmtId="44" fontId="0" fillId="0" borderId="0" xfId="2" applyFont="1"/>
    <xf numFmtId="0" fontId="11" fillId="0" borderId="0" xfId="0" quotePrefix="1" applyFont="1"/>
    <xf numFmtId="167" fontId="0" fillId="0" borderId="0" xfId="1" applyNumberFormat="1" applyFont="1" applyFill="1"/>
    <xf numFmtId="0" fontId="0" fillId="2" borderId="0" xfId="0" applyFill="1" applyAlignment="1">
      <alignment horizontal="center"/>
    </xf>
    <xf numFmtId="194" fontId="0" fillId="2" borderId="0" xfId="0" applyNumberFormat="1" applyFill="1" applyAlignment="1">
      <alignment horizontal="center"/>
    </xf>
    <xf numFmtId="2" fontId="0" fillId="2" borderId="0" xfId="0" applyNumberFormat="1" applyFill="1" applyAlignment="1">
      <alignment horizontal="center"/>
    </xf>
    <xf numFmtId="178" fontId="0" fillId="2" borderId="0" xfId="0" applyNumberFormat="1" applyFill="1" applyAlignment="1">
      <alignment horizontal="center"/>
    </xf>
    <xf numFmtId="0" fontId="0" fillId="0" borderId="0" xfId="0" applyFill="1" applyAlignment="1">
      <alignment horizontal="right"/>
    </xf>
    <xf numFmtId="240" fontId="0" fillId="2" borderId="0" xfId="1" applyNumberFormat="1" applyFont="1" applyFill="1" applyAlignment="1">
      <alignment horizontal="right"/>
    </xf>
    <xf numFmtId="167" fontId="0" fillId="0" borderId="0" xfId="1" applyNumberFormat="1" applyFont="1" applyFill="1" applyAlignment="1">
      <alignment horizontal="right"/>
    </xf>
    <xf numFmtId="167" fontId="0" fillId="2" borderId="0" xfId="1" applyNumberFormat="1" applyFont="1" applyFill="1" applyAlignment="1">
      <alignment horizontal="right"/>
    </xf>
    <xf numFmtId="0" fontId="6" fillId="2" borderId="0" xfId="0" applyFont="1" applyFill="1"/>
    <xf numFmtId="167" fontId="3" fillId="2" borderId="0" xfId="1" applyNumberFormat="1" applyFont="1" applyFill="1"/>
    <xf numFmtId="168" fontId="6" fillId="2" borderId="0" xfId="0" applyNumberFormat="1" applyFont="1" applyFill="1" applyAlignment="1">
      <alignment vertical="justify"/>
    </xf>
    <xf numFmtId="167" fontId="6" fillId="2" borderId="0" xfId="1" applyNumberFormat="1" applyFont="1" applyFill="1" applyAlignment="1">
      <alignment horizontal="left" wrapText="1"/>
    </xf>
    <xf numFmtId="171" fontId="6" fillId="2" borderId="0" xfId="0" applyNumberFormat="1" applyFont="1" applyFill="1" applyAlignment="1">
      <alignment horizontal="center"/>
    </xf>
    <xf numFmtId="9" fontId="0" fillId="0" borderId="0" xfId="3" applyFont="1"/>
    <xf numFmtId="9" fontId="0" fillId="0" borderId="0" xfId="0" applyNumberFormat="1"/>
    <xf numFmtId="230" fontId="0" fillId="0" borderId="0" xfId="0" applyNumberFormat="1"/>
    <xf numFmtId="171" fontId="6" fillId="2" borderId="0" xfId="0" applyNumberFormat="1" applyFont="1" applyFill="1" applyBorder="1" applyAlignment="1">
      <alignment horizontal="center"/>
    </xf>
    <xf numFmtId="171" fontId="6" fillId="2" borderId="1" xfId="0" applyNumberFormat="1" applyFont="1" applyFill="1" applyBorder="1" applyAlignment="1">
      <alignment horizontal="center"/>
    </xf>
    <xf numFmtId="167" fontId="6" fillId="2" borderId="0" xfId="1" applyNumberFormat="1" applyFont="1" applyFill="1"/>
    <xf numFmtId="167" fontId="6" fillId="2" borderId="0" xfId="1" applyNumberFormat="1" applyFont="1" applyFill="1" applyAlignment="1">
      <alignment horizontal="center"/>
    </xf>
    <xf numFmtId="7" fontId="0" fillId="2" borderId="0" xfId="1" applyNumberFormat="1" applyFont="1" applyFill="1" applyAlignment="1">
      <alignment horizontal="right"/>
    </xf>
    <xf numFmtId="7" fontId="0" fillId="2" borderId="0" xfId="1" applyNumberFormat="1" applyFont="1" applyFill="1" applyAlignment="1">
      <alignment horizontal="center"/>
    </xf>
    <xf numFmtId="167" fontId="6" fillId="2" borderId="0" xfId="1" applyNumberFormat="1" applyFont="1" applyFill="1" applyAlignment="1"/>
    <xf numFmtId="167" fontId="6" fillId="2" borderId="0" xfId="1" applyNumberFormat="1" applyFont="1" applyFill="1" applyAlignment="1">
      <alignment horizontal="right"/>
    </xf>
    <xf numFmtId="17" fontId="6" fillId="2" borderId="0" xfId="0" quotePrefix="1" applyNumberFormat="1" applyFont="1" applyFill="1" applyAlignment="1">
      <alignment horizontal="center" wrapText="1"/>
    </xf>
    <xf numFmtId="167" fontId="6" fillId="2" borderId="0" xfId="1" applyNumberFormat="1" applyFont="1" applyFill="1" applyBorder="1" applyAlignment="1">
      <alignment horizontal="right" wrapText="1"/>
    </xf>
    <xf numFmtId="178" fontId="12" fillId="0" borderId="0" xfId="0" applyNumberFormat="1" applyFont="1" applyAlignment="1">
      <alignment horizontal="center"/>
    </xf>
    <xf numFmtId="213" fontId="0" fillId="0" borderId="0" xfId="0" applyNumberFormat="1"/>
    <xf numFmtId="192" fontId="0" fillId="0" borderId="0" xfId="2" applyNumberFormat="1" applyFont="1" applyAlignment="1">
      <alignment horizontal="right"/>
    </xf>
    <xf numFmtId="0" fontId="0" fillId="0" borderId="0" xfId="0" quotePrefix="1" applyAlignment="1">
      <alignment horizontal="right"/>
    </xf>
    <xf numFmtId="0" fontId="0" fillId="0" borderId="0" xfId="1" applyNumberFormat="1" applyFont="1" applyFill="1" applyAlignment="1">
      <alignment horizontal="right"/>
    </xf>
    <xf numFmtId="226" fontId="2" fillId="0" borderId="0" xfId="0" applyNumberFormat="1" applyFont="1"/>
    <xf numFmtId="226" fontId="0" fillId="0" borderId="0" xfId="0" applyNumberFormat="1"/>
    <xf numFmtId="15" fontId="0" fillId="0" borderId="0" xfId="0" quotePrefix="1" applyNumberFormat="1" applyAlignment="1">
      <alignment horizontal="left"/>
    </xf>
    <xf numFmtId="15" fontId="0" fillId="0" borderId="0" xfId="0" applyNumberFormat="1" applyAlignment="1">
      <alignment horizontal="left"/>
    </xf>
    <xf numFmtId="0" fontId="5" fillId="0" borderId="0" xfId="0" applyFont="1" applyAlignment="1">
      <alignment horizontal="right"/>
    </xf>
    <xf numFmtId="0" fontId="6" fillId="0" borderId="0" xfId="0" applyFont="1" applyAlignment="1">
      <alignment horizontal="left" vertical="top" wrapText="1"/>
    </xf>
    <xf numFmtId="0" fontId="4" fillId="0" borderId="0" xfId="0" applyFont="1" applyBorder="1" applyAlignment="1">
      <alignment horizontal="left" wrapText="1"/>
    </xf>
    <xf numFmtId="0" fontId="6" fillId="0" borderId="0" xfId="0" applyFont="1" applyAlignment="1">
      <alignment horizontal="left" wrapText="1"/>
    </xf>
    <xf numFmtId="0" fontId="5" fillId="0" borderId="0" xfId="0" applyFont="1" applyAlignment="1">
      <alignment horizontal="left" wrapText="1"/>
    </xf>
    <xf numFmtId="0" fontId="6" fillId="0" borderId="0" xfId="0" quotePrefix="1" applyFont="1" applyAlignment="1">
      <alignment horizontal="left" wrapText="1"/>
    </xf>
    <xf numFmtId="0" fontId="7" fillId="0" borderId="0" xfId="0" applyFont="1" applyAlignment="1">
      <alignment horizontal="left" wrapText="1"/>
    </xf>
    <xf numFmtId="0" fontId="7" fillId="0" borderId="0" xfId="0" quotePrefix="1" applyFont="1" applyAlignment="1">
      <alignment horizontal="left" wrapText="1"/>
    </xf>
    <xf numFmtId="0" fontId="6" fillId="0" borderId="0" xfId="0" quotePrefix="1" applyFont="1" applyAlignment="1">
      <alignment horizontal="right" wrapText="1"/>
    </xf>
    <xf numFmtId="0" fontId="7" fillId="0" borderId="0" xfId="0" quotePrefix="1" applyFont="1" applyAlignment="1">
      <alignment horizontal="left" vertical="top" wrapText="1"/>
    </xf>
    <xf numFmtId="0" fontId="7" fillId="0" borderId="0" xfId="0" applyFont="1" applyAlignment="1">
      <alignment horizontal="left" vertical="top" wrapText="1"/>
    </xf>
    <xf numFmtId="0" fontId="6" fillId="0" borderId="0" xfId="0" quotePrefix="1" applyFont="1" applyAlignment="1">
      <alignment horizontal="left" vertical="top" wrapText="1"/>
    </xf>
    <xf numFmtId="0" fontId="0" fillId="0" borderId="0" xfId="0" applyAlignment="1">
      <alignment horizontal="left" wrapText="1"/>
    </xf>
    <xf numFmtId="0" fontId="4" fillId="0" borderId="1" xfId="0" applyFont="1" applyBorder="1" applyAlignment="1">
      <alignment horizontal="center" wrapText="1"/>
    </xf>
    <xf numFmtId="0" fontId="7" fillId="0" borderId="0" xfId="0" applyFont="1" applyAlignment="1">
      <alignment vertical="top" wrapText="1"/>
    </xf>
    <xf numFmtId="0" fontId="6" fillId="0" borderId="0" xfId="0" applyFont="1" applyAlignment="1">
      <alignment vertical="top" wrapText="1"/>
    </xf>
    <xf numFmtId="0" fontId="7" fillId="0" borderId="0" xfId="0" quotePrefix="1" applyFont="1" applyAlignment="1">
      <alignment vertical="top" wrapText="1"/>
    </xf>
    <xf numFmtId="0" fontId="7" fillId="0" borderId="1" xfId="0" applyFont="1" applyBorder="1" applyAlignment="1">
      <alignment horizontal="center" wrapText="1"/>
    </xf>
    <xf numFmtId="0" fontId="7" fillId="0" borderId="0" xfId="0" quotePrefix="1" applyFont="1" applyAlignment="1">
      <alignment wrapText="1"/>
    </xf>
    <xf numFmtId="0" fontId="6" fillId="0" borderId="0" xfId="0" quotePrefix="1" applyFont="1" applyAlignment="1">
      <alignment wrapText="1"/>
    </xf>
    <xf numFmtId="0" fontId="6" fillId="0" borderId="0" xfId="0" quotePrefix="1" applyFont="1" applyAlignment="1">
      <alignment vertical="top" wrapText="1"/>
    </xf>
    <xf numFmtId="0" fontId="4" fillId="0" borderId="0" xfId="0" applyFont="1" applyAlignment="1">
      <alignment horizontal="center" wrapText="1"/>
    </xf>
    <xf numFmtId="0" fontId="10" fillId="0" borderId="0" xfId="0" quotePrefix="1" applyFont="1" applyAlignment="1">
      <alignment horizontal="left" wrapText="1"/>
    </xf>
    <xf numFmtId="0" fontId="10" fillId="0" borderId="0" xfId="0" applyFont="1" applyAlignment="1">
      <alignment horizontal="left" wrapText="1"/>
    </xf>
    <xf numFmtId="0" fontId="10" fillId="0" borderId="0" xfId="0" applyFont="1" applyBorder="1" applyAlignment="1">
      <alignment horizontal="left"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30"/>
  <sheetViews>
    <sheetView topLeftCell="A5" workbookViewId="0">
      <selection activeCell="H14" sqref="H14"/>
    </sheetView>
  </sheetViews>
  <sheetFormatPr defaultRowHeight="12.75" x14ac:dyDescent="0.2"/>
  <cols>
    <col min="1" max="1" width="9.28515625" customWidth="1"/>
    <col min="8" max="8" width="15.28515625" customWidth="1"/>
  </cols>
  <sheetData>
    <row r="2" spans="2:8" x14ac:dyDescent="0.2">
      <c r="B2" s="1" t="s">
        <v>148</v>
      </c>
    </row>
    <row r="3" spans="2:8" x14ac:dyDescent="0.2">
      <c r="B3" s="1" t="s">
        <v>25</v>
      </c>
    </row>
    <row r="4" spans="2:8" x14ac:dyDescent="0.2">
      <c r="B4" s="1" t="s">
        <v>2</v>
      </c>
    </row>
    <row r="5" spans="2:8" x14ac:dyDescent="0.2">
      <c r="B5" s="1" t="s">
        <v>65</v>
      </c>
    </row>
    <row r="6" spans="2:8" x14ac:dyDescent="0.2">
      <c r="B6" s="1"/>
    </row>
    <row r="7" spans="2:8" x14ac:dyDescent="0.2">
      <c r="B7" s="1"/>
    </row>
    <row r="8" spans="2:8" x14ac:dyDescent="0.2">
      <c r="B8" s="1" t="s">
        <v>239</v>
      </c>
      <c r="H8" s="172">
        <f>IF(('1st Cargo Input'!J6&gt;40000),('1st Cargo Input'!J6-40000)*'Adjustment Factor'!L9,0)</f>
        <v>0</v>
      </c>
    </row>
    <row r="9" spans="2:8" x14ac:dyDescent="0.2">
      <c r="B9" s="1"/>
      <c r="H9" s="168"/>
    </row>
    <row r="10" spans="2:8" x14ac:dyDescent="0.2">
      <c r="B10" s="1" t="s">
        <v>242</v>
      </c>
      <c r="H10" s="172">
        <f>IF(('1st Cargo Input'!J8&gt;50000),(50000*'Adjustment Factor'!L9*-1),('1st Cargo Input'!J8*'Adjustment Factor'!L9*-1))</f>
        <v>0</v>
      </c>
    </row>
    <row r="11" spans="2:8" x14ac:dyDescent="0.2">
      <c r="B11" s="1"/>
      <c r="H11" s="168"/>
    </row>
    <row r="12" spans="2:8" x14ac:dyDescent="0.2">
      <c r="B12" s="1" t="s">
        <v>150</v>
      </c>
      <c r="H12" s="184">
        <f>IF(AND('1st Cargo Input'!J11="Y",'1st Cargo Input'!J13="Y"),"ERROR",IF(AND('1st Cargo Input'!J11="N",'1st Cargo Input'!J13="N",'1st Cargo Input'!J15&gt;0),"ERROR",IF(AND(Demurrage!I4="Not Applicable",Demurrage!I6="Not Applicable"),"Not Applicable",IF(AND(Demurrage!I4="Not Applicable"),Demurrage!I6,IF(AND(Demurrage!I6="Not Applicable"),Demurrage!I4,"Not Applicable")))))</f>
        <v>451951.6423357664</v>
      </c>
    </row>
    <row r="13" spans="2:8" x14ac:dyDescent="0.2">
      <c r="B13" s="1"/>
      <c r="H13" s="185"/>
    </row>
    <row r="14" spans="2:8" x14ac:dyDescent="0.2">
      <c r="B14" s="1" t="s">
        <v>160</v>
      </c>
      <c r="H14" s="184">
        <f>IF('1st Cargo Input'!J22="Y",('1st Cargo Input'!J18*'1st Cargo Input'!J20*('Commodity Charge'!F18+'Commodity Charge'!F31)),('1st Cargo Input'!J18*'1st Cargo Input'!J20*'Commodity Charge'!F18))</f>
        <v>52246.494343065693</v>
      </c>
    </row>
    <row r="15" spans="2:8" ht="17.25" customHeight="1" x14ac:dyDescent="0.2">
      <c r="B15" s="1" t="s">
        <v>30</v>
      </c>
      <c r="H15" s="168"/>
    </row>
    <row r="16" spans="2:8" ht="17.25" customHeight="1" x14ac:dyDescent="0.2">
      <c r="C16" s="63" t="s">
        <v>66</v>
      </c>
      <c r="H16" s="179">
        <f>'Estimated Monthly Demand Charge'!B6</f>
        <v>1724465.6435310219</v>
      </c>
    </row>
    <row r="17" spans="2:8" ht="15" customHeight="1" x14ac:dyDescent="0.2">
      <c r="C17" t="s">
        <v>67</v>
      </c>
      <c r="H17" s="180">
        <f>'Estimated Monthly Demand Charge'!D6</f>
        <v>190294.91500152065</v>
      </c>
    </row>
    <row r="18" spans="2:8" x14ac:dyDescent="0.2">
      <c r="E18" s="236" t="s">
        <v>94</v>
      </c>
      <c r="F18" s="236"/>
      <c r="G18" s="81"/>
      <c r="H18" s="181">
        <f>SUM(H16:H17)</f>
        <v>1914760.5585325425</v>
      </c>
    </row>
    <row r="19" spans="2:8" x14ac:dyDescent="0.2">
      <c r="B19" s="1" t="s">
        <v>27</v>
      </c>
      <c r="H19" s="87"/>
    </row>
    <row r="20" spans="2:8" x14ac:dyDescent="0.2">
      <c r="C20" s="11" t="s">
        <v>95</v>
      </c>
      <c r="H20" s="182">
        <f>'Commodity Charge'!F7</f>
        <v>9600578.9497073963</v>
      </c>
    </row>
    <row r="21" spans="2:8" x14ac:dyDescent="0.2">
      <c r="C21" t="s">
        <v>241</v>
      </c>
      <c r="H21" s="183">
        <f>H18+H20</f>
        <v>11515339.50823994</v>
      </c>
    </row>
    <row r="22" spans="2:8" x14ac:dyDescent="0.2">
      <c r="H22" s="168"/>
    </row>
    <row r="23" spans="2:8" x14ac:dyDescent="0.2">
      <c r="B23" s="1" t="s">
        <v>234</v>
      </c>
      <c r="H23" s="171">
        <f>'Annual Adjustment'!F57</f>
        <v>1000</v>
      </c>
    </row>
    <row r="24" spans="2:8" ht="21" customHeight="1" thickBot="1" x14ac:dyDescent="0.25">
      <c r="B24" s="1" t="s">
        <v>235</v>
      </c>
      <c r="H24" s="178">
        <f>H8+H10+H12+H14+H21+H23</f>
        <v>12020537.644918771</v>
      </c>
    </row>
    <row r="25" spans="2:8" ht="13.5" thickTop="1" x14ac:dyDescent="0.2"/>
    <row r="30" spans="2:8" x14ac:dyDescent="0.2">
      <c r="B30" s="199"/>
    </row>
  </sheetData>
  <mergeCells count="1">
    <mergeCell ref="E18:F18"/>
  </mergeCells>
  <printOptions headings="1"/>
  <pageMargins left="1.29" right="1.29" top="1.18" bottom="0.51" header="0.86" footer="0.5"/>
  <pageSetup scale="83" orientation="portrait" r:id="rId1"/>
  <headerFooter alignWithMargins="0">
    <oddHeader xml:space="preserve">&amp;L
</oddHeader>
    <oddFooter>&amp;LLNG Sales Contract
&amp;D
&amp;T&amp;CSummary Sheet&amp;R&amp;P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0"/>
  <sheetViews>
    <sheetView topLeftCell="A39" zoomScaleNormal="100" workbookViewId="0">
      <selection activeCell="O10" sqref="O10"/>
    </sheetView>
  </sheetViews>
  <sheetFormatPr defaultRowHeight="12.75" x14ac:dyDescent="0.2"/>
  <cols>
    <col min="1" max="1" width="10.140625" customWidth="1"/>
    <col min="2" max="2" width="9.7109375" customWidth="1"/>
    <col min="3" max="3" width="13.5703125" customWidth="1"/>
    <col min="4" max="4" width="4.7109375" customWidth="1"/>
    <col min="5" max="5" width="9.85546875" customWidth="1"/>
    <col min="6" max="6" width="6.5703125" customWidth="1"/>
    <col min="7" max="7" width="8.7109375" customWidth="1"/>
    <col min="8" max="8" width="5.85546875" customWidth="1"/>
    <col min="9" max="9" width="12" customWidth="1"/>
  </cols>
  <sheetData>
    <row r="2" spans="1:9" x14ac:dyDescent="0.2">
      <c r="A2" s="1" t="s">
        <v>289</v>
      </c>
    </row>
    <row r="3" spans="1:9" ht="12.75" customHeight="1" x14ac:dyDescent="0.2">
      <c r="E3" s="253" t="s">
        <v>56</v>
      </c>
      <c r="F3" s="253"/>
      <c r="G3" s="253"/>
    </row>
    <row r="4" spans="1:9" ht="34.5" customHeight="1" x14ac:dyDescent="0.2">
      <c r="A4" s="26" t="s">
        <v>99</v>
      </c>
      <c r="B4" s="132" t="s">
        <v>70</v>
      </c>
      <c r="C4" s="67" t="s">
        <v>74</v>
      </c>
      <c r="D4" s="50" t="s">
        <v>8</v>
      </c>
      <c r="E4" s="26" t="s">
        <v>71</v>
      </c>
      <c r="F4" s="132" t="s">
        <v>45</v>
      </c>
      <c r="G4" s="26" t="s">
        <v>73</v>
      </c>
      <c r="H4" s="2" t="s">
        <v>4</v>
      </c>
      <c r="I4" s="133" t="s">
        <v>75</v>
      </c>
    </row>
    <row r="5" spans="1:9" x14ac:dyDescent="0.2">
      <c r="A5" s="25">
        <v>1</v>
      </c>
      <c r="B5" s="64">
        <f>'1st Cargo Input'!H31</f>
        <v>36647</v>
      </c>
      <c r="C5" s="68">
        <v>0.02</v>
      </c>
      <c r="D5" s="68"/>
      <c r="E5" s="39">
        <f>'1st Cargo Input'!J31</f>
        <v>0.57499999999999996</v>
      </c>
      <c r="F5" s="39"/>
      <c r="G5" s="68">
        <v>0.32</v>
      </c>
      <c r="I5" s="39">
        <f>IF(C5=0,0,C5*E5/G5)</f>
        <v>3.5937499999999997E-2</v>
      </c>
    </row>
    <row r="6" spans="1:9" x14ac:dyDescent="0.2">
      <c r="A6" s="25">
        <v>2</v>
      </c>
      <c r="B6" s="64">
        <f>'1st Cargo Input'!H32</f>
        <v>36648</v>
      </c>
      <c r="C6" s="68">
        <v>0.02</v>
      </c>
      <c r="D6" s="68"/>
      <c r="E6" s="39">
        <f>'1st Cargo Input'!J32</f>
        <v>0.57499999999999996</v>
      </c>
      <c r="F6" s="39"/>
      <c r="G6" s="68">
        <v>0.32</v>
      </c>
      <c r="I6" s="39">
        <f t="shared" ref="I6:I29" si="0">IF(C6=0,0,C6*E6/G6)</f>
        <v>3.5937499999999997E-2</v>
      </c>
    </row>
    <row r="7" spans="1:9" x14ac:dyDescent="0.2">
      <c r="A7" s="25">
        <v>3</v>
      </c>
      <c r="B7" s="64">
        <f>'1st Cargo Input'!H33</f>
        <v>0</v>
      </c>
      <c r="C7" s="68">
        <v>0.02</v>
      </c>
      <c r="D7" s="68"/>
      <c r="E7" s="39">
        <f>'1st Cargo Input'!J33</f>
        <v>0</v>
      </c>
      <c r="F7" s="39"/>
      <c r="G7" s="68">
        <v>0.32</v>
      </c>
      <c r="I7" s="39">
        <f t="shared" si="0"/>
        <v>0</v>
      </c>
    </row>
    <row r="8" spans="1:9" x14ac:dyDescent="0.2">
      <c r="A8" s="25">
        <v>4</v>
      </c>
      <c r="B8" s="64">
        <f>'1st Cargo Input'!H34</f>
        <v>0</v>
      </c>
      <c r="C8" s="68">
        <v>0.02</v>
      </c>
      <c r="D8" s="68"/>
      <c r="E8" s="39">
        <f>'1st Cargo Input'!J34</f>
        <v>0</v>
      </c>
      <c r="F8" s="39"/>
      <c r="G8" s="68">
        <v>0.32</v>
      </c>
      <c r="I8" s="39">
        <f t="shared" si="0"/>
        <v>0</v>
      </c>
    </row>
    <row r="9" spans="1:9" x14ac:dyDescent="0.2">
      <c r="A9" s="25">
        <v>5</v>
      </c>
      <c r="B9" s="64">
        <f>'1st Cargo Input'!H35</f>
        <v>0</v>
      </c>
      <c r="C9" s="68">
        <v>0.02</v>
      </c>
      <c r="D9" s="68"/>
      <c r="E9" s="39">
        <f>'1st Cargo Input'!J35</f>
        <v>0</v>
      </c>
      <c r="F9" s="39"/>
      <c r="G9" s="68">
        <v>0.32</v>
      </c>
      <c r="I9" s="39">
        <f t="shared" si="0"/>
        <v>0</v>
      </c>
    </row>
    <row r="10" spans="1:9" x14ac:dyDescent="0.2">
      <c r="A10" s="25">
        <v>6</v>
      </c>
      <c r="B10" s="64">
        <f>'1st Cargo Input'!H36</f>
        <v>0</v>
      </c>
      <c r="C10" s="68">
        <v>0.02</v>
      </c>
      <c r="D10" s="68"/>
      <c r="E10" s="39">
        <f>'1st Cargo Input'!J36</f>
        <v>0</v>
      </c>
      <c r="F10" s="39"/>
      <c r="G10" s="68">
        <v>0.32</v>
      </c>
      <c r="I10" s="39">
        <f t="shared" si="0"/>
        <v>0</v>
      </c>
    </row>
    <row r="11" spans="1:9" x14ac:dyDescent="0.2">
      <c r="A11" s="25">
        <v>7</v>
      </c>
      <c r="B11" s="64">
        <f>'1st Cargo Input'!H37</f>
        <v>0</v>
      </c>
      <c r="C11" s="68">
        <v>0.02</v>
      </c>
      <c r="D11" s="68"/>
      <c r="E11" s="39">
        <f>'1st Cargo Input'!J37</f>
        <v>0</v>
      </c>
      <c r="F11" s="39"/>
      <c r="G11" s="68">
        <v>0.32</v>
      </c>
      <c r="I11" s="39">
        <f t="shared" si="0"/>
        <v>0</v>
      </c>
    </row>
    <row r="12" spans="1:9" x14ac:dyDescent="0.2">
      <c r="A12" s="25">
        <v>8</v>
      </c>
      <c r="B12" s="64">
        <f>'1st Cargo Input'!H38</f>
        <v>0</v>
      </c>
      <c r="C12" s="68">
        <v>0.02</v>
      </c>
      <c r="D12" s="68"/>
      <c r="E12" s="39">
        <f>'1st Cargo Input'!J38</f>
        <v>0</v>
      </c>
      <c r="F12" s="39"/>
      <c r="G12" s="68">
        <v>0.32</v>
      </c>
      <c r="I12" s="39">
        <f t="shared" si="0"/>
        <v>0</v>
      </c>
    </row>
    <row r="13" spans="1:9" x14ac:dyDescent="0.2">
      <c r="A13" s="25">
        <v>9</v>
      </c>
      <c r="B13" s="64">
        <f>'1st Cargo Input'!H39</f>
        <v>0</v>
      </c>
      <c r="C13" s="68">
        <v>0.02</v>
      </c>
      <c r="D13" s="68"/>
      <c r="E13" s="39">
        <f>'1st Cargo Input'!J39</f>
        <v>0</v>
      </c>
      <c r="F13" s="39"/>
      <c r="G13" s="68">
        <v>0.32</v>
      </c>
      <c r="I13" s="39">
        <f t="shared" si="0"/>
        <v>0</v>
      </c>
    </row>
    <row r="14" spans="1:9" x14ac:dyDescent="0.2">
      <c r="A14" s="25">
        <v>10</v>
      </c>
      <c r="B14" s="64">
        <f>'1st Cargo Input'!H40</f>
        <v>0</v>
      </c>
      <c r="C14" s="68">
        <v>0.02</v>
      </c>
      <c r="D14" s="68"/>
      <c r="E14" s="39">
        <f>'1st Cargo Input'!J40</f>
        <v>0</v>
      </c>
      <c r="F14" s="39"/>
      <c r="G14" s="68">
        <v>0.32</v>
      </c>
      <c r="I14" s="39">
        <f t="shared" si="0"/>
        <v>0</v>
      </c>
    </row>
    <row r="15" spans="1:9" x14ac:dyDescent="0.2">
      <c r="A15" s="25">
        <v>11</v>
      </c>
      <c r="B15" s="64">
        <f>'1st Cargo Input'!H41</f>
        <v>0</v>
      </c>
      <c r="C15" s="68">
        <v>0.02</v>
      </c>
      <c r="D15" s="68"/>
      <c r="E15" s="39">
        <f>'1st Cargo Input'!J41</f>
        <v>0</v>
      </c>
      <c r="F15" s="39"/>
      <c r="G15" s="68">
        <v>0.32</v>
      </c>
      <c r="I15" s="39">
        <f t="shared" si="0"/>
        <v>0</v>
      </c>
    </row>
    <row r="16" spans="1:9" x14ac:dyDescent="0.2">
      <c r="A16" s="25">
        <v>12</v>
      </c>
      <c r="B16" s="64">
        <f>'1st Cargo Input'!H42</f>
        <v>0</v>
      </c>
      <c r="C16" s="68">
        <v>0.02</v>
      </c>
      <c r="D16" s="68"/>
      <c r="E16" s="39">
        <f>'1st Cargo Input'!J42</f>
        <v>0</v>
      </c>
      <c r="F16" s="39"/>
      <c r="G16" s="68">
        <v>0.32</v>
      </c>
      <c r="I16" s="39">
        <f t="shared" si="0"/>
        <v>0</v>
      </c>
    </row>
    <row r="17" spans="1:9" x14ac:dyDescent="0.2">
      <c r="A17" s="25">
        <v>13</v>
      </c>
      <c r="B17" s="64">
        <f>'1st Cargo Input'!H43</f>
        <v>0</v>
      </c>
      <c r="C17" s="68">
        <v>0.02</v>
      </c>
      <c r="D17" s="68"/>
      <c r="E17" s="39">
        <f>'1st Cargo Input'!J43</f>
        <v>0</v>
      </c>
      <c r="F17" s="39"/>
      <c r="G17" s="68">
        <v>0.32</v>
      </c>
      <c r="I17" s="39">
        <f t="shared" si="0"/>
        <v>0</v>
      </c>
    </row>
    <row r="18" spans="1:9" x14ac:dyDescent="0.2">
      <c r="A18" s="25">
        <v>14</v>
      </c>
      <c r="B18" s="64">
        <f>'1st Cargo Input'!H44</f>
        <v>0</v>
      </c>
      <c r="C18" s="68">
        <v>0.02</v>
      </c>
      <c r="D18" s="68"/>
      <c r="E18" s="39">
        <f>'1st Cargo Input'!J44</f>
        <v>0</v>
      </c>
      <c r="F18" s="39"/>
      <c r="G18" s="68">
        <v>0.32</v>
      </c>
      <c r="I18" s="39">
        <f t="shared" si="0"/>
        <v>0</v>
      </c>
    </row>
    <row r="19" spans="1:9" x14ac:dyDescent="0.2">
      <c r="A19" s="25">
        <v>15</v>
      </c>
      <c r="B19" s="64">
        <f>'1st Cargo Input'!H45</f>
        <v>0</v>
      </c>
      <c r="C19" s="68">
        <v>0.02</v>
      </c>
      <c r="D19" s="68"/>
      <c r="E19" s="39">
        <f>'1st Cargo Input'!J45</f>
        <v>0</v>
      </c>
      <c r="F19" s="39"/>
      <c r="G19" s="68">
        <v>0.32</v>
      </c>
      <c r="I19" s="39">
        <f t="shared" si="0"/>
        <v>0</v>
      </c>
    </row>
    <row r="20" spans="1:9" x14ac:dyDescent="0.2">
      <c r="A20" s="25">
        <v>16</v>
      </c>
      <c r="B20" s="64">
        <f>'1st Cargo Input'!H46</f>
        <v>0</v>
      </c>
      <c r="C20" s="68">
        <v>0.02</v>
      </c>
      <c r="D20" s="68"/>
      <c r="E20" s="39">
        <f>'1st Cargo Input'!J46</f>
        <v>0</v>
      </c>
      <c r="F20" s="39"/>
      <c r="G20" s="68">
        <v>0.32</v>
      </c>
      <c r="I20" s="39">
        <f t="shared" si="0"/>
        <v>0</v>
      </c>
    </row>
    <row r="21" spans="1:9" x14ac:dyDescent="0.2">
      <c r="A21" s="25">
        <v>17</v>
      </c>
      <c r="B21" s="64">
        <f>'1st Cargo Input'!H47</f>
        <v>0</v>
      </c>
      <c r="C21" s="68">
        <v>0.02</v>
      </c>
      <c r="D21" s="68"/>
      <c r="E21" s="39">
        <f>'1st Cargo Input'!J47</f>
        <v>0</v>
      </c>
      <c r="F21" s="39"/>
      <c r="G21" s="68">
        <v>0.32</v>
      </c>
      <c r="I21" s="39">
        <f t="shared" si="0"/>
        <v>0</v>
      </c>
    </row>
    <row r="22" spans="1:9" x14ac:dyDescent="0.2">
      <c r="A22" s="25">
        <v>18</v>
      </c>
      <c r="B22" s="64">
        <f>'1st Cargo Input'!H48</f>
        <v>0</v>
      </c>
      <c r="C22" s="68">
        <v>0.02</v>
      </c>
      <c r="D22" s="68"/>
      <c r="E22" s="39">
        <f>'1st Cargo Input'!J48</f>
        <v>0</v>
      </c>
      <c r="F22" s="39"/>
      <c r="G22" s="68">
        <v>0.32</v>
      </c>
      <c r="I22" s="39">
        <f t="shared" si="0"/>
        <v>0</v>
      </c>
    </row>
    <row r="23" spans="1:9" x14ac:dyDescent="0.2">
      <c r="A23" s="25">
        <v>19</v>
      </c>
      <c r="B23" s="64">
        <f>'1st Cargo Input'!H49</f>
        <v>0</v>
      </c>
      <c r="C23" s="68">
        <v>0.02</v>
      </c>
      <c r="D23" s="68"/>
      <c r="E23" s="39">
        <f>'1st Cargo Input'!J49</f>
        <v>0</v>
      </c>
      <c r="F23" s="39"/>
      <c r="G23" s="68">
        <v>0.32</v>
      </c>
      <c r="I23" s="39">
        <f t="shared" si="0"/>
        <v>0</v>
      </c>
    </row>
    <row r="24" spans="1:9" x14ac:dyDescent="0.2">
      <c r="A24" s="25">
        <v>20</v>
      </c>
      <c r="B24" s="64">
        <f>'1st Cargo Input'!H50</f>
        <v>0</v>
      </c>
      <c r="C24" s="68">
        <v>0.02</v>
      </c>
      <c r="D24" s="68"/>
      <c r="E24" s="39">
        <f>'1st Cargo Input'!J50</f>
        <v>0</v>
      </c>
      <c r="F24" s="39"/>
      <c r="G24" s="68">
        <v>0.32</v>
      </c>
      <c r="I24" s="39">
        <f t="shared" si="0"/>
        <v>0</v>
      </c>
    </row>
    <row r="25" spans="1:9" x14ac:dyDescent="0.2">
      <c r="A25" s="25">
        <v>21</v>
      </c>
      <c r="B25" s="64">
        <f>'1st Cargo Input'!H51</f>
        <v>0</v>
      </c>
      <c r="C25" s="68">
        <v>0.02</v>
      </c>
      <c r="D25" s="68"/>
      <c r="E25" s="39">
        <f>'1st Cargo Input'!J51</f>
        <v>0</v>
      </c>
      <c r="F25" s="39"/>
      <c r="G25" s="68">
        <v>0.32</v>
      </c>
      <c r="I25" s="39">
        <f t="shared" si="0"/>
        <v>0</v>
      </c>
    </row>
    <row r="26" spans="1:9" x14ac:dyDescent="0.2">
      <c r="A26" s="25">
        <v>22</v>
      </c>
      <c r="B26" s="64">
        <f>'1st Cargo Input'!H52</f>
        <v>0</v>
      </c>
      <c r="C26" s="68">
        <v>0.02</v>
      </c>
      <c r="D26" s="68"/>
      <c r="E26" s="39">
        <f>'1st Cargo Input'!J52</f>
        <v>0</v>
      </c>
      <c r="F26" s="39"/>
      <c r="G26" s="68">
        <v>0.32</v>
      </c>
      <c r="I26" s="39">
        <f t="shared" si="0"/>
        <v>0</v>
      </c>
    </row>
    <row r="27" spans="1:9" x14ac:dyDescent="0.2">
      <c r="A27" s="25">
        <v>23</v>
      </c>
      <c r="B27" s="64">
        <f>'1st Cargo Input'!H53</f>
        <v>0</v>
      </c>
      <c r="C27" s="68">
        <v>0.02</v>
      </c>
      <c r="D27" s="68"/>
      <c r="E27" s="39">
        <f>'1st Cargo Input'!J53</f>
        <v>0</v>
      </c>
      <c r="F27" s="39"/>
      <c r="G27" s="68">
        <v>0.32</v>
      </c>
      <c r="I27" s="39">
        <f t="shared" si="0"/>
        <v>0</v>
      </c>
    </row>
    <row r="28" spans="1:9" x14ac:dyDescent="0.2">
      <c r="A28" s="25">
        <v>24</v>
      </c>
      <c r="B28" s="64">
        <f>'1st Cargo Input'!H54</f>
        <v>0</v>
      </c>
      <c r="C28" s="68">
        <v>0.02</v>
      </c>
      <c r="D28" s="68"/>
      <c r="E28" s="39">
        <f>'1st Cargo Input'!J54</f>
        <v>0</v>
      </c>
      <c r="F28" s="39"/>
      <c r="G28" s="68">
        <v>0.32</v>
      </c>
      <c r="I28" s="39">
        <f t="shared" si="0"/>
        <v>0</v>
      </c>
    </row>
    <row r="29" spans="1:9" x14ac:dyDescent="0.2">
      <c r="A29" s="25">
        <v>25</v>
      </c>
      <c r="B29" s="64">
        <f>'1st Cargo Input'!H55</f>
        <v>0</v>
      </c>
      <c r="C29" s="68">
        <v>0.02</v>
      </c>
      <c r="D29" s="68"/>
      <c r="E29" s="39">
        <f>'1st Cargo Input'!J55</f>
        <v>0</v>
      </c>
      <c r="F29" s="39"/>
      <c r="G29" s="68">
        <v>0.32</v>
      </c>
      <c r="I29" s="227">
        <f t="shared" si="0"/>
        <v>0</v>
      </c>
    </row>
    <row r="30" spans="1:9" x14ac:dyDescent="0.2">
      <c r="H30" s="70" t="s">
        <v>22</v>
      </c>
      <c r="I30" s="228">
        <f>SUM(I5:I29)</f>
        <v>7.1874999999999994E-2</v>
      </c>
    </row>
    <row r="31" spans="1:9" x14ac:dyDescent="0.2">
      <c r="H31" s="70"/>
      <c r="I31" s="228"/>
    </row>
    <row r="32" spans="1:9" x14ac:dyDescent="0.2">
      <c r="A32" s="1" t="s">
        <v>288</v>
      </c>
    </row>
    <row r="33" spans="1:11" x14ac:dyDescent="0.2">
      <c r="E33" s="253" t="s">
        <v>56</v>
      </c>
      <c r="F33" s="253"/>
      <c r="G33" s="253"/>
      <c r="H33" s="69"/>
      <c r="I33" s="38"/>
    </row>
    <row r="34" spans="1:11" ht="47.25" customHeight="1" x14ac:dyDescent="0.2">
      <c r="A34" s="26" t="s">
        <v>99</v>
      </c>
      <c r="B34" s="132" t="s">
        <v>70</v>
      </c>
      <c r="C34" s="67" t="s">
        <v>136</v>
      </c>
      <c r="D34" s="50" t="s">
        <v>8</v>
      </c>
      <c r="E34" s="26" t="s">
        <v>71</v>
      </c>
      <c r="F34" s="132" t="s">
        <v>45</v>
      </c>
      <c r="G34" s="26" t="s">
        <v>73</v>
      </c>
      <c r="H34" s="50" t="s">
        <v>8</v>
      </c>
      <c r="I34" s="26" t="s">
        <v>137</v>
      </c>
      <c r="J34" s="2" t="s">
        <v>4</v>
      </c>
      <c r="K34" s="133" t="s">
        <v>75</v>
      </c>
    </row>
    <row r="35" spans="1:11" x14ac:dyDescent="0.2">
      <c r="A35" s="25">
        <v>1</v>
      </c>
      <c r="B35" s="64">
        <f>'1st Cargo Input'!F62</f>
        <v>36671</v>
      </c>
      <c r="C35" s="68">
        <v>0.03</v>
      </c>
      <c r="D35" s="68"/>
      <c r="E35" s="39">
        <f>'1st Cargo Input'!H62</f>
        <v>0.57499999999999996</v>
      </c>
      <c r="F35" s="39"/>
      <c r="G35" s="68">
        <v>0.32</v>
      </c>
      <c r="H35" s="68"/>
      <c r="I35" s="65">
        <f>'1st Cargo Input'!J62</f>
        <v>1</v>
      </c>
      <c r="K35" s="39">
        <f>IF(E35=0,0,C35*E35/G35*I35)</f>
        <v>5.3906249999999996E-2</v>
      </c>
    </row>
    <row r="36" spans="1:11" x14ac:dyDescent="0.2">
      <c r="A36" s="25">
        <v>2</v>
      </c>
      <c r="B36" s="64">
        <f>'1st Cargo Input'!F63</f>
        <v>36672</v>
      </c>
      <c r="C36" s="68">
        <v>0.03</v>
      </c>
      <c r="D36" s="68"/>
      <c r="E36" s="39">
        <f>'1st Cargo Input'!H63</f>
        <v>0.57499999999999996</v>
      </c>
      <c r="F36" s="39"/>
      <c r="G36" s="68">
        <v>0.32</v>
      </c>
      <c r="H36" s="68"/>
      <c r="I36" s="65">
        <f>'1st Cargo Input'!J63</f>
        <v>0.5</v>
      </c>
      <c r="K36" s="39">
        <f t="shared" ref="K36:K59" si="1">C36*E36/G36*I36</f>
        <v>2.6953124999999998E-2</v>
      </c>
    </row>
    <row r="37" spans="1:11" x14ac:dyDescent="0.2">
      <c r="A37" s="25">
        <v>3</v>
      </c>
      <c r="B37" s="64">
        <f>'1st Cargo Input'!F64</f>
        <v>0</v>
      </c>
      <c r="C37" s="68">
        <v>0.03</v>
      </c>
      <c r="D37" s="68"/>
      <c r="E37" s="39">
        <f>'1st Cargo Input'!H64</f>
        <v>0</v>
      </c>
      <c r="F37" s="39"/>
      <c r="G37" s="68">
        <v>0.32</v>
      </c>
      <c r="H37" s="68"/>
      <c r="I37" s="65">
        <f>'1st Cargo Input'!J64</f>
        <v>0</v>
      </c>
      <c r="K37" s="39">
        <f t="shared" si="1"/>
        <v>0</v>
      </c>
    </row>
    <row r="38" spans="1:11" x14ac:dyDescent="0.2">
      <c r="A38" s="25">
        <v>4</v>
      </c>
      <c r="B38" s="64">
        <f>'1st Cargo Input'!F65</f>
        <v>0</v>
      </c>
      <c r="C38" s="68">
        <v>0.03</v>
      </c>
      <c r="D38" s="68"/>
      <c r="E38" s="39">
        <f>'1st Cargo Input'!H65</f>
        <v>0</v>
      </c>
      <c r="F38" s="39"/>
      <c r="G38" s="68">
        <v>0.32</v>
      </c>
      <c r="H38" s="68"/>
      <c r="I38" s="65">
        <f>'1st Cargo Input'!J65</f>
        <v>0</v>
      </c>
      <c r="K38" s="39">
        <f t="shared" si="1"/>
        <v>0</v>
      </c>
    </row>
    <row r="39" spans="1:11" x14ac:dyDescent="0.2">
      <c r="A39" s="25">
        <v>5</v>
      </c>
      <c r="B39" s="64">
        <f>'1st Cargo Input'!F66</f>
        <v>0</v>
      </c>
      <c r="C39" s="68">
        <v>0.03</v>
      </c>
      <c r="D39" s="68"/>
      <c r="E39" s="39">
        <f>'1st Cargo Input'!H66</f>
        <v>0</v>
      </c>
      <c r="F39" s="39"/>
      <c r="G39" s="68">
        <v>0.32</v>
      </c>
      <c r="H39" s="68"/>
      <c r="I39" s="65">
        <f>'1st Cargo Input'!J66</f>
        <v>0</v>
      </c>
      <c r="K39" s="39">
        <f t="shared" si="1"/>
        <v>0</v>
      </c>
    </row>
    <row r="40" spans="1:11" x14ac:dyDescent="0.2">
      <c r="A40" s="25">
        <v>6</v>
      </c>
      <c r="B40" s="64">
        <f>'1st Cargo Input'!F67</f>
        <v>0</v>
      </c>
      <c r="C40" s="68">
        <v>0.03</v>
      </c>
      <c r="D40" s="68"/>
      <c r="E40" s="39">
        <f>'1st Cargo Input'!H67</f>
        <v>0</v>
      </c>
      <c r="F40" s="39"/>
      <c r="G40" s="68">
        <v>0.32</v>
      </c>
      <c r="H40" s="68"/>
      <c r="I40" s="65">
        <f>'1st Cargo Input'!J67</f>
        <v>0</v>
      </c>
      <c r="K40" s="39">
        <f t="shared" si="1"/>
        <v>0</v>
      </c>
    </row>
    <row r="41" spans="1:11" x14ac:dyDescent="0.2">
      <c r="A41" s="25">
        <v>7</v>
      </c>
      <c r="B41" s="64">
        <f>'1st Cargo Input'!F68</f>
        <v>0</v>
      </c>
      <c r="C41" s="68">
        <v>0.03</v>
      </c>
      <c r="D41" s="68"/>
      <c r="E41" s="39">
        <f>'1st Cargo Input'!H68</f>
        <v>0</v>
      </c>
      <c r="F41" s="39"/>
      <c r="G41" s="68">
        <v>0.32</v>
      </c>
      <c r="H41" s="68"/>
      <c r="I41" s="65">
        <f>'1st Cargo Input'!J68</f>
        <v>0</v>
      </c>
      <c r="K41" s="39">
        <f t="shared" si="1"/>
        <v>0</v>
      </c>
    </row>
    <row r="42" spans="1:11" x14ac:dyDescent="0.2">
      <c r="A42" s="25">
        <v>8</v>
      </c>
      <c r="B42" s="64">
        <f>'1st Cargo Input'!F69</f>
        <v>0</v>
      </c>
      <c r="C42" s="68">
        <v>0.03</v>
      </c>
      <c r="D42" s="68"/>
      <c r="E42" s="39">
        <f>'1st Cargo Input'!H69</f>
        <v>0</v>
      </c>
      <c r="F42" s="39"/>
      <c r="G42" s="68">
        <v>0.32</v>
      </c>
      <c r="H42" s="68"/>
      <c r="I42" s="65">
        <f>'1st Cargo Input'!J69</f>
        <v>0</v>
      </c>
      <c r="K42" s="39">
        <f t="shared" si="1"/>
        <v>0</v>
      </c>
    </row>
    <row r="43" spans="1:11" x14ac:dyDescent="0.2">
      <c r="A43" s="25">
        <v>9</v>
      </c>
      <c r="B43" s="64">
        <f>'1st Cargo Input'!F70</f>
        <v>0</v>
      </c>
      <c r="C43" s="68">
        <v>0.03</v>
      </c>
      <c r="D43" s="68"/>
      <c r="E43" s="39">
        <f>'1st Cargo Input'!H70</f>
        <v>0</v>
      </c>
      <c r="F43" s="39"/>
      <c r="G43" s="68">
        <v>0.32</v>
      </c>
      <c r="H43" s="68"/>
      <c r="I43" s="65">
        <f>'1st Cargo Input'!J70</f>
        <v>0</v>
      </c>
      <c r="K43" s="39">
        <f t="shared" si="1"/>
        <v>0</v>
      </c>
    </row>
    <row r="44" spans="1:11" x14ac:dyDescent="0.2">
      <c r="A44" s="25">
        <v>10</v>
      </c>
      <c r="B44" s="64">
        <f>'1st Cargo Input'!F71</f>
        <v>0</v>
      </c>
      <c r="C44" s="68">
        <v>0.03</v>
      </c>
      <c r="D44" s="68"/>
      <c r="E44" s="39">
        <f>'1st Cargo Input'!H71</f>
        <v>0</v>
      </c>
      <c r="F44" s="39"/>
      <c r="G44" s="68">
        <v>0.32</v>
      </c>
      <c r="H44" s="68"/>
      <c r="I44" s="65">
        <f>'1st Cargo Input'!J71</f>
        <v>0</v>
      </c>
      <c r="K44" s="39">
        <f t="shared" si="1"/>
        <v>0</v>
      </c>
    </row>
    <row r="45" spans="1:11" x14ac:dyDescent="0.2">
      <c r="A45" s="25">
        <v>11</v>
      </c>
      <c r="B45" s="64">
        <f>'1st Cargo Input'!F72</f>
        <v>0</v>
      </c>
      <c r="C45" s="68">
        <v>0.03</v>
      </c>
      <c r="D45" s="68"/>
      <c r="E45" s="39">
        <f>'1st Cargo Input'!H72</f>
        <v>0</v>
      </c>
      <c r="F45" s="39"/>
      <c r="G45" s="68">
        <v>0.32</v>
      </c>
      <c r="H45" s="68"/>
      <c r="I45" s="65">
        <f>'1st Cargo Input'!J72</f>
        <v>0</v>
      </c>
      <c r="K45" s="39">
        <f t="shared" si="1"/>
        <v>0</v>
      </c>
    </row>
    <row r="46" spans="1:11" x14ac:dyDescent="0.2">
      <c r="A46" s="25">
        <v>12</v>
      </c>
      <c r="B46" s="64">
        <f>'1st Cargo Input'!F73</f>
        <v>0</v>
      </c>
      <c r="C46" s="68">
        <v>0.03</v>
      </c>
      <c r="D46" s="68"/>
      <c r="E46" s="39">
        <f>'1st Cargo Input'!H73</f>
        <v>0</v>
      </c>
      <c r="F46" s="39"/>
      <c r="G46" s="68">
        <v>0.32</v>
      </c>
      <c r="H46" s="68"/>
      <c r="I46" s="65">
        <f>'1st Cargo Input'!J73</f>
        <v>0</v>
      </c>
      <c r="K46" s="39">
        <f t="shared" si="1"/>
        <v>0</v>
      </c>
    </row>
    <row r="47" spans="1:11" x14ac:dyDescent="0.2">
      <c r="A47" s="25">
        <v>13</v>
      </c>
      <c r="B47" s="64">
        <f>'1st Cargo Input'!F74</f>
        <v>0</v>
      </c>
      <c r="C47" s="68">
        <v>0.03</v>
      </c>
      <c r="D47" s="68"/>
      <c r="E47" s="39">
        <f>'1st Cargo Input'!H74</f>
        <v>0</v>
      </c>
      <c r="F47" s="39"/>
      <c r="G47" s="68">
        <v>0.32</v>
      </c>
      <c r="H47" s="68"/>
      <c r="I47" s="65">
        <f>'1st Cargo Input'!J74</f>
        <v>0</v>
      </c>
      <c r="K47" s="39">
        <f t="shared" si="1"/>
        <v>0</v>
      </c>
    </row>
    <row r="48" spans="1:11" x14ac:dyDescent="0.2">
      <c r="A48" s="25">
        <v>14</v>
      </c>
      <c r="B48" s="64">
        <f>'1st Cargo Input'!F75</f>
        <v>0</v>
      </c>
      <c r="C48" s="68">
        <v>0.03</v>
      </c>
      <c r="D48" s="68"/>
      <c r="E48" s="39">
        <f>'1st Cargo Input'!H75</f>
        <v>0</v>
      </c>
      <c r="F48" s="39"/>
      <c r="G48" s="68">
        <v>0.32</v>
      </c>
      <c r="H48" s="68"/>
      <c r="I48" s="65">
        <f>'1st Cargo Input'!J75</f>
        <v>0</v>
      </c>
      <c r="K48" s="39">
        <f t="shared" si="1"/>
        <v>0</v>
      </c>
    </row>
    <row r="49" spans="1:11" x14ac:dyDescent="0.2">
      <c r="A49" s="25">
        <v>15</v>
      </c>
      <c r="B49" s="64">
        <f>'1st Cargo Input'!F76</f>
        <v>0</v>
      </c>
      <c r="C49" s="68">
        <v>0.03</v>
      </c>
      <c r="D49" s="68"/>
      <c r="E49" s="39">
        <f>'1st Cargo Input'!H76</f>
        <v>0</v>
      </c>
      <c r="F49" s="39"/>
      <c r="G49" s="68">
        <v>0.32</v>
      </c>
      <c r="H49" s="68"/>
      <c r="I49" s="65">
        <f>'1st Cargo Input'!J76</f>
        <v>0</v>
      </c>
      <c r="K49" s="39">
        <f t="shared" si="1"/>
        <v>0</v>
      </c>
    </row>
    <row r="50" spans="1:11" x14ac:dyDescent="0.2">
      <c r="A50" s="25">
        <v>16</v>
      </c>
      <c r="B50" s="64">
        <f>'1st Cargo Input'!F77</f>
        <v>0</v>
      </c>
      <c r="C50" s="68">
        <v>0.03</v>
      </c>
      <c r="D50" s="68"/>
      <c r="E50" s="39">
        <f>'1st Cargo Input'!H77</f>
        <v>0</v>
      </c>
      <c r="F50" s="39"/>
      <c r="G50" s="68">
        <v>0.32</v>
      </c>
      <c r="H50" s="68"/>
      <c r="I50" s="65">
        <f>'1st Cargo Input'!J77</f>
        <v>0</v>
      </c>
      <c r="K50" s="39">
        <f t="shared" si="1"/>
        <v>0</v>
      </c>
    </row>
    <row r="51" spans="1:11" x14ac:dyDescent="0.2">
      <c r="A51" s="25">
        <v>17</v>
      </c>
      <c r="B51" s="64">
        <f>'1st Cargo Input'!F78</f>
        <v>0</v>
      </c>
      <c r="C51" s="68">
        <v>0.03</v>
      </c>
      <c r="D51" s="68"/>
      <c r="E51" s="39">
        <f>'1st Cargo Input'!H78</f>
        <v>0</v>
      </c>
      <c r="F51" s="39"/>
      <c r="G51" s="68">
        <v>0.32</v>
      </c>
      <c r="H51" s="68"/>
      <c r="I51" s="65">
        <f>'1st Cargo Input'!J78</f>
        <v>0</v>
      </c>
      <c r="K51" s="39">
        <f t="shared" si="1"/>
        <v>0</v>
      </c>
    </row>
    <row r="52" spans="1:11" x14ac:dyDescent="0.2">
      <c r="A52" s="25">
        <v>18</v>
      </c>
      <c r="B52" s="64">
        <f>'1st Cargo Input'!F79</f>
        <v>0</v>
      </c>
      <c r="C52" s="68">
        <v>0.03</v>
      </c>
      <c r="D52" s="68"/>
      <c r="E52" s="39">
        <f>'1st Cargo Input'!H79</f>
        <v>0</v>
      </c>
      <c r="F52" s="39"/>
      <c r="G52" s="68">
        <v>0.32</v>
      </c>
      <c r="H52" s="68"/>
      <c r="I52" s="65">
        <f>'1st Cargo Input'!J79</f>
        <v>0</v>
      </c>
      <c r="K52" s="39">
        <f t="shared" si="1"/>
        <v>0</v>
      </c>
    </row>
    <row r="53" spans="1:11" x14ac:dyDescent="0.2">
      <c r="A53" s="25">
        <v>19</v>
      </c>
      <c r="B53" s="64">
        <f>'1st Cargo Input'!F80</f>
        <v>0</v>
      </c>
      <c r="C53" s="68">
        <v>0.03</v>
      </c>
      <c r="D53" s="68"/>
      <c r="E53" s="39">
        <f>'1st Cargo Input'!H80</f>
        <v>0</v>
      </c>
      <c r="F53" s="39"/>
      <c r="G53" s="68">
        <v>0.32</v>
      </c>
      <c r="H53" s="68"/>
      <c r="I53" s="65">
        <f>'1st Cargo Input'!J80</f>
        <v>0</v>
      </c>
      <c r="K53" s="39">
        <f t="shared" si="1"/>
        <v>0</v>
      </c>
    </row>
    <row r="54" spans="1:11" x14ac:dyDescent="0.2">
      <c r="A54" s="25">
        <v>20</v>
      </c>
      <c r="B54" s="64">
        <f>'1st Cargo Input'!F81</f>
        <v>0</v>
      </c>
      <c r="C54" s="68">
        <v>0.03</v>
      </c>
      <c r="D54" s="68"/>
      <c r="E54" s="39">
        <f>'1st Cargo Input'!H81</f>
        <v>0</v>
      </c>
      <c r="F54" s="39"/>
      <c r="G54" s="68">
        <v>0.32</v>
      </c>
      <c r="H54" s="68"/>
      <c r="I54" s="65">
        <f>'1st Cargo Input'!J81</f>
        <v>0</v>
      </c>
      <c r="K54" s="39">
        <f t="shared" si="1"/>
        <v>0</v>
      </c>
    </row>
    <row r="55" spans="1:11" x14ac:dyDescent="0.2">
      <c r="A55" s="25">
        <v>21</v>
      </c>
      <c r="B55" s="64">
        <f>'1st Cargo Input'!F82</f>
        <v>0</v>
      </c>
      <c r="C55" s="68">
        <v>0.03</v>
      </c>
      <c r="D55" s="68"/>
      <c r="E55" s="39">
        <f>'1st Cargo Input'!H82</f>
        <v>0</v>
      </c>
      <c r="F55" s="39"/>
      <c r="G55" s="68">
        <v>0.32</v>
      </c>
      <c r="H55" s="68"/>
      <c r="I55" s="65">
        <f>'1st Cargo Input'!J82</f>
        <v>0</v>
      </c>
      <c r="K55" s="39">
        <f t="shared" si="1"/>
        <v>0</v>
      </c>
    </row>
    <row r="56" spans="1:11" x14ac:dyDescent="0.2">
      <c r="A56" s="25">
        <v>22</v>
      </c>
      <c r="B56" s="64">
        <f>'1st Cargo Input'!F83</f>
        <v>0</v>
      </c>
      <c r="C56" s="68">
        <v>0.03</v>
      </c>
      <c r="D56" s="68"/>
      <c r="E56" s="39">
        <f>'1st Cargo Input'!H83</f>
        <v>0</v>
      </c>
      <c r="F56" s="39"/>
      <c r="G56" s="68">
        <v>0.32</v>
      </c>
      <c r="H56" s="68"/>
      <c r="I56" s="65">
        <f>'1st Cargo Input'!J83</f>
        <v>0</v>
      </c>
      <c r="K56" s="39">
        <f t="shared" si="1"/>
        <v>0</v>
      </c>
    </row>
    <row r="57" spans="1:11" x14ac:dyDescent="0.2">
      <c r="A57" s="25">
        <v>23</v>
      </c>
      <c r="B57" s="64">
        <f>'1st Cargo Input'!F84</f>
        <v>0</v>
      </c>
      <c r="C57" s="68">
        <v>0.03</v>
      </c>
      <c r="D57" s="68"/>
      <c r="E57" s="39">
        <f>'1st Cargo Input'!H84</f>
        <v>0</v>
      </c>
      <c r="F57" s="39"/>
      <c r="G57" s="68">
        <v>0.32</v>
      </c>
      <c r="H57" s="68"/>
      <c r="I57" s="65">
        <f>'1st Cargo Input'!J84</f>
        <v>0</v>
      </c>
      <c r="K57" s="39">
        <f t="shared" si="1"/>
        <v>0</v>
      </c>
    </row>
    <row r="58" spans="1:11" x14ac:dyDescent="0.2">
      <c r="A58" s="25">
        <v>24</v>
      </c>
      <c r="B58" s="64">
        <f>'1st Cargo Input'!F85</f>
        <v>0</v>
      </c>
      <c r="C58" s="68">
        <v>0.03</v>
      </c>
      <c r="D58" s="68"/>
      <c r="E58" s="39">
        <f>'1st Cargo Input'!H85</f>
        <v>0</v>
      </c>
      <c r="F58" s="39"/>
      <c r="G58" s="68">
        <v>0.32</v>
      </c>
      <c r="H58" s="68"/>
      <c r="I58" s="65">
        <f>'1st Cargo Input'!J85</f>
        <v>0</v>
      </c>
      <c r="K58" s="39">
        <f t="shared" si="1"/>
        <v>0</v>
      </c>
    </row>
    <row r="59" spans="1:11" x14ac:dyDescent="0.2">
      <c r="A59" s="25">
        <v>25</v>
      </c>
      <c r="B59" s="64">
        <f>'1st Cargo Input'!F86</f>
        <v>0</v>
      </c>
      <c r="C59" s="68">
        <v>0.03</v>
      </c>
      <c r="D59" s="68"/>
      <c r="E59" s="39">
        <f>'1st Cargo Input'!H86</f>
        <v>0</v>
      </c>
      <c r="F59" s="39"/>
      <c r="G59" s="68">
        <v>0.32</v>
      </c>
      <c r="H59" s="68"/>
      <c r="I59" s="65">
        <f>'1st Cargo Input'!J86</f>
        <v>0</v>
      </c>
      <c r="K59" s="227">
        <f t="shared" si="1"/>
        <v>0</v>
      </c>
    </row>
    <row r="60" spans="1:11" x14ac:dyDescent="0.2">
      <c r="A60" s="25"/>
      <c r="B60" s="64"/>
      <c r="C60" s="68"/>
      <c r="D60" s="68"/>
      <c r="E60" s="39"/>
      <c r="F60" s="39"/>
      <c r="G60" s="68"/>
      <c r="H60" s="68"/>
      <c r="I60" s="65"/>
      <c r="J60" s="70" t="s">
        <v>22</v>
      </c>
      <c r="K60" s="39">
        <f>SUM(K35:K59)</f>
        <v>8.0859374999999997E-2</v>
      </c>
    </row>
  </sheetData>
  <mergeCells count="2">
    <mergeCell ref="E3:G3"/>
    <mergeCell ref="E33:G33"/>
  </mergeCells>
  <pageMargins left="0.74" right="0.96" top="0.76" bottom="1.07" header="0.25" footer="0.5"/>
  <pageSetup scale="85" orientation="portrait" r:id="rId1"/>
  <headerFooter alignWithMargins="0">
    <oddHeader xml:space="preserve">&amp;LEcoElectrica LP
LNG Sales Contract
Section 8.3 (c) Late Delivery Day
Section7.2(b)(ii) Scheduling
</oddHeader>
    <oddFooter>&amp;LLNG Sales Contract
&amp;D
&amp;T&amp;CLate Delivery Day - Scheduling
&amp;R&amp;P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J16"/>
  <sheetViews>
    <sheetView workbookViewId="0">
      <selection activeCell="H7" sqref="H7"/>
    </sheetView>
  </sheetViews>
  <sheetFormatPr defaultRowHeight="12.75" x14ac:dyDescent="0.2"/>
  <cols>
    <col min="9" max="9" width="15.28515625" bestFit="1" customWidth="1"/>
  </cols>
  <sheetData>
    <row r="4" spans="1:10" ht="51" customHeight="1" x14ac:dyDescent="0.2">
      <c r="A4" s="246" t="s">
        <v>156</v>
      </c>
      <c r="B4" s="246"/>
      <c r="C4" s="246"/>
      <c r="D4" s="246"/>
      <c r="E4" s="246"/>
      <c r="F4" s="246"/>
      <c r="G4" s="246"/>
      <c r="H4" s="37" t="s">
        <v>154</v>
      </c>
      <c r="I4" s="138" t="str">
        <f>IF(AND('1st Cargo Input'!J11="Y",'1st Cargo Input'!J15&lt;=3),('1st Cargo Input'!J15*50000*'Adjustment Factor'!L9),(IF(AND('1st Cargo Input'!J11="Y",'1st Cargo Input'!J15&gt;3,'1st Cargo Input'!J15&lt;=6),((3*50000*'Adjustment Factor'!L9)+('1st Cargo Input'!J15-3)*(100000*'Adjustment Factor'!L9)),(IF(AND('1st Cargo Input'!J11="Y",'1st Cargo Input'!J15&gt;6),((3*50000*'Adjustment Factor'!L9)+(6-3)*(100000*'Adjustment Factor'!L9)+('1st Cargo Input'!J15-6)*(200000*'Adjustment Factor'!L9)),IF('1st Cargo Input'!J11="N",("Not Applicable")))))))</f>
        <v>Not Applicable</v>
      </c>
      <c r="J4" s="136"/>
    </row>
    <row r="6" spans="1:10" ht="40.5" customHeight="1" x14ac:dyDescent="0.2">
      <c r="A6" s="246" t="s">
        <v>153</v>
      </c>
      <c r="B6" s="246"/>
      <c r="C6" s="246"/>
      <c r="D6" s="246"/>
      <c r="E6" s="246"/>
      <c r="F6" s="246"/>
      <c r="G6" s="246"/>
      <c r="H6" s="135" t="s">
        <v>154</v>
      </c>
      <c r="I6" s="138">
        <f>IF(AND('1st Cargo Input'!J13="Y",'1st Cargo Input'!J15&lt;=3),('1st Cargo Input'!J15*30000*'Adjustment Factor'!L9),(IF(AND('1st Cargo Input'!J13="Y",'1st Cargo Input'!J15&gt;3,'1st Cargo Input'!J15&lt;=6),((3*30000*'Adjustment Factor'!L9)+('1st Cargo Input'!J15-3)*(60000*'Adjustment Factor'!L9)),(IF(AND('1st Cargo Input'!J13="Y",'1st Cargo Input'!J15&gt;6),((3*30000*'Adjustment Factor'!L9)+(6-3)*(60000*'Adjustment Factor'!L9)+('1st Cargo Input'!J15-6)*(120000*'Adjustment Factor'!L9)),IF('1st Cargo Input'!J13="N","Not Applicable"))))))</f>
        <v>451951.6423357664</v>
      </c>
    </row>
    <row r="16" spans="1:10" x14ac:dyDescent="0.2">
      <c r="A16" s="137"/>
    </row>
  </sheetData>
  <mergeCells count="2">
    <mergeCell ref="A4:G4"/>
    <mergeCell ref="A6:G6"/>
  </mergeCells>
  <pageMargins left="0.75" right="0.75" top="1" bottom="1" header="0.5" footer="0.5"/>
  <pageSetup orientation="portrait" r:id="rId1"/>
  <headerFooter alignWithMargins="0">
    <oddHeader xml:space="preserve">&amp;LEcoElectrica LP
LNG Sales Contract
Section 6.8 Demurrage </oddHeader>
    <oddFooter>&amp;LLNG Sales Contract
&amp;D
&amp;T&amp;CDemurrage&amp;R&amp;P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1"/>
  <sheetViews>
    <sheetView zoomScaleNormal="100" workbookViewId="0">
      <selection activeCell="F15" sqref="F15"/>
    </sheetView>
  </sheetViews>
  <sheetFormatPr defaultRowHeight="12.75" x14ac:dyDescent="0.2"/>
  <cols>
    <col min="1" max="1" width="11" customWidth="1"/>
    <col min="2" max="2" width="20" customWidth="1"/>
    <col min="3" max="3" width="4.7109375" customWidth="1"/>
    <col min="4" max="4" width="19.5703125" customWidth="1"/>
    <col min="5" max="5" width="4.7109375" customWidth="1"/>
    <col min="6" max="6" width="16.7109375" customWidth="1"/>
    <col min="7" max="7" width="4.7109375" customWidth="1"/>
    <col min="8" max="8" width="17.42578125" customWidth="1"/>
    <col min="9" max="9" width="4.7109375" customWidth="1"/>
    <col min="10" max="10" width="17.28515625" customWidth="1"/>
    <col min="11" max="11" width="4.7109375" customWidth="1"/>
    <col min="12" max="12" width="15.7109375" customWidth="1"/>
    <col min="13" max="13" width="4.7109375" customWidth="1"/>
    <col min="14" max="14" width="13.85546875" customWidth="1"/>
  </cols>
  <sheetData>
    <row r="2" spans="1:10" ht="29.25" customHeight="1" x14ac:dyDescent="0.2">
      <c r="A2" s="239" t="s">
        <v>102</v>
      </c>
      <c r="B2" s="239"/>
      <c r="C2" s="239"/>
      <c r="D2" s="239"/>
      <c r="E2" s="239"/>
      <c r="F2" s="239"/>
      <c r="G2" s="239"/>
      <c r="H2" s="239"/>
      <c r="I2" s="239"/>
      <c r="J2" s="239"/>
    </row>
    <row r="4" spans="1:10" x14ac:dyDescent="0.2">
      <c r="A4" s="7" t="s">
        <v>118</v>
      </c>
    </row>
    <row r="5" spans="1:10" ht="26.25" customHeight="1" x14ac:dyDescent="0.2">
      <c r="B5" s="5" t="s">
        <v>31</v>
      </c>
      <c r="C5" s="161" t="s">
        <v>182</v>
      </c>
      <c r="D5" s="5" t="s">
        <v>32</v>
      </c>
      <c r="E5" s="42" t="s">
        <v>104</v>
      </c>
      <c r="F5" s="5" t="s">
        <v>115</v>
      </c>
      <c r="G5" s="42" t="s">
        <v>104</v>
      </c>
      <c r="H5" s="5" t="s">
        <v>114</v>
      </c>
      <c r="I5" s="104" t="s">
        <v>4</v>
      </c>
      <c r="J5" s="26" t="s">
        <v>117</v>
      </c>
    </row>
    <row r="6" spans="1:10" x14ac:dyDescent="0.2">
      <c r="B6" s="147">
        <f>H10</f>
        <v>962530109.3114593</v>
      </c>
      <c r="C6" s="112"/>
      <c r="D6" s="147">
        <f>H27</f>
        <v>106978402.30383211</v>
      </c>
      <c r="E6" s="112"/>
      <c r="F6" s="147">
        <f>L34</f>
        <v>144694068.72002327</v>
      </c>
      <c r="G6" s="112"/>
      <c r="H6" s="151">
        <f>L38</f>
        <v>2696934.5118613136</v>
      </c>
      <c r="I6" s="112"/>
      <c r="J6" s="147">
        <f>B6+D6-F6-H6</f>
        <v>922117508.38340676</v>
      </c>
    </row>
    <row r="8" spans="1:10" ht="33" customHeight="1" x14ac:dyDescent="0.2">
      <c r="A8" s="254" t="s">
        <v>285</v>
      </c>
      <c r="B8" s="255"/>
      <c r="C8" s="255"/>
      <c r="D8" s="255"/>
      <c r="E8" s="255"/>
      <c r="F8" s="255"/>
      <c r="G8" s="255"/>
      <c r="H8" s="255"/>
      <c r="I8" s="255"/>
      <c r="J8" s="255"/>
    </row>
    <row r="9" spans="1:10" ht="57.75" customHeight="1" x14ac:dyDescent="0.2">
      <c r="A9" s="33"/>
      <c r="B9" s="26" t="s">
        <v>107</v>
      </c>
      <c r="C9" s="104" t="s">
        <v>8</v>
      </c>
      <c r="D9" s="26" t="s">
        <v>108</v>
      </c>
      <c r="E9" s="104" t="s">
        <v>8</v>
      </c>
      <c r="F9" s="26" t="s">
        <v>40</v>
      </c>
      <c r="G9" s="104" t="s">
        <v>4</v>
      </c>
      <c r="H9" s="5" t="s">
        <v>31</v>
      </c>
      <c r="I9" s="36"/>
      <c r="J9" s="36"/>
    </row>
    <row r="10" spans="1:10" ht="12.75" customHeight="1" x14ac:dyDescent="0.2">
      <c r="A10" s="33"/>
      <c r="B10" s="141">
        <f>IF(AND('Beginning of Year Input'!G5*'Beginning of Year Input'!G8&gt;=SUM('End of Year Input'!E24:E33)),'Beginning of Year Input'!G5*'Beginning of Year Input'!G8,SUM('End of Year Input'!E24:E33))</f>
        <v>1071000</v>
      </c>
      <c r="C10" s="36"/>
      <c r="D10" s="141">
        <f>IF(AND(D23&gt;1080),1080,IF(AND(D23&lt;=0),806.6,D23))</f>
        <v>1062.367144432194</v>
      </c>
      <c r="E10" s="36"/>
      <c r="F10" s="156">
        <f>'Estimated Monthly Demand Charge'!B11*'Estimated Monthly Demand Charge'!D11</f>
        <v>0.8459607664233576</v>
      </c>
      <c r="G10" s="36"/>
      <c r="H10" s="152">
        <f>B10*D10*F10</f>
        <v>962530109.3114593</v>
      </c>
      <c r="I10" s="36"/>
      <c r="J10" s="37" t="s">
        <v>204</v>
      </c>
    </row>
    <row r="11" spans="1:10" ht="12.75" customHeight="1" x14ac:dyDescent="0.2">
      <c r="A11" s="33"/>
      <c r="B11" s="36"/>
      <c r="C11" s="36"/>
      <c r="D11" s="141"/>
      <c r="E11" s="36"/>
      <c r="F11" s="111"/>
      <c r="G11" s="36"/>
      <c r="H11" s="36"/>
      <c r="I11" s="36"/>
      <c r="J11" s="6" t="s">
        <v>205</v>
      </c>
    </row>
    <row r="12" spans="1:10" ht="48" customHeight="1" x14ac:dyDescent="0.2">
      <c r="A12" s="33"/>
      <c r="B12" s="26" t="s">
        <v>119</v>
      </c>
      <c r="C12" s="36"/>
      <c r="D12" s="26" t="s">
        <v>163</v>
      </c>
      <c r="E12" s="36"/>
      <c r="F12" s="111"/>
      <c r="G12" s="36"/>
      <c r="H12" s="36"/>
      <c r="I12" s="36"/>
      <c r="J12" s="36"/>
    </row>
    <row r="13" spans="1:10" ht="12.75" customHeight="1" x14ac:dyDescent="0.2">
      <c r="A13" s="33"/>
      <c r="B13" s="114" t="str">
        <f>'End of Year Input'!C24</f>
        <v>1-01</v>
      </c>
      <c r="C13" s="36"/>
      <c r="D13" s="141">
        <f>'End of Year Input'!E24*'End of Year Input'!G24</f>
        <v>119840000</v>
      </c>
      <c r="E13" s="36"/>
      <c r="F13" s="111"/>
      <c r="G13" s="36"/>
      <c r="H13" s="36"/>
      <c r="I13" s="36"/>
      <c r="J13" s="36"/>
    </row>
    <row r="14" spans="1:10" ht="12.75" customHeight="1" x14ac:dyDescent="0.2">
      <c r="A14" s="33"/>
      <c r="B14" s="114" t="str">
        <f>'End of Year Input'!C25</f>
        <v>1-02</v>
      </c>
      <c r="C14" s="36"/>
      <c r="D14" s="141">
        <f>'End of Year Input'!E25*'End of Year Input'!G25</f>
        <v>118720000</v>
      </c>
      <c r="E14" s="36"/>
      <c r="F14" s="111"/>
      <c r="G14" s="36"/>
      <c r="H14" s="36"/>
      <c r="I14" s="36"/>
      <c r="J14" s="36"/>
    </row>
    <row r="15" spans="1:10" ht="12.75" customHeight="1" x14ac:dyDescent="0.2">
      <c r="A15" s="33"/>
      <c r="B15" s="114" t="str">
        <f>'End of Year Input'!C26</f>
        <v>1-03</v>
      </c>
      <c r="C15" s="36"/>
      <c r="D15" s="141">
        <f>'End of Year Input'!E26*'End of Year Input'!G26</f>
        <v>120736000</v>
      </c>
      <c r="E15" s="36"/>
      <c r="F15" s="111"/>
      <c r="G15" s="36"/>
      <c r="H15" s="36"/>
      <c r="I15" s="36"/>
      <c r="J15" s="36"/>
    </row>
    <row r="16" spans="1:10" ht="12.75" customHeight="1" x14ac:dyDescent="0.2">
      <c r="A16" s="33"/>
      <c r="B16" s="114" t="str">
        <f>'End of Year Input'!C27</f>
        <v>1-04</v>
      </c>
      <c r="C16" s="36"/>
      <c r="D16" s="141">
        <f>'End of Year Input'!E27*'End of Year Input'!G27</f>
        <v>123656000</v>
      </c>
      <c r="E16" s="36"/>
      <c r="F16" s="111"/>
      <c r="G16" s="36"/>
      <c r="H16" s="36"/>
      <c r="I16" s="36"/>
      <c r="J16" s="36"/>
    </row>
    <row r="17" spans="1:10" ht="12.75" customHeight="1" x14ac:dyDescent="0.2">
      <c r="A17" s="33"/>
      <c r="B17" s="114" t="str">
        <f>'End of Year Input'!C28</f>
        <v>1-05</v>
      </c>
      <c r="C17" s="36"/>
      <c r="D17" s="141">
        <f>'End of Year Input'!E28*'End of Year Input'!G28</f>
        <v>119944000</v>
      </c>
      <c r="E17" s="36"/>
      <c r="F17" s="111"/>
      <c r="G17" s="36"/>
      <c r="H17" s="36"/>
      <c r="I17" s="36"/>
      <c r="J17" s="36"/>
    </row>
    <row r="18" spans="1:10" ht="12.75" customHeight="1" x14ac:dyDescent="0.2">
      <c r="A18" s="33"/>
      <c r="B18" s="114" t="str">
        <f>'End of Year Input'!C29</f>
        <v>1-06</v>
      </c>
      <c r="C18" s="36"/>
      <c r="D18" s="141">
        <f>'End of Year Input'!E29*'End of Year Input'!G29</f>
        <v>119130000</v>
      </c>
      <c r="E18" s="36"/>
      <c r="F18" s="111"/>
      <c r="G18" s="36"/>
      <c r="H18" s="36"/>
      <c r="I18" s="36"/>
      <c r="J18" s="36"/>
    </row>
    <row r="19" spans="1:10" ht="12.75" customHeight="1" x14ac:dyDescent="0.2">
      <c r="A19" s="33"/>
      <c r="B19" s="114" t="str">
        <f>'End of Year Input'!C30</f>
        <v>1-07</v>
      </c>
      <c r="C19" s="36"/>
      <c r="D19" s="141">
        <f>'End of Year Input'!E30*'End of Year Input'!G30</f>
        <v>121701000</v>
      </c>
      <c r="E19" s="36"/>
      <c r="F19" s="111"/>
      <c r="G19" s="36"/>
      <c r="H19" s="36"/>
      <c r="I19" s="36"/>
      <c r="J19" s="36"/>
    </row>
    <row r="20" spans="1:10" ht="12.75" customHeight="1" x14ac:dyDescent="0.2">
      <c r="A20" s="33"/>
      <c r="B20" s="114" t="str">
        <f>'End of Year Input'!C31</f>
        <v>1-08</v>
      </c>
      <c r="C20" s="36"/>
      <c r="D20" s="141">
        <f>'End of Year Input'!E31*'End of Year Input'!G31</f>
        <v>119840000</v>
      </c>
      <c r="E20" s="36"/>
      <c r="F20" s="111"/>
      <c r="G20" s="36"/>
      <c r="H20" s="36"/>
      <c r="I20" s="36"/>
      <c r="J20" s="36"/>
    </row>
    <row r="21" spans="1:10" ht="12.75" customHeight="1" x14ac:dyDescent="0.2">
      <c r="A21" s="33"/>
      <c r="B21" s="114" t="str">
        <f>'End of Year Input'!C32</f>
        <v>1-09</v>
      </c>
      <c r="C21" s="36"/>
      <c r="D21" s="141">
        <f>'End of Year Input'!E32*'End of Year Input'!G32</f>
        <v>0</v>
      </c>
      <c r="E21" s="36"/>
      <c r="F21" s="111"/>
      <c r="G21" s="36"/>
      <c r="H21" s="36"/>
      <c r="I21" s="36"/>
      <c r="J21" s="36"/>
    </row>
    <row r="22" spans="1:10" ht="12.75" customHeight="1" x14ac:dyDescent="0.2">
      <c r="A22" s="33"/>
      <c r="B22" s="114" t="str">
        <f>'End of Year Input'!C33</f>
        <v>1-10</v>
      </c>
      <c r="C22" s="36"/>
      <c r="D22" s="144">
        <f>'End of Year Input'!E33*'End of Year Input'!G33</f>
        <v>0</v>
      </c>
      <c r="E22" s="36"/>
      <c r="F22" s="111"/>
      <c r="G22" s="36"/>
      <c r="H22" s="36"/>
      <c r="I22" s="36"/>
      <c r="J22" s="36"/>
    </row>
    <row r="23" spans="1:10" ht="12" customHeight="1" x14ac:dyDescent="0.2">
      <c r="D23" s="153">
        <f>SUM(D13:D22)/SUM('End of Year Input'!E24:E33)</f>
        <v>1062.367144432194</v>
      </c>
    </row>
    <row r="24" spans="1:10" ht="12" customHeight="1" x14ac:dyDescent="0.2">
      <c r="D24" s="145"/>
    </row>
    <row r="25" spans="1:10" ht="39" customHeight="1" x14ac:dyDescent="0.2">
      <c r="A25" s="252" t="s">
        <v>236</v>
      </c>
      <c r="B25" s="256"/>
      <c r="C25" s="256"/>
      <c r="D25" s="256"/>
      <c r="E25" s="256"/>
      <c r="F25" s="256"/>
      <c r="G25" s="256"/>
      <c r="H25" s="256"/>
      <c r="I25" s="256"/>
      <c r="J25" s="256"/>
    </row>
    <row r="26" spans="1:10" ht="56.25" customHeight="1" x14ac:dyDescent="0.2">
      <c r="A26" s="109"/>
      <c r="B26" s="26" t="s">
        <v>103</v>
      </c>
      <c r="C26" s="108" t="s">
        <v>165</v>
      </c>
      <c r="D26" s="26" t="s">
        <v>116</v>
      </c>
      <c r="E26" s="104" t="s">
        <v>8</v>
      </c>
      <c r="F26" s="26" t="s">
        <v>42</v>
      </c>
      <c r="G26" s="104" t="s">
        <v>4</v>
      </c>
      <c r="H26" s="5" t="s">
        <v>32</v>
      </c>
    </row>
    <row r="27" spans="1:10" ht="12.75" customHeight="1" x14ac:dyDescent="0.2">
      <c r="A27" s="109"/>
      <c r="B27" s="141">
        <f>IF(AND('Beginning of Year Input'!G8&gt;'End of Year Input'!G35),'Beginning of Year Input'!G8,'End of Year Input'!G35)</f>
        <v>119000</v>
      </c>
      <c r="C27" s="115"/>
      <c r="D27" s="113">
        <f>IF(AND('End of Year Input'!G37&gt;1080),1080,IF(AND('End of Year Input'!G37&lt;=0),806.6,('End of Year Input'!G37)))</f>
        <v>1070</v>
      </c>
      <c r="E27" s="114"/>
      <c r="F27" s="154">
        <f>'Estimated Monthly Demand Charge'!B16*'Estimated Monthly Demand Charge'!D16</f>
        <v>0.84016651459854008</v>
      </c>
      <c r="G27" s="114"/>
      <c r="H27" s="152">
        <f>B27*D27*F27</f>
        <v>106978402.30383211</v>
      </c>
    </row>
    <row r="32" spans="1:10" ht="54" customHeight="1" x14ac:dyDescent="0.2">
      <c r="A32" s="252" t="s">
        <v>237</v>
      </c>
      <c r="B32" s="256"/>
      <c r="C32" s="256"/>
      <c r="D32" s="256"/>
      <c r="E32" s="256"/>
      <c r="F32" s="256"/>
      <c r="G32" s="256"/>
      <c r="H32" s="256"/>
      <c r="I32" s="256"/>
      <c r="J32" s="256"/>
    </row>
    <row r="33" spans="1:12" ht="60.75" customHeight="1" x14ac:dyDescent="0.2">
      <c r="A33" s="109" t="s">
        <v>90</v>
      </c>
      <c r="B33" s="26" t="s">
        <v>109</v>
      </c>
      <c r="C33" s="104" t="s">
        <v>104</v>
      </c>
      <c r="D33" s="106" t="s">
        <v>110</v>
      </c>
      <c r="E33" s="104" t="s">
        <v>104</v>
      </c>
      <c r="F33" s="26" t="s">
        <v>111</v>
      </c>
      <c r="G33" s="110" t="s">
        <v>105</v>
      </c>
      <c r="H33" s="26" t="s">
        <v>108</v>
      </c>
      <c r="I33" s="104" t="s">
        <v>8</v>
      </c>
      <c r="J33" s="26" t="s">
        <v>40</v>
      </c>
      <c r="K33" s="104" t="s">
        <v>4</v>
      </c>
      <c r="L33" s="5" t="s">
        <v>115</v>
      </c>
    </row>
    <row r="34" spans="1:12" ht="12.75" customHeight="1" x14ac:dyDescent="0.2">
      <c r="A34" s="109"/>
      <c r="B34" s="141">
        <f>('Beginning of Year Input'!G5*'Beginning of Year Input'!G8)</f>
        <v>1071000</v>
      </c>
      <c r="C34" s="114"/>
      <c r="D34" s="141">
        <f>SUM('End of Year Input'!E24:E33)</f>
        <v>907000</v>
      </c>
      <c r="E34" s="114"/>
      <c r="F34" s="149">
        <f>'End of Year Input'!C41+'End of Year Input'!E41+'End of Year Input'!G41</f>
        <v>3000</v>
      </c>
      <c r="G34" s="107"/>
      <c r="H34" s="148">
        <f>IF(AND(D23&gt;1080),1080,IF(AND(D23&lt;=0),806.6,D23))</f>
        <v>1062.367144432194</v>
      </c>
      <c r="I34" s="114"/>
      <c r="J34" s="154">
        <f>'Estimated Monthly Demand Charge'!B11*'Estimated Monthly Demand Charge'!D11</f>
        <v>0.8459607664233576</v>
      </c>
      <c r="K34" s="114"/>
      <c r="L34" s="150">
        <f>(B34-D34-F34)*H34*J34</f>
        <v>144694068.72002327</v>
      </c>
    </row>
    <row r="35" spans="1:12" x14ac:dyDescent="0.2">
      <c r="I35" s="25"/>
    </row>
    <row r="36" spans="1:12" ht="63.75" customHeight="1" x14ac:dyDescent="0.2">
      <c r="A36" s="252" t="s">
        <v>238</v>
      </c>
      <c r="B36" s="256"/>
      <c r="C36" s="256"/>
      <c r="D36" s="256"/>
      <c r="E36" s="256"/>
      <c r="F36" s="256"/>
      <c r="G36" s="256"/>
      <c r="H36" s="256"/>
      <c r="I36" s="256"/>
      <c r="J36" s="256"/>
    </row>
    <row r="37" spans="1:12" ht="67.5" x14ac:dyDescent="0.2">
      <c r="A37" s="109" t="s">
        <v>90</v>
      </c>
      <c r="B37" s="26" t="s">
        <v>38</v>
      </c>
      <c r="C37" s="104" t="s">
        <v>104</v>
      </c>
      <c r="D37" s="106" t="s">
        <v>112</v>
      </c>
      <c r="E37" s="104" t="s">
        <v>3</v>
      </c>
      <c r="F37" s="26" t="s">
        <v>113</v>
      </c>
      <c r="G37" s="110" t="s">
        <v>105</v>
      </c>
      <c r="H37" s="26" t="s">
        <v>106</v>
      </c>
      <c r="I37" s="104" t="s">
        <v>8</v>
      </c>
      <c r="J37" s="26" t="s">
        <v>42</v>
      </c>
      <c r="K37" s="104" t="s">
        <v>4</v>
      </c>
      <c r="L37" s="5" t="s">
        <v>114</v>
      </c>
    </row>
    <row r="38" spans="1:12" x14ac:dyDescent="0.2">
      <c r="B38" s="116">
        <f>'Beginning of Year Input'!G8</f>
        <v>119000</v>
      </c>
      <c r="C38" s="38"/>
      <c r="D38" s="116">
        <f>'End of Year Input'!G35</f>
        <v>119000</v>
      </c>
      <c r="E38" s="38"/>
      <c r="F38" s="116">
        <f>'End of Year Input'!C45+'End of Year Input'!E45+'End of Year Input'!G45</f>
        <v>3000</v>
      </c>
      <c r="G38" s="38"/>
      <c r="H38" s="113">
        <f>IF(AND('End of Year Input'!G37&gt;1080),1080,IF(AND('End of Year Input'!G37&lt;=0),806.6,('End of Year Input'!G37)))</f>
        <v>1070</v>
      </c>
      <c r="I38" s="38"/>
      <c r="J38" s="155">
        <f>'Estimated Monthly Demand Charge'!B16*'Estimated Monthly Demand Charge'!D16</f>
        <v>0.84016651459854008</v>
      </c>
      <c r="K38" s="38"/>
      <c r="L38" s="150">
        <f>(B38-D38+F38)*H38*J38</f>
        <v>2696934.5118613136</v>
      </c>
    </row>
    <row r="40" spans="1:12" ht="24.75" customHeight="1" x14ac:dyDescent="0.2">
      <c r="A40" s="251" t="s">
        <v>12</v>
      </c>
      <c r="B40" s="251"/>
      <c r="C40" s="251"/>
      <c r="D40" s="251"/>
      <c r="E40" s="251"/>
      <c r="F40" s="251"/>
      <c r="G40" s="251"/>
      <c r="H40" s="251"/>
      <c r="I40" s="251"/>
      <c r="J40" s="251"/>
    </row>
    <row r="41" spans="1:12" ht="12.75" customHeight="1" x14ac:dyDescent="0.2">
      <c r="A41" s="105"/>
      <c r="B41" s="105"/>
      <c r="C41" s="105"/>
      <c r="D41" s="105"/>
      <c r="E41" s="105"/>
      <c r="F41" s="105"/>
      <c r="G41" s="105"/>
      <c r="H41" s="105"/>
      <c r="I41" s="105"/>
      <c r="J41" s="105"/>
    </row>
  </sheetData>
  <mergeCells count="6">
    <mergeCell ref="A2:J2"/>
    <mergeCell ref="A40:J40"/>
    <mergeCell ref="A8:J8"/>
    <mergeCell ref="A25:J25"/>
    <mergeCell ref="A32:J32"/>
    <mergeCell ref="A36:J36"/>
  </mergeCells>
  <pageMargins left="0.75" right="0.75" top="1" bottom="1" header="0.5" footer="0.5"/>
  <pageSetup scale="75" orientation="landscape" r:id="rId1"/>
  <headerFooter alignWithMargins="0">
    <oddHeader xml:space="preserve">&amp;LEcoElectrica LP
LNG Sales Contract
Article 8 - Price
8.2 Annual Demand Charge Reconciliation
</oddHeader>
    <oddFooter>&amp;LLNG Sales Contract
&amp;D
&amp;T&amp;CAnnual Demand Charge Reconciliation&amp;R&amp;P  of &amp;N</oddFooter>
  </headerFooter>
  <rowBreaks count="1" manualBreakCount="1">
    <brk id="29"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58"/>
  <sheetViews>
    <sheetView zoomScaleNormal="100" workbookViewId="0"/>
  </sheetViews>
  <sheetFormatPr defaultRowHeight="12.75" x14ac:dyDescent="0.2"/>
  <cols>
    <col min="1" max="1" width="11" customWidth="1"/>
    <col min="2" max="2" width="20" customWidth="1"/>
    <col min="3" max="3" width="4.7109375" customWidth="1"/>
    <col min="4" max="4" width="21" customWidth="1"/>
    <col min="5" max="5" width="4.7109375" customWidth="1"/>
    <col min="6" max="6" width="16.5703125" customWidth="1"/>
    <col min="7" max="7" width="4.7109375" customWidth="1"/>
    <col min="8" max="8" width="17.42578125" customWidth="1"/>
    <col min="9" max="9" width="4.7109375" customWidth="1"/>
    <col min="10" max="10" width="17.28515625" customWidth="1"/>
    <col min="11" max="11" width="4.7109375" customWidth="1"/>
    <col min="12" max="12" width="15.7109375" customWidth="1"/>
    <col min="13" max="13" width="4.7109375" customWidth="1"/>
    <col min="14" max="14" width="13.85546875" customWidth="1"/>
  </cols>
  <sheetData>
    <row r="2" spans="1:10" x14ac:dyDescent="0.2">
      <c r="A2" s="11" t="s">
        <v>225</v>
      </c>
    </row>
    <row r="4" spans="1:10" ht="12.75" customHeight="1" x14ac:dyDescent="0.2">
      <c r="A4" s="243" t="s">
        <v>13</v>
      </c>
      <c r="B4" s="243"/>
      <c r="C4" s="243"/>
      <c r="D4" s="243"/>
      <c r="E4" s="243"/>
      <c r="F4" s="243"/>
      <c r="G4" s="243"/>
      <c r="H4" s="243"/>
      <c r="I4" s="139"/>
      <c r="J4" s="139"/>
    </row>
    <row r="5" spans="1:10" ht="28.5" customHeight="1" x14ac:dyDescent="0.2">
      <c r="A5" s="139"/>
      <c r="B5" s="257" t="s">
        <v>193</v>
      </c>
      <c r="C5" s="257"/>
      <c r="D5" s="139"/>
      <c r="E5" s="139"/>
      <c r="F5" s="139"/>
      <c r="G5" s="139"/>
      <c r="H5" s="139"/>
      <c r="I5" s="139"/>
      <c r="J5" s="139"/>
    </row>
    <row r="6" spans="1:10" ht="33" customHeight="1" x14ac:dyDescent="0.2">
      <c r="A6" s="139"/>
      <c r="B6" s="41" t="s">
        <v>187</v>
      </c>
      <c r="C6" s="27" t="s">
        <v>104</v>
      </c>
      <c r="D6" s="26" t="s">
        <v>185</v>
      </c>
      <c r="E6" s="42" t="s">
        <v>104</v>
      </c>
      <c r="F6" s="26" t="s">
        <v>186</v>
      </c>
      <c r="G6" s="110" t="s">
        <v>4</v>
      </c>
      <c r="H6" s="26" t="str">
        <f>IF(('End of Year Input'!G8="N"),"Winter Shortfall Quantity","Winter Underdeliveries")</f>
        <v>Winter Shortfall Quantity</v>
      </c>
      <c r="I6" s="139"/>
      <c r="J6" s="139"/>
    </row>
    <row r="7" spans="1:10" ht="13.5" customHeight="1" x14ac:dyDescent="0.2">
      <c r="A7" s="139"/>
      <c r="B7" s="163">
        <f>'Beginning of Year Input'!G8*0.95</f>
        <v>113050</v>
      </c>
      <c r="C7" s="140"/>
      <c r="D7" s="165">
        <f>'End of Year Input'!G4</f>
        <v>113000</v>
      </c>
      <c r="E7" s="164"/>
      <c r="F7" s="165">
        <f>'End of Year Input'!G6</f>
        <v>30</v>
      </c>
      <c r="G7" s="140"/>
      <c r="H7" s="163">
        <f>IF(OR('End of Year Input'!G8="Y",D7+F7&gt;B7),"0",(B7-D7-F7))</f>
        <v>20</v>
      </c>
      <c r="I7" s="139"/>
      <c r="J7" s="139"/>
    </row>
    <row r="8" spans="1:10" x14ac:dyDescent="0.2">
      <c r="H8" s="47"/>
    </row>
    <row r="9" spans="1:10" ht="26.25" customHeight="1" x14ac:dyDescent="0.2">
      <c r="B9" s="257" t="s">
        <v>194</v>
      </c>
      <c r="C9" s="257"/>
      <c r="D9" s="139"/>
      <c r="E9" s="139"/>
      <c r="F9" s="139"/>
      <c r="G9" s="139"/>
      <c r="H9" s="139"/>
    </row>
    <row r="10" spans="1:10" ht="37.5" customHeight="1" x14ac:dyDescent="0.2">
      <c r="B10" s="166" t="s">
        <v>190</v>
      </c>
      <c r="C10" s="82" t="s">
        <v>104</v>
      </c>
      <c r="D10" s="26" t="s">
        <v>189</v>
      </c>
      <c r="E10" s="42" t="s">
        <v>104</v>
      </c>
      <c r="F10" s="26" t="s">
        <v>223</v>
      </c>
      <c r="G10" s="110" t="s">
        <v>4</v>
      </c>
      <c r="H10" s="26" t="str">
        <f>IF(('End of Year Input'!G10="N"),"Annual Shortfall Quantity","Annual Underdeliveries")</f>
        <v>Annual Shortfall Quantity</v>
      </c>
    </row>
    <row r="11" spans="1:10" x14ac:dyDescent="0.2">
      <c r="B11" s="116">
        <f>'Beginning of Year Input'!G5*'Beginning of Year Input'!G8</f>
        <v>1071000</v>
      </c>
      <c r="C11" s="1"/>
      <c r="D11" s="163">
        <f>SUM('End of Year Input'!E24:E33)</f>
        <v>907000</v>
      </c>
      <c r="E11" s="140"/>
      <c r="F11" s="163">
        <f>H7</f>
        <v>20</v>
      </c>
      <c r="G11" s="164"/>
      <c r="H11" s="163">
        <f>IF(OR('End of Year Input'!G10="Y",D11+F11&gt;B11),"0",(B11-D11-F11))</f>
        <v>163980</v>
      </c>
    </row>
    <row r="12" spans="1:10" x14ac:dyDescent="0.2">
      <c r="B12" s="116"/>
      <c r="C12" s="1"/>
      <c r="D12" s="163"/>
      <c r="E12" s="140"/>
      <c r="F12" s="163"/>
      <c r="G12" s="164"/>
      <c r="H12" s="163"/>
    </row>
    <row r="13" spans="1:10" ht="18.75" customHeight="1" x14ac:dyDescent="0.2">
      <c r="A13" s="1" t="s">
        <v>207</v>
      </c>
    </row>
    <row r="14" spans="1:10" ht="12.75" customHeight="1" x14ac:dyDescent="0.2">
      <c r="A14" s="260" t="s">
        <v>211</v>
      </c>
      <c r="B14" s="260"/>
      <c r="C14" s="260"/>
      <c r="D14" s="260"/>
      <c r="E14" s="260"/>
      <c r="F14" s="260"/>
    </row>
    <row r="15" spans="1:10" ht="48.75" customHeight="1" x14ac:dyDescent="0.2">
      <c r="B15" s="26" t="s">
        <v>202</v>
      </c>
      <c r="C15" s="7" t="s">
        <v>165</v>
      </c>
      <c r="D15" s="176" t="s">
        <v>208</v>
      </c>
      <c r="E15" s="3" t="s">
        <v>4</v>
      </c>
      <c r="F15" s="26" t="s">
        <v>209</v>
      </c>
    </row>
    <row r="16" spans="1:10" x14ac:dyDescent="0.2">
      <c r="B16" s="169">
        <f>IF(AND('End of Year Input'!$G35=0),(22.84/35.31),('End of Year Input'!$G37/35.31))</f>
        <v>30.303030303030301</v>
      </c>
      <c r="D16" s="92">
        <f>'End of Year Input'!$G49</f>
        <v>0.43</v>
      </c>
      <c r="F16" s="87">
        <f>$B16*$D16</f>
        <v>13.030303030303029</v>
      </c>
      <c r="J16" s="37" t="s">
        <v>197</v>
      </c>
    </row>
    <row r="17" spans="1:10" ht="18" customHeight="1" x14ac:dyDescent="0.2">
      <c r="A17" s="260" t="s">
        <v>212</v>
      </c>
      <c r="B17" s="260"/>
      <c r="C17" s="260"/>
      <c r="D17" s="260"/>
      <c r="E17" s="260"/>
      <c r="F17" s="260"/>
    </row>
    <row r="18" spans="1:10" ht="36" customHeight="1" x14ac:dyDescent="0.2">
      <c r="B18" s="26" t="s">
        <v>196</v>
      </c>
      <c r="C18" s="7" t="s">
        <v>165</v>
      </c>
      <c r="D18" s="67" t="s">
        <v>208</v>
      </c>
      <c r="E18" s="3" t="s">
        <v>4</v>
      </c>
      <c r="F18" s="26" t="s">
        <v>210</v>
      </c>
    </row>
    <row r="19" spans="1:10" x14ac:dyDescent="0.2">
      <c r="B19" s="169">
        <f>IF(AND(SUM('End of Year Input'!$E24:$E33)=0),(22.84/35.31),('Annual Demand Charge Rec'!D23/35.315))</f>
        <v>30.082603551810678</v>
      </c>
      <c r="D19" s="92">
        <f>'End of Year Input'!$G49</f>
        <v>0.43</v>
      </c>
      <c r="F19" s="168">
        <f>$B19*$D19</f>
        <v>12.935519527278592</v>
      </c>
      <c r="J19" s="37" t="s">
        <v>197</v>
      </c>
    </row>
    <row r="20" spans="1:10" ht="12.75" customHeight="1" x14ac:dyDescent="0.2"/>
    <row r="21" spans="1:10" x14ac:dyDescent="0.2">
      <c r="A21" s="7" t="s">
        <v>206</v>
      </c>
    </row>
    <row r="22" spans="1:10" ht="14.25" customHeight="1" x14ac:dyDescent="0.2">
      <c r="A22" s="259" t="s">
        <v>214</v>
      </c>
      <c r="B22" s="259"/>
      <c r="C22" s="259"/>
      <c r="D22" s="259"/>
      <c r="E22" s="259"/>
      <c r="F22" s="259"/>
    </row>
    <row r="23" spans="1:10" ht="45" x14ac:dyDescent="0.2">
      <c r="B23" s="26" t="s">
        <v>202</v>
      </c>
      <c r="C23" s="7" t="s">
        <v>165</v>
      </c>
      <c r="D23" s="167" t="s">
        <v>198</v>
      </c>
      <c r="E23" s="3" t="s">
        <v>4</v>
      </c>
      <c r="F23" s="24" t="s">
        <v>200</v>
      </c>
    </row>
    <row r="24" spans="1:10" x14ac:dyDescent="0.2">
      <c r="B24" s="169">
        <f>IF(AND('End of Year Input'!$G35=0),(22.84/35.31),('End of Year Input'!$G37/35.31))</f>
        <v>30.303030303030301</v>
      </c>
      <c r="D24" s="92">
        <f>('Estimated Monthly Demand Charge'!$B11*'Estimated Monthly Demand Charge'!$D11)+'Commodity Charge'!$F10</f>
        <v>4.329060389294404</v>
      </c>
      <c r="F24" s="87">
        <f>$B24*$D24</f>
        <v>131.18364816043646</v>
      </c>
    </row>
    <row r="25" spans="1:10" ht="12.75" customHeight="1" x14ac:dyDescent="0.2">
      <c r="B25" s="169"/>
      <c r="D25" s="92"/>
      <c r="F25" s="87"/>
    </row>
    <row r="26" spans="1:10" ht="14.25" customHeight="1" x14ac:dyDescent="0.2">
      <c r="A26" s="259" t="s">
        <v>215</v>
      </c>
      <c r="B26" s="259"/>
      <c r="C26" s="259"/>
      <c r="D26" s="259"/>
      <c r="E26" s="259"/>
      <c r="F26" s="259"/>
    </row>
    <row r="27" spans="1:10" ht="22.5" x14ac:dyDescent="0.2">
      <c r="B27" s="162" t="s">
        <v>196</v>
      </c>
      <c r="C27" s="7" t="s">
        <v>165</v>
      </c>
      <c r="D27" s="26" t="s">
        <v>199</v>
      </c>
      <c r="E27" s="3" t="s">
        <v>4</v>
      </c>
      <c r="F27" s="173" t="s">
        <v>201</v>
      </c>
    </row>
    <row r="28" spans="1:10" x14ac:dyDescent="0.2">
      <c r="B28" s="169">
        <f>IF(AND(SUM('End of Year Input'!$E23:$E31)=0),(22.84/35.31),('Annual Demand Charge Rec'!D23/35.315))</f>
        <v>30.082603551810678</v>
      </c>
      <c r="D28" s="92">
        <f>'Commodity Charge'!$B10</f>
        <v>3.483099622871046</v>
      </c>
      <c r="F28" s="168">
        <f>$B28*$D28</f>
        <v>104.78070508629096</v>
      </c>
    </row>
    <row r="29" spans="1:10" x14ac:dyDescent="0.2">
      <c r="B29" s="169"/>
      <c r="D29" s="92"/>
      <c r="F29" s="168"/>
    </row>
    <row r="30" spans="1:10" x14ac:dyDescent="0.2">
      <c r="B30" s="169"/>
      <c r="D30" s="92"/>
      <c r="F30" s="168"/>
    </row>
    <row r="31" spans="1:10" x14ac:dyDescent="0.2">
      <c r="B31" s="169"/>
      <c r="D31" s="92"/>
      <c r="F31" s="168"/>
    </row>
    <row r="32" spans="1:10" x14ac:dyDescent="0.2">
      <c r="B32" s="169"/>
      <c r="D32" s="92"/>
      <c r="F32" s="168"/>
    </row>
    <row r="33" spans="1:6" x14ac:dyDescent="0.2">
      <c r="B33" s="169"/>
      <c r="D33" s="92"/>
      <c r="F33" s="168"/>
    </row>
    <row r="34" spans="1:6" x14ac:dyDescent="0.2">
      <c r="A34" s="258" t="s">
        <v>227</v>
      </c>
      <c r="B34" s="259"/>
      <c r="C34" s="259"/>
      <c r="D34" s="259"/>
      <c r="E34" s="259"/>
      <c r="F34" s="259"/>
    </row>
    <row r="35" spans="1:6" ht="45" x14ac:dyDescent="0.2">
      <c r="B35" s="26" t="s">
        <v>209</v>
      </c>
      <c r="C35" s="27" t="s">
        <v>104</v>
      </c>
      <c r="D35" s="24" t="s">
        <v>200</v>
      </c>
      <c r="E35" s="3" t="s">
        <v>4</v>
      </c>
      <c r="F35" s="26" t="s">
        <v>218</v>
      </c>
    </row>
    <row r="36" spans="1:6" x14ac:dyDescent="0.2">
      <c r="B36" s="87">
        <f>$F16</f>
        <v>13.030303030303029</v>
      </c>
      <c r="C36" s="82"/>
      <c r="D36" s="87">
        <f>$F24</f>
        <v>131.18364816043646</v>
      </c>
      <c r="F36" s="168">
        <f>$B36-$D36</f>
        <v>-118.15334513013343</v>
      </c>
    </row>
    <row r="37" spans="1:6" x14ac:dyDescent="0.2">
      <c r="B37" s="87"/>
      <c r="C37" s="82"/>
      <c r="D37" s="87"/>
      <c r="F37" s="168"/>
    </row>
    <row r="38" spans="1:6" x14ac:dyDescent="0.2">
      <c r="A38" s="258" t="s">
        <v>226</v>
      </c>
      <c r="B38" s="259"/>
      <c r="C38" s="259"/>
      <c r="D38" s="259"/>
      <c r="E38" s="259"/>
      <c r="F38" s="259"/>
    </row>
    <row r="39" spans="1:6" ht="35.25" customHeight="1" x14ac:dyDescent="0.2">
      <c r="B39" s="26" t="s">
        <v>210</v>
      </c>
      <c r="C39" s="27" t="s">
        <v>104</v>
      </c>
      <c r="D39" s="24" t="s">
        <v>201</v>
      </c>
      <c r="E39" s="3" t="s">
        <v>4</v>
      </c>
      <c r="F39" s="26" t="s">
        <v>219</v>
      </c>
    </row>
    <row r="40" spans="1:6" x14ac:dyDescent="0.2">
      <c r="B40" s="168">
        <f>$F19</f>
        <v>12.935519527278592</v>
      </c>
      <c r="D40" s="168">
        <f>$F28</f>
        <v>104.78070508629096</v>
      </c>
      <c r="F40" s="168">
        <f>$B40-$D40</f>
        <v>-91.845185559012378</v>
      </c>
    </row>
    <row r="41" spans="1:6" x14ac:dyDescent="0.2">
      <c r="A41" s="258" t="s">
        <v>228</v>
      </c>
      <c r="B41" s="259"/>
      <c r="C41" s="259"/>
      <c r="D41" s="259"/>
      <c r="E41" s="259"/>
      <c r="F41" s="259"/>
    </row>
    <row r="42" spans="1:6" ht="45" x14ac:dyDescent="0.2">
      <c r="B42" s="26" t="s">
        <v>218</v>
      </c>
      <c r="C42" s="3" t="s">
        <v>3</v>
      </c>
      <c r="D42" s="26" t="s">
        <v>219</v>
      </c>
      <c r="E42" s="25" t="s">
        <v>4</v>
      </c>
      <c r="F42" s="26" t="s">
        <v>220</v>
      </c>
    </row>
    <row r="43" spans="1:6" x14ac:dyDescent="0.2">
      <c r="B43" s="168">
        <f>$F36</f>
        <v>-118.15334513013343</v>
      </c>
      <c r="D43" s="168">
        <f>$F40</f>
        <v>-91.845185559012378</v>
      </c>
      <c r="F43" s="168">
        <f>$B43+$D43</f>
        <v>-209.99853068914581</v>
      </c>
    </row>
    <row r="45" spans="1:6" x14ac:dyDescent="0.2">
      <c r="B45" s="82" t="s">
        <v>221</v>
      </c>
      <c r="E45" s="25" t="s">
        <v>4</v>
      </c>
      <c r="F45" s="172">
        <f>'End of Year Input'!$G14</f>
        <v>33</v>
      </c>
    </row>
    <row r="47" spans="1:6" x14ac:dyDescent="0.2">
      <c r="B47" s="49" t="s">
        <v>232</v>
      </c>
      <c r="E47" s="25" t="s">
        <v>4</v>
      </c>
      <c r="F47" s="172">
        <f>IF(AND($F43-$F45&lt;=0),0,($F43-$F45))</f>
        <v>0</v>
      </c>
    </row>
    <row r="53" spans="1:8" x14ac:dyDescent="0.2">
      <c r="A53" s="245" t="s">
        <v>14</v>
      </c>
      <c r="B53" s="245"/>
      <c r="C53" s="245"/>
      <c r="D53" s="245"/>
      <c r="E53" s="245"/>
      <c r="F53" s="245"/>
      <c r="G53" s="245"/>
      <c r="H53" s="245"/>
    </row>
    <row r="55" spans="1:8" x14ac:dyDescent="0.2">
      <c r="B55" s="1" t="s">
        <v>231</v>
      </c>
      <c r="E55" s="177" t="s">
        <v>4</v>
      </c>
      <c r="F55" s="172">
        <f>IF('End of Year Input'!G16="Y",'End of Year Input'!G18,0)</f>
        <v>1000</v>
      </c>
    </row>
    <row r="57" spans="1:8" ht="13.5" thickBot="1" x14ac:dyDescent="0.25">
      <c r="B57" s="49" t="s">
        <v>233</v>
      </c>
      <c r="E57" s="25" t="s">
        <v>4</v>
      </c>
      <c r="F57" s="175">
        <f>F47+F55</f>
        <v>1000</v>
      </c>
    </row>
    <row r="58" spans="1:8" ht="13.5" thickTop="1" x14ac:dyDescent="0.2"/>
  </sheetData>
  <mergeCells count="11">
    <mergeCell ref="A4:H4"/>
    <mergeCell ref="A53:H53"/>
    <mergeCell ref="B5:C5"/>
    <mergeCell ref="A34:F34"/>
    <mergeCell ref="A38:F38"/>
    <mergeCell ref="A41:F41"/>
    <mergeCell ref="A26:F26"/>
    <mergeCell ref="B9:C9"/>
    <mergeCell ref="A14:F14"/>
    <mergeCell ref="A17:F17"/>
    <mergeCell ref="A22:F22"/>
  </mergeCells>
  <pageMargins left="0.75" right="0.75" top="1" bottom="1" header="0.5" footer="0.5"/>
  <pageSetup scale="75" orientation="landscape" r:id="rId1"/>
  <headerFooter alignWithMargins="0">
    <oddHeader xml:space="preserve">&amp;LEcoElectrica LP
LNG Sales Contract
Article 8 - Price
8.2 (b) Annual Adjustments
</oddHeader>
    <oddFooter>&amp;LLNG Sales Contract
&amp;D
&amp;T&amp;CAnnual Adjustments&amp;R&amp;P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
  <sheetViews>
    <sheetView workbookViewId="0">
      <selection activeCell="B34" sqref="B34"/>
    </sheetView>
  </sheetViews>
  <sheetFormatPr defaultRowHeight="12.75" x14ac:dyDescent="0.2"/>
  <sheetData>
    <row r="4" spans="1:1" x14ac:dyDescent="0.2">
      <c r="A4" t="s">
        <v>213</v>
      </c>
    </row>
  </sheetData>
  <pageMargins left="0.75" right="0.75" top="1" bottom="1" header="0.5" footer="0.5"/>
  <pageSetup orientation="portrait" r:id="rId1"/>
  <headerFooter alignWithMargins="0">
    <oddHeader xml:space="preserve">&amp;LEcoElectrica LP
LNG Sales Contract
When to Order 
(Optional - Not Part of Contract)
</oddHeader>
    <oddFooter>&amp;LLNG Sales Contract
&amp;T
&amp;D&amp;CWhen to Order&amp;R&amp;P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7"/>
  <sheetViews>
    <sheetView workbookViewId="0">
      <selection activeCell="B18" sqref="B18"/>
    </sheetView>
  </sheetViews>
  <sheetFormatPr defaultRowHeight="12.75" x14ac:dyDescent="0.2"/>
  <cols>
    <col min="6" max="6" width="12.5703125" customWidth="1"/>
  </cols>
  <sheetData>
    <row r="3" spans="1:6" x14ac:dyDescent="0.2">
      <c r="A3" s="230"/>
      <c r="B3" t="s">
        <v>65</v>
      </c>
      <c r="F3">
        <v>1</v>
      </c>
    </row>
    <row r="4" spans="1:6" x14ac:dyDescent="0.2">
      <c r="A4" s="230"/>
    </row>
    <row r="5" spans="1:6" x14ac:dyDescent="0.2">
      <c r="A5" s="230"/>
      <c r="B5" t="s">
        <v>270</v>
      </c>
      <c r="F5">
        <v>1</v>
      </c>
    </row>
    <row r="6" spans="1:6" x14ac:dyDescent="0.2">
      <c r="A6" s="230"/>
    </row>
    <row r="7" spans="1:6" x14ac:dyDescent="0.2">
      <c r="A7" s="230" t="s">
        <v>269</v>
      </c>
      <c r="B7" t="s">
        <v>272</v>
      </c>
      <c r="F7">
        <v>10</v>
      </c>
    </row>
    <row r="8" spans="1:6" x14ac:dyDescent="0.2">
      <c r="A8" s="230"/>
    </row>
    <row r="9" spans="1:6" x14ac:dyDescent="0.2">
      <c r="A9" s="230"/>
      <c r="B9" t="s">
        <v>271</v>
      </c>
      <c r="F9">
        <v>1</v>
      </c>
    </row>
    <row r="10" spans="1:6" x14ac:dyDescent="0.2">
      <c r="A10" s="230"/>
    </row>
    <row r="11" spans="1:6" x14ac:dyDescent="0.2">
      <c r="A11" s="230" t="s">
        <v>269</v>
      </c>
      <c r="B11" t="s">
        <v>273</v>
      </c>
      <c r="F11">
        <v>12</v>
      </c>
    </row>
    <row r="12" spans="1:6" x14ac:dyDescent="0.2">
      <c r="A12" s="230"/>
    </row>
    <row r="13" spans="1:6" x14ac:dyDescent="0.2">
      <c r="A13" s="230"/>
      <c r="B13" t="s">
        <v>11</v>
      </c>
      <c r="F13">
        <v>1</v>
      </c>
    </row>
    <row r="14" spans="1:6" x14ac:dyDescent="0.2">
      <c r="A14" s="230"/>
    </row>
    <row r="15" spans="1:6" x14ac:dyDescent="0.2">
      <c r="A15" s="230" t="s">
        <v>269</v>
      </c>
      <c r="B15" t="s">
        <v>274</v>
      </c>
      <c r="F15">
        <v>10</v>
      </c>
    </row>
    <row r="16" spans="1:6" x14ac:dyDescent="0.2">
      <c r="A16" s="230"/>
    </row>
    <row r="17" spans="1:6" x14ac:dyDescent="0.2">
      <c r="A17" s="230" t="s">
        <v>269</v>
      </c>
      <c r="B17" s="38" t="s">
        <v>56</v>
      </c>
      <c r="F17">
        <v>10</v>
      </c>
    </row>
    <row r="18" spans="1:6" x14ac:dyDescent="0.2">
      <c r="A18" s="230"/>
    </row>
    <row r="19" spans="1:6" x14ac:dyDescent="0.2">
      <c r="A19" s="230" t="s">
        <v>269</v>
      </c>
      <c r="B19" t="s">
        <v>275</v>
      </c>
      <c r="F19">
        <v>10</v>
      </c>
    </row>
    <row r="20" spans="1:6" x14ac:dyDescent="0.2">
      <c r="A20" s="230"/>
    </row>
    <row r="21" spans="1:6" x14ac:dyDescent="0.2">
      <c r="A21" s="230"/>
      <c r="B21" t="s">
        <v>276</v>
      </c>
      <c r="F21">
        <v>1</v>
      </c>
    </row>
    <row r="22" spans="1:6" x14ac:dyDescent="0.2">
      <c r="A22" s="230"/>
    </row>
    <row r="23" spans="1:6" x14ac:dyDescent="0.2">
      <c r="A23" s="230"/>
      <c r="B23" t="s">
        <v>284</v>
      </c>
      <c r="F23">
        <v>1</v>
      </c>
    </row>
    <row r="24" spans="1:6" x14ac:dyDescent="0.2">
      <c r="A24" s="230"/>
    </row>
    <row r="25" spans="1:6" x14ac:dyDescent="0.2">
      <c r="D25" t="s">
        <v>279</v>
      </c>
      <c r="F25" s="1">
        <f>SUM(F3:F24)</f>
        <v>58</v>
      </c>
    </row>
    <row r="26" spans="1:6" x14ac:dyDescent="0.2">
      <c r="F26" s="1"/>
    </row>
    <row r="27" spans="1:6" x14ac:dyDescent="0.2">
      <c r="A27" s="230" t="s">
        <v>277</v>
      </c>
      <c r="B27" t="s">
        <v>278</v>
      </c>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7"/>
  <sheetViews>
    <sheetView tabSelected="1" topLeftCell="A73" zoomScaleNormal="100" workbookViewId="0">
      <selection activeCell="E77" sqref="E77"/>
    </sheetView>
  </sheetViews>
  <sheetFormatPr defaultRowHeight="12.75" x14ac:dyDescent="0.2"/>
  <cols>
    <col min="1" max="1" width="7.85546875" customWidth="1"/>
    <col min="3" max="3" width="12.85546875" customWidth="1"/>
    <col min="4" max="4" width="9.28515625" customWidth="1"/>
    <col min="5" max="5" width="12.85546875" customWidth="1"/>
    <col min="6" max="6" width="0.85546875" customWidth="1"/>
    <col min="7" max="7" width="15.42578125" customWidth="1"/>
  </cols>
  <sheetData>
    <row r="1" spans="1:11" x14ac:dyDescent="0.2">
      <c r="A1" s="1"/>
    </row>
    <row r="2" spans="1:11" x14ac:dyDescent="0.2">
      <c r="A2" s="1"/>
    </row>
    <row r="3" spans="1:11" x14ac:dyDescent="0.2">
      <c r="A3" s="49" t="s">
        <v>68</v>
      </c>
    </row>
    <row r="4" spans="1:11" ht="12" customHeight="1" x14ac:dyDescent="0.2">
      <c r="A4" s="1"/>
    </row>
    <row r="5" spans="1:11" x14ac:dyDescent="0.2">
      <c r="A5" s="1"/>
      <c r="B5" s="38" t="s">
        <v>252</v>
      </c>
      <c r="F5" s="37" t="s">
        <v>49</v>
      </c>
      <c r="G5" s="209">
        <v>9</v>
      </c>
      <c r="J5" s="214"/>
      <c r="K5" s="216"/>
    </row>
    <row r="6" spans="1:11" x14ac:dyDescent="0.2">
      <c r="A6" s="1"/>
      <c r="B6" s="38" t="s">
        <v>291</v>
      </c>
      <c r="F6" s="37"/>
      <c r="G6" s="38"/>
      <c r="J6" s="214"/>
      <c r="K6" s="216"/>
    </row>
    <row r="7" spans="1:11" x14ac:dyDescent="0.2">
      <c r="A7" s="1"/>
      <c r="B7" s="38"/>
      <c r="F7" s="37"/>
      <c r="G7" s="38"/>
      <c r="J7" s="214"/>
      <c r="K7" s="216"/>
    </row>
    <row r="8" spans="1:11" x14ac:dyDescent="0.2">
      <c r="A8" s="1"/>
      <c r="B8" s="38" t="s">
        <v>253</v>
      </c>
      <c r="F8" s="37" t="s">
        <v>49</v>
      </c>
      <c r="G8" s="210">
        <v>119000</v>
      </c>
      <c r="J8" s="214"/>
      <c r="K8" s="216"/>
    </row>
    <row r="9" spans="1:11" x14ac:dyDescent="0.2">
      <c r="A9" s="1"/>
      <c r="B9" s="38"/>
      <c r="F9" s="37"/>
      <c r="G9" s="116"/>
      <c r="J9" s="214"/>
      <c r="K9" s="216"/>
    </row>
    <row r="10" spans="1:11" x14ac:dyDescent="0.2">
      <c r="A10" s="49" t="s">
        <v>53</v>
      </c>
      <c r="G10" s="38"/>
      <c r="J10" s="214"/>
      <c r="K10" s="216"/>
    </row>
    <row r="11" spans="1:11" ht="12.75" customHeight="1" x14ac:dyDescent="0.2">
      <c r="A11" s="1"/>
      <c r="G11" s="38"/>
      <c r="J11" s="214"/>
      <c r="K11" s="216"/>
    </row>
    <row r="12" spans="1:11" x14ac:dyDescent="0.2">
      <c r="A12" s="1"/>
      <c r="B12" s="38" t="s">
        <v>52</v>
      </c>
      <c r="F12" s="37" t="s">
        <v>49</v>
      </c>
      <c r="G12" s="209">
        <v>11</v>
      </c>
      <c r="J12" s="214"/>
      <c r="K12" s="216"/>
    </row>
    <row r="13" spans="1:11" ht="12" customHeight="1" x14ac:dyDescent="0.2">
      <c r="J13" s="214"/>
      <c r="K13" s="216"/>
    </row>
    <row r="14" spans="1:11" x14ac:dyDescent="0.2">
      <c r="A14" s="49" t="s">
        <v>147</v>
      </c>
      <c r="C14" s="1"/>
      <c r="J14" s="214"/>
      <c r="K14" s="216"/>
    </row>
    <row r="15" spans="1:11" x14ac:dyDescent="0.2">
      <c r="C15" s="1"/>
      <c r="J15" s="214"/>
      <c r="K15" s="216"/>
    </row>
    <row r="16" spans="1:11" ht="18" customHeight="1" x14ac:dyDescent="0.2">
      <c r="B16" s="237" t="s">
        <v>127</v>
      </c>
      <c r="C16" s="237"/>
      <c r="D16" s="237"/>
      <c r="E16" s="102"/>
      <c r="F16" s="9"/>
      <c r="G16" s="4"/>
      <c r="H16" s="215"/>
      <c r="J16" s="214"/>
      <c r="K16" s="216"/>
    </row>
    <row r="17" spans="2:11" ht="18" customHeight="1" x14ac:dyDescent="0.2">
      <c r="B17" s="237"/>
      <c r="C17" s="237"/>
      <c r="D17" s="237"/>
      <c r="E17" s="131" t="s">
        <v>26</v>
      </c>
      <c r="G17" s="4"/>
      <c r="H17" s="215"/>
      <c r="J17" s="214"/>
      <c r="K17" s="216"/>
    </row>
    <row r="18" spans="2:11" x14ac:dyDescent="0.2">
      <c r="C18" t="s">
        <v>15</v>
      </c>
      <c r="D18" s="37" t="s">
        <v>49</v>
      </c>
      <c r="E18" s="211">
        <v>173.8</v>
      </c>
      <c r="G18" s="10"/>
      <c r="H18" s="215"/>
      <c r="J18" s="214"/>
      <c r="K18" s="216"/>
    </row>
    <row r="19" spans="2:11" x14ac:dyDescent="0.2">
      <c r="C19" t="s">
        <v>16</v>
      </c>
      <c r="D19" s="37" t="s">
        <v>49</v>
      </c>
      <c r="E19" s="211">
        <v>174.2</v>
      </c>
      <c r="G19" s="10"/>
      <c r="J19" s="214"/>
      <c r="K19" s="216"/>
    </row>
    <row r="20" spans="2:11" x14ac:dyDescent="0.2">
      <c r="C20" s="11" t="s">
        <v>17</v>
      </c>
      <c r="D20" s="37" t="s">
        <v>49</v>
      </c>
      <c r="E20" s="211">
        <v>175.8</v>
      </c>
      <c r="G20" s="12"/>
    </row>
    <row r="21" spans="2:11" x14ac:dyDescent="0.2">
      <c r="C21" s="11" t="s">
        <v>18</v>
      </c>
      <c r="D21" s="37" t="s">
        <v>49</v>
      </c>
      <c r="E21" s="211">
        <v>176.9</v>
      </c>
      <c r="G21" s="12"/>
    </row>
    <row r="22" spans="2:11" x14ac:dyDescent="0.2">
      <c r="C22" s="13" t="s">
        <v>19</v>
      </c>
      <c r="D22" s="37" t="s">
        <v>49</v>
      </c>
      <c r="E22" s="211">
        <v>177.5</v>
      </c>
      <c r="G22" s="12"/>
      <c r="J22" s="215"/>
    </row>
    <row r="23" spans="2:11" x14ac:dyDescent="0.2">
      <c r="C23" s="11" t="s">
        <v>20</v>
      </c>
      <c r="D23" s="37" t="s">
        <v>49</v>
      </c>
      <c r="E23" s="211">
        <v>179.7</v>
      </c>
      <c r="G23" s="12"/>
      <c r="J23" s="215"/>
    </row>
    <row r="24" spans="2:11" x14ac:dyDescent="0.2">
      <c r="C24" s="11" t="s">
        <v>21</v>
      </c>
      <c r="D24" s="37" t="s">
        <v>49</v>
      </c>
      <c r="E24" s="211">
        <v>180.3</v>
      </c>
      <c r="G24" s="12"/>
    </row>
    <row r="25" spans="2:11" x14ac:dyDescent="0.2">
      <c r="C25" s="11" t="s">
        <v>125</v>
      </c>
      <c r="D25" s="37" t="s">
        <v>49</v>
      </c>
      <c r="E25" s="211">
        <v>181.1</v>
      </c>
      <c r="G25" s="12"/>
    </row>
    <row r="26" spans="2:11" x14ac:dyDescent="0.2">
      <c r="C26" s="11" t="s">
        <v>126</v>
      </c>
      <c r="D26" s="37" t="s">
        <v>49</v>
      </c>
      <c r="E26" s="211">
        <v>182.6</v>
      </c>
      <c r="G26" s="12"/>
    </row>
    <row r="27" spans="2:11" x14ac:dyDescent="0.2">
      <c r="C27" s="11" t="s">
        <v>158</v>
      </c>
      <c r="D27" s="37" t="s">
        <v>49</v>
      </c>
      <c r="E27" s="211">
        <v>185.1</v>
      </c>
      <c r="G27" s="12"/>
    </row>
    <row r="28" spans="2:11" x14ac:dyDescent="0.2">
      <c r="C28" s="11" t="s">
        <v>159</v>
      </c>
      <c r="D28" s="37" t="s">
        <v>49</v>
      </c>
      <c r="E28" s="211">
        <v>188.7</v>
      </c>
      <c r="G28" s="12"/>
    </row>
    <row r="29" spans="2:11" x14ac:dyDescent="0.2">
      <c r="C29" s="11" t="s">
        <v>245</v>
      </c>
      <c r="D29" s="37" t="s">
        <v>49</v>
      </c>
      <c r="E29" s="211">
        <v>190.6</v>
      </c>
      <c r="G29" s="15"/>
      <c r="I29" s="9"/>
    </row>
    <row r="30" spans="2:11" x14ac:dyDescent="0.2">
      <c r="C30" s="14" t="s">
        <v>22</v>
      </c>
      <c r="E30" s="128">
        <f>SUM(E18:E29)</f>
        <v>2166.2999999999997</v>
      </c>
      <c r="G30" s="12"/>
      <c r="I30" s="9"/>
    </row>
    <row r="31" spans="2:11" ht="22.5" x14ac:dyDescent="0.2">
      <c r="C31" s="16" t="s">
        <v>23</v>
      </c>
      <c r="E31" s="129">
        <v>12</v>
      </c>
      <c r="G31" s="17"/>
      <c r="I31" s="9"/>
    </row>
    <row r="32" spans="2:11" ht="24.75" thickBot="1" x14ac:dyDescent="0.25">
      <c r="C32" s="79" t="s">
        <v>92</v>
      </c>
      <c r="D32" s="37" t="s">
        <v>72</v>
      </c>
      <c r="E32" s="130">
        <f>E30/12</f>
        <v>180.52499999999998</v>
      </c>
      <c r="G32" s="22"/>
      <c r="I32" s="9"/>
    </row>
    <row r="33" spans="1:11" ht="13.5" thickTop="1" x14ac:dyDescent="0.2">
      <c r="C33" s="101"/>
      <c r="I33" s="9"/>
    </row>
    <row r="37" spans="1:11" x14ac:dyDescent="0.2">
      <c r="A37" s="49" t="s">
        <v>91</v>
      </c>
      <c r="K37" s="18"/>
    </row>
    <row r="38" spans="1:11" ht="52.5" customHeight="1" x14ac:dyDescent="0.2">
      <c r="A38" s="238" t="s">
        <v>128</v>
      </c>
      <c r="B38" s="238"/>
      <c r="C38" s="238"/>
      <c r="D38" s="238"/>
      <c r="E38" s="238"/>
    </row>
    <row r="39" spans="1:11" ht="33.75" customHeight="1" x14ac:dyDescent="0.2">
      <c r="A39" s="24" t="s">
        <v>24</v>
      </c>
      <c r="B39" s="17"/>
      <c r="C39" s="24" t="s">
        <v>129</v>
      </c>
      <c r="E39" s="24" t="s">
        <v>130</v>
      </c>
      <c r="G39" s="26" t="s">
        <v>290</v>
      </c>
    </row>
    <row r="40" spans="1:11" ht="12.75" customHeight="1" x14ac:dyDescent="0.2">
      <c r="A40" s="157">
        <v>1</v>
      </c>
      <c r="B40" s="103" t="s">
        <v>98</v>
      </c>
      <c r="C40" s="234">
        <v>36517</v>
      </c>
      <c r="D40" s="103" t="s">
        <v>98</v>
      </c>
      <c r="E40" s="213">
        <v>2.399</v>
      </c>
      <c r="J40" s="20"/>
    </row>
    <row r="41" spans="1:11" x14ac:dyDescent="0.2">
      <c r="A41" s="157">
        <v>2</v>
      </c>
      <c r="B41" s="103" t="s">
        <v>98</v>
      </c>
      <c r="C41" s="234">
        <v>36521</v>
      </c>
      <c r="D41" s="103" t="s">
        <v>98</v>
      </c>
      <c r="E41" s="213">
        <v>2.2709999999999999</v>
      </c>
      <c r="J41" s="20"/>
    </row>
    <row r="42" spans="1:11" x14ac:dyDescent="0.2">
      <c r="A42" s="157">
        <v>3</v>
      </c>
      <c r="B42" s="103" t="s">
        <v>98</v>
      </c>
      <c r="C42" s="234">
        <v>36522</v>
      </c>
      <c r="D42" s="103" t="s">
        <v>98</v>
      </c>
      <c r="E42" s="213">
        <v>2.3439999999999999</v>
      </c>
      <c r="G42" s="233">
        <f>AVERAGE(E40:E42)</f>
        <v>2.3379999999999996</v>
      </c>
      <c r="J42" s="20"/>
    </row>
    <row r="43" spans="1:11" x14ac:dyDescent="0.2">
      <c r="A43" s="157">
        <v>4</v>
      </c>
      <c r="B43" s="103" t="s">
        <v>98</v>
      </c>
      <c r="C43" s="235">
        <v>36550</v>
      </c>
      <c r="D43" s="103" t="s">
        <v>98</v>
      </c>
      <c r="E43" s="213">
        <v>2.6160000000000001</v>
      </c>
      <c r="G43" s="233"/>
      <c r="J43" s="20"/>
    </row>
    <row r="44" spans="1:11" x14ac:dyDescent="0.2">
      <c r="A44" s="157">
        <v>5</v>
      </c>
      <c r="B44" s="103" t="s">
        <v>98</v>
      </c>
      <c r="C44" s="235">
        <v>36551</v>
      </c>
      <c r="D44" s="103" t="s">
        <v>98</v>
      </c>
      <c r="E44" s="213">
        <v>2.5230000000000001</v>
      </c>
      <c r="G44" s="233"/>
      <c r="J44" s="20"/>
    </row>
    <row r="45" spans="1:11" x14ac:dyDescent="0.2">
      <c r="A45" s="157">
        <v>6</v>
      </c>
      <c r="B45" s="103" t="s">
        <v>98</v>
      </c>
      <c r="C45" s="235">
        <v>36552</v>
      </c>
      <c r="D45" s="103" t="s">
        <v>98</v>
      </c>
      <c r="E45" s="213">
        <v>2.61</v>
      </c>
      <c r="G45" s="233">
        <f>AVERAGE(E43:E45)</f>
        <v>2.5830000000000002</v>
      </c>
      <c r="J45" s="20"/>
    </row>
    <row r="46" spans="1:11" x14ac:dyDescent="0.2">
      <c r="A46" s="157">
        <v>7</v>
      </c>
      <c r="B46" s="103" t="s">
        <v>98</v>
      </c>
      <c r="C46" s="235">
        <v>36579</v>
      </c>
      <c r="D46" s="103" t="s">
        <v>98</v>
      </c>
      <c r="E46" s="213">
        <v>2.5299999999999998</v>
      </c>
      <c r="G46" s="233"/>
      <c r="J46" s="20"/>
    </row>
    <row r="47" spans="1:11" x14ac:dyDescent="0.2">
      <c r="A47" s="157">
        <v>8</v>
      </c>
      <c r="B47" s="103" t="s">
        <v>98</v>
      </c>
      <c r="C47" s="235">
        <v>36580</v>
      </c>
      <c r="D47" s="103" t="s">
        <v>98</v>
      </c>
      <c r="E47" s="213">
        <v>2.5489999999999999</v>
      </c>
      <c r="G47" s="233"/>
      <c r="J47" s="20"/>
    </row>
    <row r="48" spans="1:11" x14ac:dyDescent="0.2">
      <c r="A48" s="157">
        <v>9</v>
      </c>
      <c r="B48" s="103" t="s">
        <v>98</v>
      </c>
      <c r="C48" s="235">
        <v>36581</v>
      </c>
      <c r="D48" s="103" t="s">
        <v>98</v>
      </c>
      <c r="E48" s="213">
        <v>2.6030000000000002</v>
      </c>
      <c r="G48" s="233">
        <f>AVERAGE(E46:E48)</f>
        <v>2.5606666666666666</v>
      </c>
      <c r="J48" s="20"/>
    </row>
    <row r="49" spans="1:10" x14ac:dyDescent="0.2">
      <c r="A49" s="157">
        <v>10</v>
      </c>
      <c r="B49" s="103" t="s">
        <v>98</v>
      </c>
      <c r="C49" s="235">
        <v>36612</v>
      </c>
      <c r="D49" s="103" t="s">
        <v>98</v>
      </c>
      <c r="E49" s="213">
        <v>2.9140000000000001</v>
      </c>
      <c r="G49" s="233"/>
      <c r="J49" s="20"/>
    </row>
    <row r="50" spans="1:10" x14ac:dyDescent="0.2">
      <c r="A50" s="157">
        <v>11</v>
      </c>
      <c r="B50" s="103" t="s">
        <v>98</v>
      </c>
      <c r="C50" s="235">
        <v>36613</v>
      </c>
      <c r="D50" s="103" t="s">
        <v>98</v>
      </c>
      <c r="E50" s="213">
        <v>2.9630000000000001</v>
      </c>
      <c r="G50" s="233"/>
      <c r="J50" s="20"/>
    </row>
    <row r="51" spans="1:10" x14ac:dyDescent="0.2">
      <c r="A51" s="157">
        <v>12</v>
      </c>
      <c r="B51" s="103" t="s">
        <v>98</v>
      </c>
      <c r="C51" s="235">
        <v>36614</v>
      </c>
      <c r="D51" s="103" t="s">
        <v>98</v>
      </c>
      <c r="E51" s="213">
        <v>2.9</v>
      </c>
      <c r="G51" s="233">
        <f>AVERAGE(E49:E51)</f>
        <v>2.9256666666666669</v>
      </c>
      <c r="J51" s="20"/>
    </row>
    <row r="52" spans="1:10" x14ac:dyDescent="0.2">
      <c r="A52" s="157">
        <v>13</v>
      </c>
      <c r="B52" s="103" t="s">
        <v>98</v>
      </c>
      <c r="C52" s="235">
        <v>36640</v>
      </c>
      <c r="D52" s="103" t="s">
        <v>98</v>
      </c>
      <c r="E52" s="213">
        <v>3.137</v>
      </c>
      <c r="G52" s="233"/>
      <c r="J52" s="20"/>
    </row>
    <row r="53" spans="1:10" x14ac:dyDescent="0.2">
      <c r="A53" s="157">
        <v>14</v>
      </c>
      <c r="B53" s="103" t="s">
        <v>98</v>
      </c>
      <c r="C53" s="235">
        <v>36641</v>
      </c>
      <c r="D53" s="103" t="s">
        <v>98</v>
      </c>
      <c r="E53" s="213">
        <v>3.11</v>
      </c>
      <c r="G53" s="233"/>
      <c r="J53" s="20"/>
    </row>
    <row r="54" spans="1:10" x14ac:dyDescent="0.2">
      <c r="A54" s="157">
        <v>15</v>
      </c>
      <c r="B54" s="103" t="s">
        <v>98</v>
      </c>
      <c r="C54" s="235">
        <v>36642</v>
      </c>
      <c r="D54" s="103" t="s">
        <v>98</v>
      </c>
      <c r="E54" s="213">
        <v>3.089</v>
      </c>
      <c r="G54" s="233">
        <f>AVERAGE(E52:E54)</f>
        <v>3.1120000000000001</v>
      </c>
      <c r="J54" s="20"/>
    </row>
    <row r="55" spans="1:10" x14ac:dyDescent="0.2">
      <c r="A55" s="157">
        <v>16</v>
      </c>
      <c r="B55" s="103" t="s">
        <v>98</v>
      </c>
      <c r="C55" s="235">
        <v>36670</v>
      </c>
      <c r="D55" s="103" t="s">
        <v>98</v>
      </c>
      <c r="E55" s="213">
        <v>4.0730000000000004</v>
      </c>
      <c r="G55" s="233"/>
      <c r="J55" s="20"/>
    </row>
    <row r="56" spans="1:10" x14ac:dyDescent="0.2">
      <c r="A56" s="157">
        <v>17</v>
      </c>
      <c r="B56" s="103" t="s">
        <v>98</v>
      </c>
      <c r="C56" s="235">
        <v>36671</v>
      </c>
      <c r="D56" s="103" t="s">
        <v>98</v>
      </c>
      <c r="E56" s="213">
        <v>4.2359999999999998</v>
      </c>
      <c r="G56" s="233"/>
      <c r="J56" s="20"/>
    </row>
    <row r="57" spans="1:10" x14ac:dyDescent="0.2">
      <c r="A57" s="157">
        <v>18</v>
      </c>
      <c r="B57" s="103" t="s">
        <v>98</v>
      </c>
      <c r="C57" s="235">
        <v>36672</v>
      </c>
      <c r="D57" s="103" t="s">
        <v>98</v>
      </c>
      <c r="E57" s="213">
        <v>4.4059999999999997</v>
      </c>
      <c r="G57" s="233">
        <f>AVERAGE(E55:E57)</f>
        <v>4.2383333333333333</v>
      </c>
      <c r="J57" s="20"/>
    </row>
    <row r="58" spans="1:10" x14ac:dyDescent="0.2">
      <c r="A58" s="157">
        <v>19</v>
      </c>
      <c r="B58" s="103" t="s">
        <v>98</v>
      </c>
      <c r="C58" s="235">
        <v>36703</v>
      </c>
      <c r="D58" s="103" t="s">
        <v>98</v>
      </c>
      <c r="E58" s="213">
        <v>4.5599999999999996</v>
      </c>
      <c r="G58" s="233"/>
      <c r="J58" s="20"/>
    </row>
    <row r="59" spans="1:10" x14ac:dyDescent="0.2">
      <c r="A59" s="157">
        <v>20</v>
      </c>
      <c r="B59" s="103" t="s">
        <v>98</v>
      </c>
      <c r="C59" s="235">
        <v>36704</v>
      </c>
      <c r="D59" s="103" t="s">
        <v>98</v>
      </c>
      <c r="E59" s="213">
        <v>4.6859999999999999</v>
      </c>
      <c r="G59" s="233"/>
      <c r="J59" s="20"/>
    </row>
    <row r="60" spans="1:10" x14ac:dyDescent="0.2">
      <c r="A60" s="157">
        <v>21</v>
      </c>
      <c r="B60" s="103" t="s">
        <v>98</v>
      </c>
      <c r="C60" s="235">
        <v>36705</v>
      </c>
      <c r="D60" s="103" t="s">
        <v>98</v>
      </c>
      <c r="E60" s="213">
        <v>4.3689999999999998</v>
      </c>
      <c r="G60" s="233">
        <f>AVERAGE(E58:E60)</f>
        <v>4.5383333333333331</v>
      </c>
      <c r="J60" s="20"/>
    </row>
    <row r="61" spans="1:10" x14ac:dyDescent="0.2">
      <c r="A61" s="157">
        <v>22</v>
      </c>
      <c r="B61" s="103" t="s">
        <v>98</v>
      </c>
      <c r="C61" s="235">
        <v>36732</v>
      </c>
      <c r="D61" s="103" t="s">
        <v>98</v>
      </c>
      <c r="E61" s="213">
        <v>3.66</v>
      </c>
      <c r="G61" s="233"/>
      <c r="J61" s="20"/>
    </row>
    <row r="62" spans="1:10" x14ac:dyDescent="0.2">
      <c r="A62" s="157">
        <v>23</v>
      </c>
      <c r="B62" s="103" t="s">
        <v>98</v>
      </c>
      <c r="C62" s="235">
        <v>36733</v>
      </c>
      <c r="D62" s="103" t="s">
        <v>98</v>
      </c>
      <c r="E62" s="213">
        <v>3.7629999999999999</v>
      </c>
      <c r="G62" s="233"/>
      <c r="J62" s="20"/>
    </row>
    <row r="63" spans="1:10" x14ac:dyDescent="0.2">
      <c r="A63" s="157">
        <v>24</v>
      </c>
      <c r="B63" s="103" t="s">
        <v>98</v>
      </c>
      <c r="C63" s="235">
        <v>36734</v>
      </c>
      <c r="D63" s="103" t="s">
        <v>98</v>
      </c>
      <c r="E63" s="213">
        <v>3.82</v>
      </c>
      <c r="G63" s="233">
        <f>AVERAGE(E61:E63)</f>
        <v>3.7476666666666669</v>
      </c>
      <c r="J63" s="20"/>
    </row>
    <row r="64" spans="1:10" x14ac:dyDescent="0.2">
      <c r="A64" s="157">
        <v>25</v>
      </c>
      <c r="B64" s="103" t="s">
        <v>98</v>
      </c>
      <c r="C64" s="235">
        <v>36763</v>
      </c>
      <c r="D64" s="103" t="s">
        <v>98</v>
      </c>
      <c r="E64" s="213">
        <v>4.6280000000000001</v>
      </c>
      <c r="G64" s="233"/>
      <c r="J64" s="20"/>
    </row>
    <row r="65" spans="1:10" x14ac:dyDescent="0.2">
      <c r="A65" s="157">
        <v>26</v>
      </c>
      <c r="B65" s="103" t="s">
        <v>98</v>
      </c>
      <c r="C65" s="235">
        <v>36766</v>
      </c>
      <c r="D65" s="103" t="s">
        <v>98</v>
      </c>
      <c r="E65" s="213">
        <v>4.6849999999999996</v>
      </c>
      <c r="G65" s="233"/>
      <c r="J65" s="20"/>
    </row>
    <row r="66" spans="1:10" x14ac:dyDescent="0.2">
      <c r="A66" s="157">
        <v>27</v>
      </c>
      <c r="B66" s="103" t="s">
        <v>98</v>
      </c>
      <c r="C66" s="235">
        <v>36767</v>
      </c>
      <c r="D66" s="103" t="s">
        <v>98</v>
      </c>
      <c r="E66" s="213">
        <v>4.6180000000000003</v>
      </c>
      <c r="G66" s="233">
        <f>AVERAGE(E64:E66)</f>
        <v>4.6436666666666664</v>
      </c>
      <c r="J66" s="20"/>
    </row>
    <row r="67" spans="1:10" x14ac:dyDescent="0.2">
      <c r="A67" s="157">
        <v>28</v>
      </c>
      <c r="B67" s="103" t="s">
        <v>98</v>
      </c>
      <c r="C67" s="235">
        <v>36794</v>
      </c>
      <c r="D67" s="103" t="s">
        <v>98</v>
      </c>
      <c r="E67" s="213">
        <v>5.2759999999999998</v>
      </c>
      <c r="G67" s="233"/>
      <c r="J67" s="20"/>
    </row>
    <row r="68" spans="1:10" x14ac:dyDescent="0.2">
      <c r="A68" s="157">
        <v>29</v>
      </c>
      <c r="B68" s="103" t="s">
        <v>98</v>
      </c>
      <c r="C68" s="235">
        <v>36795</v>
      </c>
      <c r="D68" s="103" t="s">
        <v>98</v>
      </c>
      <c r="E68" s="213">
        <v>5.3239999999999998</v>
      </c>
      <c r="G68" s="233"/>
      <c r="J68" s="20"/>
    </row>
    <row r="69" spans="1:10" x14ac:dyDescent="0.2">
      <c r="A69" s="157">
        <v>30</v>
      </c>
      <c r="B69" s="103" t="s">
        <v>98</v>
      </c>
      <c r="C69" s="235">
        <v>36796</v>
      </c>
      <c r="D69" s="103" t="s">
        <v>98</v>
      </c>
      <c r="E69" s="213">
        <v>5.3120000000000003</v>
      </c>
      <c r="G69" s="233">
        <f>AVERAGE(E67:E69)</f>
        <v>5.3039999999999994</v>
      </c>
      <c r="J69" s="20"/>
    </row>
    <row r="70" spans="1:10" x14ac:dyDescent="0.2">
      <c r="A70" s="157">
        <v>31</v>
      </c>
      <c r="B70" s="103" t="s">
        <v>98</v>
      </c>
      <c r="C70" s="235">
        <v>36824</v>
      </c>
      <c r="D70" s="103" t="s">
        <v>98</v>
      </c>
      <c r="E70" s="213">
        <v>4.6589999999999998</v>
      </c>
      <c r="G70" s="233"/>
      <c r="J70" s="20"/>
    </row>
    <row r="71" spans="1:10" x14ac:dyDescent="0.2">
      <c r="A71" s="157">
        <v>32</v>
      </c>
      <c r="B71" s="103" t="s">
        <v>98</v>
      </c>
      <c r="C71" s="235">
        <v>36825</v>
      </c>
      <c r="D71" s="103" t="s">
        <v>98</v>
      </c>
      <c r="E71" s="213">
        <v>4.6639999999999997</v>
      </c>
      <c r="G71" s="233"/>
      <c r="J71" s="20"/>
    </row>
    <row r="72" spans="1:10" x14ac:dyDescent="0.2">
      <c r="A72" s="157">
        <v>33</v>
      </c>
      <c r="B72" s="103" t="s">
        <v>98</v>
      </c>
      <c r="C72" s="235">
        <v>36826</v>
      </c>
      <c r="D72" s="103" t="s">
        <v>98</v>
      </c>
      <c r="E72" s="217">
        <v>4.5410000000000004</v>
      </c>
      <c r="G72" s="233">
        <f>AVERAGE(E70:E72)</f>
        <v>4.6213333333333333</v>
      </c>
      <c r="J72" s="20"/>
    </row>
    <row r="73" spans="1:10" x14ac:dyDescent="0.2">
      <c r="A73" s="157">
        <v>34</v>
      </c>
      <c r="B73" s="103" t="s">
        <v>98</v>
      </c>
      <c r="C73" s="235">
        <v>36852</v>
      </c>
      <c r="D73" s="103" t="s">
        <v>98</v>
      </c>
      <c r="E73" s="213">
        <v>6.577</v>
      </c>
      <c r="G73" s="233"/>
      <c r="J73" s="20"/>
    </row>
    <row r="74" spans="1:10" x14ac:dyDescent="0.2">
      <c r="A74" s="157">
        <v>35</v>
      </c>
      <c r="B74" s="103" t="s">
        <v>98</v>
      </c>
      <c r="C74" s="235">
        <v>36857</v>
      </c>
      <c r="D74" s="103" t="s">
        <v>98</v>
      </c>
      <c r="E74" s="213">
        <v>6.3680000000000003</v>
      </c>
      <c r="G74" s="233"/>
      <c r="J74" s="20"/>
    </row>
    <row r="75" spans="1:10" x14ac:dyDescent="0.2">
      <c r="A75" s="157">
        <v>36</v>
      </c>
      <c r="B75" s="103" t="s">
        <v>98</v>
      </c>
      <c r="C75" s="235">
        <v>36858</v>
      </c>
      <c r="D75" s="103" t="s">
        <v>98</v>
      </c>
      <c r="E75" s="218">
        <v>6.016</v>
      </c>
      <c r="G75" s="233">
        <f>AVERAGE(E73:E75)</f>
        <v>6.3203333333333331</v>
      </c>
      <c r="J75" s="20"/>
    </row>
    <row r="76" spans="1:10" ht="13.5" thickBot="1" x14ac:dyDescent="0.25">
      <c r="A76" s="21"/>
      <c r="B76" s="20"/>
      <c r="C76" s="20"/>
      <c r="D76" s="20"/>
      <c r="E76" s="158">
        <f>SUM(E40:E75)</f>
        <v>140.79899999999998</v>
      </c>
      <c r="J76" s="20"/>
    </row>
    <row r="77" spans="1:10" ht="16.5" thickBot="1" x14ac:dyDescent="0.3">
      <c r="A77" s="21"/>
      <c r="B77" s="20"/>
      <c r="C77" s="160" t="s">
        <v>195</v>
      </c>
      <c r="D77" s="19"/>
      <c r="E77" s="159">
        <f>E76/36</f>
        <v>3.9110833333333326</v>
      </c>
      <c r="G77" s="232">
        <f>SUM(G40:G76)/12</f>
        <v>3.9110833333333335</v>
      </c>
    </row>
  </sheetData>
  <mergeCells count="2">
    <mergeCell ref="B16:D17"/>
    <mergeCell ref="A38:E38"/>
  </mergeCells>
  <pageMargins left="0.75" right="0.75" top="1" bottom="1.1299999999999999" header="0.5" footer="0.5"/>
  <pageSetup orientation="portrait" r:id="rId1"/>
  <headerFooter alignWithMargins="0">
    <oddHeader>&amp;L&amp;8EcoElectrica LP
LNG Sales Contract
Beginning of Year Input</oddHeader>
    <oddFooter>&amp;LLNG Sales Contract
&amp;D
&amp;T&amp;CBeginning of Year Input
&amp;R&amp;N of &amp;N</oddFooter>
  </headerFooter>
  <rowBreaks count="1" manualBreakCount="1">
    <brk id="34" max="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12"/>
  <sheetViews>
    <sheetView workbookViewId="0">
      <selection activeCell="N13" sqref="N13"/>
    </sheetView>
  </sheetViews>
  <sheetFormatPr defaultRowHeight="12.75" x14ac:dyDescent="0.2"/>
  <sheetData>
    <row r="3" spans="1:10" x14ac:dyDescent="0.2">
      <c r="A3" s="49" t="s">
        <v>46</v>
      </c>
      <c r="I3" s="70"/>
    </row>
    <row r="4" spans="1:10" ht="30" customHeight="1" x14ac:dyDescent="0.2">
      <c r="A4" s="49"/>
      <c r="B4" s="239" t="s">
        <v>246</v>
      </c>
      <c r="C4" s="239"/>
      <c r="D4" s="239"/>
      <c r="E4" s="239"/>
      <c r="F4" s="239"/>
      <c r="G4" s="239"/>
      <c r="H4" s="239"/>
      <c r="I4" s="81" t="s">
        <v>49</v>
      </c>
      <c r="J4" s="195">
        <v>36404</v>
      </c>
    </row>
    <row r="5" spans="1:10" x14ac:dyDescent="0.2">
      <c r="A5" s="49"/>
      <c r="B5" s="52"/>
      <c r="C5" s="52"/>
      <c r="D5" s="52"/>
      <c r="E5" s="52"/>
      <c r="F5" s="52"/>
      <c r="G5" s="52"/>
      <c r="H5" s="52"/>
      <c r="I5" s="81"/>
      <c r="J5" s="57"/>
    </row>
    <row r="6" spans="1:10" ht="20.25" customHeight="1" x14ac:dyDescent="0.2">
      <c r="A6" s="49"/>
      <c r="B6" s="239" t="s">
        <v>249</v>
      </c>
      <c r="C6" s="239"/>
      <c r="D6" s="239"/>
      <c r="E6" s="239"/>
      <c r="F6" s="239"/>
      <c r="G6" s="239"/>
      <c r="H6" s="239"/>
      <c r="I6" s="81" t="s">
        <v>49</v>
      </c>
      <c r="J6" s="195">
        <v>36342</v>
      </c>
    </row>
    <row r="7" spans="1:10" x14ac:dyDescent="0.2">
      <c r="A7" s="49"/>
      <c r="B7" s="52"/>
      <c r="C7" s="52"/>
      <c r="D7" s="52"/>
      <c r="E7" s="52"/>
      <c r="F7" s="52"/>
      <c r="G7" s="52"/>
      <c r="H7" s="52"/>
      <c r="I7" s="81"/>
      <c r="J7" s="55"/>
    </row>
    <row r="8" spans="1:10" x14ac:dyDescent="0.2">
      <c r="A8" s="49"/>
      <c r="B8" t="s">
        <v>283</v>
      </c>
      <c r="I8" s="119" t="s">
        <v>4</v>
      </c>
      <c r="J8" s="231">
        <f>J4-J6</f>
        <v>62</v>
      </c>
    </row>
    <row r="9" spans="1:10" x14ac:dyDescent="0.2">
      <c r="A9" s="49"/>
      <c r="B9" s="52"/>
      <c r="C9" s="52"/>
      <c r="D9" s="52"/>
      <c r="E9" s="52"/>
      <c r="F9" s="52"/>
      <c r="G9" s="52"/>
      <c r="H9" s="52"/>
      <c r="I9" s="81"/>
      <c r="J9" s="56"/>
    </row>
    <row r="10" spans="1:10" ht="57" customHeight="1" x14ac:dyDescent="0.2">
      <c r="A10" s="49"/>
      <c r="B10" s="239" t="s">
        <v>247</v>
      </c>
      <c r="C10" s="239"/>
      <c r="D10" s="239"/>
      <c r="E10" s="239"/>
      <c r="F10" s="239"/>
      <c r="G10" s="239"/>
      <c r="H10" s="239"/>
      <c r="I10" s="81" t="s">
        <v>49</v>
      </c>
      <c r="J10" s="196" t="s">
        <v>134</v>
      </c>
    </row>
    <row r="11" spans="1:10" x14ac:dyDescent="0.2">
      <c r="A11" s="49"/>
      <c r="B11" s="52"/>
      <c r="C11" s="52"/>
      <c r="D11" s="52"/>
      <c r="E11" s="52"/>
      <c r="F11" s="52"/>
      <c r="G11" s="52"/>
      <c r="H11" s="52"/>
      <c r="I11" s="81"/>
      <c r="J11" s="56"/>
    </row>
    <row r="12" spans="1:10" ht="43.5" customHeight="1" x14ac:dyDescent="0.2">
      <c r="A12" s="49"/>
      <c r="B12" s="239" t="s">
        <v>248</v>
      </c>
      <c r="C12" s="239"/>
      <c r="D12" s="239"/>
      <c r="E12" s="239"/>
      <c r="F12" s="239"/>
      <c r="G12" s="239"/>
      <c r="H12" s="239"/>
      <c r="I12" s="81" t="s">
        <v>49</v>
      </c>
      <c r="J12" s="196" t="s">
        <v>134</v>
      </c>
    </row>
  </sheetData>
  <mergeCells count="4">
    <mergeCell ref="B4:H4"/>
    <mergeCell ref="B6:H6"/>
    <mergeCell ref="B10:H10"/>
    <mergeCell ref="B12:H12"/>
  </mergeCells>
  <pageMargins left="0.75" right="0.75" top="1" bottom="1" header="0.5" footer="0.5"/>
  <pageSetup scale="95" orientation="portrait" r:id="rId1"/>
  <headerFooter alignWithMargins="0">
    <oddHeader>&amp;LEcoElectrica, LP
LNG Sales Contract
Article 8 - Price
Montly Input</oddHeader>
    <oddFooter>&amp;LLNG Sales Contract
&amp;D
&amp;T&amp;CMonthly Input&amp;R&amp;P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J124"/>
  <sheetViews>
    <sheetView topLeftCell="A104" zoomScaleNormal="100" workbookViewId="0">
      <selection activeCell="J123" sqref="J123"/>
    </sheetView>
  </sheetViews>
  <sheetFormatPr defaultRowHeight="12.75" x14ac:dyDescent="0.2"/>
  <cols>
    <col min="1" max="1" width="7.28515625" customWidth="1"/>
    <col min="7" max="7" width="11.42578125" bestFit="1" customWidth="1"/>
    <col min="8" max="8" width="9.7109375" customWidth="1"/>
    <col min="10" max="10" width="14.28515625" customWidth="1"/>
  </cols>
  <sheetData>
    <row r="4" spans="1:10" x14ac:dyDescent="0.2">
      <c r="G4" s="198"/>
    </row>
    <row r="5" spans="1:10" ht="22.5" customHeight="1" x14ac:dyDescent="0.2">
      <c r="A5" s="49" t="s">
        <v>240</v>
      </c>
    </row>
    <row r="6" spans="1:10" ht="27.75" customHeight="1" x14ac:dyDescent="0.2">
      <c r="B6" s="239" t="s">
        <v>243</v>
      </c>
      <c r="C6" s="239"/>
      <c r="D6" s="239"/>
      <c r="E6" s="239"/>
      <c r="F6" s="239"/>
      <c r="G6" s="239"/>
      <c r="H6" s="239"/>
      <c r="I6" s="81" t="s">
        <v>49</v>
      </c>
      <c r="J6" s="194">
        <v>0</v>
      </c>
    </row>
    <row r="8" spans="1:10" ht="51" customHeight="1" x14ac:dyDescent="0.2">
      <c r="B8" s="241" t="s">
        <v>260</v>
      </c>
      <c r="C8" s="241"/>
      <c r="D8" s="241"/>
      <c r="E8" s="241"/>
      <c r="F8" s="241"/>
      <c r="G8" s="241"/>
      <c r="H8" s="241"/>
      <c r="I8" s="81" t="s">
        <v>49</v>
      </c>
      <c r="J8" s="194">
        <v>0</v>
      </c>
    </row>
    <row r="9" spans="1:10" ht="12.75" customHeight="1" x14ac:dyDescent="0.2">
      <c r="A9" s="107"/>
      <c r="B9" s="107"/>
      <c r="C9" s="107"/>
      <c r="D9" s="244"/>
      <c r="E9" s="244"/>
      <c r="F9" s="244"/>
      <c r="G9" s="186"/>
      <c r="H9" s="107"/>
      <c r="I9" s="81"/>
      <c r="J9" s="168"/>
    </row>
    <row r="10" spans="1:10" ht="27.75" customHeight="1" x14ac:dyDescent="0.2">
      <c r="A10" s="245" t="s">
        <v>155</v>
      </c>
      <c r="B10" s="246"/>
      <c r="C10" s="246"/>
      <c r="D10" s="246"/>
      <c r="E10" s="246"/>
      <c r="F10" s="246"/>
      <c r="G10" s="246"/>
      <c r="H10" s="246"/>
      <c r="I10" s="70"/>
    </row>
    <row r="11" spans="1:10" ht="27" customHeight="1" x14ac:dyDescent="0.2">
      <c r="B11" s="239" t="s">
        <v>151</v>
      </c>
      <c r="C11" s="239"/>
      <c r="D11" s="239"/>
      <c r="E11" s="239"/>
      <c r="F11" s="239"/>
      <c r="G11" s="239"/>
      <c r="H11" s="239"/>
      <c r="I11" s="81" t="s">
        <v>49</v>
      </c>
      <c r="J11" s="201" t="s">
        <v>134</v>
      </c>
    </row>
    <row r="12" spans="1:10" x14ac:dyDescent="0.2">
      <c r="B12" s="63"/>
      <c r="I12" s="70"/>
      <c r="J12" s="25"/>
    </row>
    <row r="13" spans="1:10" ht="25.5" customHeight="1" x14ac:dyDescent="0.2">
      <c r="B13" s="239" t="s">
        <v>152</v>
      </c>
      <c r="C13" s="239"/>
      <c r="D13" s="239"/>
      <c r="E13" s="239"/>
      <c r="F13" s="239"/>
      <c r="G13" s="239"/>
      <c r="H13" s="239"/>
      <c r="I13" s="81" t="s">
        <v>49</v>
      </c>
      <c r="J13" s="201" t="s">
        <v>88</v>
      </c>
    </row>
    <row r="14" spans="1:10" ht="12.75" customHeight="1" x14ac:dyDescent="0.2">
      <c r="B14" s="52"/>
      <c r="C14" s="52"/>
      <c r="D14" s="52"/>
      <c r="E14" s="52"/>
      <c r="F14" s="52"/>
      <c r="G14" s="52"/>
      <c r="H14" s="52"/>
      <c r="I14" s="70"/>
      <c r="J14" s="25"/>
    </row>
    <row r="15" spans="1:10" ht="27.75" customHeight="1" x14ac:dyDescent="0.2">
      <c r="B15" s="239" t="s">
        <v>157</v>
      </c>
      <c r="C15" s="239"/>
      <c r="D15" s="239"/>
      <c r="E15" s="239"/>
      <c r="F15" s="239"/>
      <c r="G15" s="239"/>
      <c r="H15" s="239"/>
      <c r="I15" s="81" t="s">
        <v>49</v>
      </c>
      <c r="J15" s="193">
        <v>7</v>
      </c>
    </row>
    <row r="16" spans="1:10" ht="12.75" customHeight="1" x14ac:dyDescent="0.2">
      <c r="B16" s="52"/>
      <c r="C16" s="52"/>
      <c r="D16" s="52"/>
      <c r="E16" s="52"/>
      <c r="F16" s="52"/>
      <c r="G16" s="52"/>
      <c r="H16" s="52"/>
      <c r="I16" s="81"/>
      <c r="J16" s="70"/>
    </row>
    <row r="17" spans="1:10" ht="12.75" customHeight="1" x14ac:dyDescent="0.2">
      <c r="A17" s="245" t="s">
        <v>160</v>
      </c>
      <c r="B17" s="246"/>
      <c r="C17" s="246"/>
      <c r="D17" s="246"/>
      <c r="E17" s="246"/>
      <c r="F17" s="246"/>
      <c r="G17" s="246"/>
      <c r="H17" s="246"/>
      <c r="I17" s="81"/>
      <c r="J17" s="205"/>
    </row>
    <row r="18" spans="1:10" ht="24.75" customHeight="1" x14ac:dyDescent="0.2">
      <c r="A18" s="139"/>
      <c r="B18" s="237" t="s">
        <v>261</v>
      </c>
      <c r="C18" s="237"/>
      <c r="D18" s="237"/>
      <c r="E18" s="237"/>
      <c r="F18" s="237"/>
      <c r="G18" s="237"/>
      <c r="H18" s="237"/>
      <c r="I18" s="81" t="s">
        <v>49</v>
      </c>
      <c r="J18" s="206">
        <v>7500</v>
      </c>
    </row>
    <row r="19" spans="1:10" ht="12.75" customHeight="1" x14ac:dyDescent="0.2">
      <c r="A19" s="139"/>
      <c r="B19" s="121"/>
      <c r="C19" s="121"/>
      <c r="D19" s="121"/>
      <c r="E19" s="121"/>
      <c r="F19" s="121"/>
      <c r="G19" s="121"/>
      <c r="H19" s="121"/>
      <c r="I19" s="81"/>
      <c r="J19" s="80"/>
    </row>
    <row r="20" spans="1:10" ht="37.5" customHeight="1" x14ac:dyDescent="0.2">
      <c r="A20" s="139"/>
      <c r="B20" s="247" t="s">
        <v>263</v>
      </c>
      <c r="C20" s="237"/>
      <c r="D20" s="237"/>
      <c r="E20" s="237"/>
      <c r="F20" s="237"/>
      <c r="G20" s="237"/>
      <c r="H20" s="237"/>
      <c r="I20" s="81" t="s">
        <v>49</v>
      </c>
      <c r="J20" s="206">
        <v>2</v>
      </c>
    </row>
    <row r="21" spans="1:10" ht="12.75" customHeight="1" x14ac:dyDescent="0.2">
      <c r="A21" s="139"/>
      <c r="B21" s="140"/>
      <c r="C21" s="121"/>
      <c r="D21" s="121"/>
      <c r="E21" s="121"/>
      <c r="F21" s="121"/>
      <c r="G21" s="121"/>
      <c r="H21" s="121"/>
      <c r="I21" s="81"/>
      <c r="J21" s="207"/>
    </row>
    <row r="22" spans="1:10" ht="12.75" customHeight="1" x14ac:dyDescent="0.2">
      <c r="A22" s="139"/>
      <c r="B22" s="239" t="s">
        <v>262</v>
      </c>
      <c r="C22" s="239"/>
      <c r="D22" s="239"/>
      <c r="E22" s="239"/>
      <c r="F22" s="239"/>
      <c r="G22" s="239"/>
      <c r="H22" s="239"/>
      <c r="I22" s="81" t="s">
        <v>49</v>
      </c>
      <c r="J22" s="208" t="s">
        <v>88</v>
      </c>
    </row>
    <row r="23" spans="1:10" ht="12.75" customHeight="1" x14ac:dyDescent="0.2">
      <c r="A23" s="139"/>
      <c r="B23" s="52"/>
      <c r="C23" s="52"/>
      <c r="D23" s="52"/>
      <c r="E23" s="52"/>
      <c r="F23" s="52"/>
      <c r="G23" s="52"/>
      <c r="H23" s="52"/>
      <c r="I23" s="81"/>
      <c r="J23" s="208"/>
    </row>
    <row r="24" spans="1:10" ht="83.25" customHeight="1" x14ac:dyDescent="0.2">
      <c r="A24" s="241" t="s">
        <v>255</v>
      </c>
      <c r="B24" s="241"/>
      <c r="C24" s="241"/>
      <c r="D24" s="241"/>
      <c r="E24" s="241"/>
      <c r="F24" s="241"/>
      <c r="G24" s="241"/>
      <c r="H24" s="241"/>
      <c r="I24" s="81"/>
      <c r="J24" s="208"/>
    </row>
    <row r="25" spans="1:10" ht="12.75" customHeight="1" x14ac:dyDescent="0.2">
      <c r="G25" s="52"/>
      <c r="H25" s="52"/>
      <c r="I25" s="81"/>
      <c r="J25" s="208"/>
    </row>
    <row r="26" spans="1:10" ht="12.75" customHeight="1" x14ac:dyDescent="0.2">
      <c r="G26" s="52"/>
      <c r="H26" s="52"/>
      <c r="I26" s="81"/>
      <c r="J26" s="208"/>
    </row>
    <row r="27" spans="1:10" ht="12.75" customHeight="1" x14ac:dyDescent="0.2">
      <c r="G27" s="52"/>
      <c r="H27" s="52"/>
      <c r="I27" s="81"/>
      <c r="J27" s="208"/>
    </row>
    <row r="28" spans="1:10" ht="12.75" customHeight="1" x14ac:dyDescent="0.2">
      <c r="G28" s="52"/>
      <c r="H28" s="52"/>
      <c r="I28" s="81"/>
      <c r="J28" s="208"/>
    </row>
    <row r="29" spans="1:10" ht="25.5" customHeight="1" x14ac:dyDescent="0.2">
      <c r="B29" s="241" t="s">
        <v>265</v>
      </c>
      <c r="C29" s="241"/>
      <c r="D29" s="241"/>
      <c r="E29" s="241"/>
      <c r="F29" s="241"/>
      <c r="G29" s="241"/>
      <c r="H29" s="241"/>
      <c r="I29" s="81"/>
      <c r="J29" s="208"/>
    </row>
    <row r="30" spans="1:10" ht="12.75" customHeight="1" x14ac:dyDescent="0.2">
      <c r="F30" s="26" t="s">
        <v>69</v>
      </c>
      <c r="H30" s="26" t="str">
        <f>'Propane Index'!B4</f>
        <v>Date (mm/dd/yy)</v>
      </c>
      <c r="J30" s="26" t="s">
        <v>71</v>
      </c>
    </row>
    <row r="31" spans="1:10" ht="12.75" customHeight="1" x14ac:dyDescent="0.2">
      <c r="F31" s="21">
        <v>1</v>
      </c>
      <c r="G31" s="81" t="s">
        <v>49</v>
      </c>
      <c r="H31" s="202">
        <v>36647</v>
      </c>
      <c r="I31" s="81" t="s">
        <v>49</v>
      </c>
      <c r="J31" s="201">
        <v>0.57499999999999996</v>
      </c>
    </row>
    <row r="32" spans="1:10" ht="12.75" customHeight="1" x14ac:dyDescent="0.2">
      <c r="F32" s="25">
        <v>2</v>
      </c>
      <c r="G32" s="81" t="s">
        <v>49</v>
      </c>
      <c r="H32" s="202">
        <v>36648</v>
      </c>
      <c r="I32" s="81" t="s">
        <v>49</v>
      </c>
      <c r="J32" s="201">
        <v>0.57499999999999996</v>
      </c>
    </row>
    <row r="33" spans="6:10" ht="12.75" customHeight="1" x14ac:dyDescent="0.2">
      <c r="F33" s="25">
        <v>3</v>
      </c>
      <c r="G33" s="81" t="s">
        <v>49</v>
      </c>
      <c r="H33" s="202"/>
      <c r="I33" s="81" t="s">
        <v>49</v>
      </c>
      <c r="J33" s="201"/>
    </row>
    <row r="34" spans="6:10" ht="12.75" customHeight="1" x14ac:dyDescent="0.2">
      <c r="F34" s="25">
        <v>4</v>
      </c>
      <c r="G34" s="81" t="s">
        <v>49</v>
      </c>
      <c r="H34" s="202"/>
      <c r="I34" s="81" t="s">
        <v>49</v>
      </c>
      <c r="J34" s="201"/>
    </row>
    <row r="35" spans="6:10" ht="12.75" customHeight="1" x14ac:dyDescent="0.2">
      <c r="F35" s="25">
        <v>5</v>
      </c>
      <c r="G35" s="81" t="s">
        <v>49</v>
      </c>
      <c r="H35" s="202"/>
      <c r="I35" s="81" t="s">
        <v>49</v>
      </c>
      <c r="J35" s="201"/>
    </row>
    <row r="36" spans="6:10" ht="12.75" customHeight="1" x14ac:dyDescent="0.2">
      <c r="F36" s="25">
        <v>6</v>
      </c>
      <c r="G36" s="81" t="s">
        <v>49</v>
      </c>
      <c r="H36" s="202"/>
      <c r="I36" s="81" t="s">
        <v>49</v>
      </c>
      <c r="J36" s="201"/>
    </row>
    <row r="37" spans="6:10" ht="12.75" customHeight="1" x14ac:dyDescent="0.2">
      <c r="F37" s="25">
        <v>7</v>
      </c>
      <c r="G37" s="81" t="s">
        <v>49</v>
      </c>
      <c r="H37" s="202"/>
      <c r="I37" s="81" t="s">
        <v>49</v>
      </c>
      <c r="J37" s="201"/>
    </row>
    <row r="38" spans="6:10" ht="12.75" customHeight="1" x14ac:dyDescent="0.2">
      <c r="F38" s="25">
        <v>8</v>
      </c>
      <c r="G38" s="81" t="s">
        <v>49</v>
      </c>
      <c r="H38" s="202"/>
      <c r="I38" s="81" t="s">
        <v>49</v>
      </c>
      <c r="J38" s="201"/>
    </row>
    <row r="39" spans="6:10" ht="12.75" customHeight="1" x14ac:dyDescent="0.2">
      <c r="F39" s="25">
        <v>9</v>
      </c>
      <c r="G39" s="81" t="s">
        <v>49</v>
      </c>
      <c r="H39" s="202"/>
      <c r="I39" s="81" t="s">
        <v>49</v>
      </c>
      <c r="J39" s="201"/>
    </row>
    <row r="40" spans="6:10" ht="12.75" customHeight="1" x14ac:dyDescent="0.2">
      <c r="F40" s="25">
        <v>10</v>
      </c>
      <c r="G40" s="81" t="s">
        <v>49</v>
      </c>
      <c r="H40" s="202"/>
      <c r="I40" s="81" t="s">
        <v>49</v>
      </c>
      <c r="J40" s="201"/>
    </row>
    <row r="41" spans="6:10" ht="12.75" customHeight="1" x14ac:dyDescent="0.2">
      <c r="F41" s="25">
        <v>11</v>
      </c>
      <c r="G41" s="81" t="s">
        <v>49</v>
      </c>
      <c r="H41" s="202"/>
      <c r="I41" s="81" t="s">
        <v>49</v>
      </c>
      <c r="J41" s="201"/>
    </row>
    <row r="42" spans="6:10" ht="12.75" customHeight="1" x14ac:dyDescent="0.2">
      <c r="F42" s="25">
        <v>12</v>
      </c>
      <c r="G42" s="81" t="s">
        <v>49</v>
      </c>
      <c r="H42" s="202"/>
      <c r="I42" s="81" t="s">
        <v>49</v>
      </c>
      <c r="J42" s="201"/>
    </row>
    <row r="43" spans="6:10" ht="12.75" customHeight="1" x14ac:dyDescent="0.2">
      <c r="F43" s="25">
        <v>13</v>
      </c>
      <c r="G43" s="81" t="s">
        <v>49</v>
      </c>
      <c r="H43" s="202"/>
      <c r="I43" s="81" t="s">
        <v>49</v>
      </c>
      <c r="J43" s="201"/>
    </row>
    <row r="44" spans="6:10" ht="12.75" customHeight="1" x14ac:dyDescent="0.2">
      <c r="F44" s="25">
        <v>14</v>
      </c>
      <c r="G44" s="81" t="s">
        <v>49</v>
      </c>
      <c r="H44" s="202"/>
      <c r="I44" s="81" t="s">
        <v>49</v>
      </c>
      <c r="J44" s="201"/>
    </row>
    <row r="45" spans="6:10" ht="12.75" customHeight="1" x14ac:dyDescent="0.2">
      <c r="F45" s="25">
        <v>15</v>
      </c>
      <c r="G45" s="81" t="s">
        <v>49</v>
      </c>
      <c r="H45" s="202"/>
      <c r="I45" s="81" t="s">
        <v>49</v>
      </c>
      <c r="J45" s="201"/>
    </row>
    <row r="46" spans="6:10" ht="12.75" customHeight="1" x14ac:dyDescent="0.2">
      <c r="F46" s="25">
        <v>16</v>
      </c>
      <c r="G46" s="81" t="s">
        <v>49</v>
      </c>
      <c r="H46" s="202"/>
      <c r="I46" s="81" t="s">
        <v>49</v>
      </c>
      <c r="J46" s="201"/>
    </row>
    <row r="47" spans="6:10" ht="12.75" customHeight="1" x14ac:dyDescent="0.2">
      <c r="F47" s="25">
        <v>17</v>
      </c>
      <c r="G47" s="81" t="s">
        <v>49</v>
      </c>
      <c r="H47" s="202"/>
      <c r="I47" s="81" t="s">
        <v>49</v>
      </c>
      <c r="J47" s="201"/>
    </row>
    <row r="48" spans="6:10" ht="12.75" customHeight="1" x14ac:dyDescent="0.2">
      <c r="F48" s="25">
        <v>18</v>
      </c>
      <c r="G48" s="81" t="s">
        <v>49</v>
      </c>
      <c r="H48" s="202"/>
      <c r="I48" s="81" t="s">
        <v>49</v>
      </c>
      <c r="J48" s="201"/>
    </row>
    <row r="49" spans="1:10" ht="12.75" customHeight="1" x14ac:dyDescent="0.2">
      <c r="F49" s="25">
        <v>19</v>
      </c>
      <c r="G49" s="81" t="s">
        <v>49</v>
      </c>
      <c r="H49" s="202"/>
      <c r="I49" s="81" t="s">
        <v>49</v>
      </c>
      <c r="J49" s="201"/>
    </row>
    <row r="50" spans="1:10" ht="12.75" customHeight="1" x14ac:dyDescent="0.2">
      <c r="F50" s="25">
        <v>20</v>
      </c>
      <c r="G50" s="81" t="s">
        <v>49</v>
      </c>
      <c r="H50" s="202"/>
      <c r="I50" s="81" t="s">
        <v>49</v>
      </c>
      <c r="J50" s="201"/>
    </row>
    <row r="51" spans="1:10" ht="12.75" customHeight="1" x14ac:dyDescent="0.2">
      <c r="F51" s="25">
        <v>21</v>
      </c>
      <c r="G51" s="81" t="s">
        <v>49</v>
      </c>
      <c r="H51" s="202"/>
      <c r="I51" s="81" t="s">
        <v>49</v>
      </c>
      <c r="J51" s="201"/>
    </row>
    <row r="52" spans="1:10" ht="12.75" customHeight="1" x14ac:dyDescent="0.2">
      <c r="F52" s="25">
        <v>22</v>
      </c>
      <c r="G52" s="81" t="s">
        <v>49</v>
      </c>
      <c r="H52" s="202"/>
      <c r="I52" s="81" t="s">
        <v>49</v>
      </c>
      <c r="J52" s="201"/>
    </row>
    <row r="53" spans="1:10" ht="12.75" customHeight="1" x14ac:dyDescent="0.2">
      <c r="F53" s="25">
        <v>23</v>
      </c>
      <c r="G53" s="81" t="s">
        <v>49</v>
      </c>
      <c r="H53" s="202"/>
      <c r="I53" s="81" t="s">
        <v>49</v>
      </c>
      <c r="J53" s="201"/>
    </row>
    <row r="54" spans="1:10" ht="12.75" customHeight="1" x14ac:dyDescent="0.2">
      <c r="F54" s="25">
        <v>24</v>
      </c>
      <c r="G54" s="81" t="s">
        <v>49</v>
      </c>
      <c r="H54" s="202"/>
      <c r="I54" s="81" t="s">
        <v>49</v>
      </c>
      <c r="J54" s="201"/>
    </row>
    <row r="55" spans="1:10" ht="12.75" customHeight="1" x14ac:dyDescent="0.2">
      <c r="F55" s="25">
        <v>25</v>
      </c>
      <c r="G55" s="81" t="s">
        <v>49</v>
      </c>
      <c r="H55" s="202"/>
      <c r="I55" s="81" t="s">
        <v>49</v>
      </c>
      <c r="J55" s="201"/>
    </row>
    <row r="56" spans="1:10" ht="12.75" customHeight="1" x14ac:dyDescent="0.2">
      <c r="A56" s="139"/>
      <c r="B56" s="52"/>
      <c r="C56" s="52"/>
      <c r="D56" s="52"/>
      <c r="E56" s="52"/>
      <c r="F56" s="52"/>
      <c r="G56" s="52"/>
      <c r="H56" s="52"/>
      <c r="I56" s="81"/>
      <c r="J56" s="208"/>
    </row>
    <row r="57" spans="1:10" ht="12.75" customHeight="1" x14ac:dyDescent="0.2">
      <c r="A57" s="139"/>
      <c r="B57" s="52"/>
      <c r="C57" s="52"/>
      <c r="D57" s="52"/>
      <c r="E57" s="52"/>
      <c r="F57" s="52"/>
      <c r="G57" s="52"/>
      <c r="H57" s="52"/>
      <c r="I57" s="81"/>
      <c r="J57" s="208"/>
    </row>
    <row r="58" spans="1:10" ht="99.75" customHeight="1" x14ac:dyDescent="0.2">
      <c r="A58" s="240" t="s">
        <v>256</v>
      </c>
      <c r="B58" s="240"/>
      <c r="C58" s="240"/>
      <c r="D58" s="240"/>
      <c r="E58" s="240"/>
      <c r="F58" s="240"/>
      <c r="G58" s="240"/>
      <c r="H58" s="52"/>
      <c r="I58" s="81"/>
      <c r="J58" s="208"/>
    </row>
    <row r="59" spans="1:10" ht="12.75" customHeight="1" x14ac:dyDescent="0.2">
      <c r="H59" s="52"/>
      <c r="I59" s="81"/>
      <c r="J59" s="208"/>
    </row>
    <row r="60" spans="1:10" ht="42" customHeight="1" x14ac:dyDescent="0.2">
      <c r="B60" s="239" t="s">
        <v>268</v>
      </c>
      <c r="C60" s="239"/>
      <c r="D60" s="239"/>
      <c r="E60" s="239"/>
      <c r="F60" s="239"/>
      <c r="G60" s="239"/>
      <c r="H60" s="52"/>
      <c r="I60" s="81"/>
      <c r="J60" s="208"/>
    </row>
    <row r="61" spans="1:10" ht="79.5" customHeight="1" x14ac:dyDescent="0.2">
      <c r="D61" s="26" t="s">
        <v>69</v>
      </c>
      <c r="F61" s="26" t="str">
        <f>'Propane Index'!B4</f>
        <v>Date (mm/dd/yy)</v>
      </c>
      <c r="H61" s="26" t="s">
        <v>71</v>
      </c>
      <c r="I61" s="37"/>
      <c r="J61" s="26" t="s">
        <v>141</v>
      </c>
    </row>
    <row r="62" spans="1:10" ht="12.75" customHeight="1" x14ac:dyDescent="0.2">
      <c r="D62" s="21">
        <v>1</v>
      </c>
      <c r="E62" s="81" t="s">
        <v>49</v>
      </c>
      <c r="F62" s="202">
        <v>36671</v>
      </c>
      <c r="G62" s="81" t="s">
        <v>49</v>
      </c>
      <c r="H62" s="204">
        <v>0.57499999999999996</v>
      </c>
      <c r="I62" s="81" t="s">
        <v>49</v>
      </c>
      <c r="J62" s="203">
        <f>24/24</f>
        <v>1</v>
      </c>
    </row>
    <row r="63" spans="1:10" ht="12.75" customHeight="1" x14ac:dyDescent="0.2">
      <c r="D63" s="25">
        <v>2</v>
      </c>
      <c r="E63" s="81" t="s">
        <v>49</v>
      </c>
      <c r="F63" s="202">
        <v>36672</v>
      </c>
      <c r="G63" s="81" t="s">
        <v>49</v>
      </c>
      <c r="H63" s="204">
        <v>0.57499999999999996</v>
      </c>
      <c r="I63" s="81" t="s">
        <v>49</v>
      </c>
      <c r="J63" s="203">
        <v>0.5</v>
      </c>
    </row>
    <row r="64" spans="1:10" ht="12.75" customHeight="1" x14ac:dyDescent="0.2">
      <c r="D64" s="25">
        <v>3</v>
      </c>
      <c r="E64" s="81" t="s">
        <v>49</v>
      </c>
      <c r="F64" s="202"/>
      <c r="G64" s="81" t="s">
        <v>49</v>
      </c>
      <c r="H64" s="203"/>
      <c r="I64" s="81" t="s">
        <v>49</v>
      </c>
      <c r="J64" s="203"/>
    </row>
    <row r="65" spans="4:10" ht="12.75" customHeight="1" x14ac:dyDescent="0.2">
      <c r="D65" s="25">
        <v>4</v>
      </c>
      <c r="E65" s="81" t="s">
        <v>49</v>
      </c>
      <c r="F65" s="202"/>
      <c r="G65" s="81" t="s">
        <v>49</v>
      </c>
      <c r="H65" s="203"/>
      <c r="I65" s="81" t="s">
        <v>49</v>
      </c>
      <c r="J65" s="203"/>
    </row>
    <row r="66" spans="4:10" ht="12.75" customHeight="1" x14ac:dyDescent="0.2">
      <c r="D66" s="25">
        <v>5</v>
      </c>
      <c r="E66" s="81" t="s">
        <v>49</v>
      </c>
      <c r="F66" s="202"/>
      <c r="G66" s="81" t="s">
        <v>49</v>
      </c>
      <c r="H66" s="203"/>
      <c r="I66" s="81" t="s">
        <v>49</v>
      </c>
      <c r="J66" s="203"/>
    </row>
    <row r="67" spans="4:10" ht="12.75" customHeight="1" x14ac:dyDescent="0.2">
      <c r="D67" s="25">
        <v>6</v>
      </c>
      <c r="E67" s="81" t="s">
        <v>49</v>
      </c>
      <c r="F67" s="202"/>
      <c r="G67" s="81" t="s">
        <v>49</v>
      </c>
      <c r="H67" s="203"/>
      <c r="I67" s="81" t="s">
        <v>49</v>
      </c>
      <c r="J67" s="203"/>
    </row>
    <row r="68" spans="4:10" ht="12.75" customHeight="1" x14ac:dyDescent="0.2">
      <c r="D68" s="25">
        <v>7</v>
      </c>
      <c r="E68" s="81" t="s">
        <v>49</v>
      </c>
      <c r="F68" s="202"/>
      <c r="G68" s="81" t="s">
        <v>49</v>
      </c>
      <c r="H68" s="203"/>
      <c r="I68" s="81" t="s">
        <v>49</v>
      </c>
      <c r="J68" s="203"/>
    </row>
    <row r="69" spans="4:10" ht="12.75" customHeight="1" x14ac:dyDescent="0.2">
      <c r="D69" s="25">
        <v>8</v>
      </c>
      <c r="E69" s="81" t="s">
        <v>49</v>
      </c>
      <c r="F69" s="202"/>
      <c r="G69" s="81" t="s">
        <v>49</v>
      </c>
      <c r="H69" s="203"/>
      <c r="I69" s="81" t="s">
        <v>49</v>
      </c>
      <c r="J69" s="203"/>
    </row>
    <row r="70" spans="4:10" ht="12.75" customHeight="1" x14ac:dyDescent="0.2">
      <c r="D70" s="25">
        <v>9</v>
      </c>
      <c r="E70" s="81" t="s">
        <v>49</v>
      </c>
      <c r="F70" s="202"/>
      <c r="G70" s="81" t="s">
        <v>49</v>
      </c>
      <c r="H70" s="203"/>
      <c r="I70" s="81" t="s">
        <v>49</v>
      </c>
      <c r="J70" s="203"/>
    </row>
    <row r="71" spans="4:10" ht="12.75" customHeight="1" x14ac:dyDescent="0.2">
      <c r="D71" s="25">
        <v>10</v>
      </c>
      <c r="E71" s="81" t="s">
        <v>49</v>
      </c>
      <c r="F71" s="202"/>
      <c r="G71" s="81" t="s">
        <v>49</v>
      </c>
      <c r="H71" s="203"/>
      <c r="I71" s="81" t="s">
        <v>49</v>
      </c>
      <c r="J71" s="203"/>
    </row>
    <row r="72" spans="4:10" ht="12.75" customHeight="1" x14ac:dyDescent="0.2">
      <c r="D72" s="25">
        <v>11</v>
      </c>
      <c r="E72" s="81" t="s">
        <v>49</v>
      </c>
      <c r="F72" s="202"/>
      <c r="G72" s="81" t="s">
        <v>49</v>
      </c>
      <c r="H72" s="203"/>
      <c r="I72" s="81" t="s">
        <v>49</v>
      </c>
      <c r="J72" s="203"/>
    </row>
    <row r="73" spans="4:10" ht="12.75" customHeight="1" x14ac:dyDescent="0.2">
      <c r="D73" s="25">
        <v>12</v>
      </c>
      <c r="E73" s="81" t="s">
        <v>49</v>
      </c>
      <c r="F73" s="202"/>
      <c r="G73" s="81" t="s">
        <v>49</v>
      </c>
      <c r="H73" s="203"/>
      <c r="I73" s="81" t="s">
        <v>49</v>
      </c>
      <c r="J73" s="203"/>
    </row>
    <row r="74" spans="4:10" ht="12.75" customHeight="1" x14ac:dyDescent="0.2">
      <c r="D74" s="25">
        <v>13</v>
      </c>
      <c r="E74" s="81" t="s">
        <v>49</v>
      </c>
      <c r="F74" s="202"/>
      <c r="G74" s="81" t="s">
        <v>49</v>
      </c>
      <c r="H74" s="203"/>
      <c r="I74" s="81" t="s">
        <v>49</v>
      </c>
      <c r="J74" s="203"/>
    </row>
    <row r="75" spans="4:10" ht="12.75" customHeight="1" x14ac:dyDescent="0.2">
      <c r="D75" s="25">
        <v>14</v>
      </c>
      <c r="E75" s="81" t="s">
        <v>49</v>
      </c>
      <c r="F75" s="202"/>
      <c r="G75" s="81" t="s">
        <v>49</v>
      </c>
      <c r="H75" s="203"/>
      <c r="I75" s="81" t="s">
        <v>49</v>
      </c>
      <c r="J75" s="203"/>
    </row>
    <row r="76" spans="4:10" ht="12.75" customHeight="1" x14ac:dyDescent="0.2">
      <c r="D76" s="25">
        <v>15</v>
      </c>
      <c r="E76" s="81" t="s">
        <v>49</v>
      </c>
      <c r="F76" s="202"/>
      <c r="G76" s="81" t="s">
        <v>49</v>
      </c>
      <c r="H76" s="203"/>
      <c r="I76" s="81" t="s">
        <v>49</v>
      </c>
      <c r="J76" s="203"/>
    </row>
    <row r="77" spans="4:10" ht="12.75" customHeight="1" x14ac:dyDescent="0.2">
      <c r="D77" s="25">
        <v>16</v>
      </c>
      <c r="E77" s="81" t="s">
        <v>49</v>
      </c>
      <c r="F77" s="202"/>
      <c r="G77" s="81" t="s">
        <v>49</v>
      </c>
      <c r="H77" s="203"/>
      <c r="I77" s="81" t="s">
        <v>49</v>
      </c>
      <c r="J77" s="203"/>
    </row>
    <row r="78" spans="4:10" ht="12.75" customHeight="1" x14ac:dyDescent="0.2">
      <c r="D78" s="25">
        <v>17</v>
      </c>
      <c r="E78" s="81" t="s">
        <v>49</v>
      </c>
      <c r="F78" s="202"/>
      <c r="G78" s="81" t="s">
        <v>49</v>
      </c>
      <c r="H78" s="203"/>
      <c r="I78" s="81" t="s">
        <v>49</v>
      </c>
      <c r="J78" s="203"/>
    </row>
    <row r="79" spans="4:10" ht="12.75" customHeight="1" x14ac:dyDescent="0.2">
      <c r="D79" s="25">
        <v>18</v>
      </c>
      <c r="E79" s="81" t="s">
        <v>49</v>
      </c>
      <c r="F79" s="202"/>
      <c r="G79" s="81" t="s">
        <v>49</v>
      </c>
      <c r="H79" s="203"/>
      <c r="I79" s="81" t="s">
        <v>49</v>
      </c>
      <c r="J79" s="203"/>
    </row>
    <row r="80" spans="4:10" ht="12.75" customHeight="1" x14ac:dyDescent="0.2">
      <c r="D80" s="25">
        <v>19</v>
      </c>
      <c r="E80" s="81" t="s">
        <v>49</v>
      </c>
      <c r="F80" s="202"/>
      <c r="G80" s="81" t="s">
        <v>49</v>
      </c>
      <c r="H80" s="203"/>
      <c r="I80" s="81" t="s">
        <v>49</v>
      </c>
      <c r="J80" s="203"/>
    </row>
    <row r="81" spans="1:10" ht="12.75" customHeight="1" x14ac:dyDescent="0.2">
      <c r="D81" s="25">
        <v>20</v>
      </c>
      <c r="E81" s="81" t="s">
        <v>49</v>
      </c>
      <c r="F81" s="202"/>
      <c r="G81" s="81" t="s">
        <v>49</v>
      </c>
      <c r="H81" s="203"/>
      <c r="I81" s="81" t="s">
        <v>49</v>
      </c>
      <c r="J81" s="203"/>
    </row>
    <row r="82" spans="1:10" ht="12.75" customHeight="1" x14ac:dyDescent="0.2">
      <c r="D82" s="25">
        <v>21</v>
      </c>
      <c r="E82" s="81" t="s">
        <v>49</v>
      </c>
      <c r="F82" s="202"/>
      <c r="G82" s="81" t="s">
        <v>49</v>
      </c>
      <c r="H82" s="203"/>
      <c r="I82" s="81" t="s">
        <v>49</v>
      </c>
      <c r="J82" s="203"/>
    </row>
    <row r="83" spans="1:10" ht="12.75" customHeight="1" x14ac:dyDescent="0.2">
      <c r="D83" s="25">
        <v>22</v>
      </c>
      <c r="E83" s="81" t="s">
        <v>49</v>
      </c>
      <c r="F83" s="202"/>
      <c r="G83" s="81" t="s">
        <v>49</v>
      </c>
      <c r="H83" s="203"/>
      <c r="I83" s="81" t="s">
        <v>49</v>
      </c>
      <c r="J83" s="203"/>
    </row>
    <row r="84" spans="1:10" ht="12.75" customHeight="1" x14ac:dyDescent="0.2">
      <c r="D84" s="25">
        <v>23</v>
      </c>
      <c r="E84" s="81" t="s">
        <v>49</v>
      </c>
      <c r="F84" s="202"/>
      <c r="G84" s="81" t="s">
        <v>49</v>
      </c>
      <c r="H84" s="203"/>
      <c r="I84" s="81" t="s">
        <v>49</v>
      </c>
      <c r="J84" s="203"/>
    </row>
    <row r="85" spans="1:10" ht="12.75" customHeight="1" x14ac:dyDescent="0.2">
      <c r="D85" s="25">
        <v>24</v>
      </c>
      <c r="E85" s="81" t="s">
        <v>49</v>
      </c>
      <c r="F85" s="202"/>
      <c r="G85" s="81" t="s">
        <v>49</v>
      </c>
      <c r="H85" s="203"/>
      <c r="I85" s="81" t="s">
        <v>49</v>
      </c>
      <c r="J85" s="203"/>
    </row>
    <row r="86" spans="1:10" ht="12.75" customHeight="1" x14ac:dyDescent="0.2">
      <c r="D86" s="25">
        <v>25</v>
      </c>
      <c r="E86" s="81" t="s">
        <v>49</v>
      </c>
      <c r="F86" s="202"/>
      <c r="G86" s="81" t="s">
        <v>49</v>
      </c>
      <c r="H86" s="203"/>
      <c r="I86" s="81" t="s">
        <v>49</v>
      </c>
      <c r="J86" s="203"/>
    </row>
    <row r="87" spans="1:10" ht="12.75" customHeight="1" x14ac:dyDescent="0.2">
      <c r="A87" s="139"/>
      <c r="B87" s="52"/>
      <c r="C87" s="52"/>
      <c r="D87" s="52"/>
      <c r="E87" s="52"/>
      <c r="F87" s="52"/>
      <c r="G87" s="52"/>
      <c r="H87" s="52"/>
      <c r="I87" s="81"/>
      <c r="J87" s="208"/>
    </row>
    <row r="88" spans="1:10" ht="12.75" customHeight="1" x14ac:dyDescent="0.2">
      <c r="A88" s="139"/>
      <c r="B88" s="52"/>
      <c r="C88" s="52"/>
      <c r="D88" s="52"/>
      <c r="E88" s="52"/>
      <c r="F88" s="52"/>
      <c r="G88" s="52"/>
      <c r="H88" s="52"/>
      <c r="I88" s="81"/>
      <c r="J88" s="208"/>
    </row>
    <row r="89" spans="1:10" ht="12.75" customHeight="1" x14ac:dyDescent="0.2">
      <c r="A89" s="139"/>
      <c r="B89" s="52"/>
      <c r="C89" s="52"/>
      <c r="D89" s="52"/>
      <c r="E89" s="52"/>
      <c r="F89" s="52"/>
      <c r="G89" s="52"/>
      <c r="H89" s="52"/>
      <c r="I89" s="81"/>
      <c r="J89" s="208"/>
    </row>
    <row r="90" spans="1:10" ht="42" customHeight="1" x14ac:dyDescent="0.2">
      <c r="A90" s="242" t="s">
        <v>244</v>
      </c>
      <c r="B90" s="242"/>
      <c r="C90" s="242"/>
      <c r="D90" s="242"/>
      <c r="E90" s="242"/>
      <c r="F90" s="242"/>
      <c r="G90" s="242"/>
      <c r="H90" s="242"/>
      <c r="I90" s="70"/>
    </row>
    <row r="91" spans="1:10" ht="12.75" customHeight="1" x14ac:dyDescent="0.2">
      <c r="A91" s="79"/>
      <c r="B91" s="79"/>
      <c r="C91" s="79"/>
      <c r="D91" s="79"/>
      <c r="E91" s="79"/>
      <c r="F91" s="79"/>
      <c r="G91" s="79"/>
      <c r="H91" s="79"/>
      <c r="I91" s="70"/>
    </row>
    <row r="92" spans="1:10" ht="13.5" customHeight="1" x14ac:dyDescent="0.2">
      <c r="A92" s="1"/>
      <c r="B92" s="239" t="s">
        <v>266</v>
      </c>
      <c r="C92" s="239"/>
      <c r="D92" s="239"/>
      <c r="E92" s="239"/>
      <c r="F92" s="239"/>
      <c r="G92" s="239"/>
      <c r="H92" s="239"/>
      <c r="I92" s="81" t="s">
        <v>49</v>
      </c>
      <c r="J92" s="190">
        <v>113000</v>
      </c>
    </row>
    <row r="93" spans="1:10" ht="12.75" customHeight="1" x14ac:dyDescent="0.2">
      <c r="A93" s="1"/>
      <c r="B93" s="52"/>
      <c r="C93" s="52"/>
      <c r="D93" s="52"/>
      <c r="E93" s="52"/>
      <c r="F93" s="52"/>
      <c r="G93" s="52"/>
      <c r="H93" s="52"/>
      <c r="I93" s="81"/>
    </row>
    <row r="94" spans="1:10" ht="16.5" customHeight="1" x14ac:dyDescent="0.2">
      <c r="A94" s="1"/>
      <c r="B94" s="239" t="s">
        <v>267</v>
      </c>
      <c r="C94" s="239"/>
      <c r="D94" s="239"/>
      <c r="E94" s="239"/>
      <c r="F94" s="239"/>
      <c r="G94" s="239"/>
      <c r="H94" s="239"/>
      <c r="I94" s="81" t="s">
        <v>49</v>
      </c>
      <c r="J94" s="190">
        <v>119000</v>
      </c>
    </row>
    <row r="95" spans="1:10" ht="12.75" customHeight="1" x14ac:dyDescent="0.2">
      <c r="A95" s="139"/>
      <c r="B95" s="140"/>
      <c r="C95" s="121"/>
      <c r="D95" s="121"/>
      <c r="E95" s="121"/>
      <c r="F95" s="121"/>
      <c r="G95" s="121"/>
      <c r="H95" s="121"/>
      <c r="I95" s="81"/>
      <c r="J95" s="80"/>
    </row>
    <row r="96" spans="1:10" ht="12.75" customHeight="1" x14ac:dyDescent="0.2">
      <c r="A96" s="49" t="s">
        <v>89</v>
      </c>
      <c r="I96" s="81" t="s">
        <v>49</v>
      </c>
      <c r="J96" s="190">
        <v>2756332</v>
      </c>
    </row>
    <row r="97" spans="1:10" ht="12.75" customHeight="1" x14ac:dyDescent="0.2">
      <c r="A97" s="49"/>
      <c r="I97" s="81"/>
      <c r="J97" s="200"/>
    </row>
    <row r="98" spans="1:10" x14ac:dyDescent="0.2">
      <c r="A98" s="49" t="s">
        <v>131</v>
      </c>
      <c r="I98" s="81"/>
      <c r="J98" s="47"/>
    </row>
    <row r="99" spans="1:10" x14ac:dyDescent="0.2">
      <c r="A99" s="49"/>
      <c r="B99" s="38" t="s">
        <v>132</v>
      </c>
      <c r="I99" s="81" t="s">
        <v>49</v>
      </c>
      <c r="J99" s="197" t="s">
        <v>134</v>
      </c>
    </row>
    <row r="100" spans="1:10" x14ac:dyDescent="0.2">
      <c r="A100" s="49"/>
      <c r="I100" s="81"/>
      <c r="J100" s="59"/>
    </row>
    <row r="101" spans="1:10" ht="26.25" customHeight="1" x14ac:dyDescent="0.2">
      <c r="A101" s="49"/>
      <c r="B101" s="237" t="s">
        <v>133</v>
      </c>
      <c r="C101" s="237"/>
      <c r="D101" s="237"/>
      <c r="E101" s="237"/>
      <c r="F101" s="237"/>
      <c r="G101" s="237"/>
      <c r="H101" s="237"/>
      <c r="I101" s="81" t="s">
        <v>49</v>
      </c>
      <c r="J101" s="197" t="s">
        <v>134</v>
      </c>
    </row>
    <row r="102" spans="1:10" ht="12.75" customHeight="1" x14ac:dyDescent="0.2">
      <c r="A102" s="49"/>
      <c r="B102" s="121"/>
      <c r="C102" s="121"/>
      <c r="D102" s="121"/>
      <c r="E102" s="121"/>
      <c r="F102" s="121"/>
      <c r="G102" s="121"/>
      <c r="H102" s="121"/>
      <c r="I102" s="81"/>
      <c r="J102" s="197"/>
    </row>
    <row r="103" spans="1:10" ht="16.5" customHeight="1" x14ac:dyDescent="0.2">
      <c r="A103" s="49" t="s">
        <v>254</v>
      </c>
      <c r="B103" s="121"/>
      <c r="C103" s="121"/>
      <c r="D103" s="121"/>
      <c r="E103" s="121"/>
      <c r="F103" s="121"/>
      <c r="G103" s="121"/>
      <c r="H103" s="121"/>
      <c r="I103" s="81"/>
      <c r="J103" s="80"/>
    </row>
    <row r="104" spans="1:10" ht="49.5" customHeight="1" x14ac:dyDescent="0.2">
      <c r="B104" s="239" t="s">
        <v>257</v>
      </c>
      <c r="C104" s="241"/>
      <c r="D104" s="241"/>
      <c r="E104" s="241"/>
      <c r="F104" s="241"/>
      <c r="G104" s="241"/>
      <c r="H104" s="241"/>
      <c r="I104" s="81" t="s">
        <v>49</v>
      </c>
      <c r="J104" s="197" t="s">
        <v>134</v>
      </c>
    </row>
    <row r="105" spans="1:10" ht="12.75" customHeight="1" x14ac:dyDescent="0.2">
      <c r="B105" s="52"/>
      <c r="C105" s="107"/>
      <c r="D105" s="107"/>
      <c r="E105" s="107"/>
      <c r="F105" s="107"/>
      <c r="G105" s="107"/>
      <c r="H105" s="107"/>
      <c r="I105" s="81"/>
      <c r="J105" s="59"/>
    </row>
    <row r="106" spans="1:10" ht="42" customHeight="1" x14ac:dyDescent="0.2">
      <c r="B106" s="239" t="s">
        <v>258</v>
      </c>
      <c r="C106" s="241"/>
      <c r="D106" s="241"/>
      <c r="E106" s="241"/>
      <c r="F106" s="241"/>
      <c r="G106" s="241"/>
      <c r="H106" s="241"/>
      <c r="I106" s="81" t="s">
        <v>49</v>
      </c>
      <c r="J106" s="197" t="s">
        <v>134</v>
      </c>
    </row>
    <row r="107" spans="1:10" ht="12.75" customHeight="1" x14ac:dyDescent="0.2">
      <c r="I107" s="70"/>
    </row>
    <row r="108" spans="1:10" ht="15" customHeight="1" x14ac:dyDescent="0.2">
      <c r="B108" s="239" t="s">
        <v>93</v>
      </c>
      <c r="C108" s="239"/>
      <c r="D108" s="239"/>
      <c r="E108" s="239"/>
      <c r="F108" s="239"/>
      <c r="G108" s="239"/>
      <c r="H108" s="239"/>
      <c r="I108" s="81" t="s">
        <v>49</v>
      </c>
      <c r="J108" s="190">
        <v>2300000</v>
      </c>
    </row>
    <row r="109" spans="1:10" ht="12.75" customHeight="1" x14ac:dyDescent="0.2">
      <c r="A109" s="1"/>
      <c r="B109" s="52"/>
      <c r="C109" s="52"/>
      <c r="D109" s="52"/>
      <c r="E109" s="52"/>
      <c r="F109" s="52"/>
      <c r="G109" s="52"/>
      <c r="H109" s="52"/>
      <c r="I109" s="81"/>
      <c r="J109" s="200"/>
    </row>
    <row r="110" spans="1:10" ht="41.25" customHeight="1" x14ac:dyDescent="0.2">
      <c r="A110" s="243" t="s">
        <v>259</v>
      </c>
      <c r="B110" s="243"/>
      <c r="C110" s="243"/>
      <c r="D110" s="243"/>
      <c r="E110" s="243"/>
      <c r="F110" s="243"/>
      <c r="G110" s="243"/>
      <c r="H110" s="243"/>
      <c r="I110" s="81"/>
      <c r="J110" s="80"/>
    </row>
    <row r="111" spans="1:10" ht="12.75" customHeight="1" x14ac:dyDescent="0.2">
      <c r="B111" s="139"/>
      <c r="C111" s="140"/>
      <c r="D111" s="121"/>
      <c r="E111" s="121"/>
      <c r="F111" s="121"/>
      <c r="G111" s="121"/>
      <c r="H111" s="121"/>
      <c r="I111" s="81"/>
      <c r="J111" s="80"/>
    </row>
    <row r="112" spans="1:10" ht="24" customHeight="1" x14ac:dyDescent="0.2">
      <c r="B112" s="239" t="s">
        <v>264</v>
      </c>
      <c r="C112" s="239"/>
      <c r="D112" s="239"/>
      <c r="E112" s="239"/>
      <c r="F112" s="239"/>
      <c r="G112" s="239"/>
      <c r="H112" s="239"/>
      <c r="I112" s="37" t="s">
        <v>49</v>
      </c>
      <c r="J112" s="191">
        <v>2800001</v>
      </c>
    </row>
    <row r="113" spans="1:10" ht="12.75" customHeight="1" x14ac:dyDescent="0.2">
      <c r="B113" s="52"/>
      <c r="C113" s="52"/>
      <c r="D113" s="52"/>
      <c r="E113" s="52"/>
      <c r="F113" s="52"/>
      <c r="G113" s="52"/>
      <c r="H113" s="52"/>
      <c r="I113" s="37"/>
      <c r="J113" s="191"/>
    </row>
    <row r="114" spans="1:10" x14ac:dyDescent="0.2">
      <c r="A114" s="246" t="s">
        <v>142</v>
      </c>
      <c r="B114" s="246"/>
      <c r="C114" s="246"/>
      <c r="D114" s="246"/>
      <c r="E114" s="246"/>
      <c r="F114" s="246"/>
      <c r="I114" s="70"/>
    </row>
    <row r="115" spans="1:10" x14ac:dyDescent="0.2">
      <c r="A115" s="100"/>
      <c r="B115" s="100"/>
      <c r="C115" s="100"/>
      <c r="D115" s="100"/>
      <c r="E115" s="100"/>
      <c r="F115" s="100"/>
      <c r="I115" s="70"/>
    </row>
    <row r="116" spans="1:10" ht="15" customHeight="1" x14ac:dyDescent="0.2">
      <c r="A116" s="100"/>
      <c r="B116" s="38" t="s">
        <v>280</v>
      </c>
      <c r="I116" s="81" t="s">
        <v>49</v>
      </c>
      <c r="J116" s="197" t="s">
        <v>88</v>
      </c>
    </row>
    <row r="117" spans="1:10" x14ac:dyDescent="0.2">
      <c r="A117" s="100"/>
      <c r="B117" s="100"/>
      <c r="C117" s="100"/>
      <c r="D117" s="100"/>
      <c r="E117" s="100"/>
      <c r="F117" s="100"/>
      <c r="I117" s="70"/>
    </row>
    <row r="118" spans="1:10" ht="27.75" customHeight="1" x14ac:dyDescent="0.2">
      <c r="A118" s="100"/>
      <c r="B118" s="239" t="s">
        <v>281</v>
      </c>
      <c r="C118" s="239"/>
      <c r="D118" s="239"/>
      <c r="E118" s="239"/>
      <c r="F118" s="239"/>
      <c r="G118" s="239"/>
      <c r="H118" s="239"/>
      <c r="I118" s="81" t="s">
        <v>49</v>
      </c>
      <c r="J118" s="197" t="s">
        <v>88</v>
      </c>
    </row>
    <row r="119" spans="1:10" x14ac:dyDescent="0.2">
      <c r="A119" s="100"/>
      <c r="B119" s="38"/>
      <c r="C119" s="100"/>
      <c r="D119" s="100"/>
      <c r="E119" s="100"/>
      <c r="F119" s="100"/>
      <c r="I119" s="70"/>
    </row>
    <row r="120" spans="1:10" ht="30" customHeight="1" x14ac:dyDescent="0.2">
      <c r="B120" s="248" t="s">
        <v>143</v>
      </c>
      <c r="C120" s="248"/>
      <c r="D120" s="248"/>
      <c r="E120" s="248"/>
      <c r="F120" s="248"/>
      <c r="G120" s="248"/>
      <c r="H120" s="248"/>
      <c r="I120" s="81" t="s">
        <v>49</v>
      </c>
      <c r="J120" s="192">
        <v>0</v>
      </c>
    </row>
    <row r="121" spans="1:10" x14ac:dyDescent="0.2">
      <c r="I121" s="70"/>
    </row>
    <row r="122" spans="1:10" ht="42" customHeight="1" x14ac:dyDescent="0.2">
      <c r="B122" s="239" t="s">
        <v>144</v>
      </c>
      <c r="C122" s="239"/>
      <c r="D122" s="239"/>
      <c r="E122" s="239"/>
      <c r="F122" s="239"/>
      <c r="G122" s="239"/>
      <c r="H122" s="239"/>
      <c r="I122" s="81" t="s">
        <v>49</v>
      </c>
      <c r="J122" s="192">
        <v>0</v>
      </c>
    </row>
    <row r="123" spans="1:10" x14ac:dyDescent="0.2">
      <c r="I123" s="70"/>
    </row>
    <row r="124" spans="1:10" ht="48" customHeight="1" x14ac:dyDescent="0.2">
      <c r="A124" s="243" t="s">
        <v>282</v>
      </c>
      <c r="B124" s="239"/>
      <c r="C124" s="239"/>
      <c r="D124" s="239"/>
      <c r="E124" s="239"/>
      <c r="F124" s="239"/>
      <c r="G124" s="239"/>
      <c r="H124" s="239"/>
      <c r="I124" s="81" t="s">
        <v>49</v>
      </c>
      <c r="J124" s="192">
        <v>0.1</v>
      </c>
    </row>
  </sheetData>
  <mergeCells count="29">
    <mergeCell ref="A124:H124"/>
    <mergeCell ref="B101:H101"/>
    <mergeCell ref="A114:F114"/>
    <mergeCell ref="B122:H122"/>
    <mergeCell ref="B120:H120"/>
    <mergeCell ref="B118:H118"/>
    <mergeCell ref="B22:H22"/>
    <mergeCell ref="B15:H15"/>
    <mergeCell ref="B11:H11"/>
    <mergeCell ref="B13:H13"/>
    <mergeCell ref="B20:H20"/>
    <mergeCell ref="A17:H17"/>
    <mergeCell ref="B112:H112"/>
    <mergeCell ref="A110:H110"/>
    <mergeCell ref="B108:H108"/>
    <mergeCell ref="B106:H106"/>
    <mergeCell ref="B104:H104"/>
    <mergeCell ref="B6:H6"/>
    <mergeCell ref="B8:H8"/>
    <mergeCell ref="D9:F9"/>
    <mergeCell ref="A10:H10"/>
    <mergeCell ref="B18:H18"/>
    <mergeCell ref="A58:G58"/>
    <mergeCell ref="B60:G60"/>
    <mergeCell ref="A24:H24"/>
    <mergeCell ref="B29:H29"/>
    <mergeCell ref="B92:H92"/>
    <mergeCell ref="B94:H94"/>
    <mergeCell ref="A90:H90"/>
  </mergeCells>
  <pageMargins left="0.75" right="0.75" top="0.5" bottom="1" header="0.5" footer="0.5"/>
  <pageSetup scale="90" orientation="portrait" r:id="rId1"/>
  <headerFooter alignWithMargins="0">
    <oddHeader xml:space="preserve">&amp;LEcoElectrica LP
LNG Sales Contract
Cargo Input
</oddHeader>
    <oddFooter>&amp;LLNG Sales Contract
 &amp;D  
 &amp;T&amp;C1st Cargo Input&amp;R&amp;P of &amp;N</oddFooter>
  </headerFooter>
  <rowBreaks count="3" manualBreakCount="3">
    <brk id="25" max="9" man="1"/>
    <brk id="55" max="9" man="1"/>
    <brk id="87" max="9"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49"/>
  <sheetViews>
    <sheetView zoomScaleNormal="100" workbookViewId="0">
      <selection activeCell="G14" sqref="G14"/>
    </sheetView>
  </sheetViews>
  <sheetFormatPr defaultRowHeight="12.75" x14ac:dyDescent="0.2"/>
  <cols>
    <col min="1" max="1" width="11" customWidth="1"/>
    <col min="2" max="2" width="8.42578125" customWidth="1"/>
    <col min="3" max="3" width="12.140625" customWidth="1"/>
    <col min="4" max="4" width="10.140625" customWidth="1"/>
    <col min="5" max="5" width="16" customWidth="1"/>
    <col min="6" max="6" width="12.140625" customWidth="1"/>
    <col min="7" max="7" width="13.5703125" customWidth="1"/>
    <col min="8" max="8" width="15.28515625" customWidth="1"/>
    <col min="9" max="9" width="15.7109375" customWidth="1"/>
  </cols>
  <sheetData>
    <row r="3" spans="1:8" x14ac:dyDescent="0.2">
      <c r="A3" s="49" t="s">
        <v>183</v>
      </c>
    </row>
    <row r="4" spans="1:8" x14ac:dyDescent="0.2">
      <c r="A4" s="38" t="s">
        <v>184</v>
      </c>
      <c r="F4" s="81" t="s">
        <v>49</v>
      </c>
      <c r="G4" s="190">
        <v>113000</v>
      </c>
      <c r="H4" t="s">
        <v>191</v>
      </c>
    </row>
    <row r="5" spans="1:8" x14ac:dyDescent="0.2">
      <c r="G5" s="142"/>
    </row>
    <row r="6" spans="1:8" x14ac:dyDescent="0.2">
      <c r="A6" s="38" t="s">
        <v>188</v>
      </c>
      <c r="F6" s="81" t="s">
        <v>49</v>
      </c>
      <c r="G6" s="219">
        <v>30</v>
      </c>
    </row>
    <row r="7" spans="1:8" x14ac:dyDescent="0.2">
      <c r="A7" s="38"/>
      <c r="F7" s="81"/>
      <c r="G7" s="116"/>
    </row>
    <row r="8" spans="1:8" ht="61.5" customHeight="1" x14ac:dyDescent="0.2">
      <c r="A8" s="239" t="s">
        <v>224</v>
      </c>
      <c r="B8" s="239"/>
      <c r="C8" s="239"/>
      <c r="D8" s="239"/>
      <c r="E8" s="239"/>
      <c r="F8" s="81" t="s">
        <v>49</v>
      </c>
      <c r="G8" s="220" t="s">
        <v>134</v>
      </c>
    </row>
    <row r="9" spans="1:8" x14ac:dyDescent="0.2">
      <c r="A9" s="38"/>
      <c r="F9" s="81"/>
      <c r="G9" s="116"/>
    </row>
    <row r="10" spans="1:8" ht="48" customHeight="1" x14ac:dyDescent="0.2">
      <c r="A10" s="239" t="s">
        <v>192</v>
      </c>
      <c r="B10" s="239"/>
      <c r="C10" s="239"/>
      <c r="D10" s="239"/>
      <c r="E10" s="239"/>
      <c r="F10" s="81" t="s">
        <v>49</v>
      </c>
      <c r="G10" s="201" t="s">
        <v>134</v>
      </c>
    </row>
    <row r="11" spans="1:8" ht="12.75" customHeight="1" x14ac:dyDescent="0.2">
      <c r="A11" s="52"/>
      <c r="B11" s="52"/>
      <c r="C11" s="52"/>
      <c r="D11" s="52"/>
      <c r="E11" s="52"/>
      <c r="F11" s="81"/>
      <c r="G11" s="25"/>
    </row>
    <row r="12" spans="1:8" ht="23.25" customHeight="1" x14ac:dyDescent="0.2">
      <c r="A12" s="241" t="s">
        <v>203</v>
      </c>
      <c r="B12" s="239"/>
      <c r="C12" s="239"/>
      <c r="D12" s="239"/>
      <c r="E12" s="239"/>
      <c r="F12" s="81" t="s">
        <v>49</v>
      </c>
      <c r="G12" s="221">
        <v>25</v>
      </c>
    </row>
    <row r="13" spans="1:8" ht="12.75" customHeight="1" x14ac:dyDescent="0.2">
      <c r="A13" s="107"/>
      <c r="B13" s="52"/>
      <c r="C13" s="52"/>
      <c r="D13" s="52"/>
      <c r="E13" s="52"/>
      <c r="F13" s="81"/>
      <c r="G13" s="170"/>
    </row>
    <row r="14" spans="1:8" ht="24.75" customHeight="1" x14ac:dyDescent="0.2">
      <c r="A14" s="239" t="s">
        <v>222</v>
      </c>
      <c r="B14" s="239"/>
      <c r="C14" s="239"/>
      <c r="D14" s="239"/>
      <c r="E14" s="239"/>
      <c r="F14" s="81" t="s">
        <v>49</v>
      </c>
      <c r="G14" s="221">
        <v>33</v>
      </c>
    </row>
    <row r="15" spans="1:8" ht="12.75" customHeight="1" x14ac:dyDescent="0.2">
      <c r="A15" s="52"/>
      <c r="B15" s="52"/>
      <c r="C15" s="52"/>
      <c r="D15" s="52"/>
      <c r="E15" s="52"/>
      <c r="F15" s="81"/>
      <c r="G15" s="170"/>
    </row>
    <row r="16" spans="1:8" ht="86.25" customHeight="1" x14ac:dyDescent="0.2">
      <c r="A16" s="239" t="s">
        <v>229</v>
      </c>
      <c r="B16" s="239"/>
      <c r="C16" s="239"/>
      <c r="D16" s="239"/>
      <c r="E16" s="239"/>
      <c r="F16" s="81" t="s">
        <v>49</v>
      </c>
      <c r="G16" s="222" t="s">
        <v>88</v>
      </c>
    </row>
    <row r="17" spans="1:8" ht="12.75" customHeight="1" x14ac:dyDescent="0.2">
      <c r="A17" s="52"/>
      <c r="B17" s="52"/>
      <c r="C17" s="52"/>
      <c r="D17" s="52"/>
      <c r="E17" s="52"/>
      <c r="F17" s="81"/>
      <c r="G17" s="170"/>
    </row>
    <row r="18" spans="1:8" ht="102.75" customHeight="1" x14ac:dyDescent="0.2">
      <c r="A18" s="239" t="s">
        <v>230</v>
      </c>
      <c r="B18" s="239"/>
      <c r="C18" s="239"/>
      <c r="D18" s="239"/>
      <c r="E18" s="239"/>
      <c r="F18" s="81" t="s">
        <v>49</v>
      </c>
      <c r="G18" s="221">
        <v>1000</v>
      </c>
    </row>
    <row r="19" spans="1:8" x14ac:dyDescent="0.2">
      <c r="F19" s="81"/>
      <c r="G19" s="25"/>
    </row>
    <row r="20" spans="1:8" x14ac:dyDescent="0.2">
      <c r="F20" s="81"/>
      <c r="G20" s="25"/>
    </row>
    <row r="21" spans="1:8" x14ac:dyDescent="0.2">
      <c r="A21" s="49" t="s">
        <v>149</v>
      </c>
      <c r="H21" t="s">
        <v>286</v>
      </c>
    </row>
    <row r="22" spans="1:8" ht="24.75" customHeight="1" x14ac:dyDescent="0.2">
      <c r="A22" s="239" t="s">
        <v>161</v>
      </c>
      <c r="B22" s="239"/>
      <c r="C22" s="239"/>
      <c r="D22" s="239"/>
      <c r="E22" s="239"/>
      <c r="F22" s="239"/>
      <c r="G22" s="239"/>
      <c r="H22" t="s">
        <v>287</v>
      </c>
    </row>
    <row r="23" spans="1:8" ht="36" customHeight="1" x14ac:dyDescent="0.2">
      <c r="A23" s="42" t="s">
        <v>124</v>
      </c>
      <c r="B23" s="52"/>
      <c r="C23" s="26" t="s">
        <v>119</v>
      </c>
      <c r="D23" s="52"/>
      <c r="E23" s="24" t="s">
        <v>120</v>
      </c>
      <c r="F23" s="102"/>
      <c r="G23" s="26" t="s">
        <v>171</v>
      </c>
    </row>
    <row r="24" spans="1:8" ht="12.75" customHeight="1" x14ac:dyDescent="0.2">
      <c r="A24" s="119">
        <v>1</v>
      </c>
      <c r="B24" s="81" t="s">
        <v>49</v>
      </c>
      <c r="C24" s="225" t="s">
        <v>172</v>
      </c>
      <c r="D24" s="81" t="s">
        <v>49</v>
      </c>
      <c r="E24" s="220">
        <v>112000</v>
      </c>
      <c r="F24" s="81" t="s">
        <v>49</v>
      </c>
      <c r="G24" s="223">
        <v>1070</v>
      </c>
      <c r="H24" s="47"/>
    </row>
    <row r="25" spans="1:8" ht="12.75" customHeight="1" x14ac:dyDescent="0.2">
      <c r="A25" s="120">
        <v>2</v>
      </c>
      <c r="B25" s="81" t="s">
        <v>49</v>
      </c>
      <c r="C25" s="225" t="s">
        <v>173</v>
      </c>
      <c r="D25" s="81" t="s">
        <v>49</v>
      </c>
      <c r="E25" s="220">
        <v>112000</v>
      </c>
      <c r="F25" s="81" t="s">
        <v>49</v>
      </c>
      <c r="G25" s="223">
        <v>1060</v>
      </c>
      <c r="H25" s="47"/>
    </row>
    <row r="26" spans="1:8" ht="12.75" customHeight="1" x14ac:dyDescent="0.2">
      <c r="A26" s="120">
        <v>3</v>
      </c>
      <c r="B26" s="81" t="s">
        <v>49</v>
      </c>
      <c r="C26" s="225" t="s">
        <v>174</v>
      </c>
      <c r="D26" s="81" t="s">
        <v>49</v>
      </c>
      <c r="E26" s="220">
        <v>112000</v>
      </c>
      <c r="F26" s="81" t="s">
        <v>49</v>
      </c>
      <c r="G26" s="223">
        <v>1078</v>
      </c>
      <c r="H26" s="47"/>
    </row>
    <row r="27" spans="1:8" ht="12.75" customHeight="1" x14ac:dyDescent="0.2">
      <c r="A27" s="120">
        <v>4</v>
      </c>
      <c r="B27" s="81" t="s">
        <v>49</v>
      </c>
      <c r="C27" s="225" t="s">
        <v>175</v>
      </c>
      <c r="D27" s="81" t="s">
        <v>49</v>
      </c>
      <c r="E27" s="220">
        <v>116000</v>
      </c>
      <c r="F27" s="81" t="s">
        <v>49</v>
      </c>
      <c r="G27" s="223">
        <v>1066</v>
      </c>
      <c r="H27" s="47"/>
    </row>
    <row r="28" spans="1:8" ht="12.75" customHeight="1" x14ac:dyDescent="0.2">
      <c r="A28" s="120">
        <v>5</v>
      </c>
      <c r="B28" s="81" t="s">
        <v>49</v>
      </c>
      <c r="C28" s="225" t="s">
        <v>176</v>
      </c>
      <c r="D28" s="81" t="s">
        <v>49</v>
      </c>
      <c r="E28" s="224">
        <v>116000</v>
      </c>
      <c r="F28" s="81" t="s">
        <v>49</v>
      </c>
      <c r="G28" s="223">
        <v>1034</v>
      </c>
      <c r="H28" s="47"/>
    </row>
    <row r="29" spans="1:8" ht="12.75" customHeight="1" x14ac:dyDescent="0.2">
      <c r="A29" s="120">
        <v>6</v>
      </c>
      <c r="B29" s="81" t="s">
        <v>49</v>
      </c>
      <c r="C29" s="225" t="s">
        <v>177</v>
      </c>
      <c r="D29" s="81" t="s">
        <v>49</v>
      </c>
      <c r="E29" s="220">
        <v>114000</v>
      </c>
      <c r="F29" s="81" t="s">
        <v>49</v>
      </c>
      <c r="G29" s="223">
        <v>1045</v>
      </c>
      <c r="H29" s="47"/>
    </row>
    <row r="30" spans="1:8" ht="12.75" customHeight="1" x14ac:dyDescent="0.2">
      <c r="A30" s="120">
        <v>7</v>
      </c>
      <c r="B30" s="81" t="s">
        <v>49</v>
      </c>
      <c r="C30" s="225" t="s">
        <v>178</v>
      </c>
      <c r="D30" s="81" t="s">
        <v>49</v>
      </c>
      <c r="E30" s="220">
        <v>113000</v>
      </c>
      <c r="F30" s="81" t="s">
        <v>49</v>
      </c>
      <c r="G30" s="223">
        <v>1077</v>
      </c>
      <c r="H30" s="47"/>
    </row>
    <row r="31" spans="1:8" ht="12.75" customHeight="1" x14ac:dyDescent="0.2">
      <c r="A31" s="120">
        <v>8</v>
      </c>
      <c r="B31" s="81" t="s">
        <v>49</v>
      </c>
      <c r="C31" s="225" t="s">
        <v>179</v>
      </c>
      <c r="D31" s="81" t="s">
        <v>49</v>
      </c>
      <c r="E31" s="220">
        <v>112000</v>
      </c>
      <c r="F31" s="81" t="s">
        <v>49</v>
      </c>
      <c r="G31" s="223">
        <v>1070</v>
      </c>
      <c r="H31" s="47"/>
    </row>
    <row r="32" spans="1:8" ht="12.75" customHeight="1" x14ac:dyDescent="0.2">
      <c r="A32" s="120">
        <v>9</v>
      </c>
      <c r="B32" s="81" t="s">
        <v>49</v>
      </c>
      <c r="C32" s="225" t="s">
        <v>180</v>
      </c>
      <c r="D32" s="81" t="s">
        <v>49</v>
      </c>
      <c r="E32" s="220"/>
      <c r="F32" s="81" t="s">
        <v>49</v>
      </c>
      <c r="G32" s="223"/>
      <c r="H32" s="47"/>
    </row>
    <row r="33" spans="1:8" x14ac:dyDescent="0.2">
      <c r="A33" s="120">
        <v>10</v>
      </c>
      <c r="B33" s="81" t="s">
        <v>49</v>
      </c>
      <c r="C33" s="225" t="s">
        <v>181</v>
      </c>
      <c r="D33" s="81" t="s">
        <v>49</v>
      </c>
      <c r="E33" s="220"/>
      <c r="F33" s="81" t="s">
        <v>49</v>
      </c>
      <c r="G33" s="223"/>
      <c r="H33" s="47"/>
    </row>
    <row r="34" spans="1:8" x14ac:dyDescent="0.2">
      <c r="A34" s="1"/>
      <c r="D34" s="81"/>
      <c r="E34" s="146"/>
      <c r="F34" s="117"/>
      <c r="G34" s="118"/>
      <c r="H34" s="143"/>
    </row>
    <row r="35" spans="1:8" ht="36.75" customHeight="1" x14ac:dyDescent="0.2">
      <c r="A35" s="239" t="s">
        <v>164</v>
      </c>
      <c r="B35" s="239"/>
      <c r="C35" s="239"/>
      <c r="D35" s="239"/>
      <c r="E35" s="239"/>
      <c r="F35" s="37" t="s">
        <v>49</v>
      </c>
      <c r="G35" s="226">
        <v>119000</v>
      </c>
    </row>
    <row r="36" spans="1:8" x14ac:dyDescent="0.2">
      <c r="A36" s="1"/>
      <c r="B36" s="38"/>
      <c r="F36" s="37"/>
    </row>
    <row r="37" spans="1:8" ht="24.75" customHeight="1" x14ac:dyDescent="0.2">
      <c r="A37" s="239" t="s">
        <v>162</v>
      </c>
      <c r="B37" s="239"/>
      <c r="C37" s="239"/>
      <c r="D37" s="239"/>
      <c r="E37" s="239"/>
      <c r="F37" s="37" t="s">
        <v>49</v>
      </c>
      <c r="G37" s="219">
        <v>1070</v>
      </c>
    </row>
    <row r="38" spans="1:8" ht="12.75" customHeight="1" x14ac:dyDescent="0.2">
      <c r="A38" s="1"/>
      <c r="B38" s="52"/>
      <c r="C38" s="52"/>
      <c r="D38" s="52"/>
      <c r="E38" s="52"/>
      <c r="F38" s="37"/>
    </row>
    <row r="39" spans="1:8" ht="61.5" customHeight="1" x14ac:dyDescent="0.2">
      <c r="A39" s="239" t="s">
        <v>166</v>
      </c>
      <c r="B39" s="239"/>
      <c r="C39" s="239"/>
      <c r="D39" s="239"/>
      <c r="E39" s="239"/>
      <c r="F39" s="135"/>
    </row>
    <row r="40" spans="1:8" ht="32.25" customHeight="1" x14ac:dyDescent="0.2">
      <c r="A40" s="1"/>
      <c r="B40" s="52"/>
      <c r="C40" s="26" t="s">
        <v>121</v>
      </c>
      <c r="D40" s="52"/>
      <c r="E40" s="26" t="s">
        <v>122</v>
      </c>
      <c r="F40" s="102"/>
      <c r="G40" s="26" t="s">
        <v>123</v>
      </c>
    </row>
    <row r="41" spans="1:8" x14ac:dyDescent="0.2">
      <c r="B41" s="37" t="s">
        <v>49</v>
      </c>
      <c r="C41" s="212">
        <v>1000</v>
      </c>
      <c r="D41" s="37" t="s">
        <v>49</v>
      </c>
      <c r="E41" s="208">
        <v>1000</v>
      </c>
      <c r="F41" s="37" t="s">
        <v>49</v>
      </c>
      <c r="G41" s="190">
        <v>1000</v>
      </c>
    </row>
    <row r="42" spans="1:8" x14ac:dyDescent="0.2">
      <c r="B42" s="37"/>
      <c r="C42" s="52"/>
      <c r="D42" s="37"/>
      <c r="E42" s="70"/>
      <c r="F42" s="37"/>
    </row>
    <row r="43" spans="1:8" ht="48.75" customHeight="1" x14ac:dyDescent="0.2">
      <c r="A43" s="239" t="s">
        <v>170</v>
      </c>
      <c r="B43" s="239"/>
      <c r="C43" s="239"/>
      <c r="D43" s="239"/>
      <c r="E43" s="239"/>
      <c r="F43" s="239"/>
    </row>
    <row r="44" spans="1:8" ht="44.25" customHeight="1" x14ac:dyDescent="0.2">
      <c r="B44" s="52"/>
      <c r="C44" s="26" t="s">
        <v>167</v>
      </c>
      <c r="D44" s="52"/>
      <c r="E44" s="26" t="s">
        <v>168</v>
      </c>
      <c r="F44" s="102"/>
      <c r="G44" s="26" t="s">
        <v>169</v>
      </c>
    </row>
    <row r="45" spans="1:8" x14ac:dyDescent="0.2">
      <c r="B45" s="37" t="s">
        <v>49</v>
      </c>
      <c r="C45" s="212">
        <v>1000</v>
      </c>
      <c r="D45" s="37" t="s">
        <v>49</v>
      </c>
      <c r="E45" s="208">
        <v>1000</v>
      </c>
      <c r="F45" s="37" t="s">
        <v>49</v>
      </c>
      <c r="G45" s="190">
        <v>1000</v>
      </c>
    </row>
    <row r="47" spans="1:8" x14ac:dyDescent="0.2">
      <c r="A47" s="174" t="s">
        <v>216</v>
      </c>
    </row>
    <row r="49" spans="1:7" x14ac:dyDescent="0.2">
      <c r="A49" t="s">
        <v>217</v>
      </c>
      <c r="F49" s="37" t="s">
        <v>49</v>
      </c>
      <c r="G49" s="192">
        <v>0.43</v>
      </c>
    </row>
  </sheetData>
  <mergeCells count="11">
    <mergeCell ref="A16:E16"/>
    <mergeCell ref="A43:F43"/>
    <mergeCell ref="A22:G22"/>
    <mergeCell ref="A35:E35"/>
    <mergeCell ref="A37:E37"/>
    <mergeCell ref="A18:E18"/>
    <mergeCell ref="A8:E8"/>
    <mergeCell ref="A10:E10"/>
    <mergeCell ref="A39:E39"/>
    <mergeCell ref="A12:E12"/>
    <mergeCell ref="A14:E14"/>
  </mergeCells>
  <pageMargins left="0.75" right="0.75" top="1" bottom="1" header="0.5" footer="0.5"/>
  <pageSetup scale="85" orientation="portrait" r:id="rId1"/>
  <headerFooter alignWithMargins="0">
    <oddHeader>&amp;LEcoElectrica LP
LNG Sales Contract
Article 8 - Price
End of Year Input</oddHeader>
    <oddFooter>&amp;LLNG Sales Contract
&amp;D
&amp;T&amp;CEnd of Year Input
&amp;R&amp;P of &amp;N</oddFooter>
  </headerFooter>
  <rowBreaks count="1" manualBreakCount="1">
    <brk id="18"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L24"/>
  <sheetViews>
    <sheetView workbookViewId="0">
      <selection activeCell="F6" sqref="F6"/>
    </sheetView>
  </sheetViews>
  <sheetFormatPr defaultRowHeight="12.75" x14ac:dyDescent="0.2"/>
  <cols>
    <col min="1" max="1" width="10.7109375" customWidth="1"/>
    <col min="2" max="2" width="15.7109375" customWidth="1"/>
    <col min="3" max="3" width="4.42578125" customWidth="1"/>
    <col min="4" max="4" width="15.7109375" customWidth="1"/>
    <col min="5" max="5" width="4.42578125" customWidth="1"/>
    <col min="6" max="6" width="19.42578125" customWidth="1"/>
    <col min="7" max="7" width="4.42578125" customWidth="1"/>
    <col min="8" max="8" width="11.140625" customWidth="1"/>
    <col min="9" max="9" width="7" customWidth="1"/>
    <col min="10" max="10" width="15.28515625" customWidth="1"/>
    <col min="11" max="11" width="4.140625" customWidth="1"/>
    <col min="12" max="12" width="19.85546875" customWidth="1"/>
  </cols>
  <sheetData>
    <row r="3" spans="1:12" ht="25.5" customHeight="1" x14ac:dyDescent="0.2">
      <c r="A3" s="239" t="s">
        <v>58</v>
      </c>
      <c r="B3" s="239"/>
      <c r="C3" s="239"/>
      <c r="D3" s="239"/>
      <c r="E3" s="239"/>
      <c r="F3" s="239"/>
      <c r="G3" s="239"/>
      <c r="H3" s="239"/>
      <c r="I3" s="239"/>
      <c r="J3" s="239"/>
      <c r="K3" s="239"/>
      <c r="L3" s="239"/>
    </row>
    <row r="5" spans="1:12" ht="22.5" x14ac:dyDescent="0.2">
      <c r="B5" s="8" t="s">
        <v>31</v>
      </c>
      <c r="C5" s="2" t="s">
        <v>3</v>
      </c>
      <c r="D5" s="8" t="s">
        <v>32</v>
      </c>
      <c r="E5" s="2" t="s">
        <v>4</v>
      </c>
      <c r="F5" s="26" t="s">
        <v>33</v>
      </c>
    </row>
    <row r="6" spans="1:12" ht="30.75" customHeight="1" x14ac:dyDescent="0.2">
      <c r="B6" s="189">
        <f>IF(AND(L11="Excused from Month's Payment"),"Excused from Month's Payment",L11)</f>
        <v>1724465.6435310219</v>
      </c>
      <c r="C6" s="25"/>
      <c r="D6" s="189">
        <f>IF(AND(L16="Excused from Month's Payment"),"Excused from Month's Payment",L16)</f>
        <v>190294.91500152065</v>
      </c>
      <c r="E6" s="25"/>
      <c r="F6" s="189">
        <f>IF(AND(L16="Excused from Month's Payment",L11="Excused from Month's Payment"),"0",B6+D6)</f>
        <v>1914760.5585325425</v>
      </c>
    </row>
    <row r="7" spans="1:12" x14ac:dyDescent="0.2">
      <c r="B7" s="46"/>
      <c r="C7" s="25"/>
      <c r="D7" s="46"/>
      <c r="E7" s="25"/>
      <c r="F7" s="46"/>
    </row>
    <row r="8" spans="1:12" x14ac:dyDescent="0.2">
      <c r="A8" s="239" t="s">
        <v>60</v>
      </c>
      <c r="B8" s="239"/>
      <c r="C8" s="239"/>
      <c r="D8" s="239"/>
      <c r="E8" s="239"/>
      <c r="F8" s="239"/>
      <c r="G8" s="239"/>
      <c r="H8" s="239"/>
      <c r="I8" s="239"/>
      <c r="J8" s="239"/>
      <c r="K8" s="239"/>
      <c r="L8" s="239"/>
    </row>
    <row r="9" spans="1:12" ht="13.5" customHeight="1" x14ac:dyDescent="0.2">
      <c r="B9" s="249" t="s">
        <v>34</v>
      </c>
      <c r="C9" s="249"/>
      <c r="D9" s="249"/>
    </row>
    <row r="10" spans="1:12" ht="23.25" customHeight="1" x14ac:dyDescent="0.2">
      <c r="B10" s="32" t="s">
        <v>35</v>
      </c>
      <c r="C10" s="27" t="s">
        <v>36</v>
      </c>
      <c r="D10" s="26" t="s">
        <v>11</v>
      </c>
      <c r="E10" s="27" t="s">
        <v>36</v>
      </c>
      <c r="F10" s="54" t="s">
        <v>59</v>
      </c>
      <c r="G10" s="27" t="s">
        <v>36</v>
      </c>
      <c r="H10" s="26" t="s">
        <v>37</v>
      </c>
      <c r="I10" s="42" t="s">
        <v>45</v>
      </c>
      <c r="J10" s="26" t="s">
        <v>39</v>
      </c>
      <c r="L10" s="29" t="s">
        <v>31</v>
      </c>
    </row>
    <row r="11" spans="1:12" ht="25.5" customHeight="1" x14ac:dyDescent="0.2">
      <c r="B11" s="84">
        <v>0.73</v>
      </c>
      <c r="C11" s="25"/>
      <c r="D11" s="39">
        <f>'Adjustment Factor'!L9</f>
        <v>1.1588503649635036</v>
      </c>
      <c r="E11" s="25"/>
      <c r="F11" s="53">
        <f>'Beginning of Year Input'!G5*'Beginning of Year Input'!G8</f>
        <v>1071000</v>
      </c>
      <c r="G11" s="25"/>
      <c r="H11" s="58">
        <v>22.84</v>
      </c>
      <c r="I11" s="25"/>
      <c r="J11" s="25">
        <v>12</v>
      </c>
      <c r="L11" s="188">
        <f>IF(OR('Monthly Input'!$J$10="Y",'Monthly Input'!$J$12="Y"),"Excused from Month's Payment",(B11*D11*F11*H11/J11))</f>
        <v>1724465.6435310219</v>
      </c>
    </row>
    <row r="13" spans="1:12" ht="12.75" customHeight="1" x14ac:dyDescent="0.2">
      <c r="A13" s="239" t="s">
        <v>61</v>
      </c>
      <c r="B13" s="239"/>
      <c r="C13" s="239"/>
      <c r="D13" s="239"/>
      <c r="E13" s="239"/>
      <c r="F13" s="239"/>
      <c r="G13" s="239"/>
      <c r="H13" s="239"/>
      <c r="I13" s="239"/>
      <c r="J13" s="239"/>
      <c r="K13" s="239"/>
      <c r="L13" s="239"/>
    </row>
    <row r="14" spans="1:12" x14ac:dyDescent="0.2">
      <c r="B14" s="249" t="s">
        <v>44</v>
      </c>
      <c r="C14" s="249"/>
      <c r="D14" s="249"/>
    </row>
    <row r="15" spans="1:12" ht="25.5" customHeight="1" x14ac:dyDescent="0.2">
      <c r="B15" s="26" t="s">
        <v>62</v>
      </c>
      <c r="C15" s="27" t="s">
        <v>36</v>
      </c>
      <c r="D15" s="26" t="s">
        <v>11</v>
      </c>
      <c r="E15" s="27" t="s">
        <v>36</v>
      </c>
      <c r="F15" s="54" t="s">
        <v>251</v>
      </c>
      <c r="G15" s="27" t="s">
        <v>36</v>
      </c>
      <c r="H15" s="26" t="s">
        <v>37</v>
      </c>
      <c r="I15" s="42" t="s">
        <v>45</v>
      </c>
      <c r="J15" s="26" t="s">
        <v>39</v>
      </c>
      <c r="K15" s="2" t="s">
        <v>4</v>
      </c>
      <c r="L15" s="8" t="s">
        <v>32</v>
      </c>
    </row>
    <row r="16" spans="1:12" ht="25.5" customHeight="1" x14ac:dyDescent="0.2">
      <c r="B16" s="83">
        <v>0.72499999999999998</v>
      </c>
      <c r="C16" s="25"/>
      <c r="D16" s="39">
        <f>'Adjustment Factor'!L9</f>
        <v>1.1588503649635036</v>
      </c>
      <c r="E16" s="25"/>
      <c r="F16" s="59">
        <f>'Beginning of Year Input'!G8</f>
        <v>119000</v>
      </c>
      <c r="G16" s="25"/>
      <c r="H16" s="58">
        <v>22.84</v>
      </c>
      <c r="I16" s="25"/>
      <c r="J16" s="25">
        <v>12</v>
      </c>
      <c r="K16" s="25"/>
      <c r="L16" s="189">
        <f>IF(OR('Monthly Input'!$J$10="Y",'Monthly Input'!$J$12="Y"),"Excused from Month's Payment",(B16*D16*F16*H16)/J16)</f>
        <v>190294.91500152065</v>
      </c>
    </row>
    <row r="18" spans="1:12" x14ac:dyDescent="0.2">
      <c r="A18" s="49" t="s">
        <v>6</v>
      </c>
    </row>
    <row r="20" spans="1:12" ht="22.5" x14ac:dyDescent="0.2">
      <c r="A20" s="28" t="s">
        <v>40</v>
      </c>
      <c r="B20" s="51" t="s">
        <v>41</v>
      </c>
    </row>
    <row r="22" spans="1:12" ht="36" customHeight="1" x14ac:dyDescent="0.2">
      <c r="A22" s="31" t="s">
        <v>42</v>
      </c>
      <c r="B22" s="237" t="s">
        <v>43</v>
      </c>
      <c r="C22" s="237"/>
      <c r="D22" s="237"/>
      <c r="E22" s="237"/>
      <c r="F22" s="237"/>
      <c r="G22" s="237"/>
      <c r="H22" s="237"/>
      <c r="I22" s="237"/>
      <c r="J22" s="237"/>
      <c r="K22" s="237"/>
      <c r="L22" s="237"/>
    </row>
    <row r="24" spans="1:12" ht="63" customHeight="1" x14ac:dyDescent="0.2">
      <c r="A24" s="237" t="s">
        <v>250</v>
      </c>
      <c r="B24" s="237"/>
      <c r="C24" s="237"/>
      <c r="D24" s="237"/>
      <c r="E24" s="237"/>
      <c r="F24" s="237"/>
      <c r="G24" s="237"/>
      <c r="H24" s="237"/>
      <c r="I24" s="237"/>
      <c r="J24" s="237"/>
      <c r="K24" s="237"/>
      <c r="L24" s="237"/>
    </row>
  </sheetData>
  <mergeCells count="7">
    <mergeCell ref="A24:L24"/>
    <mergeCell ref="B22:L22"/>
    <mergeCell ref="A3:L3"/>
    <mergeCell ref="B9:D9"/>
    <mergeCell ref="B14:D14"/>
    <mergeCell ref="A13:L13"/>
    <mergeCell ref="A8:L8"/>
  </mergeCells>
  <pageMargins left="0.75" right="0.75" top="1" bottom="1" header="0.5" footer="0.5"/>
  <pageSetup scale="93" orientation="landscape" r:id="rId1"/>
  <headerFooter alignWithMargins="0">
    <oddHeader>&amp;LEcoElectrica, LP
LNG Sales Contract
Article 8 - Price
8.1 Estimate Monthly Demand Charge</oddHeader>
    <oddFooter>&amp;LLNG Sales Contract
&amp;D
&amp;T&amp;CEstimated Monthly Demand Charge 
&amp;R&amp;P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7"/>
  <sheetViews>
    <sheetView topLeftCell="A4" workbookViewId="0">
      <selection activeCell="I10" sqref="I10"/>
    </sheetView>
  </sheetViews>
  <sheetFormatPr defaultRowHeight="12.75" x14ac:dyDescent="0.2"/>
  <cols>
    <col min="1" max="1" width="6" customWidth="1"/>
    <col min="2" max="2" width="5.42578125" customWidth="1"/>
    <col min="3" max="3" width="3.7109375" customWidth="1"/>
    <col min="4" max="4" width="7" customWidth="1"/>
    <col min="5" max="5" width="3.7109375" customWidth="1"/>
    <col min="6" max="6" width="11" customWidth="1"/>
    <col min="7" max="7" width="3.7109375" customWidth="1"/>
    <col min="9" max="11" width="3.7109375" customWidth="1"/>
    <col min="12" max="12" width="11.5703125" customWidth="1"/>
  </cols>
  <sheetData>
    <row r="1" spans="1:12" x14ac:dyDescent="0.2">
      <c r="A1" s="49" t="s">
        <v>0</v>
      </c>
    </row>
    <row r="2" spans="1:12" x14ac:dyDescent="0.2">
      <c r="A2" s="49" t="s">
        <v>1</v>
      </c>
    </row>
    <row r="3" spans="1:12" x14ac:dyDescent="0.2">
      <c r="A3" s="49" t="s">
        <v>2</v>
      </c>
    </row>
    <row r="4" spans="1:12" x14ac:dyDescent="0.2">
      <c r="A4" s="49" t="s">
        <v>145</v>
      </c>
    </row>
    <row r="6" spans="1:12" x14ac:dyDescent="0.2">
      <c r="A6" s="38" t="s">
        <v>7</v>
      </c>
    </row>
    <row r="8" spans="1:12" ht="25.5" customHeight="1" x14ac:dyDescent="0.2">
      <c r="B8" s="8">
        <v>1</v>
      </c>
      <c r="C8" s="2" t="s">
        <v>3</v>
      </c>
      <c r="D8" s="8">
        <v>0.5</v>
      </c>
      <c r="E8" s="2" t="s">
        <v>8</v>
      </c>
      <c r="F8" s="5" t="s">
        <v>9</v>
      </c>
      <c r="G8" s="5" t="s">
        <v>5</v>
      </c>
      <c r="H8" s="8" t="s">
        <v>47</v>
      </c>
      <c r="I8" s="5" t="s">
        <v>10</v>
      </c>
      <c r="J8" s="5" t="s">
        <v>48</v>
      </c>
      <c r="K8" s="3" t="s">
        <v>4</v>
      </c>
      <c r="L8" s="29" t="s">
        <v>11</v>
      </c>
    </row>
    <row r="9" spans="1:12" x14ac:dyDescent="0.2">
      <c r="B9" s="25">
        <v>1</v>
      </c>
      <c r="D9" s="25">
        <v>0.5</v>
      </c>
      <c r="F9" s="40">
        <f>'Beginning of Year Input'!E32</f>
        <v>180.52499999999998</v>
      </c>
      <c r="H9" s="23">
        <v>137</v>
      </c>
      <c r="J9" s="25">
        <v>1</v>
      </c>
      <c r="L9" s="187">
        <f>B9+(D9*((F9/H9)-1))</f>
        <v>1.1588503649635036</v>
      </c>
    </row>
    <row r="11" spans="1:12" x14ac:dyDescent="0.2">
      <c r="A11" s="49" t="s">
        <v>6</v>
      </c>
    </row>
    <row r="12" spans="1:12" x14ac:dyDescent="0.2">
      <c r="A12" s="1"/>
    </row>
    <row r="13" spans="1:12" ht="24.75" customHeight="1" x14ac:dyDescent="0.2">
      <c r="A13" s="1"/>
      <c r="B13" s="250" t="s">
        <v>57</v>
      </c>
      <c r="C13" s="251"/>
      <c r="D13" s="251"/>
      <c r="E13" s="251"/>
      <c r="F13" s="251"/>
      <c r="G13" s="251"/>
      <c r="H13" s="251"/>
      <c r="I13" s="251"/>
      <c r="J13" s="251"/>
      <c r="K13" s="251"/>
      <c r="L13" s="251"/>
    </row>
    <row r="15" spans="1:12" x14ac:dyDescent="0.2">
      <c r="B15" s="49" t="s">
        <v>63</v>
      </c>
    </row>
    <row r="17" spans="2:2" x14ac:dyDescent="0.2">
      <c r="B17" s="49" t="s">
        <v>64</v>
      </c>
    </row>
  </sheetData>
  <mergeCells count="1">
    <mergeCell ref="B13:L13"/>
  </mergeCells>
  <pageMargins left="1.25" right="1.25" top="1" bottom="1.06" header="0.5" footer="0.5"/>
  <pageSetup scale="86" orientation="portrait" r:id="rId1"/>
  <headerFooter alignWithMargins="0">
    <oddFooter>&amp;LLNG Sales Contract
&amp;D
&amp;T&amp;CAdjustment Factor
&amp;R&amp;P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2"/>
  <sheetViews>
    <sheetView topLeftCell="A4" workbookViewId="0">
      <selection activeCell="D22" sqref="D22"/>
    </sheetView>
  </sheetViews>
  <sheetFormatPr defaultRowHeight="12.75" x14ac:dyDescent="0.2"/>
  <cols>
    <col min="1" max="1" width="4.7109375" customWidth="1"/>
    <col min="2" max="2" width="18" customWidth="1"/>
    <col min="3" max="3" width="4.7109375" customWidth="1"/>
    <col min="4" max="4" width="20" customWidth="1"/>
    <col min="5" max="5" width="6.42578125" customWidth="1"/>
    <col min="6" max="6" width="15.7109375" customWidth="1"/>
    <col min="7" max="7" width="5.85546875" customWidth="1"/>
    <col min="8" max="8" width="13.85546875" customWidth="1"/>
    <col min="9" max="9" width="5.7109375" customWidth="1"/>
    <col min="10" max="10" width="16.28515625" customWidth="1"/>
    <col min="11" max="12" width="4.7109375" customWidth="1"/>
    <col min="13" max="13" width="14" customWidth="1"/>
  </cols>
  <sheetData>
    <row r="1" spans="1:14" x14ac:dyDescent="0.2">
      <c r="A1" s="1"/>
    </row>
    <row r="2" spans="1:14" x14ac:dyDescent="0.2">
      <c r="A2" s="1"/>
    </row>
    <row r="3" spans="1:14" x14ac:dyDescent="0.2">
      <c r="A3" s="1"/>
    </row>
    <row r="4" spans="1:14" x14ac:dyDescent="0.2">
      <c r="A4" s="1"/>
    </row>
    <row r="5" spans="1:14" x14ac:dyDescent="0.2">
      <c r="A5" s="49"/>
    </row>
    <row r="6" spans="1:14" ht="33.75" x14ac:dyDescent="0.2">
      <c r="A6" s="49"/>
      <c r="B6" s="54" t="s">
        <v>85</v>
      </c>
      <c r="C6" s="77" t="s">
        <v>80</v>
      </c>
      <c r="D6" s="26" t="s">
        <v>84</v>
      </c>
      <c r="E6" s="72" t="s">
        <v>77</v>
      </c>
      <c r="F6" s="26" t="s">
        <v>86</v>
      </c>
    </row>
    <row r="7" spans="1:14" x14ac:dyDescent="0.2">
      <c r="A7" s="49"/>
      <c r="B7" s="99">
        <f>'1st Cargo Input'!J96</f>
        <v>2756332</v>
      </c>
      <c r="D7" s="86">
        <f>J10</f>
        <v>3.483099622871046</v>
      </c>
      <c r="F7" s="87">
        <f>B7*D7</f>
        <v>9600578.9497073963</v>
      </c>
    </row>
    <row r="8" spans="1:14" x14ac:dyDescent="0.2">
      <c r="A8" s="49"/>
    </row>
    <row r="9" spans="1:14" ht="38.25" customHeight="1" x14ac:dyDescent="0.2">
      <c r="A9" s="49"/>
      <c r="B9" s="26" t="s">
        <v>51</v>
      </c>
      <c r="C9" s="30" t="s">
        <v>3</v>
      </c>
      <c r="D9" s="26" t="s">
        <v>79</v>
      </c>
      <c r="E9" s="72" t="s">
        <v>77</v>
      </c>
      <c r="F9" s="26" t="s">
        <v>83</v>
      </c>
      <c r="G9" s="76" t="s">
        <v>82</v>
      </c>
      <c r="H9" s="26" t="s">
        <v>81</v>
      </c>
      <c r="I9" t="s">
        <v>4</v>
      </c>
      <c r="J9" s="26" t="s">
        <v>84</v>
      </c>
    </row>
    <row r="10" spans="1:14" x14ac:dyDescent="0.2">
      <c r="A10" s="49"/>
      <c r="B10" s="89">
        <f>F18</f>
        <v>3.483099622871046</v>
      </c>
      <c r="C10" s="88"/>
      <c r="D10" s="89">
        <f>F31</f>
        <v>0</v>
      </c>
      <c r="E10" s="90"/>
      <c r="F10" s="86">
        <f>(B10+D10)</f>
        <v>3.483099622871046</v>
      </c>
      <c r="G10" s="91"/>
      <c r="H10" s="86">
        <f>IF(AND(M13&gt;=F10),F10,M13)</f>
        <v>0</v>
      </c>
      <c r="I10" s="92"/>
      <c r="J10" s="86">
        <f>F10-H10</f>
        <v>3.483099622871046</v>
      </c>
    </row>
    <row r="11" spans="1:14" x14ac:dyDescent="0.2">
      <c r="A11" s="49"/>
      <c r="B11" s="50"/>
      <c r="C11" s="30"/>
      <c r="D11" s="50"/>
      <c r="E11" s="72"/>
    </row>
    <row r="12" spans="1:14" ht="33.75" x14ac:dyDescent="0.2">
      <c r="A12" s="124" t="s">
        <v>90</v>
      </c>
      <c r="B12" s="67" t="s">
        <v>138</v>
      </c>
      <c r="C12" s="122" t="s">
        <v>3</v>
      </c>
      <c r="D12" s="67" t="s">
        <v>139</v>
      </c>
      <c r="E12" s="25" t="s">
        <v>3</v>
      </c>
      <c r="F12" s="85" t="s">
        <v>140</v>
      </c>
      <c r="G12" s="25" t="s">
        <v>3</v>
      </c>
      <c r="H12" s="67" t="s">
        <v>100</v>
      </c>
      <c r="I12" s="125" t="s">
        <v>104</v>
      </c>
      <c r="J12" s="67" t="s">
        <v>101</v>
      </c>
      <c r="K12" s="123" t="s">
        <v>97</v>
      </c>
      <c r="L12" s="2" t="s">
        <v>4</v>
      </c>
      <c r="M12" s="26" t="s">
        <v>146</v>
      </c>
    </row>
    <row r="13" spans="1:14" x14ac:dyDescent="0.2">
      <c r="A13" s="49"/>
      <c r="B13" s="229">
        <f>IF(AND('1st Cargo Input'!J104="Y"),"0",IF(('1st Cargo Input'!J108&lt;2800000),(0.02)*('Propane Index'!I30)*2800000/'1st Cargo Input'!J108,IF(('1st Cargo Input'!J108&gt;2800000),(0.02)*('Propane Index'!I30))))</f>
        <v>1.75E-3</v>
      </c>
      <c r="C13" s="77"/>
      <c r="D13" s="229">
        <f>IF(AND('1st Cargo Input'!J106="Y"),"0",IF(('1st Cargo Input'!J108&lt;2800000),(0.03)*('Propane Index'!K60)*2800000/'1st Cargo Input'!J108,IF(('1st Cargo Input'!J108&gt;2800000),(0.03)*('Propane Index'!K60))))</f>
        <v>2.953125E-3</v>
      </c>
      <c r="F13" s="127">
        <f>IF(AND('1st Cargo Input'!J92/'1st Cargo Input'!J94&lt;0.95,'1st Cargo Input'!J112&lt;2800000),('1st Cargo Input'!J94-'1st Cargo Input'!J92)/('Beginning of Year Input'!G5*'Beginning of Year Input'!G8)*(365)*(0.03)*('Propane Index'!K60)*(2800000/'1st Cargo Input'!J112),IF(AND('1st Cargo Input'!J92/'1st Cargo Input'!J94&lt;0.95,'1st Cargo Input'!J112&gt;2800000),('1st Cargo Input'!J94-'1st Cargo Input'!J92)/('Beginning of Year Input'!G5*'Beginning of Year Input'!G8)*(365)*(0.03)*'Propane Index'!K60,(0)))</f>
        <v>4.9602809873949567E-3</v>
      </c>
      <c r="H13" s="126">
        <f>'1st Cargo Input'!J120-'1st Cargo Input'!J122</f>
        <v>0</v>
      </c>
      <c r="I13" s="1"/>
      <c r="J13" s="126">
        <f>('1st Cargo Input'!J124)*0.03</f>
        <v>3.0000000000000001E-3</v>
      </c>
      <c r="L13" s="93"/>
      <c r="M13" s="126">
        <f>(B13+D13+F13+H13-J13)*0</f>
        <v>0</v>
      </c>
    </row>
    <row r="15" spans="1:14" x14ac:dyDescent="0.2">
      <c r="M15" s="86"/>
    </row>
    <row r="16" spans="1:14" ht="25.5" customHeight="1" x14ac:dyDescent="0.2">
      <c r="A16" s="252" t="s">
        <v>28</v>
      </c>
      <c r="B16" s="252"/>
      <c r="C16" s="252"/>
      <c r="D16" s="252"/>
      <c r="E16" s="252"/>
      <c r="F16" s="252"/>
      <c r="G16" s="252"/>
      <c r="H16" s="252"/>
      <c r="I16" s="252"/>
      <c r="J16" s="252"/>
      <c r="K16" s="48"/>
      <c r="L16" s="48"/>
      <c r="M16" s="48"/>
      <c r="N16" s="48"/>
    </row>
    <row r="17" spans="1:14" ht="21.75" customHeight="1" x14ac:dyDescent="0.2">
      <c r="A17" s="34"/>
      <c r="B17" s="41" t="s">
        <v>31</v>
      </c>
      <c r="C17" s="30" t="s">
        <v>3</v>
      </c>
      <c r="D17" s="41" t="s">
        <v>32</v>
      </c>
      <c r="E17" s="72" t="s">
        <v>77</v>
      </c>
      <c r="F17" s="26" t="s">
        <v>51</v>
      </c>
      <c r="G17" s="27"/>
      <c r="H17" s="50"/>
      <c r="I17" s="50"/>
      <c r="J17" s="50"/>
      <c r="K17" s="30"/>
      <c r="L17" s="69"/>
      <c r="M17" s="134"/>
      <c r="N17" s="35"/>
    </row>
    <row r="18" spans="1:14" ht="12" customHeight="1" x14ac:dyDescent="0.2">
      <c r="A18" s="34"/>
      <c r="B18" s="94">
        <f>F22</f>
        <v>2.6595366666666664</v>
      </c>
      <c r="C18" s="88"/>
      <c r="D18" s="95">
        <f>H26</f>
        <v>0.82356295620437947</v>
      </c>
      <c r="E18" s="90"/>
      <c r="F18" s="94">
        <f>B18+D18</f>
        <v>3.483099622871046</v>
      </c>
      <c r="G18" s="7"/>
      <c r="H18" s="25"/>
      <c r="I18" s="50"/>
      <c r="J18" s="74"/>
      <c r="K18" s="35"/>
      <c r="L18" s="35"/>
      <c r="M18" s="60"/>
      <c r="N18" s="35"/>
    </row>
    <row r="19" spans="1:14" ht="12" customHeight="1" x14ac:dyDescent="0.2">
      <c r="A19" s="34"/>
      <c r="B19" s="47"/>
      <c r="D19" s="66"/>
      <c r="E19" s="35"/>
      <c r="F19" s="66"/>
      <c r="G19" s="35"/>
      <c r="H19" s="74"/>
      <c r="I19" s="61"/>
      <c r="J19" s="61"/>
      <c r="K19" s="35"/>
      <c r="L19" s="35"/>
      <c r="M19" s="60"/>
      <c r="N19" s="35"/>
    </row>
    <row r="20" spans="1:14" ht="46.5" customHeight="1" x14ac:dyDescent="0.2">
      <c r="A20" s="252" t="s">
        <v>54</v>
      </c>
      <c r="B20" s="252"/>
      <c r="C20" s="252"/>
      <c r="D20" s="252"/>
      <c r="E20" s="252"/>
      <c r="F20" s="252"/>
      <c r="G20" s="252"/>
      <c r="H20" s="252"/>
      <c r="I20" s="252"/>
      <c r="J20" s="252"/>
      <c r="K20" s="33"/>
      <c r="L20" s="33"/>
      <c r="M20" s="33"/>
      <c r="N20" s="33"/>
    </row>
    <row r="21" spans="1:14" ht="50.25" customHeight="1" x14ac:dyDescent="0.2">
      <c r="B21" s="78" t="s">
        <v>87</v>
      </c>
      <c r="C21" s="2" t="s">
        <v>8</v>
      </c>
      <c r="D21" s="26" t="s">
        <v>78</v>
      </c>
      <c r="E21" s="2" t="s">
        <v>4</v>
      </c>
      <c r="F21" s="41" t="s">
        <v>31</v>
      </c>
      <c r="G21" s="50"/>
      <c r="H21" s="62"/>
      <c r="L21" s="33"/>
      <c r="M21" s="33"/>
      <c r="N21" s="33"/>
    </row>
    <row r="22" spans="1:14" ht="12.75" customHeight="1" x14ac:dyDescent="0.2">
      <c r="B22" s="43">
        <v>0.68</v>
      </c>
      <c r="C22" s="2"/>
      <c r="D22" s="96">
        <f>'Beginning of Year Input'!E77</f>
        <v>3.9110833333333326</v>
      </c>
      <c r="E22" s="93"/>
      <c r="F22" s="97">
        <f>B22*D22</f>
        <v>2.6595366666666664</v>
      </c>
      <c r="G22" s="39"/>
      <c r="H22" s="39"/>
      <c r="L22" s="33"/>
      <c r="M22" s="33"/>
      <c r="N22" s="33"/>
    </row>
    <row r="23" spans="1:14" x14ac:dyDescent="0.2">
      <c r="G23" s="63"/>
    </row>
    <row r="24" spans="1:14" ht="28.5" customHeight="1" x14ac:dyDescent="0.2">
      <c r="A24" s="243" t="s">
        <v>55</v>
      </c>
      <c r="B24" s="243"/>
      <c r="C24" s="243"/>
      <c r="D24" s="243"/>
      <c r="E24" s="243"/>
      <c r="F24" s="243"/>
      <c r="G24" s="243"/>
      <c r="H24" s="243"/>
      <c r="I24" s="243"/>
      <c r="J24" s="243"/>
      <c r="K24" s="33"/>
      <c r="L24" s="33"/>
      <c r="M24" s="33"/>
      <c r="N24" s="33"/>
    </row>
    <row r="25" spans="1:14" ht="24" customHeight="1" x14ac:dyDescent="0.2">
      <c r="B25" s="44" t="s">
        <v>50</v>
      </c>
      <c r="C25" s="2" t="s">
        <v>8</v>
      </c>
      <c r="D25" s="67" t="s">
        <v>76</v>
      </c>
      <c r="E25" s="42" t="s">
        <v>45</v>
      </c>
      <c r="F25" s="26" t="s">
        <v>47</v>
      </c>
      <c r="G25" s="2" t="s">
        <v>4</v>
      </c>
      <c r="H25" s="41" t="s">
        <v>32</v>
      </c>
      <c r="I25" s="50"/>
      <c r="J25" s="50"/>
      <c r="N25" s="33"/>
    </row>
    <row r="26" spans="1:14" ht="24.75" customHeight="1" x14ac:dyDescent="0.2">
      <c r="B26" s="45">
        <v>0.625</v>
      </c>
      <c r="C26" s="71" t="s">
        <v>96</v>
      </c>
      <c r="D26" s="39">
        <f>'Beginning of Year Input'!E32</f>
        <v>180.52499999999998</v>
      </c>
      <c r="E26" s="3" t="s">
        <v>5</v>
      </c>
      <c r="F26" s="73">
        <v>137</v>
      </c>
      <c r="G26" s="7" t="s">
        <v>97</v>
      </c>
      <c r="H26" s="86">
        <f>B26*D26/F26</f>
        <v>0.82356295620437947</v>
      </c>
      <c r="I26" s="39"/>
      <c r="J26" s="39"/>
      <c r="N26" s="33"/>
    </row>
    <row r="28" spans="1:14" ht="48.75" customHeight="1" x14ac:dyDescent="0.2">
      <c r="A28" s="252" t="s">
        <v>29</v>
      </c>
      <c r="B28" s="252"/>
      <c r="C28" s="252"/>
      <c r="D28" s="252"/>
      <c r="E28" s="252"/>
      <c r="F28" s="252"/>
      <c r="G28" s="252"/>
      <c r="H28" s="252"/>
      <c r="I28" s="252"/>
      <c r="J28" s="252"/>
      <c r="K28" s="36"/>
      <c r="L28" s="36"/>
      <c r="M28" s="36"/>
      <c r="N28" s="36"/>
    </row>
    <row r="30" spans="1:14" ht="26.25" customHeight="1" x14ac:dyDescent="0.2">
      <c r="B30" s="44" t="s">
        <v>135</v>
      </c>
      <c r="C30" s="2" t="s">
        <v>8</v>
      </c>
      <c r="D30" s="26" t="s">
        <v>11</v>
      </c>
      <c r="E30" s="2" t="s">
        <v>4</v>
      </c>
      <c r="F30" s="26" t="s">
        <v>79</v>
      </c>
      <c r="G30" s="27"/>
      <c r="H30" s="50"/>
      <c r="I30" s="69"/>
      <c r="J30" s="50"/>
    </row>
    <row r="31" spans="1:14" x14ac:dyDescent="0.2">
      <c r="B31" s="45">
        <f>IF(AND('1st Cargo Input'!J101="N"),(0.725),('1st Cargo Input'!J101="Y")*(0.225))*AND(IF(AND('1st Cargo Input'!J99="N"),(0),('1st Cargo Input'!J99="Y")*(1)))</f>
        <v>0</v>
      </c>
      <c r="C31" s="2"/>
      <c r="D31" s="39">
        <f>'Adjustment Factor'!L9</f>
        <v>1.1588503649635036</v>
      </c>
      <c r="E31" s="2"/>
      <c r="F31" s="98">
        <f>(B31*D31)</f>
        <v>0</v>
      </c>
      <c r="G31" s="76"/>
      <c r="H31" s="25"/>
      <c r="I31" s="75"/>
      <c r="J31" s="74"/>
    </row>
    <row r="32" spans="1:14" x14ac:dyDescent="0.2">
      <c r="C32" s="2"/>
    </row>
  </sheetData>
  <mergeCells count="4">
    <mergeCell ref="A16:J16"/>
    <mergeCell ref="A20:J20"/>
    <mergeCell ref="A28:J28"/>
    <mergeCell ref="A24:J24"/>
  </mergeCells>
  <pageMargins left="1" right="0.75" top="0.65" bottom="0.62" header="0.65" footer="0.21"/>
  <pageSetup scale="77" orientation="landscape" r:id="rId1"/>
  <headerFooter alignWithMargins="0">
    <oddHeader>&amp;LEcoElectrica, LP
LNG Sales Contract
Article 8 - Price
8.3 Commodity Charge</oddHeader>
    <oddFooter>&amp;LLNG Sales Contract
&amp;D
&amp;T&amp;CCommodity Charge&amp;R&amp;P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Summary Sheet</vt:lpstr>
      <vt:lpstr>No. of Req. Sheets</vt:lpstr>
      <vt:lpstr>Beginning of Year Input</vt:lpstr>
      <vt:lpstr>Monthly Input</vt:lpstr>
      <vt:lpstr>1st Cargo Input</vt:lpstr>
      <vt:lpstr>End of Year Input</vt:lpstr>
      <vt:lpstr>Estimated Monthly Demand Charge</vt:lpstr>
      <vt:lpstr>Adjustment Factor</vt:lpstr>
      <vt:lpstr>Commodity Charge</vt:lpstr>
      <vt:lpstr>Propane Index</vt:lpstr>
      <vt:lpstr>Demurrage</vt:lpstr>
      <vt:lpstr>Annual Demand Charge Rec</vt:lpstr>
      <vt:lpstr>Annual Adjustment</vt:lpstr>
      <vt:lpstr>When to  Order</vt:lpstr>
      <vt:lpstr>'1st Cargo Input'!Print_Area</vt:lpstr>
      <vt:lpstr>'Adjustment Factor'!Print_Area</vt:lpstr>
      <vt:lpstr>'Annual Adjustment'!Print_Area</vt:lpstr>
      <vt:lpstr>'Annual Demand Charge Rec'!Print_Area</vt:lpstr>
      <vt:lpstr>'Beginning of Year Input'!Print_Area</vt:lpstr>
      <vt:lpstr>'Commodity Charge'!Print_Area</vt:lpstr>
      <vt:lpstr>Demurrage!Print_Area</vt:lpstr>
      <vt:lpstr>'End of Year Input'!Print_Area</vt:lpstr>
      <vt:lpstr>'Estimated Monthly Demand Charge'!Print_Area</vt:lpstr>
      <vt:lpstr>'Propane Index'!Print_Area</vt:lpstr>
      <vt:lpstr>'Summary Sheet'!Print_Area</vt:lpstr>
    </vt:vector>
  </TitlesOfParts>
  <Company>Eco Electrica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gloria ortiz</dc:creator>
  <cp:lastModifiedBy>Jan Havlíček</cp:lastModifiedBy>
  <cp:lastPrinted>2001-06-08T18:43:45Z</cp:lastPrinted>
  <dcterms:created xsi:type="dcterms:W3CDTF">1999-08-26T14:48:10Z</dcterms:created>
  <dcterms:modified xsi:type="dcterms:W3CDTF">2023-09-15T20:39:25Z</dcterms:modified>
</cp:coreProperties>
</file>