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0471C5-DD27-4988-8269-52736E48132E}" xr6:coauthVersionLast="47" xr6:coauthVersionMax="47" xr10:uidLastSave="{00000000-0000-0000-0000-000000000000}"/>
  <bookViews>
    <workbookView xWindow="-120" yWindow="-120" windowWidth="38640" windowHeight="15720" firstSheet="1" activeTab="7"/>
  </bookViews>
  <sheets>
    <sheet name="Sheet1" sheetId="10" r:id="rId1"/>
    <sheet name="descip" sheetId="1" r:id="rId2"/>
    <sheet name="PG&amp;E" sheetId="9" r:id="rId3"/>
    <sheet name="SCE" sheetId="7" r:id="rId4"/>
    <sheet name="PG&amp;E_Summary" sheetId="11" r:id="rId5"/>
    <sheet name="SCE_Summary" sheetId="12" r:id="rId6"/>
    <sheet name="BOTH_Summary" sheetId="13" r:id="rId7"/>
    <sheet name="SUMMARY" sheetId="14" r:id="rId8"/>
  </sheets>
  <definedNames>
    <definedName name="_xlnm.Print_Area" localSheetId="6">BOTH_Summary!$A$1:$V$48</definedName>
    <definedName name="_xlnm.Print_Area" localSheetId="2">'PG&amp;E'!$A$1:$Z$139</definedName>
    <definedName name="_xlnm.Print_Area" localSheetId="4">'PG&amp;E_Summary'!$A$1:$V$48</definedName>
    <definedName name="_xlnm.Print_Area" localSheetId="3">SCE!$A$1:$Z$139</definedName>
    <definedName name="_xlnm.Print_Area" localSheetId="5">SCE_Summary!$A$1:$V$48</definedName>
    <definedName name="_xlnm.Print_Area" localSheetId="0">Sheet1!$A$1:$O$45</definedName>
    <definedName name="solver_adj" localSheetId="2" hidden="1">'PG&amp;E'!$B$28</definedName>
    <definedName name="solver_adj" localSheetId="3" hidden="1">SCE!$B$28</definedName>
    <definedName name="solver_cvg" localSheetId="2" hidden="1">0.001</definedName>
    <definedName name="solver_cvg" localSheetId="3" hidden="1">0.001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hs1" localSheetId="2" hidden="1">'PG&amp;E'!$B$30</definedName>
    <definedName name="solver_lhs1" localSheetId="3" hidden="1">SCE!$B$30</definedName>
    <definedName name="solver_lhs2" localSheetId="2" hidden="1">'PG&amp;E'!$B$29</definedName>
    <definedName name="solver_lhs2" localSheetId="3" hidden="1">SCE!$B$29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'PG&amp;E'!$S$18</definedName>
    <definedName name="solver_opt" localSheetId="3" hidden="1">SCE!$S$18</definedName>
    <definedName name="solver_pre" localSheetId="2" hidden="1">0.000001</definedName>
    <definedName name="solver_pre" localSheetId="3" hidden="1">0.000001</definedName>
    <definedName name="solver_rel1" localSheetId="2" hidden="1">2</definedName>
    <definedName name="solver_rel1" localSheetId="3" hidden="1">2</definedName>
    <definedName name="solver_rel2" localSheetId="2" hidden="1">2</definedName>
    <definedName name="solver_rel2" localSheetId="3" hidden="1">2</definedName>
    <definedName name="solver_rhs1" localSheetId="2" hidden="1">1</definedName>
    <definedName name="solver_rhs1" localSheetId="3" hidden="1">1</definedName>
    <definedName name="solver_rhs2" localSheetId="2" hidden="1">0.2</definedName>
    <definedName name="solver_rhs2" localSheetId="3" hidden="1">0.2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3</definedName>
    <definedName name="solver_val" localSheetId="2" hidden="1">2000</definedName>
    <definedName name="solver_val" localSheetId="3" hidden="1">2000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L10" i="13"/>
  <c r="M10" i="13"/>
  <c r="N10" i="13"/>
  <c r="O10" i="13"/>
  <c r="P10" i="13"/>
  <c r="Q10" i="13"/>
  <c r="R10" i="13"/>
  <c r="S10" i="13"/>
  <c r="T10" i="13"/>
  <c r="U10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D23" i="13"/>
  <c r="E23" i="13"/>
  <c r="F23" i="13"/>
  <c r="G23" i="13"/>
  <c r="H23" i="13"/>
  <c r="I23" i="13"/>
  <c r="J23" i="13"/>
  <c r="K23" i="13"/>
  <c r="L23" i="13"/>
  <c r="D24" i="13"/>
  <c r="E24" i="13"/>
  <c r="F24" i="13"/>
  <c r="G24" i="13"/>
  <c r="H24" i="13"/>
  <c r="I24" i="13"/>
  <c r="J24" i="13"/>
  <c r="K24" i="13"/>
  <c r="L24" i="13"/>
  <c r="V24" i="13"/>
  <c r="D25" i="13"/>
  <c r="E25" i="13"/>
  <c r="F25" i="13"/>
  <c r="G25" i="13"/>
  <c r="H25" i="13"/>
  <c r="I25" i="13"/>
  <c r="J25" i="13"/>
  <c r="K25" i="13"/>
  <c r="L25" i="13"/>
  <c r="D26" i="13"/>
  <c r="E26" i="13"/>
  <c r="F26" i="13"/>
  <c r="G26" i="13"/>
  <c r="H26" i="13"/>
  <c r="I26" i="13"/>
  <c r="J26" i="13"/>
  <c r="K26" i="13"/>
  <c r="L26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B34" i="13"/>
  <c r="C34" i="13"/>
  <c r="F34" i="13"/>
  <c r="G34" i="13"/>
  <c r="H34" i="13"/>
  <c r="I34" i="13"/>
  <c r="J34" i="13"/>
  <c r="K34" i="13"/>
  <c r="L34" i="13"/>
  <c r="B35" i="13"/>
  <c r="C35" i="13"/>
  <c r="G35" i="13"/>
  <c r="H35" i="13"/>
  <c r="I35" i="13"/>
  <c r="J35" i="13"/>
  <c r="K35" i="13"/>
  <c r="L35" i="13"/>
  <c r="C36" i="13"/>
  <c r="B37" i="13"/>
  <c r="C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B38" i="13"/>
  <c r="C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C39" i="13"/>
  <c r="B40" i="13"/>
  <c r="C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B41" i="13"/>
  <c r="C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C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B44" i="13"/>
  <c r="C44" i="13"/>
  <c r="O44" i="13"/>
  <c r="P44" i="13"/>
  <c r="Q44" i="13"/>
  <c r="R44" i="13"/>
  <c r="S44" i="13"/>
  <c r="T44" i="13"/>
  <c r="U44" i="13"/>
  <c r="V44" i="13"/>
  <c r="B45" i="13"/>
  <c r="C45" i="13"/>
  <c r="O45" i="13"/>
  <c r="P45" i="13"/>
  <c r="Q45" i="13"/>
  <c r="R45" i="13"/>
  <c r="S45" i="13"/>
  <c r="T45" i="13"/>
  <c r="U45" i="13"/>
  <c r="K6" i="9"/>
  <c r="L6" i="9"/>
  <c r="S11" i="9"/>
  <c r="T11" i="9"/>
  <c r="U11" i="9"/>
  <c r="V11" i="9"/>
  <c r="W11" i="9"/>
  <c r="X11" i="9"/>
  <c r="Y11" i="9"/>
  <c r="Z11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S21" i="9"/>
  <c r="T21" i="9"/>
  <c r="U21" i="9"/>
  <c r="V21" i="9"/>
  <c r="W21" i="9"/>
  <c r="X21" i="9"/>
  <c r="Y21" i="9"/>
  <c r="Z21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B26" i="9"/>
  <c r="AC26" i="9"/>
  <c r="AD26" i="9"/>
  <c r="AE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B30" i="9"/>
  <c r="K32" i="9"/>
  <c r="N32" i="9"/>
  <c r="O32" i="9"/>
  <c r="P32" i="9"/>
  <c r="K39" i="9"/>
  <c r="N39" i="9"/>
  <c r="O39" i="9"/>
  <c r="P39" i="9"/>
  <c r="K46" i="9"/>
  <c r="N46" i="9"/>
  <c r="O46" i="9"/>
  <c r="P46" i="9"/>
  <c r="K49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B52" i="9"/>
  <c r="AC52" i="9"/>
  <c r="AD52" i="9"/>
  <c r="AE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B53" i="9"/>
  <c r="AC53" i="9"/>
  <c r="AD53" i="9"/>
  <c r="AE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B54" i="9"/>
  <c r="AC54" i="9"/>
  <c r="AD54" i="9"/>
  <c r="AE54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B55" i="9"/>
  <c r="AC55" i="9"/>
  <c r="AD55" i="9"/>
  <c r="AE55" i="9"/>
  <c r="S59" i="9"/>
  <c r="T59" i="9"/>
  <c r="U59" i="9"/>
  <c r="V59" i="9"/>
  <c r="W59" i="9"/>
  <c r="X59" i="9"/>
  <c r="Y59" i="9"/>
  <c r="Z59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B68" i="9"/>
  <c r="AC68" i="9"/>
  <c r="AD68" i="9"/>
  <c r="AE68" i="9"/>
  <c r="AB69" i="9"/>
  <c r="AC69" i="9"/>
  <c r="AD69" i="9"/>
  <c r="AE69" i="9"/>
  <c r="AB70" i="9"/>
  <c r="AC70" i="9"/>
  <c r="AD70" i="9"/>
  <c r="AE70" i="9"/>
  <c r="AB71" i="9"/>
  <c r="AC71" i="9"/>
  <c r="AD71" i="9"/>
  <c r="AE71" i="9"/>
  <c r="AB72" i="9"/>
  <c r="AC72" i="9"/>
  <c r="AD72" i="9"/>
  <c r="AE72" i="9"/>
  <c r="AB73" i="9"/>
  <c r="AC73" i="9"/>
  <c r="AD73" i="9"/>
  <c r="AE73" i="9"/>
  <c r="AB74" i="9"/>
  <c r="AC74" i="9"/>
  <c r="AD74" i="9"/>
  <c r="AE74" i="9"/>
  <c r="AB75" i="9"/>
  <c r="AC75" i="9"/>
  <c r="AD75" i="9"/>
  <c r="AE75" i="9"/>
  <c r="AB76" i="9"/>
  <c r="AC76" i="9"/>
  <c r="AD76" i="9"/>
  <c r="AE76" i="9"/>
  <c r="AB77" i="9"/>
  <c r="AC77" i="9"/>
  <c r="AD77" i="9"/>
  <c r="AE77" i="9"/>
  <c r="AB78" i="9"/>
  <c r="AC78" i="9"/>
  <c r="AD78" i="9"/>
  <c r="AE78" i="9"/>
  <c r="AB79" i="9"/>
  <c r="AC79" i="9"/>
  <c r="AD79" i="9"/>
  <c r="AE79" i="9"/>
  <c r="AB80" i="9"/>
  <c r="AC80" i="9"/>
  <c r="AD80" i="9"/>
  <c r="AE80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B81" i="9"/>
  <c r="AC81" i="9"/>
  <c r="AD81" i="9"/>
  <c r="AE81" i="9"/>
  <c r="AB82" i="9"/>
  <c r="AC82" i="9"/>
  <c r="AD82" i="9"/>
  <c r="AE82" i="9"/>
  <c r="AB83" i="9"/>
  <c r="AC83" i="9"/>
  <c r="AD83" i="9"/>
  <c r="AE83" i="9"/>
  <c r="AB84" i="9"/>
  <c r="AC84" i="9"/>
  <c r="AD84" i="9"/>
  <c r="AE84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B85" i="9"/>
  <c r="AC85" i="9"/>
  <c r="AD85" i="9"/>
  <c r="AE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B86" i="9"/>
  <c r="AC86" i="9"/>
  <c r="AD86" i="9"/>
  <c r="AE86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B87" i="9"/>
  <c r="AC87" i="9"/>
  <c r="AD87" i="9"/>
  <c r="AE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B88" i="9"/>
  <c r="AC88" i="9"/>
  <c r="AD88" i="9"/>
  <c r="AE88" i="9"/>
  <c r="AB89" i="9"/>
  <c r="AC89" i="9"/>
  <c r="AD89" i="9"/>
  <c r="AE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B90" i="9"/>
  <c r="AC90" i="9"/>
  <c r="AD90" i="9"/>
  <c r="AE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B91" i="9"/>
  <c r="AC91" i="9"/>
  <c r="AD91" i="9"/>
  <c r="AE91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B92" i="9"/>
  <c r="AC92" i="9"/>
  <c r="AD92" i="9"/>
  <c r="AE92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B93" i="9"/>
  <c r="AC93" i="9"/>
  <c r="AD93" i="9"/>
  <c r="AE93" i="9"/>
  <c r="C94" i="9"/>
  <c r="G94" i="9"/>
  <c r="K94" i="9"/>
  <c r="S94" i="9"/>
  <c r="Z94" i="9"/>
  <c r="AB94" i="9"/>
  <c r="AC94" i="9"/>
  <c r="AD94" i="9"/>
  <c r="AE94" i="9"/>
  <c r="G95" i="9"/>
  <c r="J95" i="9"/>
  <c r="AB95" i="9"/>
  <c r="AC95" i="9"/>
  <c r="AD95" i="9"/>
  <c r="AE95" i="9"/>
  <c r="AB96" i="9"/>
  <c r="AC96" i="9"/>
  <c r="AD96" i="9"/>
  <c r="AE96" i="9"/>
  <c r="AB97" i="9"/>
  <c r="AC97" i="9"/>
  <c r="AD97" i="9"/>
  <c r="AE97" i="9"/>
  <c r="AB98" i="9"/>
  <c r="AC98" i="9"/>
  <c r="AD98" i="9"/>
  <c r="AE98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B99" i="9"/>
  <c r="AC99" i="9"/>
  <c r="AD99" i="9"/>
  <c r="AE99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B100" i="9"/>
  <c r="AC100" i="9"/>
  <c r="AD100" i="9"/>
  <c r="AE100" i="9"/>
  <c r="D101" i="9"/>
  <c r="E101" i="9"/>
  <c r="F101" i="9"/>
  <c r="G101" i="9"/>
  <c r="H101" i="9"/>
  <c r="I101" i="9"/>
  <c r="J101" i="9"/>
  <c r="AB101" i="9"/>
  <c r="AC101" i="9"/>
  <c r="AD101" i="9"/>
  <c r="AE101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B102" i="9"/>
  <c r="AC102" i="9"/>
  <c r="AD102" i="9"/>
  <c r="AE102" i="9"/>
  <c r="AB103" i="9"/>
  <c r="AC103" i="9"/>
  <c r="AD103" i="9"/>
  <c r="AE103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B104" i="9"/>
  <c r="AC104" i="9"/>
  <c r="AD104" i="9"/>
  <c r="AE104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B105" i="9"/>
  <c r="AC105" i="9"/>
  <c r="AD105" i="9"/>
  <c r="AE105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B106" i="9"/>
  <c r="AC106" i="9"/>
  <c r="AD106" i="9"/>
  <c r="AE106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B107" i="9"/>
  <c r="AC107" i="9"/>
  <c r="AD107" i="9"/>
  <c r="AE107" i="9"/>
  <c r="C108" i="9"/>
  <c r="G108" i="9"/>
  <c r="J108" i="9"/>
  <c r="K108" i="9"/>
  <c r="S108" i="9"/>
  <c r="Z108" i="9"/>
  <c r="AB108" i="9"/>
  <c r="AC108" i="9"/>
  <c r="AD108" i="9"/>
  <c r="AE108" i="9"/>
  <c r="AB109" i="9"/>
  <c r="AC109" i="9"/>
  <c r="AD109" i="9"/>
  <c r="AE109" i="9"/>
  <c r="AB110" i="9"/>
  <c r="AC110" i="9"/>
  <c r="AD110" i="9"/>
  <c r="AE110" i="9"/>
  <c r="AB111" i="9"/>
  <c r="AC111" i="9"/>
  <c r="AD111" i="9"/>
  <c r="AE111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B112" i="9"/>
  <c r="AC112" i="9"/>
  <c r="AD112" i="9"/>
  <c r="AE112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B113" i="9"/>
  <c r="AC113" i="9"/>
  <c r="AD113" i="9"/>
  <c r="AE113" i="9"/>
  <c r="D114" i="9"/>
  <c r="E114" i="9"/>
  <c r="F114" i="9"/>
  <c r="G114" i="9"/>
  <c r="H114" i="9"/>
  <c r="I114" i="9"/>
  <c r="J114" i="9"/>
  <c r="AB114" i="9"/>
  <c r="AC114" i="9"/>
  <c r="AD114" i="9"/>
  <c r="AE114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B115" i="9"/>
  <c r="AC115" i="9"/>
  <c r="AD115" i="9"/>
  <c r="AE115" i="9"/>
  <c r="AB116" i="9"/>
  <c r="AC116" i="9"/>
  <c r="AD116" i="9"/>
  <c r="AE116" i="9"/>
  <c r="D117" i="9"/>
  <c r="E117" i="9"/>
  <c r="F117" i="9"/>
  <c r="G117" i="9"/>
  <c r="H117" i="9"/>
  <c r="I117" i="9"/>
  <c r="J117" i="9"/>
  <c r="K117" i="9"/>
  <c r="U117" i="9"/>
  <c r="V117" i="9"/>
  <c r="W117" i="9"/>
  <c r="X117" i="9"/>
  <c r="Y117" i="9"/>
  <c r="Z117" i="9"/>
  <c r="AB117" i="9"/>
  <c r="AC117" i="9"/>
  <c r="AD117" i="9"/>
  <c r="AE117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B118" i="9"/>
  <c r="AC118" i="9"/>
  <c r="AD118" i="9"/>
  <c r="AE118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B119" i="9"/>
  <c r="AC119" i="9"/>
  <c r="AD119" i="9"/>
  <c r="AE119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B120" i="9"/>
  <c r="AC120" i="9"/>
  <c r="AD120" i="9"/>
  <c r="AE120" i="9"/>
  <c r="C121" i="9"/>
  <c r="K121" i="9"/>
  <c r="S121" i="9"/>
  <c r="Z121" i="9"/>
  <c r="AB121" i="9"/>
  <c r="AC121" i="9"/>
  <c r="AD121" i="9"/>
  <c r="AE121" i="9"/>
  <c r="AB122" i="9"/>
  <c r="AC122" i="9"/>
  <c r="AD122" i="9"/>
  <c r="AE122" i="9"/>
  <c r="AB123" i="9"/>
  <c r="AC123" i="9"/>
  <c r="AD123" i="9"/>
  <c r="AE123" i="9"/>
  <c r="AB124" i="9"/>
  <c r="AC124" i="9"/>
  <c r="AD124" i="9"/>
  <c r="AE124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B125" i="9"/>
  <c r="AC125" i="9"/>
  <c r="AD125" i="9"/>
  <c r="AE125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B126" i="9"/>
  <c r="AC126" i="9"/>
  <c r="AD126" i="9"/>
  <c r="AE126" i="9"/>
  <c r="AB127" i="9"/>
  <c r="AC127" i="9"/>
  <c r="AD127" i="9"/>
  <c r="AE127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B128" i="9"/>
  <c r="AC128" i="9"/>
  <c r="AD128" i="9"/>
  <c r="AE128" i="9"/>
  <c r="AB129" i="9"/>
  <c r="AC129" i="9"/>
  <c r="AD129" i="9"/>
  <c r="AE129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B130" i="9"/>
  <c r="AC130" i="9"/>
  <c r="AD130" i="9"/>
  <c r="AE130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B131" i="9"/>
  <c r="AC131" i="9"/>
  <c r="AD131" i="9"/>
  <c r="AE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B132" i="9"/>
  <c r="AC132" i="9"/>
  <c r="AD132" i="9"/>
  <c r="AE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B133" i="9"/>
  <c r="AC133" i="9"/>
  <c r="AD133" i="9"/>
  <c r="AE133" i="9"/>
  <c r="C134" i="9"/>
  <c r="G134" i="9"/>
  <c r="J134" i="9"/>
  <c r="K134" i="9"/>
  <c r="S134" i="9"/>
  <c r="Z134" i="9"/>
  <c r="AB134" i="9"/>
  <c r="AC134" i="9"/>
  <c r="AD134" i="9"/>
  <c r="AE134" i="9"/>
  <c r="AB135" i="9"/>
  <c r="AC135" i="9"/>
  <c r="AD135" i="9"/>
  <c r="AE135" i="9"/>
  <c r="AB136" i="9"/>
  <c r="AC136" i="9"/>
  <c r="AD136" i="9"/>
  <c r="AE136" i="9"/>
  <c r="AB137" i="9"/>
  <c r="AC137" i="9"/>
  <c r="AD137" i="9"/>
  <c r="AE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B138" i="9"/>
  <c r="AC138" i="9"/>
  <c r="AD138" i="9"/>
  <c r="AE138" i="9"/>
  <c r="C139" i="9"/>
  <c r="G139" i="9"/>
  <c r="K139" i="9"/>
  <c r="S139" i="9"/>
  <c r="Z139" i="9"/>
  <c r="AB139" i="9"/>
  <c r="AC139" i="9"/>
  <c r="AD139" i="9"/>
  <c r="AE139" i="9"/>
  <c r="AB140" i="9"/>
  <c r="AC140" i="9"/>
  <c r="AD140" i="9"/>
  <c r="AE140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B141" i="9"/>
  <c r="AC141" i="9"/>
  <c r="AD141" i="9"/>
  <c r="AE141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B142" i="9"/>
  <c r="AC142" i="9"/>
  <c r="AD142" i="9"/>
  <c r="AE142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B143" i="9"/>
  <c r="AC143" i="9"/>
  <c r="AD143" i="9"/>
  <c r="AE143" i="9"/>
  <c r="AB144" i="9"/>
  <c r="AC144" i="9"/>
  <c r="AD144" i="9"/>
  <c r="AE144" i="9"/>
  <c r="AB145" i="9"/>
  <c r="AC145" i="9"/>
  <c r="AD145" i="9"/>
  <c r="AE145" i="9"/>
  <c r="AB146" i="9"/>
  <c r="AC146" i="9"/>
  <c r="AD146" i="9"/>
  <c r="AE146" i="9"/>
  <c r="AB147" i="9"/>
  <c r="AC147" i="9"/>
  <c r="AD147" i="9"/>
  <c r="AE147" i="9"/>
  <c r="AB148" i="9"/>
  <c r="AC148" i="9"/>
  <c r="AD148" i="9"/>
  <c r="AE148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B149" i="9"/>
  <c r="AC149" i="9"/>
  <c r="AD149" i="9"/>
  <c r="AE149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B150" i="9"/>
  <c r="AC150" i="9"/>
  <c r="AD150" i="9"/>
  <c r="AE150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B151" i="9"/>
  <c r="AC151" i="9"/>
  <c r="AD151" i="9"/>
  <c r="AE151" i="9"/>
  <c r="AB152" i="9"/>
  <c r="AC152" i="9"/>
  <c r="AD152" i="9"/>
  <c r="AE152" i="9"/>
  <c r="AB153" i="9"/>
  <c r="AC153" i="9"/>
  <c r="AD153" i="9"/>
  <c r="AE153" i="9"/>
  <c r="AB154" i="9"/>
  <c r="AC154" i="9"/>
  <c r="AD154" i="9"/>
  <c r="AE154" i="9"/>
  <c r="AB155" i="9"/>
  <c r="AC155" i="9"/>
  <c r="AD155" i="9"/>
  <c r="AE155" i="9"/>
  <c r="AB156" i="9"/>
  <c r="AC156" i="9"/>
  <c r="AD156" i="9"/>
  <c r="AE156" i="9"/>
  <c r="AB157" i="9"/>
  <c r="AC157" i="9"/>
  <c r="AD157" i="9"/>
  <c r="AE157" i="9"/>
  <c r="AB158" i="9"/>
  <c r="AC158" i="9"/>
  <c r="AD158" i="9"/>
  <c r="AE158" i="9"/>
  <c r="AB159" i="9"/>
  <c r="AC159" i="9"/>
  <c r="AD159" i="9"/>
  <c r="AE159" i="9"/>
  <c r="AB160" i="9"/>
  <c r="AC160" i="9"/>
  <c r="AD160" i="9"/>
  <c r="AE160" i="9"/>
  <c r="AB161" i="9"/>
  <c r="AC161" i="9"/>
  <c r="AD161" i="9"/>
  <c r="AE161" i="9"/>
  <c r="AB162" i="9"/>
  <c r="AC162" i="9"/>
  <c r="AD162" i="9"/>
  <c r="AE162" i="9"/>
  <c r="AB163" i="9"/>
  <c r="AC163" i="9"/>
  <c r="AD163" i="9"/>
  <c r="AE163" i="9"/>
  <c r="AB164" i="9"/>
  <c r="AC164" i="9"/>
  <c r="AD164" i="9"/>
  <c r="AE164" i="9"/>
  <c r="AB165" i="9"/>
  <c r="AC165" i="9"/>
  <c r="AD165" i="9"/>
  <c r="AE165" i="9"/>
  <c r="AB166" i="9"/>
  <c r="AC166" i="9"/>
  <c r="AD166" i="9"/>
  <c r="AE166" i="9"/>
  <c r="AB167" i="9"/>
  <c r="AC167" i="9"/>
  <c r="AD167" i="9"/>
  <c r="AE167" i="9"/>
  <c r="AB168" i="9"/>
  <c r="AC168" i="9"/>
  <c r="AD168" i="9"/>
  <c r="AE168" i="9"/>
  <c r="AB169" i="9"/>
  <c r="AC169" i="9"/>
  <c r="AD169" i="9"/>
  <c r="AE169" i="9"/>
  <c r="AE170" i="9"/>
  <c r="AE171" i="9"/>
  <c r="AE172" i="9"/>
  <c r="AE173" i="9"/>
  <c r="AE174" i="9"/>
  <c r="AE175" i="9"/>
  <c r="AE176" i="9"/>
  <c r="AE177" i="9"/>
  <c r="AE178" i="9"/>
  <c r="AE179" i="9"/>
  <c r="AE180" i="9"/>
  <c r="AE181" i="9"/>
  <c r="AE182" i="9"/>
  <c r="AE183" i="9"/>
  <c r="AE184" i="9"/>
  <c r="AE185" i="9"/>
  <c r="AE186" i="9"/>
  <c r="AE187" i="9"/>
  <c r="AE188" i="9"/>
  <c r="AE189" i="9"/>
  <c r="AE190" i="9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L10" i="11"/>
  <c r="M10" i="11"/>
  <c r="N10" i="11"/>
  <c r="O10" i="11"/>
  <c r="P10" i="11"/>
  <c r="Q10" i="11"/>
  <c r="R10" i="11"/>
  <c r="S10" i="11"/>
  <c r="T10" i="11"/>
  <c r="U10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D23" i="11"/>
  <c r="E23" i="11"/>
  <c r="F23" i="11"/>
  <c r="G23" i="11"/>
  <c r="H23" i="11"/>
  <c r="I23" i="11"/>
  <c r="J23" i="11"/>
  <c r="K23" i="11"/>
  <c r="L23" i="11"/>
  <c r="D24" i="11"/>
  <c r="E24" i="11"/>
  <c r="F24" i="11"/>
  <c r="G24" i="11"/>
  <c r="H24" i="11"/>
  <c r="I24" i="11"/>
  <c r="J24" i="11"/>
  <c r="K24" i="11"/>
  <c r="L24" i="11"/>
  <c r="V24" i="11"/>
  <c r="D25" i="11"/>
  <c r="E25" i="11"/>
  <c r="F25" i="11"/>
  <c r="G25" i="11"/>
  <c r="H25" i="11"/>
  <c r="I25" i="11"/>
  <c r="J25" i="11"/>
  <c r="K25" i="11"/>
  <c r="L25" i="11"/>
  <c r="D26" i="11"/>
  <c r="E26" i="11"/>
  <c r="F26" i="11"/>
  <c r="G26" i="11"/>
  <c r="H26" i="11"/>
  <c r="I26" i="11"/>
  <c r="J26" i="11"/>
  <c r="K26" i="11"/>
  <c r="L26" i="11"/>
  <c r="V26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B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B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B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B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B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B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B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B44" i="11"/>
  <c r="O44" i="11"/>
  <c r="P44" i="11"/>
  <c r="Q44" i="11"/>
  <c r="R44" i="11"/>
  <c r="S44" i="11"/>
  <c r="T44" i="11"/>
  <c r="U44" i="11"/>
  <c r="V44" i="11"/>
  <c r="B45" i="11"/>
  <c r="O45" i="11"/>
  <c r="P45" i="11"/>
  <c r="Q45" i="11"/>
  <c r="R45" i="11"/>
  <c r="S45" i="11"/>
  <c r="T45" i="11"/>
  <c r="U45" i="11"/>
  <c r="K6" i="7"/>
  <c r="L6" i="7"/>
  <c r="S11" i="7"/>
  <c r="T11" i="7"/>
  <c r="U11" i="7"/>
  <c r="V11" i="7"/>
  <c r="W11" i="7"/>
  <c r="X11" i="7"/>
  <c r="Y11" i="7"/>
  <c r="Z11" i="7"/>
  <c r="S16" i="7"/>
  <c r="T16" i="7"/>
  <c r="U16" i="7"/>
  <c r="V16" i="7"/>
  <c r="W16" i="7"/>
  <c r="X16" i="7"/>
  <c r="Y16" i="7"/>
  <c r="Z16" i="7"/>
  <c r="S17" i="7"/>
  <c r="T17" i="7"/>
  <c r="U17" i="7"/>
  <c r="V17" i="7"/>
  <c r="W17" i="7"/>
  <c r="X17" i="7"/>
  <c r="Y17" i="7"/>
  <c r="Z17" i="7"/>
  <c r="S18" i="7"/>
  <c r="T18" i="7"/>
  <c r="U18" i="7"/>
  <c r="V18" i="7"/>
  <c r="W18" i="7"/>
  <c r="X18" i="7"/>
  <c r="Y18" i="7"/>
  <c r="Z18" i="7"/>
  <c r="S19" i="7"/>
  <c r="T19" i="7"/>
  <c r="U19" i="7"/>
  <c r="V19" i="7"/>
  <c r="W19" i="7"/>
  <c r="X19" i="7"/>
  <c r="Y19" i="7"/>
  <c r="Z19" i="7"/>
  <c r="S21" i="7"/>
  <c r="T21" i="7"/>
  <c r="U21" i="7"/>
  <c r="V21" i="7"/>
  <c r="W21" i="7"/>
  <c r="X21" i="7"/>
  <c r="Y21" i="7"/>
  <c r="Z21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B26" i="7"/>
  <c r="AC26" i="7"/>
  <c r="AD26" i="7"/>
  <c r="AE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K32" i="7"/>
  <c r="O32" i="7"/>
  <c r="P32" i="7"/>
  <c r="K39" i="7"/>
  <c r="O39" i="7"/>
  <c r="P39" i="7"/>
  <c r="K46" i="7"/>
  <c r="O46" i="7"/>
  <c r="P46" i="7"/>
  <c r="K49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B52" i="7"/>
  <c r="AC52" i="7"/>
  <c r="AD52" i="7"/>
  <c r="AE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B53" i="7"/>
  <c r="AC53" i="7"/>
  <c r="AD53" i="7"/>
  <c r="AE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B54" i="7"/>
  <c r="AC54" i="7"/>
  <c r="AD54" i="7"/>
  <c r="AE54" i="7"/>
  <c r="AB55" i="7"/>
  <c r="AC55" i="7"/>
  <c r="AD55" i="7"/>
  <c r="AE55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B68" i="7"/>
  <c r="AC68" i="7"/>
  <c r="AD68" i="7"/>
  <c r="AE68" i="7"/>
  <c r="AB69" i="7"/>
  <c r="AC69" i="7"/>
  <c r="AD69" i="7"/>
  <c r="AE69" i="7"/>
  <c r="AB70" i="7"/>
  <c r="AC70" i="7"/>
  <c r="AD70" i="7"/>
  <c r="AE70" i="7"/>
  <c r="AB71" i="7"/>
  <c r="AC71" i="7"/>
  <c r="AD71" i="7"/>
  <c r="AE71" i="7"/>
  <c r="K72" i="7"/>
  <c r="AB72" i="7"/>
  <c r="AC72" i="7"/>
  <c r="AD72" i="7"/>
  <c r="AE72" i="7"/>
  <c r="K73" i="7"/>
  <c r="AB73" i="7"/>
  <c r="AC73" i="7"/>
  <c r="AD73" i="7"/>
  <c r="AE73" i="7"/>
  <c r="AB74" i="7"/>
  <c r="AC74" i="7"/>
  <c r="AD74" i="7"/>
  <c r="AE74" i="7"/>
  <c r="K75" i="7"/>
  <c r="AB75" i="7"/>
  <c r="AC75" i="7"/>
  <c r="AD75" i="7"/>
  <c r="AE75" i="7"/>
  <c r="AB76" i="7"/>
  <c r="AC76" i="7"/>
  <c r="AD76" i="7"/>
  <c r="AE76" i="7"/>
  <c r="AB77" i="7"/>
  <c r="AC77" i="7"/>
  <c r="AD77" i="7"/>
  <c r="AE77" i="7"/>
  <c r="K78" i="7"/>
  <c r="AB78" i="7"/>
  <c r="AC78" i="7"/>
  <c r="AD78" i="7"/>
  <c r="AE78" i="7"/>
  <c r="AB79" i="7"/>
  <c r="AC79" i="7"/>
  <c r="AD79" i="7"/>
  <c r="AE79" i="7"/>
  <c r="AB80" i="7"/>
  <c r="AC80" i="7"/>
  <c r="AD80" i="7"/>
  <c r="AE80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B81" i="7"/>
  <c r="AC81" i="7"/>
  <c r="AD81" i="7"/>
  <c r="AE81" i="7"/>
  <c r="AB82" i="7"/>
  <c r="AC82" i="7"/>
  <c r="AD82" i="7"/>
  <c r="AE82" i="7"/>
  <c r="AB83" i="7"/>
  <c r="AC83" i="7"/>
  <c r="AD83" i="7"/>
  <c r="AE83" i="7"/>
  <c r="AB84" i="7"/>
  <c r="AC84" i="7"/>
  <c r="AD84" i="7"/>
  <c r="AE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B85" i="7"/>
  <c r="AC85" i="7"/>
  <c r="AD85" i="7"/>
  <c r="AE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B86" i="7"/>
  <c r="AC86" i="7"/>
  <c r="AD86" i="7"/>
  <c r="AE86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B87" i="7"/>
  <c r="AC87" i="7"/>
  <c r="AD87" i="7"/>
  <c r="AE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B88" i="7"/>
  <c r="AC88" i="7"/>
  <c r="AD88" i="7"/>
  <c r="AE88" i="7"/>
  <c r="AB89" i="7"/>
  <c r="AC89" i="7"/>
  <c r="AD89" i="7"/>
  <c r="AE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B90" i="7"/>
  <c r="AC90" i="7"/>
  <c r="AD90" i="7"/>
  <c r="AE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B91" i="7"/>
  <c r="AC91" i="7"/>
  <c r="AD91" i="7"/>
  <c r="AE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B92" i="7"/>
  <c r="AC92" i="7"/>
  <c r="AD92" i="7"/>
  <c r="AE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B93" i="7"/>
  <c r="AC93" i="7"/>
  <c r="AD93" i="7"/>
  <c r="AE93" i="7"/>
  <c r="C94" i="7"/>
  <c r="G94" i="7"/>
  <c r="K94" i="7"/>
  <c r="S94" i="7"/>
  <c r="Z94" i="7"/>
  <c r="AB94" i="7"/>
  <c r="AC94" i="7"/>
  <c r="AD94" i="7"/>
  <c r="AE94" i="7"/>
  <c r="G95" i="7"/>
  <c r="J95" i="7"/>
  <c r="AB95" i="7"/>
  <c r="AC95" i="7"/>
  <c r="AD95" i="7"/>
  <c r="AE95" i="7"/>
  <c r="AB96" i="7"/>
  <c r="AC96" i="7"/>
  <c r="AD96" i="7"/>
  <c r="AE96" i="7"/>
  <c r="AB97" i="7"/>
  <c r="AC97" i="7"/>
  <c r="AD97" i="7"/>
  <c r="AE97" i="7"/>
  <c r="AB98" i="7"/>
  <c r="AC98" i="7"/>
  <c r="AD98" i="7"/>
  <c r="AE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B99" i="7"/>
  <c r="AC99" i="7"/>
  <c r="AD99" i="7"/>
  <c r="AE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B100" i="7"/>
  <c r="AC100" i="7"/>
  <c r="AD100" i="7"/>
  <c r="AE100" i="7"/>
  <c r="D101" i="7"/>
  <c r="E101" i="7"/>
  <c r="F101" i="7"/>
  <c r="G101" i="7"/>
  <c r="H101" i="7"/>
  <c r="I101" i="7"/>
  <c r="J101" i="7"/>
  <c r="AB101" i="7"/>
  <c r="AC101" i="7"/>
  <c r="AD101" i="7"/>
  <c r="AE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B102" i="7"/>
  <c r="AC102" i="7"/>
  <c r="AD102" i="7"/>
  <c r="AE102" i="7"/>
  <c r="AB103" i="7"/>
  <c r="AC103" i="7"/>
  <c r="AD103" i="7"/>
  <c r="AE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B104" i="7"/>
  <c r="AC104" i="7"/>
  <c r="AD104" i="7"/>
  <c r="AE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B105" i="7"/>
  <c r="AC105" i="7"/>
  <c r="AD105" i="7"/>
  <c r="AE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B106" i="7"/>
  <c r="AC106" i="7"/>
  <c r="AD106" i="7"/>
  <c r="AE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B107" i="7"/>
  <c r="AC107" i="7"/>
  <c r="AD107" i="7"/>
  <c r="AE107" i="7"/>
  <c r="C108" i="7"/>
  <c r="G108" i="7"/>
  <c r="J108" i="7"/>
  <c r="K108" i="7"/>
  <c r="S108" i="7"/>
  <c r="Z108" i="7"/>
  <c r="AB108" i="7"/>
  <c r="AC108" i="7"/>
  <c r="AD108" i="7"/>
  <c r="AE108" i="7"/>
  <c r="AB109" i="7"/>
  <c r="AC109" i="7"/>
  <c r="AD109" i="7"/>
  <c r="AE109" i="7"/>
  <c r="AB110" i="7"/>
  <c r="AC110" i="7"/>
  <c r="AD110" i="7"/>
  <c r="AE110" i="7"/>
  <c r="AB111" i="7"/>
  <c r="AC111" i="7"/>
  <c r="AD111" i="7"/>
  <c r="AE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B112" i="7"/>
  <c r="AC112" i="7"/>
  <c r="AD112" i="7"/>
  <c r="AE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B113" i="7"/>
  <c r="AC113" i="7"/>
  <c r="AD113" i="7"/>
  <c r="AE113" i="7"/>
  <c r="D114" i="7"/>
  <c r="E114" i="7"/>
  <c r="F114" i="7"/>
  <c r="G114" i="7"/>
  <c r="H114" i="7"/>
  <c r="I114" i="7"/>
  <c r="J114" i="7"/>
  <c r="AB114" i="7"/>
  <c r="AC114" i="7"/>
  <c r="AD114" i="7"/>
  <c r="AE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B115" i="7"/>
  <c r="AC115" i="7"/>
  <c r="AD115" i="7"/>
  <c r="AE115" i="7"/>
  <c r="AB116" i="7"/>
  <c r="AC116" i="7"/>
  <c r="AD116" i="7"/>
  <c r="AE116" i="7"/>
  <c r="D117" i="7"/>
  <c r="E117" i="7"/>
  <c r="F117" i="7"/>
  <c r="G117" i="7"/>
  <c r="H117" i="7"/>
  <c r="I117" i="7"/>
  <c r="J117" i="7"/>
  <c r="K117" i="7"/>
  <c r="U117" i="7"/>
  <c r="V117" i="7"/>
  <c r="W117" i="7"/>
  <c r="X117" i="7"/>
  <c r="Y117" i="7"/>
  <c r="Z117" i="7"/>
  <c r="AB117" i="7"/>
  <c r="AC117" i="7"/>
  <c r="AD117" i="7"/>
  <c r="AE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B118" i="7"/>
  <c r="AC118" i="7"/>
  <c r="AD118" i="7"/>
  <c r="AE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B119" i="7"/>
  <c r="AC119" i="7"/>
  <c r="AD119" i="7"/>
  <c r="AE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B120" i="7"/>
  <c r="AC120" i="7"/>
  <c r="AD120" i="7"/>
  <c r="AE120" i="7"/>
  <c r="C121" i="7"/>
  <c r="K121" i="7"/>
  <c r="S121" i="7"/>
  <c r="Z121" i="7"/>
  <c r="AB121" i="7"/>
  <c r="AC121" i="7"/>
  <c r="AD121" i="7"/>
  <c r="AE121" i="7"/>
  <c r="AB122" i="7"/>
  <c r="AC122" i="7"/>
  <c r="AD122" i="7"/>
  <c r="AE122" i="7"/>
  <c r="AB123" i="7"/>
  <c r="AC123" i="7"/>
  <c r="AD123" i="7"/>
  <c r="AE123" i="7"/>
  <c r="AB124" i="7"/>
  <c r="AC124" i="7"/>
  <c r="AD124" i="7"/>
  <c r="AE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B125" i="7"/>
  <c r="AC125" i="7"/>
  <c r="AD125" i="7"/>
  <c r="AE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B126" i="7"/>
  <c r="AC126" i="7"/>
  <c r="AD126" i="7"/>
  <c r="AE126" i="7"/>
  <c r="AB127" i="7"/>
  <c r="AC127" i="7"/>
  <c r="AD127" i="7"/>
  <c r="AE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B128" i="7"/>
  <c r="AC128" i="7"/>
  <c r="AD128" i="7"/>
  <c r="AE128" i="7"/>
  <c r="AB129" i="7"/>
  <c r="AC129" i="7"/>
  <c r="AD129" i="7"/>
  <c r="AE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B130" i="7"/>
  <c r="AC130" i="7"/>
  <c r="AD130" i="7"/>
  <c r="AE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B131" i="7"/>
  <c r="AC131" i="7"/>
  <c r="AD131" i="7"/>
  <c r="AE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B132" i="7"/>
  <c r="AC132" i="7"/>
  <c r="AD132" i="7"/>
  <c r="AE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B133" i="7"/>
  <c r="AC133" i="7"/>
  <c r="AD133" i="7"/>
  <c r="AE133" i="7"/>
  <c r="C134" i="7"/>
  <c r="G134" i="7"/>
  <c r="J134" i="7"/>
  <c r="K134" i="7"/>
  <c r="S134" i="7"/>
  <c r="Z134" i="7"/>
  <c r="AB134" i="7"/>
  <c r="AC134" i="7"/>
  <c r="AD134" i="7"/>
  <c r="AE134" i="7"/>
  <c r="AB135" i="7"/>
  <c r="AC135" i="7"/>
  <c r="AD135" i="7"/>
  <c r="AE135" i="7"/>
  <c r="AB136" i="7"/>
  <c r="AC136" i="7"/>
  <c r="AD136" i="7"/>
  <c r="AE136" i="7"/>
  <c r="AB137" i="7"/>
  <c r="AC137" i="7"/>
  <c r="AD137" i="7"/>
  <c r="AE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B138" i="7"/>
  <c r="AC138" i="7"/>
  <c r="AD138" i="7"/>
  <c r="AE138" i="7"/>
  <c r="C139" i="7"/>
  <c r="G139" i="7"/>
  <c r="K139" i="7"/>
  <c r="S139" i="7"/>
  <c r="Z139" i="7"/>
  <c r="AB139" i="7"/>
  <c r="AC139" i="7"/>
  <c r="AD139" i="7"/>
  <c r="AE139" i="7"/>
  <c r="AB140" i="7"/>
  <c r="AC140" i="7"/>
  <c r="AD140" i="7"/>
  <c r="AE140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B141" i="7"/>
  <c r="AC141" i="7"/>
  <c r="AD141" i="7"/>
  <c r="AE141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B142" i="7"/>
  <c r="AC142" i="7"/>
  <c r="AD142" i="7"/>
  <c r="AE142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B143" i="7"/>
  <c r="AC143" i="7"/>
  <c r="AD143" i="7"/>
  <c r="AE143" i="7"/>
  <c r="AB144" i="7"/>
  <c r="AC144" i="7"/>
  <c r="AD144" i="7"/>
  <c r="AE144" i="7"/>
  <c r="AB145" i="7"/>
  <c r="AC145" i="7"/>
  <c r="AD145" i="7"/>
  <c r="AE145" i="7"/>
  <c r="AB146" i="7"/>
  <c r="AC146" i="7"/>
  <c r="AD146" i="7"/>
  <c r="AE146" i="7"/>
  <c r="AB147" i="7"/>
  <c r="AC147" i="7"/>
  <c r="AD147" i="7"/>
  <c r="AE147" i="7"/>
  <c r="L148" i="7"/>
  <c r="AB148" i="7"/>
  <c r="AC148" i="7"/>
  <c r="AD148" i="7"/>
  <c r="AE148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B149" i="7"/>
  <c r="AC149" i="7"/>
  <c r="AD149" i="7"/>
  <c r="AE149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B150" i="7"/>
  <c r="AC150" i="7"/>
  <c r="AD150" i="7"/>
  <c r="AE150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B151" i="7"/>
  <c r="AC151" i="7"/>
  <c r="AD151" i="7"/>
  <c r="AE151" i="7"/>
  <c r="AB152" i="7"/>
  <c r="AC152" i="7"/>
  <c r="AD152" i="7"/>
  <c r="AE152" i="7"/>
  <c r="AB153" i="7"/>
  <c r="AC153" i="7"/>
  <c r="AD153" i="7"/>
  <c r="AE153" i="7"/>
  <c r="AB154" i="7"/>
  <c r="AC154" i="7"/>
  <c r="AD154" i="7"/>
  <c r="AE154" i="7"/>
  <c r="AB155" i="7"/>
  <c r="AC155" i="7"/>
  <c r="AD155" i="7"/>
  <c r="AE155" i="7"/>
  <c r="AB156" i="7"/>
  <c r="AC156" i="7"/>
  <c r="AD156" i="7"/>
  <c r="AE156" i="7"/>
  <c r="AB157" i="7"/>
  <c r="AC157" i="7"/>
  <c r="AD157" i="7"/>
  <c r="AE157" i="7"/>
  <c r="AB158" i="7"/>
  <c r="AC158" i="7"/>
  <c r="AD158" i="7"/>
  <c r="AE158" i="7"/>
  <c r="AB159" i="7"/>
  <c r="AC159" i="7"/>
  <c r="AD159" i="7"/>
  <c r="AE159" i="7"/>
  <c r="AB160" i="7"/>
  <c r="AC160" i="7"/>
  <c r="AD160" i="7"/>
  <c r="AE160" i="7"/>
  <c r="AB161" i="7"/>
  <c r="AC161" i="7"/>
  <c r="AD161" i="7"/>
  <c r="AE161" i="7"/>
  <c r="AB162" i="7"/>
  <c r="AC162" i="7"/>
  <c r="AD162" i="7"/>
  <c r="AE162" i="7"/>
  <c r="AB163" i="7"/>
  <c r="AC163" i="7"/>
  <c r="AD163" i="7"/>
  <c r="AE163" i="7"/>
  <c r="AB164" i="7"/>
  <c r="AC164" i="7"/>
  <c r="AD164" i="7"/>
  <c r="AE164" i="7"/>
  <c r="AB165" i="7"/>
  <c r="AC165" i="7"/>
  <c r="AD165" i="7"/>
  <c r="AE165" i="7"/>
  <c r="AB166" i="7"/>
  <c r="AC166" i="7"/>
  <c r="AD166" i="7"/>
  <c r="AE166" i="7"/>
  <c r="AB167" i="7"/>
  <c r="AC167" i="7"/>
  <c r="AD167" i="7"/>
  <c r="AE167" i="7"/>
  <c r="AB168" i="7"/>
  <c r="AC168" i="7"/>
  <c r="AD168" i="7"/>
  <c r="AE168" i="7"/>
  <c r="AB169" i="7"/>
  <c r="AC169" i="7"/>
  <c r="AD169" i="7"/>
  <c r="AE169" i="7"/>
  <c r="AE170" i="7"/>
  <c r="AE171" i="7"/>
  <c r="AE172" i="7"/>
  <c r="AE173" i="7"/>
  <c r="AE174" i="7"/>
  <c r="AE175" i="7"/>
  <c r="AE176" i="7"/>
  <c r="AE177" i="7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L10" i="12"/>
  <c r="M10" i="12"/>
  <c r="N10" i="12"/>
  <c r="O10" i="12"/>
  <c r="P10" i="12"/>
  <c r="Q10" i="12"/>
  <c r="R10" i="12"/>
  <c r="S10" i="12"/>
  <c r="T10" i="12"/>
  <c r="U10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D23" i="12"/>
  <c r="E23" i="12"/>
  <c r="F23" i="12"/>
  <c r="G23" i="12"/>
  <c r="H23" i="12"/>
  <c r="I23" i="12"/>
  <c r="J23" i="12"/>
  <c r="K23" i="12"/>
  <c r="L23" i="12"/>
  <c r="D24" i="12"/>
  <c r="E24" i="12"/>
  <c r="F24" i="12"/>
  <c r="G24" i="12"/>
  <c r="H24" i="12"/>
  <c r="I24" i="12"/>
  <c r="J24" i="12"/>
  <c r="K24" i="12"/>
  <c r="L24" i="12"/>
  <c r="V24" i="12"/>
  <c r="D25" i="12"/>
  <c r="E25" i="12"/>
  <c r="F25" i="12"/>
  <c r="G25" i="12"/>
  <c r="H25" i="12"/>
  <c r="I25" i="12"/>
  <c r="J25" i="12"/>
  <c r="K25" i="12"/>
  <c r="L25" i="12"/>
  <c r="D26" i="12"/>
  <c r="E26" i="12"/>
  <c r="F26" i="12"/>
  <c r="G26" i="12"/>
  <c r="H26" i="12"/>
  <c r="I26" i="12"/>
  <c r="J26" i="12"/>
  <c r="K26" i="12"/>
  <c r="L26" i="12"/>
  <c r="V26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B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B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B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B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B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B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B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B44" i="12"/>
  <c r="O44" i="12"/>
  <c r="P44" i="12"/>
  <c r="Q44" i="12"/>
  <c r="R44" i="12"/>
  <c r="S44" i="12"/>
  <c r="T44" i="12"/>
  <c r="U44" i="12"/>
  <c r="V44" i="12"/>
  <c r="B45" i="12"/>
  <c r="F45" i="12"/>
  <c r="O45" i="12"/>
  <c r="P45" i="12"/>
  <c r="Q45" i="12"/>
  <c r="R45" i="12"/>
  <c r="S45" i="12"/>
  <c r="T45" i="12"/>
  <c r="U45" i="12"/>
  <c r="B7" i="10"/>
  <c r="C7" i="10"/>
  <c r="D7" i="10"/>
  <c r="E7" i="10"/>
  <c r="G7" i="10"/>
  <c r="H7" i="10"/>
  <c r="I7" i="10"/>
  <c r="J7" i="10"/>
  <c r="L7" i="10"/>
  <c r="M7" i="10"/>
  <c r="N7" i="10"/>
  <c r="O7" i="10"/>
  <c r="B8" i="10"/>
  <c r="C8" i="10"/>
  <c r="D8" i="10"/>
  <c r="E8" i="10"/>
  <c r="G8" i="10"/>
  <c r="H8" i="10"/>
  <c r="I8" i="10"/>
  <c r="J8" i="10"/>
  <c r="B9" i="10"/>
  <c r="C9" i="10"/>
  <c r="D9" i="10"/>
  <c r="E9" i="10"/>
  <c r="G9" i="10"/>
  <c r="H9" i="10"/>
  <c r="I9" i="10"/>
  <c r="J9" i="10"/>
  <c r="B10" i="10"/>
  <c r="C10" i="10"/>
  <c r="D10" i="10"/>
  <c r="E10" i="10"/>
  <c r="G10" i="10"/>
  <c r="H10" i="10"/>
  <c r="I10" i="10"/>
  <c r="J10" i="10"/>
  <c r="B11" i="10"/>
  <c r="C11" i="10"/>
  <c r="D11" i="10"/>
  <c r="E11" i="10"/>
  <c r="G11" i="10"/>
  <c r="H11" i="10"/>
  <c r="I11" i="10"/>
  <c r="J11" i="10"/>
  <c r="B12" i="10"/>
  <c r="C12" i="10"/>
  <c r="D12" i="10"/>
  <c r="E12" i="10"/>
  <c r="G12" i="10"/>
  <c r="H12" i="10"/>
  <c r="I12" i="10"/>
  <c r="J12" i="10"/>
  <c r="B18" i="10"/>
  <c r="C18" i="10"/>
  <c r="D18" i="10"/>
  <c r="E18" i="10"/>
  <c r="G18" i="10"/>
  <c r="H18" i="10"/>
  <c r="I18" i="10"/>
  <c r="J18" i="10"/>
  <c r="B19" i="10"/>
  <c r="C19" i="10"/>
  <c r="D19" i="10"/>
  <c r="E19" i="10"/>
  <c r="G19" i="10"/>
  <c r="H19" i="10"/>
  <c r="I19" i="10"/>
  <c r="J19" i="10"/>
  <c r="B20" i="10"/>
  <c r="C20" i="10"/>
  <c r="D20" i="10"/>
  <c r="E20" i="10"/>
  <c r="G20" i="10"/>
  <c r="H20" i="10"/>
  <c r="I20" i="10"/>
  <c r="J20" i="10"/>
  <c r="B21" i="10"/>
  <c r="C21" i="10"/>
  <c r="D21" i="10"/>
  <c r="E21" i="10"/>
  <c r="G21" i="10"/>
  <c r="H21" i="10"/>
  <c r="I21" i="10"/>
  <c r="J21" i="10"/>
  <c r="L21" i="10"/>
  <c r="M21" i="10"/>
  <c r="N21" i="10"/>
  <c r="O21" i="10"/>
  <c r="B24" i="10"/>
  <c r="C24" i="10"/>
  <c r="D24" i="10"/>
  <c r="E24" i="10"/>
  <c r="G24" i="10"/>
  <c r="H24" i="10"/>
  <c r="I24" i="10"/>
  <c r="J24" i="10"/>
  <c r="B25" i="10"/>
  <c r="C25" i="10"/>
  <c r="D25" i="10"/>
  <c r="E25" i="10"/>
  <c r="G25" i="10"/>
  <c r="H25" i="10"/>
  <c r="I25" i="10"/>
  <c r="J25" i="10"/>
  <c r="B26" i="10"/>
  <c r="C26" i="10"/>
  <c r="D26" i="10"/>
  <c r="E26" i="10"/>
  <c r="G26" i="10"/>
  <c r="H26" i="10"/>
  <c r="I26" i="10"/>
  <c r="J26" i="10"/>
  <c r="B27" i="10"/>
  <c r="C27" i="10"/>
  <c r="D27" i="10"/>
  <c r="E27" i="10"/>
  <c r="G27" i="10"/>
  <c r="H27" i="10"/>
  <c r="I27" i="10"/>
  <c r="J27" i="10"/>
  <c r="L27" i="10"/>
  <c r="M27" i="10"/>
  <c r="N27" i="10"/>
  <c r="O27" i="10"/>
  <c r="B30" i="10"/>
  <c r="C30" i="10"/>
  <c r="D30" i="10"/>
  <c r="E30" i="10"/>
  <c r="G30" i="10"/>
  <c r="H30" i="10"/>
  <c r="I30" i="10"/>
  <c r="J30" i="10"/>
  <c r="B31" i="10"/>
  <c r="C31" i="10"/>
  <c r="D31" i="10"/>
  <c r="E31" i="10"/>
  <c r="G31" i="10"/>
  <c r="H31" i="10"/>
  <c r="I31" i="10"/>
  <c r="J31" i="10"/>
  <c r="B32" i="10"/>
  <c r="C32" i="10"/>
  <c r="D32" i="10"/>
  <c r="E32" i="10"/>
  <c r="G32" i="10"/>
  <c r="H32" i="10"/>
  <c r="I32" i="10"/>
  <c r="J32" i="10"/>
  <c r="B33" i="10"/>
  <c r="C33" i="10"/>
  <c r="D33" i="10"/>
  <c r="E33" i="10"/>
  <c r="G33" i="10"/>
  <c r="H33" i="10"/>
  <c r="I33" i="10"/>
  <c r="J33" i="10"/>
  <c r="L33" i="10"/>
  <c r="M33" i="10"/>
  <c r="N33" i="10"/>
  <c r="O33" i="10"/>
  <c r="B36" i="10"/>
  <c r="C36" i="10"/>
  <c r="D36" i="10"/>
  <c r="E36" i="10"/>
  <c r="G36" i="10"/>
  <c r="H36" i="10"/>
  <c r="I36" i="10"/>
  <c r="J36" i="10"/>
  <c r="B37" i="10"/>
  <c r="C37" i="10"/>
  <c r="D37" i="10"/>
  <c r="E37" i="10"/>
  <c r="G37" i="10"/>
  <c r="H37" i="10"/>
  <c r="I37" i="10"/>
  <c r="J37" i="10"/>
  <c r="B38" i="10"/>
  <c r="C38" i="10"/>
  <c r="D38" i="10"/>
  <c r="E38" i="10"/>
  <c r="G38" i="10"/>
  <c r="H38" i="10"/>
  <c r="I38" i="10"/>
  <c r="J38" i="10"/>
  <c r="B39" i="10"/>
  <c r="C39" i="10"/>
  <c r="D39" i="10"/>
  <c r="E39" i="10"/>
  <c r="G39" i="10"/>
  <c r="H39" i="10"/>
  <c r="I39" i="10"/>
  <c r="J39" i="10"/>
  <c r="L39" i="10"/>
  <c r="M39" i="10"/>
  <c r="N39" i="10"/>
  <c r="O39" i="10"/>
  <c r="B42" i="10"/>
  <c r="C42" i="10"/>
  <c r="D42" i="10"/>
  <c r="E42" i="10"/>
  <c r="G42" i="10"/>
  <c r="H42" i="10"/>
  <c r="I42" i="10"/>
  <c r="J42" i="10"/>
  <c r="B43" i="10"/>
  <c r="C43" i="10"/>
  <c r="D43" i="10"/>
  <c r="E43" i="10"/>
  <c r="G43" i="10"/>
  <c r="H43" i="10"/>
  <c r="I43" i="10"/>
  <c r="J43" i="10"/>
  <c r="B44" i="10"/>
  <c r="C44" i="10"/>
  <c r="D44" i="10"/>
  <c r="E44" i="10"/>
  <c r="G44" i="10"/>
  <c r="H44" i="10"/>
  <c r="I44" i="10"/>
  <c r="J44" i="10"/>
  <c r="B45" i="10"/>
  <c r="C45" i="10"/>
  <c r="D45" i="10"/>
  <c r="E45" i="10"/>
  <c r="G45" i="10"/>
  <c r="H45" i="10"/>
  <c r="I45" i="10"/>
  <c r="J45" i="10"/>
  <c r="L45" i="10"/>
  <c r="M45" i="10"/>
  <c r="N45" i="10"/>
  <c r="O45" i="10"/>
  <c r="C7" i="14"/>
  <c r="D7" i="14"/>
  <c r="E7" i="14"/>
  <c r="G7" i="14"/>
  <c r="H7" i="14"/>
  <c r="J7" i="14"/>
  <c r="C12" i="14"/>
  <c r="D12" i="14"/>
  <c r="E12" i="14"/>
  <c r="G12" i="14"/>
  <c r="H12" i="14"/>
  <c r="J12" i="14"/>
  <c r="C13" i="14"/>
  <c r="D13" i="14"/>
  <c r="E13" i="14"/>
  <c r="G13" i="14"/>
  <c r="H13" i="14"/>
  <c r="J13" i="14"/>
  <c r="C18" i="14"/>
  <c r="D18" i="14"/>
  <c r="E18" i="14"/>
  <c r="G18" i="14"/>
  <c r="H18" i="14"/>
  <c r="J18" i="14"/>
  <c r="C19" i="14"/>
  <c r="D19" i="14"/>
  <c r="E19" i="14"/>
  <c r="G19" i="14"/>
  <c r="H19" i="14"/>
  <c r="J19" i="14"/>
  <c r="C20" i="14"/>
  <c r="D20" i="14"/>
  <c r="E20" i="14"/>
  <c r="G20" i="14"/>
  <c r="H20" i="14"/>
  <c r="J20" i="14"/>
  <c r="C21" i="14"/>
  <c r="D21" i="14"/>
  <c r="E21" i="14"/>
  <c r="G21" i="14"/>
  <c r="H21" i="14"/>
  <c r="J21" i="14"/>
  <c r="C22" i="14"/>
  <c r="D22" i="14"/>
  <c r="E22" i="14"/>
  <c r="G22" i="14"/>
  <c r="H22" i="14"/>
  <c r="J22" i="14"/>
  <c r="C23" i="14"/>
  <c r="D23" i="14"/>
  <c r="E23" i="14"/>
  <c r="G23" i="14"/>
  <c r="J23" i="14"/>
</calcChain>
</file>

<file path=xl/sharedStrings.xml><?xml version="1.0" encoding="utf-8"?>
<sst xmlns="http://schemas.openxmlformats.org/spreadsheetml/2006/main" count="790" uniqueCount="182">
  <si>
    <t>1)</t>
  </si>
  <si>
    <t>"SCE method" (bottom-up)</t>
  </si>
  <si>
    <t>DA customers are billed for T&amp;D only, implying that the CTC is exactly zero.</t>
  </si>
  <si>
    <t>2)</t>
  </si>
  <si>
    <t>"PG&amp;E method" (top-down)</t>
  </si>
  <si>
    <t>Issue: Since the disappearance of PX on or about Jan 18, in calculating CTC (positive or negative), what do we use as a proxy for the PX price?</t>
  </si>
  <si>
    <t>The PX proxy = the utility's cost of procuring power = Retained Gen + QFs + DWR contracts.</t>
  </si>
  <si>
    <t>Disagreement arises as to how to account for the cost of power procured through DWR contracts.  PG&amp;E's argument is that its cost of</t>
  </si>
  <si>
    <t>DWR power is capped by the retail rate freeze at a level that is somewhere around $65, which would in essence cause the CTC to be approx</t>
  </si>
  <si>
    <t>zero.  We would argue that the actual cost of DWR power -- about $110 according to recent estimates -- is what should be included,</t>
  </si>
  <si>
    <t>which would result in a negative CTC.</t>
  </si>
  <si>
    <t>3)</t>
  </si>
  <si>
    <t>"Enron method"</t>
  </si>
  <si>
    <t>1/1-1/18</t>
  </si>
  <si>
    <t>1/19-1/31</t>
  </si>
  <si>
    <t>DA Load as of June 01</t>
  </si>
  <si>
    <t>ReDASR'd Load</t>
  </si>
  <si>
    <t>New Deals</t>
  </si>
  <si>
    <t>LOADS</t>
  </si>
  <si>
    <t>Block to Shape</t>
  </si>
  <si>
    <t>IntraZonal Congestion</t>
  </si>
  <si>
    <t>Uplifts</t>
  </si>
  <si>
    <t>ISO Charges</t>
  </si>
  <si>
    <t>The PX proxy is equal to the market price of power (we could use, for example, Dow Jones Index prices for NP and SP, or the FERC</t>
  </si>
  <si>
    <t>method), which would result in a positive or negative CTC, depending on prices.</t>
  </si>
  <si>
    <t>TARIFFS</t>
  </si>
  <si>
    <t>E19-P</t>
  </si>
  <si>
    <t>E19-S</t>
  </si>
  <si>
    <t>E-20T</t>
  </si>
  <si>
    <t>PX Price ("Credit")</t>
  </si>
  <si>
    <t>Jan '01 Surcharge</t>
  </si>
  <si>
    <t>Mar '01 Surcharge</t>
  </si>
  <si>
    <t>E19-P 500 kW</t>
  </si>
  <si>
    <t>50% LF</t>
  </si>
  <si>
    <t>65% LF</t>
  </si>
  <si>
    <t>E20-S 1000 kW</t>
  </si>
  <si>
    <t>E19-S 500 kW</t>
  </si>
  <si>
    <t>Non-Gen (T&amp;D plus Other)</t>
  </si>
  <si>
    <t>MARKET PRICE</t>
  </si>
  <si>
    <t>NP-15 Wholesale MCP/Fwd Price</t>
  </si>
  <si>
    <t>Line Losses - P</t>
  </si>
  <si>
    <t>Line Losses - S</t>
  </si>
  <si>
    <t>Line Losses - T</t>
  </si>
  <si>
    <t>losses</t>
  </si>
  <si>
    <t>weight</t>
  </si>
  <si>
    <t>PG&amp;E COST of PROCURED POWER</t>
  </si>
  <si>
    <t>Ancillary Services (%)</t>
  </si>
  <si>
    <t>Other Adders</t>
  </si>
  <si>
    <t>Ancillary Services ($/MWH)</t>
  </si>
  <si>
    <t>Total Retail Gen Price (w/o Surcharges)</t>
  </si>
  <si>
    <t>Possible FERC Recalc of PX Prices</t>
  </si>
  <si>
    <t>Period of Minimal Dispute (?)</t>
  </si>
  <si>
    <t>Utility Retained Generation</t>
  </si>
  <si>
    <t>QF Contracts</t>
  </si>
  <si>
    <t>Percent of Load</t>
  </si>
  <si>
    <t>Average Cost</t>
  </si>
  <si>
    <t>Average Cost, PG&amp;E Method</t>
  </si>
  <si>
    <t>Total Wtd Avg Cost of Procured Pwr</t>
  </si>
  <si>
    <t>DWR Spot Purchases &amp; LT Contracts</t>
  </si>
  <si>
    <t>(1) Using PG&amp;E Method for DWR Purchases</t>
  </si>
  <si>
    <t>PX</t>
  </si>
  <si>
    <t>CTC CALCULATIONS</t>
  </si>
  <si>
    <t>Scenario 1: SCE Method</t>
  </si>
  <si>
    <t>Total Amount Due To (Owed By) ENE</t>
  </si>
  <si>
    <t>Total Wtd Avg Tariff (w/o Surcharges)</t>
  </si>
  <si>
    <t>Total Wtd Avg Non-Gen (T&amp;D plus Other)</t>
  </si>
  <si>
    <t>none</t>
  </si>
  <si>
    <t>PG&amp;E</t>
  </si>
  <si>
    <t>SCE</t>
  </si>
  <si>
    <t>Enron</t>
  </si>
  <si>
    <t>Bun Rate</t>
  </si>
  <si>
    <t>Bundled less Surcharges</t>
  </si>
  <si>
    <t>PX Credit</t>
  </si>
  <si>
    <t>Net Bill (T&amp;D&amp;Other)</t>
  </si>
  <si>
    <t>Jan. Surcharge</t>
  </si>
  <si>
    <t>Mar. Surcharge</t>
  </si>
  <si>
    <t>Bundled Rate less Surcharges</t>
  </si>
  <si>
    <t>Total Wtd Avg Tariff (w/ Surcharges)</t>
  </si>
  <si>
    <t>Bundled Rate plus Surcharges</t>
  </si>
  <si>
    <t>Volume</t>
  </si>
  <si>
    <t>Net Bill</t>
  </si>
  <si>
    <t>Scenario 3: Enron Method</t>
  </si>
  <si>
    <t>GS-2S 150 kW</t>
  </si>
  <si>
    <t>70% LF</t>
  </si>
  <si>
    <t>TOU-8P</t>
  </si>
  <si>
    <t>60% LF</t>
  </si>
  <si>
    <t>I-6 P 1000kW</t>
  </si>
  <si>
    <t>Utility Risk Management Analysis of Southern California Edison Book</t>
  </si>
  <si>
    <t>no PX</t>
  </si>
  <si>
    <t>Jan 1 - Jan 18</t>
  </si>
  <si>
    <t>Jan 19 - Aug 31</t>
  </si>
  <si>
    <t>SCE COST of PROCURED POWER</t>
  </si>
  <si>
    <t>Scenario 4: Hybrid Method</t>
  </si>
  <si>
    <t>Scenario 2A: PG&amp;E Method, Using PG&amp;E DWR Costs</t>
  </si>
  <si>
    <t>Scenario 2B: PG&amp;E Method, Using PG&amp;E Adjusted PX Credit</t>
  </si>
  <si>
    <t>TOTAL</t>
  </si>
  <si>
    <t>Sep 1 - Mar 31 2002</t>
  </si>
  <si>
    <t>Utility Risk Management Analysis of PG&amp;E Book</t>
  </si>
  <si>
    <t>SP-15 Wholesale MCP/Fwd Price</t>
  </si>
  <si>
    <t>1/19-8/31</t>
  </si>
  <si>
    <t>9/1-3/31</t>
  </si>
  <si>
    <t>Bundled Rate w/o Surcharges</t>
  </si>
  <si>
    <t>Market Price (PX, DJ, or ENA incl A/S)</t>
  </si>
  <si>
    <t>Total Bundled Rate</t>
  </si>
  <si>
    <t>Total Due To (Owed By) Enron</t>
  </si>
  <si>
    <t>Surcharges</t>
  </si>
  <si>
    <t>Scenario 2a: PG&amp;E Method, DWR Costs</t>
  </si>
  <si>
    <t>Scenario 2b: PG&amp;E Method, Adj PX Credit</t>
  </si>
  <si>
    <t>Scenario 4: SCE/PG&amp;E Hybrid Method</t>
  </si>
  <si>
    <t>Gross Bill</t>
  </si>
  <si>
    <t>BOTH</t>
  </si>
  <si>
    <t>1/19-3/31</t>
  </si>
  <si>
    <t>California CTC Analysis</t>
  </si>
  <si>
    <t>Total DA Volume, Nominal MWH</t>
  </si>
  <si>
    <t>Jan 1-Jan 18</t>
  </si>
  <si>
    <t>Jan 19-Aug 31</t>
  </si>
  <si>
    <t>Sep 1-Mar 31 '02</t>
  </si>
  <si>
    <t>Jan 19-Mar 31 '02</t>
  </si>
  <si>
    <t>Jan 19-31</t>
  </si>
  <si>
    <t>DA Volumes/Fwd Position</t>
  </si>
  <si>
    <t>Bundled Rate -- No Surcharges</t>
  </si>
  <si>
    <t>Jan 4 Surcharge</t>
  </si>
  <si>
    <t>Mar 27 Surcharge</t>
  </si>
  <si>
    <t>PX Price</t>
  </si>
  <si>
    <t>CTC</t>
  </si>
  <si>
    <t>Jun-Sep 00</t>
  </si>
  <si>
    <t>Oct-Dec 00</t>
  </si>
  <si>
    <t>Gen (Bundled - Non-Gen)</t>
  </si>
  <si>
    <t>UDC Gen</t>
  </si>
  <si>
    <t>Surcharge(s)</t>
  </si>
  <si>
    <t>MTM Value ($000)</t>
  </si>
  <si>
    <t>Total Surcharge</t>
  </si>
  <si>
    <t>Fwd (PV)</t>
  </si>
  <si>
    <t>Jan Surcharge Goes Away</t>
  </si>
  <si>
    <t>CTC Adjusted as of Jan 4</t>
  </si>
  <si>
    <t>CTC Eliminated as of Jan 19</t>
  </si>
  <si>
    <t>Net P/L Impacts of Changes</t>
  </si>
  <si>
    <t>CTC Eliminated as of Jan 4</t>
  </si>
  <si>
    <t>PX Price: PG&amp;E "Adjusted"</t>
  </si>
  <si>
    <t>PX Price: Actual/DJ/ENA Fwd</t>
  </si>
  <si>
    <t>DWR = $54.71</t>
  </si>
  <si>
    <t>PG&amp;E "Adjusted"</t>
  </si>
  <si>
    <t>CTC Adjusted as of Jan 19</t>
  </si>
  <si>
    <t>CTC: PG&amp;E "Adjusted"</t>
  </si>
  <si>
    <t>CTC: Actual/DJ/ENA Fwd</t>
  </si>
  <si>
    <t>BOTH (SCE and PG&amp;E)</t>
  </si>
  <si>
    <t>Jan Surcharge Goes Away as of Sep 1</t>
  </si>
  <si>
    <t>PX Price: Assuming DWR = $54.71</t>
  </si>
  <si>
    <t>CTC: Assuming DWR = $54.71</t>
  </si>
  <si>
    <t>As Booked, Collected, Paid, Reserved, Etc.</t>
  </si>
  <si>
    <t>Jan 19-Jan 31</t>
  </si>
  <si>
    <t>Feb-Aug</t>
  </si>
  <si>
    <t>Sep-Mar '02</t>
  </si>
  <si>
    <t>Total DA Loads</t>
  </si>
  <si>
    <t>Total DA Load excl New Deals</t>
  </si>
  <si>
    <t>&gt; Mar '02</t>
  </si>
  <si>
    <t>Impact of Changes to Status Quo</t>
  </si>
  <si>
    <t>CTCs</t>
  </si>
  <si>
    <t>1¢ Surcharge</t>
  </si>
  <si>
    <t>3¢ Surcharge</t>
  </si>
  <si>
    <t>DA Volumes, PG&amp;E and SCE</t>
  </si>
  <si>
    <t>Impact of Potential CPUC Changes</t>
  </si>
  <si>
    <t>California Retail Analysis</t>
  </si>
  <si>
    <t>-------------- Forward --------------</t>
  </si>
  <si>
    <t>------------------------ Historical ------------------------</t>
  </si>
  <si>
    <t>Return to Bundled Service</t>
  </si>
  <si>
    <t>No 1¢ Surcharge on DA as of Sep 1</t>
  </si>
  <si>
    <t>Return DA to Bundled Service</t>
  </si>
  <si>
    <t>???</t>
  </si>
  <si>
    <t>1.</t>
  </si>
  <si>
    <t>2.</t>
  </si>
  <si>
    <t>3.</t>
  </si>
  <si>
    <t>4.</t>
  </si>
  <si>
    <t>5.</t>
  </si>
  <si>
    <t>6.</t>
  </si>
  <si>
    <t>CTC Adjusted per PG&amp;E's Method</t>
  </si>
  <si>
    <t>Historical/Current MTM Value</t>
  </si>
  <si>
    <t>(Excluding New Retail Gen Deals)</t>
  </si>
  <si>
    <t>Jan 5-18</t>
  </si>
  <si>
    <t>Jan 5-Jan 18</t>
  </si>
  <si>
    <t>CTC Eliminated as of Jan 5</t>
  </si>
  <si>
    <t>No 1¢ Surcharge on DA as of Jan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</si>
</sst>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70" formatCode="#,##0_);[Red]\(#,##0\);&quot;-   &quot;"/>
    <numFmt numFmtId="174" formatCode="#,##0_);[Red]\(#,##0\);&quot;- &quot;_)"/>
    <numFmt numFmtId="177" formatCode="&quot;$&quot;#,##0.00_);[Red]\(&quot;$&quot;#,##0.00\);&quot;- &quot;_)"/>
    <numFmt numFmtId="178" formatCode="&quot;$&quot;#,##0.0_);[Red]\(&quot;$&quot;#,##0.0\);&quot;- &quot;_)"/>
    <numFmt numFmtId="179" formatCode="&quot;$&quot;#,##0_);[Red]\(&quot;$&quot;#,##0\);&quot;- &quot;_)"/>
    <numFmt numFmtId="181" formatCode="#,##0_)&quot;mW&quot;;[Red]\(&quot;$&quot;#,##0\);&quot;- &quot;_)"/>
    <numFmt numFmtId="183" formatCode="#,##0_)&quot;MWH&quot;;[Red]\(&quot;$&quot;#,##0\);&quot;- &quot;_)"/>
    <numFmt numFmtId="185" formatCode="&quot;$&quot;#,##0.0000_);[Red]\(&quot;$&quot;#,##0.0000\);&quot;- &quot;_)"/>
    <numFmt numFmtId="188" formatCode="&quot;$&quot;#,##0.000000_);[Red]\(&quot;$&quot;#,##0.000000\);&quot;- &quot;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6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2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9" fontId="0" fillId="2" borderId="1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9" fontId="0" fillId="2" borderId="1" xfId="0" applyNumberForma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174" fontId="4" fillId="0" borderId="0" xfId="0" applyNumberFormat="1" applyFont="1" applyAlignment="1">
      <alignment horizontal="left" indent="2"/>
    </xf>
    <xf numFmtId="179" fontId="5" fillId="3" borderId="4" xfId="0" applyNumberFormat="1" applyFont="1" applyFill="1" applyBorder="1" applyAlignment="1">
      <alignment horizontal="center"/>
    </xf>
    <xf numFmtId="179" fontId="5" fillId="3" borderId="0" xfId="0" applyNumberFormat="1" applyFont="1" applyFill="1" applyBorder="1" applyAlignment="1">
      <alignment horizontal="center"/>
    </xf>
    <xf numFmtId="179" fontId="5" fillId="3" borderId="5" xfId="0" applyNumberFormat="1" applyFont="1" applyFill="1" applyBorder="1" applyAlignment="1">
      <alignment horizontal="center"/>
    </xf>
    <xf numFmtId="179" fontId="5" fillId="4" borderId="4" xfId="0" applyNumberFormat="1" applyFont="1" applyFill="1" applyBorder="1" applyAlignment="1">
      <alignment horizontal="center"/>
    </xf>
    <xf numFmtId="179" fontId="5" fillId="4" borderId="0" xfId="0" applyNumberFormat="1" applyFont="1" applyFill="1" applyBorder="1" applyAlignment="1">
      <alignment horizontal="center"/>
    </xf>
    <xf numFmtId="9" fontId="5" fillId="3" borderId="4" xfId="2" applyFont="1" applyFill="1" applyBorder="1" applyAlignment="1">
      <alignment horizontal="center"/>
    </xf>
    <xf numFmtId="9" fontId="5" fillId="3" borderId="0" xfId="2" applyFont="1" applyFill="1" applyBorder="1" applyAlignment="1">
      <alignment horizontal="center"/>
    </xf>
    <xf numFmtId="9" fontId="5" fillId="3" borderId="5" xfId="2" applyFont="1" applyFill="1" applyBorder="1" applyAlignment="1">
      <alignment horizontal="center"/>
    </xf>
    <xf numFmtId="9" fontId="5" fillId="4" borderId="4" xfId="2" applyFont="1" applyFill="1" applyBorder="1" applyAlignment="1">
      <alignment horizontal="center"/>
    </xf>
    <xf numFmtId="9" fontId="5" fillId="4" borderId="0" xfId="2" applyFont="1" applyFill="1" applyBorder="1" applyAlignment="1">
      <alignment horizontal="center"/>
    </xf>
    <xf numFmtId="177" fontId="0" fillId="3" borderId="4" xfId="0" applyNumberFormat="1" applyFill="1" applyBorder="1" applyAlignment="1">
      <alignment horizontal="right"/>
    </xf>
    <xf numFmtId="177" fontId="0" fillId="3" borderId="0" xfId="0" applyNumberFormat="1" applyFill="1" applyBorder="1" applyAlignment="1">
      <alignment horizontal="right"/>
    </xf>
    <xf numFmtId="177" fontId="0" fillId="3" borderId="5" xfId="0" applyNumberFormat="1" applyFill="1" applyBorder="1" applyAlignment="1">
      <alignment horizontal="right"/>
    </xf>
    <xf numFmtId="177" fontId="0" fillId="4" borderId="4" xfId="0" applyNumberFormat="1" applyFill="1" applyBorder="1" applyAlignment="1">
      <alignment horizontal="right"/>
    </xf>
    <xf numFmtId="177" fontId="0" fillId="4" borderId="0" xfId="0" applyNumberFormat="1" applyFill="1" applyBorder="1" applyAlignment="1">
      <alignment horizontal="right"/>
    </xf>
    <xf numFmtId="177" fontId="5" fillId="3" borderId="4" xfId="0" applyNumberFormat="1" applyFont="1" applyFill="1" applyBorder="1" applyAlignment="1">
      <alignment horizontal="center"/>
    </xf>
    <xf numFmtId="177" fontId="5" fillId="3" borderId="0" xfId="0" applyNumberFormat="1" applyFont="1" applyFill="1" applyBorder="1" applyAlignment="1">
      <alignment horizontal="center"/>
    </xf>
    <xf numFmtId="177" fontId="5" fillId="3" borderId="5" xfId="0" applyNumberFormat="1" applyFont="1" applyFill="1" applyBorder="1" applyAlignment="1">
      <alignment horizontal="center"/>
    </xf>
    <xf numFmtId="177" fontId="5" fillId="4" borderId="4" xfId="0" applyNumberFormat="1" applyFont="1" applyFill="1" applyBorder="1" applyAlignment="1">
      <alignment horizontal="center"/>
    </xf>
    <xf numFmtId="177" fontId="5" fillId="4" borderId="0" xfId="0" applyNumberFormat="1" applyFont="1" applyFill="1" applyBorder="1" applyAlignment="1">
      <alignment horizontal="center"/>
    </xf>
    <xf numFmtId="177" fontId="5" fillId="3" borderId="6" xfId="0" applyNumberFormat="1" applyFont="1" applyFill="1" applyBorder="1" applyAlignment="1">
      <alignment horizontal="center"/>
    </xf>
    <xf numFmtId="177" fontId="5" fillId="3" borderId="3" xfId="0" applyNumberFormat="1" applyFont="1" applyFill="1" applyBorder="1" applyAlignment="1">
      <alignment horizontal="center"/>
    </xf>
    <xf numFmtId="177" fontId="5" fillId="3" borderId="7" xfId="0" applyNumberFormat="1" applyFont="1" applyFill="1" applyBorder="1" applyAlignment="1">
      <alignment horizontal="center"/>
    </xf>
    <xf numFmtId="177" fontId="5" fillId="4" borderId="6" xfId="0" applyNumberFormat="1" applyFont="1" applyFill="1" applyBorder="1" applyAlignment="1">
      <alignment horizontal="center"/>
    </xf>
    <xf numFmtId="177" fontId="5" fillId="4" borderId="3" xfId="0" applyNumberFormat="1" applyFont="1" applyFill="1" applyBorder="1" applyAlignment="1">
      <alignment horizontal="center"/>
    </xf>
    <xf numFmtId="177" fontId="5" fillId="5" borderId="0" xfId="0" applyNumberFormat="1" applyFont="1" applyFill="1" applyBorder="1" applyAlignment="1">
      <alignment horizontal="right"/>
    </xf>
    <xf numFmtId="177" fontId="5" fillId="5" borderId="5" xfId="0" applyNumberFormat="1" applyFont="1" applyFill="1" applyBorder="1" applyAlignment="1">
      <alignment horizontal="right"/>
    </xf>
    <xf numFmtId="177" fontId="5" fillId="6" borderId="4" xfId="0" applyNumberFormat="1" applyFont="1" applyFill="1" applyBorder="1" applyAlignment="1">
      <alignment horizontal="right"/>
    </xf>
    <xf numFmtId="177" fontId="5" fillId="6" borderId="0" xfId="0" applyNumberFormat="1" applyFont="1" applyFill="1" applyBorder="1" applyAlignment="1">
      <alignment horizontal="right"/>
    </xf>
    <xf numFmtId="177" fontId="5" fillId="6" borderId="5" xfId="0" applyNumberFormat="1" applyFont="1" applyFill="1" applyBorder="1" applyAlignment="1">
      <alignment horizontal="right"/>
    </xf>
    <xf numFmtId="9" fontId="1" fillId="2" borderId="1" xfId="2" applyFill="1" applyBorder="1" applyAlignment="1">
      <alignment horizontal="center"/>
    </xf>
    <xf numFmtId="9" fontId="1" fillId="0" borderId="8" xfId="2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9" xfId="0" applyBorder="1"/>
    <xf numFmtId="0" fontId="4" fillId="0" borderId="0" xfId="0" applyFont="1" applyAlignment="1">
      <alignment horizontal="left" indent="4"/>
    </xf>
    <xf numFmtId="0" fontId="0" fillId="0" borderId="0" xfId="0" applyAlignment="1">
      <alignment horizontal="left" indent="4"/>
    </xf>
    <xf numFmtId="0" fontId="2" fillId="0" borderId="0" xfId="0" applyFont="1" applyAlignment="1">
      <alignment horizontal="left" indent="3"/>
    </xf>
    <xf numFmtId="177" fontId="4" fillId="5" borderId="3" xfId="0" applyNumberFormat="1" applyFont="1" applyFill="1" applyBorder="1" applyAlignment="1">
      <alignment horizontal="right"/>
    </xf>
    <xf numFmtId="177" fontId="4" fillId="5" borderId="7" xfId="0" applyNumberFormat="1" applyFont="1" applyFill="1" applyBorder="1" applyAlignment="1">
      <alignment horizontal="right"/>
    </xf>
    <xf numFmtId="177" fontId="4" fillId="6" borderId="6" xfId="0" applyNumberFormat="1" applyFont="1" applyFill="1" applyBorder="1" applyAlignment="1">
      <alignment horizontal="right"/>
    </xf>
    <xf numFmtId="177" fontId="4" fillId="6" borderId="3" xfId="0" applyNumberFormat="1" applyFont="1" applyFill="1" applyBorder="1" applyAlignment="1">
      <alignment horizontal="right"/>
    </xf>
    <xf numFmtId="177" fontId="4" fillId="6" borderId="7" xfId="0" applyNumberFormat="1" applyFont="1" applyFill="1" applyBorder="1" applyAlignment="1">
      <alignment horizontal="right"/>
    </xf>
    <xf numFmtId="177" fontId="4" fillId="5" borderId="0" xfId="0" applyNumberFormat="1" applyFont="1" applyFill="1" applyBorder="1" applyAlignment="1">
      <alignment horizontal="right"/>
    </xf>
    <xf numFmtId="177" fontId="4" fillId="5" borderId="5" xfId="0" applyNumberFormat="1" applyFont="1" applyFill="1" applyBorder="1" applyAlignment="1">
      <alignment horizontal="right"/>
    </xf>
    <xf numFmtId="177" fontId="4" fillId="6" borderId="4" xfId="0" applyNumberFormat="1" applyFont="1" applyFill="1" applyBorder="1" applyAlignment="1">
      <alignment horizontal="right"/>
    </xf>
    <xf numFmtId="177" fontId="4" fillId="6" borderId="0" xfId="0" applyNumberFormat="1" applyFont="1" applyFill="1" applyBorder="1" applyAlignment="1">
      <alignment horizontal="right"/>
    </xf>
    <xf numFmtId="177" fontId="4" fillId="6" borderId="5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74" fontId="0" fillId="0" borderId="10" xfId="0" applyNumberFormat="1" applyBorder="1" applyAlignment="1">
      <alignment horizontal="left" indent="2"/>
    </xf>
    <xf numFmtId="0" fontId="0" fillId="0" borderId="11" xfId="0" applyBorder="1" applyAlignment="1">
      <alignment horizontal="left" indent="4"/>
    </xf>
    <xf numFmtId="0" fontId="2" fillId="7" borderId="0" xfId="0" applyFont="1" applyFill="1" applyAlignment="1">
      <alignment horizontal="left" indent="1"/>
    </xf>
    <xf numFmtId="0" fontId="2" fillId="0" borderId="0" xfId="0" applyFont="1" applyFill="1" applyAlignment="1">
      <alignment horizontal="left"/>
    </xf>
    <xf numFmtId="0" fontId="3" fillId="5" borderId="0" xfId="0" applyFont="1" applyFill="1" applyBorder="1" applyAlignment="1">
      <alignment horizontal="right"/>
    </xf>
    <xf numFmtId="0" fontId="3" fillId="8" borderId="12" xfId="0" applyFont="1" applyFill="1" applyBorder="1" applyAlignment="1">
      <alignment horizontal="right"/>
    </xf>
    <xf numFmtId="177" fontId="0" fillId="8" borderId="12" xfId="0" applyNumberFormat="1" applyFill="1" applyBorder="1" applyAlignment="1">
      <alignment horizontal="right"/>
    </xf>
    <xf numFmtId="179" fontId="5" fillId="8" borderId="12" xfId="0" applyNumberFormat="1" applyFont="1" applyFill="1" applyBorder="1" applyAlignment="1">
      <alignment horizontal="center"/>
    </xf>
    <xf numFmtId="177" fontId="4" fillId="8" borderId="12" xfId="0" applyNumberFormat="1" applyFont="1" applyFill="1" applyBorder="1" applyAlignment="1">
      <alignment horizontal="right"/>
    </xf>
    <xf numFmtId="0" fontId="8" fillId="0" borderId="0" xfId="0" applyFont="1" applyAlignment="1">
      <alignment horizontal="left"/>
    </xf>
    <xf numFmtId="9" fontId="4" fillId="8" borderId="12" xfId="2" applyFont="1" applyFill="1" applyBorder="1" applyAlignment="1">
      <alignment horizontal="center"/>
    </xf>
    <xf numFmtId="177" fontId="4" fillId="8" borderId="12" xfId="0" applyNumberFormat="1" applyFont="1" applyFill="1" applyBorder="1" applyAlignment="1">
      <alignment horizontal="center"/>
    </xf>
    <xf numFmtId="179" fontId="4" fillId="8" borderId="12" xfId="0" applyNumberFormat="1" applyFont="1" applyFill="1" applyBorder="1" applyAlignment="1">
      <alignment horizontal="center"/>
    </xf>
    <xf numFmtId="177" fontId="4" fillId="8" borderId="13" xfId="0" applyNumberFormat="1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/>
    <xf numFmtId="10" fontId="1" fillId="6" borderId="4" xfId="2" applyNumberFormat="1" applyFill="1" applyBorder="1" applyAlignment="1"/>
    <xf numFmtId="10" fontId="1" fillId="6" borderId="0" xfId="2" applyNumberFormat="1" applyFill="1" applyBorder="1" applyAlignment="1"/>
    <xf numFmtId="10" fontId="1" fillId="6" borderId="5" xfId="2" applyNumberFormat="1" applyFill="1" applyBorder="1" applyAlignment="1"/>
    <xf numFmtId="9" fontId="1" fillId="5" borderId="5" xfId="2" applyFill="1" applyBorder="1" applyAlignment="1"/>
    <xf numFmtId="9" fontId="1" fillId="6" borderId="4" xfId="2" applyFill="1" applyBorder="1" applyAlignment="1"/>
    <xf numFmtId="9" fontId="1" fillId="6" borderId="0" xfId="2" applyFill="1" applyBorder="1" applyAlignment="1"/>
    <xf numFmtId="9" fontId="1" fillId="6" borderId="5" xfId="2" applyFill="1" applyBorder="1" applyAlignment="1"/>
    <xf numFmtId="179" fontId="0" fillId="8" borderId="13" xfId="0" applyNumberFormat="1" applyFill="1" applyBorder="1" applyAlignment="1"/>
    <xf numFmtId="181" fontId="0" fillId="8" borderId="12" xfId="0" applyNumberForma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4" borderId="14" xfId="0" applyFill="1" applyBorder="1" applyAlignment="1"/>
    <xf numFmtId="0" fontId="0" fillId="4" borderId="15" xfId="0" applyFill="1" applyBorder="1" applyAlignment="1"/>
    <xf numFmtId="0" fontId="0" fillId="8" borderId="17" xfId="0" applyFill="1" applyBorder="1" applyAlignment="1"/>
    <xf numFmtId="0" fontId="0" fillId="5" borderId="15" xfId="0" applyFill="1" applyBorder="1" applyAlignment="1"/>
    <xf numFmtId="0" fontId="0" fillId="5" borderId="16" xfId="0" applyFill="1" applyBorder="1" applyAlignment="1"/>
    <xf numFmtId="0" fontId="0" fillId="6" borderId="14" xfId="0" applyFill="1" applyBorder="1" applyAlignment="1"/>
    <xf numFmtId="0" fontId="0" fillId="6" borderId="15" xfId="0" applyFill="1" applyBorder="1" applyAlignment="1"/>
    <xf numFmtId="0" fontId="0" fillId="6" borderId="16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5" xfId="0" applyFill="1" applyBorder="1" applyAlignment="1"/>
    <xf numFmtId="0" fontId="0" fillId="4" borderId="4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5" borderId="5" xfId="0" applyFill="1" applyBorder="1" applyAlignment="1"/>
    <xf numFmtId="0" fontId="0" fillId="6" borderId="4" xfId="0" applyFill="1" applyBorder="1" applyAlignment="1"/>
    <xf numFmtId="0" fontId="0" fillId="6" borderId="0" xfId="0" applyFill="1" applyBorder="1" applyAlignment="1"/>
    <xf numFmtId="0" fontId="0" fillId="6" borderId="5" xfId="0" applyFill="1" applyBorder="1" applyAlignment="1"/>
    <xf numFmtId="17" fontId="0" fillId="3" borderId="4" xfId="0" applyNumberFormat="1" applyFill="1" applyBorder="1" applyAlignment="1"/>
    <xf numFmtId="17" fontId="0" fillId="3" borderId="0" xfId="0" applyNumberFormat="1" applyFill="1" applyBorder="1" applyAlignment="1"/>
    <xf numFmtId="17" fontId="0" fillId="3" borderId="5" xfId="0" applyNumberFormat="1" applyFill="1" applyBorder="1" applyAlignment="1"/>
    <xf numFmtId="17" fontId="0" fillId="4" borderId="4" xfId="0" applyNumberFormat="1" applyFill="1" applyBorder="1" applyAlignment="1"/>
    <xf numFmtId="17" fontId="0" fillId="4" borderId="0" xfId="0" applyNumberFormat="1" applyFill="1" applyBorder="1" applyAlignment="1"/>
    <xf numFmtId="17" fontId="0" fillId="8" borderId="12" xfId="0" applyNumberFormat="1" applyFill="1" applyBorder="1" applyAlignment="1"/>
    <xf numFmtId="17" fontId="0" fillId="5" borderId="0" xfId="0" applyNumberFormat="1" applyFill="1" applyBorder="1" applyAlignment="1"/>
    <xf numFmtId="17" fontId="0" fillId="5" borderId="5" xfId="0" applyNumberFormat="1" applyFill="1" applyBorder="1" applyAlignment="1"/>
    <xf numFmtId="17" fontId="0" fillId="6" borderId="4" xfId="0" applyNumberFormat="1" applyFill="1" applyBorder="1" applyAlignment="1"/>
    <xf numFmtId="17" fontId="0" fillId="6" borderId="0" xfId="0" applyNumberFormat="1" applyFill="1" applyBorder="1" applyAlignment="1"/>
    <xf numFmtId="17" fontId="0" fillId="6" borderId="5" xfId="0" applyNumberFormat="1" applyFill="1" applyBorder="1" applyAlignment="1"/>
    <xf numFmtId="38" fontId="0" fillId="3" borderId="4" xfId="0" applyNumberFormat="1" applyFill="1" applyBorder="1" applyAlignment="1"/>
    <xf numFmtId="38" fontId="0" fillId="3" borderId="0" xfId="0" applyNumberFormat="1" applyFill="1" applyBorder="1" applyAlignment="1"/>
    <xf numFmtId="38" fontId="0" fillId="3" borderId="5" xfId="0" applyNumberFormat="1" applyFill="1" applyBorder="1" applyAlignment="1"/>
    <xf numFmtId="38" fontId="0" fillId="4" borderId="4" xfId="0" applyNumberFormat="1" applyFill="1" applyBorder="1" applyAlignment="1"/>
    <xf numFmtId="38" fontId="0" fillId="4" borderId="0" xfId="0" applyNumberFormat="1" applyFill="1" applyBorder="1" applyAlignment="1"/>
    <xf numFmtId="38" fontId="0" fillId="8" borderId="12" xfId="0" applyNumberFormat="1" applyFill="1" applyBorder="1" applyAlignment="1"/>
    <xf numFmtId="38" fontId="0" fillId="5" borderId="0" xfId="0" applyNumberFormat="1" applyFill="1" applyBorder="1" applyAlignment="1"/>
    <xf numFmtId="38" fontId="0" fillId="5" borderId="5" xfId="0" applyNumberFormat="1" applyFill="1" applyBorder="1" applyAlignment="1"/>
    <xf numFmtId="38" fontId="0" fillId="6" borderId="4" xfId="0" applyNumberFormat="1" applyFill="1" applyBorder="1" applyAlignment="1"/>
    <xf numFmtId="38" fontId="0" fillId="6" borderId="0" xfId="0" applyNumberFormat="1" applyFill="1" applyBorder="1" applyAlignment="1"/>
    <xf numFmtId="38" fontId="0" fillId="6" borderId="5" xfId="0" applyNumberFormat="1" applyFill="1" applyBorder="1" applyAlignment="1"/>
    <xf numFmtId="38" fontId="0" fillId="0" borderId="0" xfId="0" applyNumberFormat="1" applyAlignment="1"/>
    <xf numFmtId="0" fontId="2" fillId="0" borderId="0" xfId="0" applyFont="1" applyAlignment="1"/>
    <xf numFmtId="170" fontId="0" fillId="3" borderId="4" xfId="0" applyNumberFormat="1" applyFill="1" applyBorder="1" applyAlignment="1"/>
    <xf numFmtId="170" fontId="0" fillId="3" borderId="0" xfId="0" applyNumberFormat="1" applyFill="1" applyBorder="1" applyAlignment="1"/>
    <xf numFmtId="170" fontId="0" fillId="3" borderId="5" xfId="0" applyNumberFormat="1" applyFill="1" applyBorder="1" applyAlignment="1"/>
    <xf numFmtId="170" fontId="0" fillId="4" borderId="4" xfId="0" applyNumberFormat="1" applyFill="1" applyBorder="1" applyAlignment="1"/>
    <xf numFmtId="170" fontId="0" fillId="4" borderId="0" xfId="0" applyNumberFormat="1" applyFill="1" applyBorder="1" applyAlignment="1"/>
    <xf numFmtId="170" fontId="0" fillId="8" borderId="12" xfId="0" applyNumberFormat="1" applyFill="1" applyBorder="1" applyAlignment="1"/>
    <xf numFmtId="170" fontId="0" fillId="5" borderId="0" xfId="0" applyNumberFormat="1" applyFill="1" applyBorder="1" applyAlignment="1"/>
    <xf numFmtId="170" fontId="0" fillId="5" borderId="5" xfId="0" applyNumberFormat="1" applyFill="1" applyBorder="1" applyAlignment="1"/>
    <xf numFmtId="170" fontId="0" fillId="6" borderId="4" xfId="0" applyNumberFormat="1" applyFill="1" applyBorder="1" applyAlignment="1"/>
    <xf numFmtId="170" fontId="0" fillId="6" borderId="0" xfId="0" applyNumberFormat="1" applyFill="1" applyBorder="1" applyAlignment="1"/>
    <xf numFmtId="170" fontId="0" fillId="6" borderId="5" xfId="0" applyNumberFormat="1" applyFill="1" applyBorder="1" applyAlignment="1"/>
    <xf numFmtId="170" fontId="2" fillId="3" borderId="4" xfId="0" applyNumberFormat="1" applyFont="1" applyFill="1" applyBorder="1" applyAlignment="1"/>
    <xf numFmtId="170" fontId="2" fillId="3" borderId="0" xfId="0" applyNumberFormat="1" applyFont="1" applyFill="1" applyBorder="1" applyAlignment="1"/>
    <xf numFmtId="170" fontId="2" fillId="3" borderId="5" xfId="0" applyNumberFormat="1" applyFont="1" applyFill="1" applyBorder="1" applyAlignment="1"/>
    <xf numFmtId="170" fontId="2" fillId="4" borderId="4" xfId="0" applyNumberFormat="1" applyFont="1" applyFill="1" applyBorder="1" applyAlignment="1"/>
    <xf numFmtId="170" fontId="2" fillId="4" borderId="0" xfId="0" applyNumberFormat="1" applyFont="1" applyFill="1" applyBorder="1" applyAlignment="1"/>
    <xf numFmtId="170" fontId="2" fillId="8" borderId="12" xfId="0" applyNumberFormat="1" applyFont="1" applyFill="1" applyBorder="1" applyAlignment="1"/>
    <xf numFmtId="170" fontId="2" fillId="5" borderId="0" xfId="0" applyNumberFormat="1" applyFont="1" applyFill="1" applyBorder="1" applyAlignment="1"/>
    <xf numFmtId="170" fontId="2" fillId="5" borderId="5" xfId="0" applyNumberFormat="1" applyFont="1" applyFill="1" applyBorder="1" applyAlignment="1"/>
    <xf numFmtId="170" fontId="2" fillId="6" borderId="4" xfId="0" applyNumberFormat="1" applyFont="1" applyFill="1" applyBorder="1" applyAlignment="1"/>
    <xf numFmtId="170" fontId="2" fillId="6" borderId="0" xfId="0" applyNumberFormat="1" applyFont="1" applyFill="1" applyBorder="1" applyAlignment="1"/>
    <xf numFmtId="170" fontId="2" fillId="6" borderId="5" xfId="0" applyNumberFormat="1" applyFont="1" applyFill="1" applyBorder="1" applyAlignment="1"/>
    <xf numFmtId="9" fontId="0" fillId="0" borderId="0" xfId="0" applyNumberFormat="1" applyAlignment="1"/>
    <xf numFmtId="0" fontId="0" fillId="8" borderId="12" xfId="0" applyFill="1" applyBorder="1" applyAlignment="1"/>
    <xf numFmtId="177" fontId="4" fillId="3" borderId="4" xfId="0" applyNumberFormat="1" applyFont="1" applyFill="1" applyBorder="1" applyAlignment="1"/>
    <xf numFmtId="177" fontId="4" fillId="3" borderId="0" xfId="0" applyNumberFormat="1" applyFont="1" applyFill="1" applyBorder="1" applyAlignment="1"/>
    <xf numFmtId="177" fontId="4" fillId="3" borderId="5" xfId="0" applyNumberFormat="1" applyFont="1" applyFill="1" applyBorder="1" applyAlignment="1"/>
    <xf numFmtId="177" fontId="4" fillId="4" borderId="4" xfId="0" applyNumberFormat="1" applyFont="1" applyFill="1" applyBorder="1" applyAlignment="1"/>
    <xf numFmtId="177" fontId="4" fillId="4" borderId="0" xfId="0" applyNumberFormat="1" applyFont="1" applyFill="1" applyBorder="1" applyAlignment="1"/>
    <xf numFmtId="177" fontId="4" fillId="8" borderId="12" xfId="0" applyNumberFormat="1" applyFont="1" applyFill="1" applyBorder="1" applyAlignment="1"/>
    <xf numFmtId="177" fontId="4" fillId="5" borderId="0" xfId="0" applyNumberFormat="1" applyFont="1" applyFill="1" applyBorder="1" applyAlignment="1"/>
    <xf numFmtId="177" fontId="4" fillId="5" borderId="5" xfId="0" applyNumberFormat="1" applyFont="1" applyFill="1" applyBorder="1" applyAlignment="1"/>
    <xf numFmtId="177" fontId="4" fillId="6" borderId="4" xfId="0" applyNumberFormat="1" applyFont="1" applyFill="1" applyBorder="1" applyAlignment="1"/>
    <xf numFmtId="177" fontId="4" fillId="6" borderId="0" xfId="0" applyNumberFormat="1" applyFont="1" applyFill="1" applyBorder="1" applyAlignment="1"/>
    <xf numFmtId="177" fontId="4" fillId="6" borderId="5" xfId="0" applyNumberFormat="1" applyFont="1" applyFill="1" applyBorder="1" applyAlignment="1"/>
    <xf numFmtId="177" fontId="2" fillId="3" borderId="4" xfId="0" applyNumberFormat="1" applyFont="1" applyFill="1" applyBorder="1" applyAlignment="1"/>
    <xf numFmtId="177" fontId="2" fillId="3" borderId="0" xfId="0" applyNumberFormat="1" applyFont="1" applyFill="1" applyBorder="1" applyAlignment="1"/>
    <xf numFmtId="177" fontId="2" fillId="3" borderId="5" xfId="0" applyNumberFormat="1" applyFont="1" applyFill="1" applyBorder="1" applyAlignment="1"/>
    <xf numFmtId="177" fontId="2" fillId="4" borderId="4" xfId="0" applyNumberFormat="1" applyFont="1" applyFill="1" applyBorder="1" applyAlignment="1"/>
    <xf numFmtId="177" fontId="2" fillId="4" borderId="0" xfId="0" applyNumberFormat="1" applyFont="1" applyFill="1" applyBorder="1" applyAlignment="1"/>
    <xf numFmtId="177" fontId="2" fillId="8" borderId="12" xfId="0" applyNumberFormat="1" applyFont="1" applyFill="1" applyBorder="1" applyAlignment="1"/>
    <xf numFmtId="177" fontId="2" fillId="5" borderId="0" xfId="0" applyNumberFormat="1" applyFont="1" applyFill="1" applyBorder="1" applyAlignment="1"/>
    <xf numFmtId="177" fontId="2" fillId="5" borderId="5" xfId="0" applyNumberFormat="1" applyFont="1" applyFill="1" applyBorder="1" applyAlignment="1"/>
    <xf numFmtId="177" fontId="2" fillId="6" borderId="4" xfId="0" applyNumberFormat="1" applyFont="1" applyFill="1" applyBorder="1" applyAlignment="1"/>
    <xf numFmtId="177" fontId="2" fillId="6" borderId="0" xfId="0" applyNumberFormat="1" applyFont="1" applyFill="1" applyBorder="1" applyAlignment="1"/>
    <xf numFmtId="177" fontId="2" fillId="6" borderId="5" xfId="0" applyNumberFormat="1" applyFont="1" applyFill="1" applyBorder="1" applyAlignment="1"/>
    <xf numFmtId="177" fontId="0" fillId="3" borderId="4" xfId="0" applyNumberFormat="1" applyFill="1" applyBorder="1" applyAlignment="1"/>
    <xf numFmtId="177" fontId="0" fillId="3" borderId="0" xfId="0" applyNumberFormat="1" applyFill="1" applyBorder="1" applyAlignment="1"/>
    <xf numFmtId="177" fontId="0" fillId="3" borderId="5" xfId="0" applyNumberFormat="1" applyFill="1" applyBorder="1" applyAlignment="1"/>
    <xf numFmtId="177" fontId="0" fillId="4" borderId="4" xfId="0" applyNumberFormat="1" applyFill="1" applyBorder="1" applyAlignment="1"/>
    <xf numFmtId="177" fontId="0" fillId="4" borderId="0" xfId="0" applyNumberFormat="1" applyFill="1" applyBorder="1" applyAlignment="1"/>
    <xf numFmtId="177" fontId="0" fillId="8" borderId="12" xfId="0" applyNumberFormat="1" applyFill="1" applyBorder="1" applyAlignment="1"/>
    <xf numFmtId="177" fontId="0" fillId="5" borderId="0" xfId="0" applyNumberFormat="1" applyFill="1" applyBorder="1" applyAlignment="1"/>
    <xf numFmtId="177" fontId="0" fillId="5" borderId="5" xfId="0" applyNumberFormat="1" applyFill="1" applyBorder="1" applyAlignment="1"/>
    <xf numFmtId="177" fontId="0" fillId="6" borderId="4" xfId="0" applyNumberFormat="1" applyFill="1" applyBorder="1" applyAlignment="1"/>
    <xf numFmtId="177" fontId="0" fillId="6" borderId="0" xfId="0" applyNumberFormat="1" applyFill="1" applyBorder="1" applyAlignment="1"/>
    <xf numFmtId="177" fontId="0" fillId="6" borderId="5" xfId="0" applyNumberFormat="1" applyFill="1" applyBorder="1" applyAlignment="1"/>
    <xf numFmtId="0" fontId="2" fillId="0" borderId="2" xfId="0" applyFont="1" applyBorder="1" applyAlignment="1"/>
    <xf numFmtId="177" fontId="2" fillId="3" borderId="8" xfId="0" applyNumberFormat="1" applyFont="1" applyFill="1" applyBorder="1" applyAlignment="1"/>
    <xf numFmtId="177" fontId="2" fillId="3" borderId="2" xfId="0" applyNumberFormat="1" applyFont="1" applyFill="1" applyBorder="1" applyAlignment="1"/>
    <xf numFmtId="177" fontId="2" fillId="3" borderId="18" xfId="0" applyNumberFormat="1" applyFont="1" applyFill="1" applyBorder="1" applyAlignment="1"/>
    <xf numFmtId="177" fontId="2" fillId="4" borderId="8" xfId="0" applyNumberFormat="1" applyFont="1" applyFill="1" applyBorder="1" applyAlignment="1"/>
    <xf numFmtId="177" fontId="2" fillId="4" borderId="2" xfId="0" applyNumberFormat="1" applyFont="1" applyFill="1" applyBorder="1" applyAlignment="1"/>
    <xf numFmtId="177" fontId="2" fillId="8" borderId="1" xfId="0" applyNumberFormat="1" applyFont="1" applyFill="1" applyBorder="1" applyAlignment="1"/>
    <xf numFmtId="177" fontId="2" fillId="5" borderId="2" xfId="0" applyNumberFormat="1" applyFont="1" applyFill="1" applyBorder="1" applyAlignment="1"/>
    <xf numFmtId="177" fontId="2" fillId="5" borderId="18" xfId="0" applyNumberFormat="1" applyFont="1" applyFill="1" applyBorder="1" applyAlignment="1"/>
    <xf numFmtId="177" fontId="2" fillId="6" borderId="8" xfId="0" applyNumberFormat="1" applyFont="1" applyFill="1" applyBorder="1" applyAlignment="1"/>
    <xf numFmtId="177" fontId="2" fillId="6" borderId="2" xfId="0" applyNumberFormat="1" applyFont="1" applyFill="1" applyBorder="1" applyAlignment="1"/>
    <xf numFmtId="177" fontId="2" fillId="6" borderId="18" xfId="0" applyNumberFormat="1" applyFont="1" applyFill="1" applyBorder="1" applyAlignment="1"/>
    <xf numFmtId="0" fontId="0" fillId="0" borderId="2" xfId="0" applyBorder="1" applyAlignment="1"/>
    <xf numFmtId="177" fontId="0" fillId="3" borderId="8" xfId="0" applyNumberFormat="1" applyFill="1" applyBorder="1" applyAlignment="1"/>
    <xf numFmtId="177" fontId="0" fillId="3" borderId="2" xfId="0" applyNumberFormat="1" applyFill="1" applyBorder="1" applyAlignment="1"/>
    <xf numFmtId="177" fontId="0" fillId="3" borderId="18" xfId="0" applyNumberFormat="1" applyFill="1" applyBorder="1" applyAlignment="1"/>
    <xf numFmtId="177" fontId="0" fillId="4" borderId="8" xfId="0" applyNumberFormat="1" applyFill="1" applyBorder="1" applyAlignment="1"/>
    <xf numFmtId="177" fontId="0" fillId="4" borderId="2" xfId="0" applyNumberFormat="1" applyFill="1" applyBorder="1" applyAlignment="1"/>
    <xf numFmtId="177" fontId="0" fillId="8" borderId="1" xfId="0" applyNumberFormat="1" applyFill="1" applyBorder="1" applyAlignment="1"/>
    <xf numFmtId="177" fontId="0" fillId="5" borderId="2" xfId="0" applyNumberFormat="1" applyFill="1" applyBorder="1" applyAlignment="1"/>
    <xf numFmtId="177" fontId="0" fillId="5" borderId="18" xfId="0" applyNumberFormat="1" applyFill="1" applyBorder="1" applyAlignment="1"/>
    <xf numFmtId="177" fontId="0" fillId="6" borderId="8" xfId="0" applyNumberFormat="1" applyFill="1" applyBorder="1" applyAlignment="1"/>
    <xf numFmtId="177" fontId="0" fillId="6" borderId="2" xfId="0" applyNumberFormat="1" applyFill="1" applyBorder="1" applyAlignment="1"/>
    <xf numFmtId="177" fontId="0" fillId="6" borderId="18" xfId="0" applyNumberFormat="1" applyFill="1" applyBorder="1" applyAlignment="1"/>
    <xf numFmtId="0" fontId="0" fillId="0" borderId="0" xfId="0" applyBorder="1" applyAlignment="1"/>
    <xf numFmtId="10" fontId="0" fillId="3" borderId="4" xfId="2" applyNumberFormat="1" applyFont="1" applyFill="1" applyBorder="1" applyAlignment="1"/>
    <xf numFmtId="10" fontId="0" fillId="3" borderId="0" xfId="2" applyNumberFormat="1" applyFont="1" applyFill="1" applyBorder="1" applyAlignment="1"/>
    <xf numFmtId="10" fontId="0" fillId="3" borderId="5" xfId="2" applyNumberFormat="1" applyFont="1" applyFill="1" applyBorder="1" applyAlignment="1"/>
    <xf numFmtId="10" fontId="0" fillId="4" borderId="4" xfId="2" applyNumberFormat="1" applyFont="1" applyFill="1" applyBorder="1" applyAlignment="1"/>
    <xf numFmtId="10" fontId="0" fillId="4" borderId="0" xfId="2" applyNumberFormat="1" applyFont="1" applyFill="1" applyBorder="1" applyAlignment="1"/>
    <xf numFmtId="10" fontId="0" fillId="5" borderId="5" xfId="2" applyNumberFormat="1" applyFont="1" applyFill="1" applyBorder="1" applyAlignment="1"/>
    <xf numFmtId="10" fontId="0" fillId="6" borderId="4" xfId="2" applyNumberFormat="1" applyFont="1" applyFill="1" applyBorder="1" applyAlignment="1"/>
    <xf numFmtId="10" fontId="0" fillId="6" borderId="0" xfId="2" applyNumberFormat="1" applyFont="1" applyFill="1" applyBorder="1" applyAlignment="1"/>
    <xf numFmtId="10" fontId="0" fillId="6" borderId="5" xfId="2" applyNumberFormat="1" applyFont="1" applyFill="1" applyBorder="1" applyAlignment="1"/>
    <xf numFmtId="179" fontId="0" fillId="3" borderId="4" xfId="0" applyNumberFormat="1" applyFill="1" applyBorder="1" applyAlignment="1"/>
    <xf numFmtId="179" fontId="0" fillId="3" borderId="0" xfId="0" applyNumberFormat="1" applyFill="1" applyBorder="1" applyAlignment="1"/>
    <xf numFmtId="179" fontId="0" fillId="3" borderId="5" xfId="0" applyNumberFormat="1" applyFill="1" applyBorder="1" applyAlignment="1"/>
    <xf numFmtId="179" fontId="0" fillId="4" borderId="4" xfId="0" applyNumberFormat="1" applyFill="1" applyBorder="1" applyAlignment="1"/>
    <xf numFmtId="179" fontId="0" fillId="4" borderId="0" xfId="0" applyNumberFormat="1" applyFill="1" applyBorder="1" applyAlignment="1"/>
    <xf numFmtId="179" fontId="0" fillId="8" borderId="12" xfId="0" applyNumberFormat="1" applyFill="1" applyBorder="1" applyAlignment="1"/>
    <xf numFmtId="179" fontId="0" fillId="5" borderId="0" xfId="0" applyNumberFormat="1" applyFill="1" applyBorder="1" applyAlignment="1"/>
    <xf numFmtId="179" fontId="0" fillId="5" borderId="5" xfId="0" applyNumberFormat="1" applyFill="1" applyBorder="1" applyAlignment="1"/>
    <xf numFmtId="179" fontId="0" fillId="6" borderId="4" xfId="0" applyNumberFormat="1" applyFill="1" applyBorder="1" applyAlignment="1"/>
    <xf numFmtId="179" fontId="0" fillId="6" borderId="0" xfId="0" applyNumberFormat="1" applyFill="1" applyBorder="1" applyAlignment="1"/>
    <xf numFmtId="179" fontId="0" fillId="6" borderId="5" xfId="0" applyNumberFormat="1" applyFill="1" applyBorder="1" applyAlignment="1"/>
    <xf numFmtId="0" fontId="0" fillId="0" borderId="3" xfId="0" applyBorder="1" applyAlignment="1"/>
    <xf numFmtId="177" fontId="0" fillId="5" borderId="3" xfId="0" applyNumberFormat="1" applyFill="1" applyBorder="1" applyAlignment="1"/>
    <xf numFmtId="177" fontId="0" fillId="5" borderId="7" xfId="0" applyNumberFormat="1" applyFill="1" applyBorder="1" applyAlignment="1"/>
    <xf numFmtId="177" fontId="0" fillId="6" borderId="6" xfId="0" applyNumberFormat="1" applyFill="1" applyBorder="1" applyAlignment="1"/>
    <xf numFmtId="177" fontId="0" fillId="6" borderId="3" xfId="0" applyNumberFormat="1" applyFill="1" applyBorder="1" applyAlignment="1"/>
    <xf numFmtId="177" fontId="0" fillId="6" borderId="7" xfId="0" applyNumberFormat="1" applyFill="1" applyBorder="1" applyAlignment="1"/>
    <xf numFmtId="0" fontId="0" fillId="0" borderId="11" xfId="0" applyBorder="1" applyAlignment="1"/>
    <xf numFmtId="0" fontId="0" fillId="7" borderId="0" xfId="0" applyFill="1" applyAlignment="1"/>
    <xf numFmtId="179" fontId="0" fillId="7" borderId="4" xfId="0" applyNumberFormat="1" applyFill="1" applyBorder="1" applyAlignment="1"/>
    <xf numFmtId="179" fontId="0" fillId="7" borderId="0" xfId="0" applyNumberFormat="1" applyFill="1" applyBorder="1" applyAlignment="1"/>
    <xf numFmtId="0" fontId="0" fillId="0" borderId="7" xfId="0" applyBorder="1" applyAlignment="1"/>
    <xf numFmtId="177" fontId="4" fillId="3" borderId="6" xfId="0" applyNumberFormat="1" applyFont="1" applyFill="1" applyBorder="1" applyAlignment="1"/>
    <xf numFmtId="177" fontId="4" fillId="3" borderId="3" xfId="0" applyNumberFormat="1" applyFont="1" applyFill="1" applyBorder="1" applyAlignment="1"/>
    <xf numFmtId="177" fontId="4" fillId="3" borderId="7" xfId="0" applyNumberFormat="1" applyFont="1" applyFill="1" applyBorder="1" applyAlignment="1"/>
    <xf numFmtId="177" fontId="4" fillId="4" borderId="6" xfId="0" applyNumberFormat="1" applyFont="1" applyFill="1" applyBorder="1" applyAlignment="1"/>
    <xf numFmtId="177" fontId="4" fillId="4" borderId="3" xfId="0" applyNumberFormat="1" applyFont="1" applyFill="1" applyBorder="1" applyAlignment="1"/>
    <xf numFmtId="177" fontId="4" fillId="8" borderId="13" xfId="0" applyNumberFormat="1" applyFont="1" applyFill="1" applyBorder="1" applyAlignment="1"/>
    <xf numFmtId="177" fontId="0" fillId="3" borderId="6" xfId="0" applyNumberFormat="1" applyFill="1" applyBorder="1" applyAlignment="1"/>
    <xf numFmtId="177" fontId="0" fillId="3" borderId="3" xfId="0" applyNumberFormat="1" applyFill="1" applyBorder="1" applyAlignment="1"/>
    <xf numFmtId="177" fontId="0" fillId="3" borderId="7" xfId="0" applyNumberFormat="1" applyFill="1" applyBorder="1" applyAlignment="1"/>
    <xf numFmtId="177" fontId="0" fillId="4" borderId="6" xfId="0" applyNumberFormat="1" applyFill="1" applyBorder="1" applyAlignment="1"/>
    <xf numFmtId="177" fontId="0" fillId="4" borderId="3" xfId="0" applyNumberFormat="1" applyFill="1" applyBorder="1" applyAlignment="1"/>
    <xf numFmtId="177" fontId="0" fillId="8" borderId="13" xfId="0" applyNumberFormat="1" applyFill="1" applyBorder="1" applyAlignment="1"/>
    <xf numFmtId="183" fontId="0" fillId="3" borderId="4" xfId="0" applyNumberFormat="1" applyFill="1" applyBorder="1" applyAlignment="1"/>
    <xf numFmtId="183" fontId="0" fillId="3" borderId="0" xfId="0" applyNumberFormat="1" applyFill="1" applyBorder="1" applyAlignment="1"/>
    <xf numFmtId="183" fontId="0" fillId="3" borderId="5" xfId="0" applyNumberFormat="1" applyFill="1" applyBorder="1" applyAlignment="1"/>
    <xf numFmtId="183" fontId="0" fillId="4" borderId="4" xfId="0" applyNumberFormat="1" applyFill="1" applyBorder="1" applyAlignment="1"/>
    <xf numFmtId="183" fontId="0" fillId="4" borderId="0" xfId="0" applyNumberFormat="1" applyFill="1" applyBorder="1" applyAlignment="1"/>
    <xf numFmtId="183" fontId="0" fillId="8" borderId="12" xfId="0" applyNumberFormat="1" applyFill="1" applyBorder="1" applyAlignment="1"/>
    <xf numFmtId="183" fontId="0" fillId="5" borderId="0" xfId="0" applyNumberFormat="1" applyFill="1" applyBorder="1" applyAlignment="1"/>
    <xf numFmtId="183" fontId="0" fillId="5" borderId="5" xfId="0" applyNumberFormat="1" applyFill="1" applyBorder="1" applyAlignment="1"/>
    <xf numFmtId="183" fontId="0" fillId="6" borderId="4" xfId="0" applyNumberFormat="1" applyFill="1" applyBorder="1" applyAlignment="1"/>
    <xf numFmtId="183" fontId="0" fillId="6" borderId="0" xfId="0" applyNumberFormat="1" applyFill="1" applyBorder="1" applyAlignment="1"/>
    <xf numFmtId="183" fontId="0" fillId="6" borderId="5" xfId="0" applyNumberFormat="1" applyFill="1" applyBorder="1" applyAlignment="1"/>
    <xf numFmtId="179" fontId="0" fillId="0" borderId="10" xfId="0" applyNumberFormat="1" applyBorder="1" applyAlignment="1"/>
    <xf numFmtId="179" fontId="0" fillId="0" borderId="19" xfId="0" applyNumberFormat="1" applyBorder="1" applyAlignment="1"/>
    <xf numFmtId="179" fontId="0" fillId="3" borderId="20" xfId="0" applyNumberFormat="1" applyFill="1" applyBorder="1" applyAlignment="1"/>
    <xf numFmtId="179" fontId="0" fillId="3" borderId="10" xfId="0" applyNumberFormat="1" applyFill="1" applyBorder="1" applyAlignment="1"/>
    <xf numFmtId="179" fontId="0" fillId="3" borderId="19" xfId="0" applyNumberFormat="1" applyFill="1" applyBorder="1" applyAlignment="1"/>
    <xf numFmtId="179" fontId="0" fillId="4" borderId="20" xfId="0" applyNumberFormat="1" applyFill="1" applyBorder="1" applyAlignment="1"/>
    <xf numFmtId="179" fontId="0" fillId="4" borderId="10" xfId="0" applyNumberFormat="1" applyFill="1" applyBorder="1" applyAlignment="1"/>
    <xf numFmtId="179" fontId="0" fillId="8" borderId="21" xfId="0" applyNumberFormat="1" applyFill="1" applyBorder="1" applyAlignment="1"/>
    <xf numFmtId="179" fontId="0" fillId="5" borderId="10" xfId="0" applyNumberFormat="1" applyFill="1" applyBorder="1" applyAlignment="1"/>
    <xf numFmtId="179" fontId="0" fillId="5" borderId="19" xfId="0" applyNumberFormat="1" applyFill="1" applyBorder="1" applyAlignment="1"/>
    <xf numFmtId="179" fontId="0" fillId="6" borderId="20" xfId="0" applyNumberFormat="1" applyFill="1" applyBorder="1" applyAlignment="1"/>
    <xf numFmtId="179" fontId="0" fillId="6" borderId="10" xfId="0" applyNumberFormat="1" applyFill="1" applyBorder="1" applyAlignment="1"/>
    <xf numFmtId="179" fontId="0" fillId="6" borderId="19" xfId="0" applyNumberFormat="1" applyFill="1" applyBorder="1" applyAlignment="1"/>
    <xf numFmtId="0" fontId="4" fillId="3" borderId="22" xfId="0" applyNumberFormat="1" applyFont="1" applyFill="1" applyBorder="1" applyAlignment="1"/>
    <xf numFmtId="177" fontId="4" fillId="3" borderId="11" xfId="0" applyNumberFormat="1" applyFont="1" applyFill="1" applyBorder="1" applyAlignment="1"/>
    <xf numFmtId="177" fontId="4" fillId="3" borderId="23" xfId="0" applyNumberFormat="1" applyFont="1" applyFill="1" applyBorder="1" applyAlignment="1"/>
    <xf numFmtId="177" fontId="4" fillId="4" borderId="22" xfId="0" applyNumberFormat="1" applyFont="1" applyFill="1" applyBorder="1" applyAlignment="1"/>
    <xf numFmtId="177" fontId="4" fillId="4" borderId="11" xfId="0" applyNumberFormat="1" applyFont="1" applyFill="1" applyBorder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179" fontId="0" fillId="0" borderId="0" xfId="0" applyNumberFormat="1" applyAlignment="1"/>
    <xf numFmtId="9" fontId="1" fillId="8" borderId="12" xfId="2" applyFill="1" applyBorder="1" applyAlignment="1"/>
    <xf numFmtId="9" fontId="1" fillId="5" borderId="0" xfId="2" applyFill="1" applyBorder="1" applyAlignment="1"/>
    <xf numFmtId="170" fontId="4" fillId="5" borderId="5" xfId="0" applyNumberFormat="1" applyFont="1" applyFill="1" applyBorder="1" applyAlignment="1"/>
    <xf numFmtId="10" fontId="0" fillId="8" borderId="12" xfId="2" applyNumberFormat="1" applyFont="1" applyFill="1" applyBorder="1" applyAlignment="1"/>
    <xf numFmtId="10" fontId="0" fillId="5" borderId="0" xfId="2" applyNumberFormat="1" applyFont="1" applyFill="1" applyBorder="1" applyAlignment="1"/>
    <xf numFmtId="10" fontId="1" fillId="5" borderId="5" xfId="2" applyNumberFormat="1" applyFill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3" borderId="24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0" fillId="9" borderId="0" xfId="0" applyFill="1" applyAlignment="1">
      <alignment horizontal="left" indent="2"/>
    </xf>
    <xf numFmtId="177" fontId="5" fillId="8" borderId="28" xfId="0" applyNumberFormat="1" applyFont="1" applyFill="1" applyBorder="1" applyAlignment="1">
      <alignment horizontal="right"/>
    </xf>
    <xf numFmtId="177" fontId="5" fillId="5" borderId="11" xfId="0" applyNumberFormat="1" applyFont="1" applyFill="1" applyBorder="1" applyAlignment="1">
      <alignment horizontal="right"/>
    </xf>
    <xf numFmtId="177" fontId="5" fillId="5" borderId="23" xfId="0" applyNumberFormat="1" applyFont="1" applyFill="1" applyBorder="1" applyAlignment="1">
      <alignment horizontal="right"/>
    </xf>
    <xf numFmtId="177" fontId="5" fillId="6" borderId="22" xfId="0" applyNumberFormat="1" applyFont="1" applyFill="1" applyBorder="1" applyAlignment="1">
      <alignment horizontal="right"/>
    </xf>
    <xf numFmtId="177" fontId="5" fillId="6" borderId="11" xfId="0" applyNumberFormat="1" applyFont="1" applyFill="1" applyBorder="1" applyAlignment="1">
      <alignment horizontal="right"/>
    </xf>
    <xf numFmtId="177" fontId="5" fillId="6" borderId="23" xfId="0" applyNumberFormat="1" applyFont="1" applyFill="1" applyBorder="1" applyAlignment="1">
      <alignment horizontal="right"/>
    </xf>
    <xf numFmtId="174" fontId="0" fillId="0" borderId="0" xfId="0" applyNumberFormat="1" applyBorder="1" applyAlignment="1">
      <alignment horizontal="left" indent="2"/>
    </xf>
    <xf numFmtId="179" fontId="0" fillId="0" borderId="0" xfId="0" applyNumberFormat="1" applyBorder="1" applyAlignment="1"/>
    <xf numFmtId="179" fontId="2" fillId="0" borderId="0" xfId="0" applyNumberFormat="1" applyFont="1" applyAlignment="1"/>
    <xf numFmtId="0" fontId="0" fillId="8" borderId="5" xfId="0" applyFill="1" applyBorder="1" applyAlignment="1"/>
    <xf numFmtId="0" fontId="2" fillId="8" borderId="29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Continuous"/>
    </xf>
    <xf numFmtId="0" fontId="2" fillId="5" borderId="26" xfId="0" applyFont="1" applyFill="1" applyBorder="1" applyAlignment="1">
      <alignment horizontal="centerContinuous"/>
    </xf>
    <xf numFmtId="0" fontId="2" fillId="6" borderId="24" xfId="0" applyFont="1" applyFill="1" applyBorder="1" applyAlignment="1">
      <alignment horizontal="centerContinuous"/>
    </xf>
    <xf numFmtId="0" fontId="2" fillId="6" borderId="25" xfId="0" applyFont="1" applyFill="1" applyBorder="1" applyAlignment="1">
      <alignment horizontal="centerContinuous"/>
    </xf>
    <xf numFmtId="0" fontId="2" fillId="6" borderId="26" xfId="0" applyFont="1" applyFill="1" applyBorder="1" applyAlignment="1">
      <alignment horizontal="centerContinuous"/>
    </xf>
    <xf numFmtId="10" fontId="1" fillId="3" borderId="4" xfId="2" applyNumberFormat="1" applyFill="1" applyBorder="1" applyAlignment="1"/>
    <xf numFmtId="10" fontId="1" fillId="3" borderId="0" xfId="2" applyNumberFormat="1" applyFill="1" applyBorder="1" applyAlignment="1"/>
    <xf numFmtId="10" fontId="1" fillId="3" borderId="5" xfId="2" applyNumberFormat="1" applyFill="1" applyBorder="1" applyAlignment="1"/>
    <xf numFmtId="10" fontId="1" fillId="4" borderId="4" xfId="2" applyNumberFormat="1" applyFill="1" applyBorder="1" applyAlignment="1"/>
    <xf numFmtId="10" fontId="1" fillId="4" borderId="0" xfId="2" applyNumberFormat="1" applyFill="1" applyBorder="1" applyAlignment="1"/>
    <xf numFmtId="0" fontId="2" fillId="0" borderId="0" xfId="0" applyFont="1" applyBorder="1" applyAlignment="1">
      <alignment horizontal="left" indent="3"/>
    </xf>
    <xf numFmtId="177" fontId="0" fillId="0" borderId="0" xfId="0" applyNumberFormat="1" applyAlignment="1">
      <alignment horizontal="right"/>
    </xf>
    <xf numFmtId="170" fontId="0" fillId="0" borderId="0" xfId="0" applyNumberFormat="1" applyAlignment="1"/>
    <xf numFmtId="0" fontId="4" fillId="0" borderId="0" xfId="0" applyFont="1" applyFill="1" applyAlignment="1">
      <alignment horizontal="left" indent="1"/>
    </xf>
    <xf numFmtId="0" fontId="4" fillId="0" borderId="0" xfId="0" applyFont="1" applyAlignment="1">
      <alignment horizontal="left" indent="2"/>
    </xf>
    <xf numFmtId="174" fontId="0" fillId="0" borderId="0" xfId="0" applyNumberFormat="1"/>
    <xf numFmtId="17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174" fontId="2" fillId="0" borderId="0" xfId="0" applyNumberFormat="1" applyFont="1"/>
    <xf numFmtId="177" fontId="0" fillId="8" borderId="5" xfId="0" applyNumberFormat="1" applyFill="1" applyBorder="1" applyAlignment="1"/>
    <xf numFmtId="177" fontId="0" fillId="5" borderId="0" xfId="0" applyNumberFormat="1" applyFill="1" applyAlignment="1"/>
    <xf numFmtId="177" fontId="0" fillId="6" borderId="0" xfId="0" applyNumberFormat="1" applyFill="1" applyAlignment="1"/>
    <xf numFmtId="179" fontId="0" fillId="0" borderId="0" xfId="0" applyNumberFormat="1"/>
    <xf numFmtId="185" fontId="0" fillId="0" borderId="0" xfId="0" applyNumberFormat="1" applyAlignment="1">
      <alignment horizontal="right"/>
    </xf>
    <xf numFmtId="0" fontId="4" fillId="0" borderId="9" xfId="0" applyFont="1" applyBorder="1" applyAlignment="1">
      <alignment horizontal="left" indent="1"/>
    </xf>
    <xf numFmtId="177" fontId="4" fillId="0" borderId="9" xfId="0" applyNumberFormat="1" applyFont="1" applyBorder="1" applyAlignment="1">
      <alignment horizontal="right"/>
    </xf>
    <xf numFmtId="177" fontId="0" fillId="0" borderId="9" xfId="0" applyNumberFormat="1" applyBorder="1" applyAlignment="1">
      <alignment horizontal="right"/>
    </xf>
    <xf numFmtId="0" fontId="4" fillId="0" borderId="2" xfId="0" applyFont="1" applyBorder="1" applyAlignment="1">
      <alignment horizontal="left" indent="2"/>
    </xf>
    <xf numFmtId="179" fontId="4" fillId="0" borderId="2" xfId="0" applyNumberFormat="1" applyFon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0" fontId="4" fillId="0" borderId="0" xfId="0" applyNumberFormat="1" applyFont="1" applyBorder="1" applyAlignment="1"/>
    <xf numFmtId="177" fontId="4" fillId="0" borderId="0" xfId="0" applyNumberFormat="1" applyFont="1" applyBorder="1" applyAlignment="1">
      <alignment horizontal="right"/>
    </xf>
    <xf numFmtId="0" fontId="0" fillId="0" borderId="5" xfId="0" applyBorder="1"/>
    <xf numFmtId="170" fontId="2" fillId="0" borderId="5" xfId="0" applyNumberFormat="1" applyFont="1" applyBorder="1" applyAlignment="1"/>
    <xf numFmtId="177" fontId="0" fillId="0" borderId="5" xfId="0" applyNumberFormat="1" applyBorder="1" applyAlignment="1">
      <alignment horizontal="right"/>
    </xf>
    <xf numFmtId="177" fontId="0" fillId="0" borderId="30" xfId="0" applyNumberFormat="1" applyBorder="1" applyAlignment="1">
      <alignment horizontal="right"/>
    </xf>
    <xf numFmtId="179" fontId="2" fillId="0" borderId="18" xfId="0" applyNumberFormat="1" applyFont="1" applyBorder="1" applyAlignment="1">
      <alignment horizontal="right"/>
    </xf>
    <xf numFmtId="174" fontId="4" fillId="0" borderId="0" xfId="0" applyNumberFormat="1" applyFont="1" applyBorder="1"/>
    <xf numFmtId="0" fontId="4" fillId="0" borderId="0" xfId="0" applyFont="1" applyBorder="1"/>
    <xf numFmtId="174" fontId="2" fillId="0" borderId="5" xfId="0" applyNumberFormat="1" applyFont="1" applyBorder="1"/>
    <xf numFmtId="0" fontId="0" fillId="4" borderId="4" xfId="0" applyFill="1" applyBorder="1"/>
    <xf numFmtId="170" fontId="4" fillId="4" borderId="4" xfId="0" applyNumberFormat="1" applyFont="1" applyFill="1" applyBorder="1" applyAlignment="1"/>
    <xf numFmtId="177" fontId="4" fillId="4" borderId="4" xfId="0" applyNumberFormat="1" applyFont="1" applyFill="1" applyBorder="1" applyAlignment="1">
      <alignment horizontal="right"/>
    </xf>
    <xf numFmtId="177" fontId="4" fillId="4" borderId="31" xfId="0" applyNumberFormat="1" applyFont="1" applyFill="1" applyBorder="1" applyAlignment="1">
      <alignment horizontal="right"/>
    </xf>
    <xf numFmtId="179" fontId="4" fillId="4" borderId="8" xfId="0" applyNumberFormat="1" applyFont="1" applyFill="1" applyBorder="1" applyAlignment="1">
      <alignment horizontal="right"/>
    </xf>
    <xf numFmtId="174" fontId="4" fillId="4" borderId="4" xfId="0" applyNumberFormat="1" applyFont="1" applyFill="1" applyBorder="1"/>
    <xf numFmtId="0" fontId="4" fillId="4" borderId="4" xfId="0" applyFont="1" applyFill="1" applyBorder="1"/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0" xfId="0" applyAlignment="1">
      <alignment horizontal="right"/>
    </xf>
    <xf numFmtId="177" fontId="0" fillId="2" borderId="0" xfId="0" applyNumberFormat="1" applyFill="1" applyBorder="1" applyAlignment="1"/>
    <xf numFmtId="177" fontId="0" fillId="2" borderId="5" xfId="0" applyNumberFormat="1" applyFill="1" applyBorder="1" applyAlignment="1"/>
    <xf numFmtId="170" fontId="2" fillId="2" borderId="12" xfId="1" applyNumberFormat="1" applyFont="1" applyFill="1" applyBorder="1" applyAlignment="1"/>
    <xf numFmtId="170" fontId="2" fillId="2" borderId="0" xfId="1" applyNumberFormat="1" applyFont="1" applyFill="1" applyBorder="1" applyAlignment="1"/>
    <xf numFmtId="170" fontId="2" fillId="2" borderId="5" xfId="1" applyNumberFormat="1" applyFont="1" applyFill="1" applyBorder="1" applyAlignment="1"/>
    <xf numFmtId="170" fontId="2" fillId="2" borderId="4" xfId="1" applyNumberFormat="1" applyFont="1" applyFill="1" applyBorder="1" applyAlignment="1"/>
    <xf numFmtId="170" fontId="0" fillId="2" borderId="12" xfId="0" applyNumberFormat="1" applyFill="1" applyBorder="1" applyAlignment="1"/>
    <xf numFmtId="170" fontId="0" fillId="2" borderId="0" xfId="0" applyNumberFormat="1" applyFill="1" applyBorder="1" applyAlignment="1"/>
    <xf numFmtId="170" fontId="0" fillId="2" borderId="5" xfId="0" applyNumberFormat="1" applyFill="1" applyBorder="1" applyAlignment="1"/>
    <xf numFmtId="170" fontId="0" fillId="2" borderId="4" xfId="0" applyNumberFormat="1" applyFill="1" applyBorder="1" applyAlignment="1"/>
    <xf numFmtId="177" fontId="4" fillId="2" borderId="12" xfId="0" applyNumberFormat="1" applyFont="1" applyFill="1" applyBorder="1" applyAlignment="1">
      <alignment horizontal="center"/>
    </xf>
    <xf numFmtId="177" fontId="0" fillId="2" borderId="4" xfId="0" applyNumberFormat="1" applyFill="1" applyBorder="1" applyAlignment="1"/>
    <xf numFmtId="170" fontId="2" fillId="2" borderId="4" xfId="0" applyNumberFormat="1" applyFont="1" applyFill="1" applyBorder="1" applyAlignment="1"/>
    <xf numFmtId="170" fontId="2" fillId="2" borderId="0" xfId="0" applyNumberFormat="1" applyFont="1" applyFill="1" applyBorder="1" applyAlignment="1"/>
    <xf numFmtId="170" fontId="2" fillId="2" borderId="5" xfId="0" applyNumberFormat="1" applyFont="1" applyFill="1" applyBorder="1" applyAlignment="1"/>
    <xf numFmtId="0" fontId="0" fillId="0" borderId="0" xfId="0" applyAlignment="1">
      <alignment horizontal="left" indent="3"/>
    </xf>
    <xf numFmtId="0" fontId="2" fillId="0" borderId="0" xfId="0" applyFont="1" applyAlignment="1">
      <alignment horizontal="left" indent="4"/>
    </xf>
    <xf numFmtId="179" fontId="0" fillId="0" borderId="1" xfId="0" applyNumberFormat="1" applyBorder="1"/>
    <xf numFmtId="188" fontId="0" fillId="8" borderId="12" xfId="0" applyNumberFormat="1" applyFill="1" applyBorder="1" applyAlignment="1"/>
    <xf numFmtId="0" fontId="0" fillId="0" borderId="0" xfId="0" applyBorder="1" applyAlignment="1">
      <alignment horizontal="left" indent="2"/>
    </xf>
    <xf numFmtId="179" fontId="0" fillId="0" borderId="0" xfId="0" applyNumberFormat="1" applyBorder="1"/>
    <xf numFmtId="0" fontId="0" fillId="0" borderId="11" xfId="0" applyBorder="1" applyAlignment="1">
      <alignment horizontal="left" indent="3"/>
    </xf>
    <xf numFmtId="0" fontId="0" fillId="0" borderId="11" xfId="0" applyBorder="1"/>
    <xf numFmtId="179" fontId="0" fillId="0" borderId="11" xfId="0" applyNumberFormat="1" applyBorder="1"/>
    <xf numFmtId="179" fontId="0" fillId="0" borderId="11" xfId="0" applyNumberFormat="1" applyBorder="1" applyAlignment="1">
      <alignment horizontal="right"/>
    </xf>
    <xf numFmtId="0" fontId="2" fillId="0" borderId="9" xfId="0" applyFont="1" applyBorder="1" applyAlignment="1">
      <alignment horizontal="left" indent="1"/>
    </xf>
    <xf numFmtId="179" fontId="0" fillId="0" borderId="9" xfId="0" applyNumberFormat="1" applyBorder="1"/>
    <xf numFmtId="179" fontId="0" fillId="0" borderId="28" xfId="0" applyNumberFormat="1" applyBorder="1"/>
    <xf numFmtId="0" fontId="2" fillId="0" borderId="11" xfId="0" applyFont="1" applyBorder="1"/>
    <xf numFmtId="0" fontId="0" fillId="0" borderId="2" xfId="0" applyBorder="1" applyAlignment="1">
      <alignment horizontal="right"/>
    </xf>
    <xf numFmtId="17" fontId="0" fillId="0" borderId="2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33" xfId="0" applyBorder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/>
    <xf numFmtId="174" fontId="0" fillId="0" borderId="4" xfId="0" applyNumberFormat="1" applyBorder="1" applyAlignment="1">
      <alignment horizontal="center"/>
    </xf>
    <xf numFmtId="174" fontId="0" fillId="0" borderId="0" xfId="0" applyNumberFormat="1" applyBorder="1" applyAlignment="1">
      <alignment horizontal="center"/>
    </xf>
    <xf numFmtId="174" fontId="0" fillId="0" borderId="5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78" fontId="2" fillId="0" borderId="12" xfId="0" applyNumberFormat="1" applyFont="1" applyBorder="1" applyAlignment="1">
      <alignment horizontal="center"/>
    </xf>
    <xf numFmtId="174" fontId="2" fillId="0" borderId="12" xfId="0" applyNumberFormat="1" applyFont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5" fillId="0" borderId="0" xfId="0" quotePrefix="1" applyFont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indent="1"/>
    </xf>
    <xf numFmtId="178" fontId="4" fillId="0" borderId="5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485775</xdr:colOff>
          <xdr:row>2</xdr:row>
          <xdr:rowOff>0</xdr:rowOff>
        </xdr:from>
        <xdr:to>
          <xdr:col>1</xdr:col>
          <xdr:colOff>752475</xdr:colOff>
          <xdr:row>3</xdr:row>
          <xdr:rowOff>47625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AA214E4-8D78-A5B6-E306-39218EED8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485775</xdr:colOff>
          <xdr:row>2</xdr:row>
          <xdr:rowOff>9525</xdr:rowOff>
        </xdr:from>
        <xdr:to>
          <xdr:col>1</xdr:col>
          <xdr:colOff>752475</xdr:colOff>
          <xdr:row>3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CB3B452-9C38-EC49-9412-BF81EB371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485775</xdr:colOff>
          <xdr:row>2</xdr:row>
          <xdr:rowOff>28575</xdr:rowOff>
        </xdr:from>
        <xdr:to>
          <xdr:col>1</xdr:col>
          <xdr:colOff>752475</xdr:colOff>
          <xdr:row>3</xdr:row>
          <xdr:rowOff>76200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0C0A09C-7670-7F80-16A7-8028F3203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8"/>
  <sheetViews>
    <sheetView zoomScale="75" workbookViewId="0"/>
  </sheetViews>
  <sheetFormatPr defaultRowHeight="12.75" x14ac:dyDescent="0.2"/>
  <cols>
    <col min="1" max="1" width="44.140625" customWidth="1"/>
    <col min="2" max="5" width="15.7109375" customWidth="1"/>
    <col min="6" max="6" width="4.7109375" customWidth="1"/>
    <col min="7" max="10" width="15.7109375" customWidth="1"/>
    <col min="11" max="11" width="4.7109375" customWidth="1"/>
    <col min="12" max="15" width="15.7109375" customWidth="1"/>
  </cols>
  <sheetData>
    <row r="1" spans="1:32" ht="15.75" x14ac:dyDescent="0.25">
      <c r="A1" s="341" t="s">
        <v>112</v>
      </c>
    </row>
    <row r="2" spans="1:32" ht="15.75" x14ac:dyDescent="0.25">
      <c r="A2" s="341"/>
    </row>
    <row r="3" spans="1:32" ht="15.75" x14ac:dyDescent="0.25">
      <c r="A3" s="341"/>
    </row>
    <row r="4" spans="1:32" x14ac:dyDescent="0.2">
      <c r="B4" s="339" t="s">
        <v>67</v>
      </c>
      <c r="C4" s="340"/>
      <c r="D4" s="340"/>
      <c r="E4" s="340"/>
      <c r="G4" s="339" t="s">
        <v>68</v>
      </c>
      <c r="H4" s="340"/>
      <c r="I4" s="340"/>
      <c r="J4" s="340"/>
      <c r="L4" s="339" t="s">
        <v>110</v>
      </c>
      <c r="M4" s="340"/>
      <c r="N4" s="340"/>
      <c r="O4" s="340"/>
    </row>
    <row r="5" spans="1:32" ht="13.5" thickBot="1" x14ac:dyDescent="0.25">
      <c r="B5" s="371" t="s">
        <v>114</v>
      </c>
      <c r="C5" s="372" t="s">
        <v>115</v>
      </c>
      <c r="D5" s="372" t="s">
        <v>116</v>
      </c>
      <c r="E5" s="373" t="s">
        <v>117</v>
      </c>
      <c r="F5" s="374"/>
      <c r="G5" s="371" t="s">
        <v>114</v>
      </c>
      <c r="H5" s="372" t="s">
        <v>115</v>
      </c>
      <c r="I5" s="372" t="s">
        <v>116</v>
      </c>
      <c r="J5" s="373" t="s">
        <v>117</v>
      </c>
      <c r="K5" s="374"/>
      <c r="L5" s="371" t="s">
        <v>114</v>
      </c>
      <c r="M5" s="372" t="s">
        <v>115</v>
      </c>
      <c r="N5" s="372" t="s">
        <v>116</v>
      </c>
      <c r="O5" s="373" t="s">
        <v>117</v>
      </c>
      <c r="P5" s="338"/>
      <c r="Q5" s="338"/>
      <c r="R5" s="338"/>
    </row>
    <row r="6" spans="1:32" x14ac:dyDescent="0.2">
      <c r="A6" s="69"/>
      <c r="B6" s="364"/>
      <c r="C6" s="12"/>
      <c r="D6" s="12"/>
      <c r="E6" s="356"/>
      <c r="G6" s="364"/>
      <c r="H6" s="12"/>
      <c r="I6" s="12"/>
      <c r="J6" s="356"/>
      <c r="L6" s="364"/>
      <c r="M6" s="12"/>
      <c r="N6" s="12"/>
      <c r="O6" s="356"/>
    </row>
    <row r="7" spans="1:32" s="1" customFormat="1" x14ac:dyDescent="0.2">
      <c r="A7" s="4" t="s">
        <v>113</v>
      </c>
      <c r="B7" s="365">
        <f>'PG&amp;E'!$AB26</f>
        <v>255320.59830009213</v>
      </c>
      <c r="C7" s="354">
        <f>'PG&amp;E'!$AC26</f>
        <v>683169.1078632928</v>
      </c>
      <c r="D7" s="354">
        <f>'PG&amp;E'!$AD26</f>
        <v>2492385.6087786984</v>
      </c>
      <c r="E7" s="357">
        <f>C7+D7</f>
        <v>3175554.7166419914</v>
      </c>
      <c r="F7" s="342"/>
      <c r="G7" s="365">
        <f>SCE!$AB26</f>
        <v>146825.85977249747</v>
      </c>
      <c r="H7" s="354">
        <f>SCE!$AC26</f>
        <v>467714.6726108513</v>
      </c>
      <c r="I7" s="354">
        <f>SCE!$AD26</f>
        <v>1175161.684346586</v>
      </c>
      <c r="J7" s="357">
        <f>H7+I7</f>
        <v>1642876.3569574372</v>
      </c>
      <c r="K7" s="342"/>
      <c r="L7" s="369">
        <f>B7+G7</f>
        <v>402146.45807258959</v>
      </c>
      <c r="M7" s="361">
        <f>C7+H7</f>
        <v>1150883.780474144</v>
      </c>
      <c r="N7" s="361">
        <f>D7+I7</f>
        <v>3667547.2931252844</v>
      </c>
      <c r="O7" s="363">
        <f>E7+J7</f>
        <v>4818431.0735994289</v>
      </c>
    </row>
    <row r="8" spans="1:32" x14ac:dyDescent="0.2">
      <c r="A8" s="334" t="s">
        <v>101</v>
      </c>
      <c r="B8" s="366">
        <f>'PG&amp;E'!$AB53</f>
        <v>49.872722389050331</v>
      </c>
      <c r="C8" s="355">
        <f>'PG&amp;E'!$AC53</f>
        <v>66.714802987794585</v>
      </c>
      <c r="D8" s="355">
        <f>'PG&amp;E'!$AD53</f>
        <v>57.6871663099055</v>
      </c>
      <c r="E8" s="358">
        <f>'PG&amp;E'!$AE53</f>
        <v>59.629315964271768</v>
      </c>
      <c r="G8" s="366">
        <f>SCE!$AB53</f>
        <v>66.301126674014824</v>
      </c>
      <c r="H8" s="355">
        <f>SCE!$AC53</f>
        <v>75.598164602746152</v>
      </c>
      <c r="I8" s="355">
        <f>SCE!$AD53</f>
        <v>69.522646424162048</v>
      </c>
      <c r="J8" s="358">
        <f>SCE!$AE53</f>
        <v>71.252301235860926</v>
      </c>
      <c r="L8" s="370"/>
      <c r="M8" s="362"/>
      <c r="N8" s="362"/>
      <c r="O8" s="356"/>
    </row>
    <row r="9" spans="1:32" x14ac:dyDescent="0.2">
      <c r="A9" s="334" t="s">
        <v>37</v>
      </c>
      <c r="B9" s="366">
        <f>'PG&amp;E'!$AB52</f>
        <v>21.409758203049506</v>
      </c>
      <c r="C9" s="355">
        <f>'PG&amp;E'!$AC52</f>
        <v>20.553477228015378</v>
      </c>
      <c r="D9" s="355">
        <f>'PG&amp;E'!$AD52</f>
        <v>19.652475745303295</v>
      </c>
      <c r="E9" s="358">
        <f>'PG&amp;E'!$AE52</f>
        <v>19.846311605193254</v>
      </c>
      <c r="G9" s="366">
        <f>SCE!$AB52</f>
        <v>24.752464885712175</v>
      </c>
      <c r="H9" s="355">
        <f>SCE!$AC52</f>
        <v>24.714686056571708</v>
      </c>
      <c r="I9" s="355">
        <f>SCE!$AD52</f>
        <v>23.300585931041308</v>
      </c>
      <c r="J9" s="358">
        <f>SCE!$AE52</f>
        <v>23.703169713107727</v>
      </c>
      <c r="L9" s="370"/>
      <c r="M9" s="362"/>
      <c r="N9" s="362"/>
      <c r="O9" s="356"/>
    </row>
    <row r="10" spans="1:32" x14ac:dyDescent="0.2">
      <c r="A10" s="6" t="s">
        <v>105</v>
      </c>
      <c r="B10" s="366">
        <f>'PG&amp;E'!$AB55</f>
        <v>10.000000000000007</v>
      </c>
      <c r="C10" s="355">
        <f>'PG&amp;E'!$AC55</f>
        <v>32.868774035027322</v>
      </c>
      <c r="D10" s="355">
        <f>'PG&amp;E'!$AD55</f>
        <v>48.295559298221761</v>
      </c>
      <c r="E10" s="358">
        <f>'PG&amp;E'!$AE55</f>
        <v>44.976736583493107</v>
      </c>
      <c r="G10" s="366">
        <f>SCE!$AB55</f>
        <v>0</v>
      </c>
      <c r="H10" s="355">
        <f>SCE!$AC55</f>
        <v>0</v>
      </c>
      <c r="I10" s="355">
        <f>SCE!$AD55</f>
        <v>0</v>
      </c>
      <c r="J10" s="358">
        <f>SCE!$AE55</f>
        <v>0</v>
      </c>
      <c r="L10" s="370"/>
      <c r="M10" s="362"/>
      <c r="N10" s="362"/>
      <c r="O10" s="356"/>
    </row>
    <row r="11" spans="1:32" x14ac:dyDescent="0.2">
      <c r="A11" s="335" t="s">
        <v>103</v>
      </c>
      <c r="B11" s="366">
        <f>B8+B10</f>
        <v>59.872722389050338</v>
      </c>
      <c r="C11" s="355">
        <f>C8+C10</f>
        <v>99.583577022821913</v>
      </c>
      <c r="D11" s="355">
        <f>D8+D10</f>
        <v>105.98272560812725</v>
      </c>
      <c r="E11" s="358">
        <f>E8+E10</f>
        <v>104.60605254776488</v>
      </c>
      <c r="F11" s="332"/>
      <c r="G11" s="366">
        <f>G8+G10</f>
        <v>66.301126674014824</v>
      </c>
      <c r="H11" s="355">
        <f>H8+H10</f>
        <v>75.598164602746152</v>
      </c>
      <c r="I11" s="355">
        <f>I8+I10</f>
        <v>69.522646424162048</v>
      </c>
      <c r="J11" s="358">
        <f>J8+J10</f>
        <v>71.252301235860926</v>
      </c>
      <c r="K11" s="332"/>
      <c r="L11" s="366"/>
      <c r="M11" s="355"/>
      <c r="N11" s="355"/>
      <c r="O11" s="358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</row>
    <row r="12" spans="1:32" x14ac:dyDescent="0.2">
      <c r="A12" s="6" t="s">
        <v>102</v>
      </c>
      <c r="B12" s="366">
        <f>'PG&amp;E'!$AB68</f>
        <v>225.74190006243512</v>
      </c>
      <c r="C12" s="355">
        <f>'PG&amp;E'!$AC68</f>
        <v>146.95032987378599</v>
      </c>
      <c r="D12" s="355">
        <f>'PG&amp;E'!$AD68</f>
        <v>54.656985656222588</v>
      </c>
      <c r="E12" s="358">
        <f>'PG&amp;E'!$AE68</f>
        <v>74.512402191922277</v>
      </c>
      <c r="F12" s="332"/>
      <c r="G12" s="366">
        <f>SCE!$AB68</f>
        <v>195.40209111707424</v>
      </c>
      <c r="H12" s="355">
        <f>SCE!$AC68</f>
        <v>160.42647408015051</v>
      </c>
      <c r="I12" s="355">
        <f>SCE!$AD68</f>
        <v>48.369903642208307</v>
      </c>
      <c r="J12" s="358">
        <f>SCE!$AE68</f>
        <v>80.271575325730353</v>
      </c>
      <c r="K12" s="332"/>
      <c r="L12" s="366"/>
      <c r="M12" s="355"/>
      <c r="N12" s="355"/>
      <c r="O12" s="358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</row>
    <row r="13" spans="1:32" s="50" customFormat="1" ht="4.5" customHeight="1" thickBot="1" x14ac:dyDescent="0.25">
      <c r="A13" s="348"/>
      <c r="B13" s="367"/>
      <c r="C13" s="349"/>
      <c r="D13" s="349"/>
      <c r="E13" s="359"/>
      <c r="F13" s="350"/>
      <c r="G13" s="367"/>
      <c r="H13" s="349"/>
      <c r="I13" s="349"/>
      <c r="J13" s="359"/>
      <c r="K13" s="350"/>
      <c r="L13" s="367"/>
      <c r="M13" s="349"/>
      <c r="N13" s="349"/>
      <c r="O13" s="359"/>
      <c r="P13" s="350"/>
      <c r="Q13" s="350"/>
      <c r="R13" s="350"/>
      <c r="S13" s="350"/>
      <c r="T13" s="350"/>
      <c r="U13" s="350"/>
      <c r="V13" s="350"/>
      <c r="W13" s="350"/>
      <c r="X13" s="350"/>
      <c r="Y13" s="350"/>
      <c r="Z13" s="350"/>
      <c r="AA13" s="350"/>
      <c r="AB13" s="350"/>
      <c r="AC13" s="350"/>
      <c r="AD13" s="350"/>
      <c r="AE13" s="350"/>
      <c r="AF13" s="350"/>
    </row>
    <row r="14" spans="1:32" x14ac:dyDescent="0.2">
      <c r="B14" s="366"/>
      <c r="C14" s="355"/>
      <c r="D14" s="355"/>
      <c r="E14" s="358"/>
      <c r="F14" s="332"/>
      <c r="G14" s="366"/>
      <c r="H14" s="355"/>
      <c r="I14" s="355"/>
      <c r="J14" s="358"/>
      <c r="K14" s="332"/>
      <c r="L14" s="366"/>
      <c r="M14" s="355"/>
      <c r="N14" s="355"/>
      <c r="O14" s="358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</row>
    <row r="15" spans="1:32" x14ac:dyDescent="0.2">
      <c r="B15" s="366"/>
      <c r="C15" s="355"/>
      <c r="D15" s="355"/>
      <c r="E15" s="358"/>
      <c r="F15" s="332"/>
      <c r="G15" s="366"/>
      <c r="H15" s="355"/>
      <c r="I15" s="355"/>
      <c r="J15" s="358"/>
      <c r="K15" s="332"/>
      <c r="L15" s="366"/>
      <c r="M15" s="355"/>
      <c r="N15" s="355"/>
      <c r="O15" s="358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</row>
    <row r="16" spans="1:32" x14ac:dyDescent="0.2">
      <c r="B16" s="366"/>
      <c r="C16" s="355"/>
      <c r="D16" s="355"/>
      <c r="E16" s="358"/>
      <c r="F16" s="332"/>
      <c r="G16" s="366"/>
      <c r="H16" s="355"/>
      <c r="I16" s="355"/>
      <c r="J16" s="358"/>
      <c r="K16" s="332"/>
      <c r="L16" s="366"/>
      <c r="M16" s="355"/>
      <c r="N16" s="355"/>
      <c r="O16" s="358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</row>
    <row r="17" spans="1:32" x14ac:dyDescent="0.2">
      <c r="A17" s="4" t="s">
        <v>62</v>
      </c>
      <c r="B17" s="366"/>
      <c r="C17" s="355"/>
      <c r="D17" s="355"/>
      <c r="E17" s="358"/>
      <c r="F17" s="332"/>
      <c r="G17" s="366"/>
      <c r="H17" s="355"/>
      <c r="I17" s="355"/>
      <c r="J17" s="358"/>
      <c r="K17" s="332"/>
      <c r="L17" s="366"/>
      <c r="M17" s="355"/>
      <c r="N17" s="355"/>
      <c r="O17" s="358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</row>
    <row r="18" spans="1:32" x14ac:dyDescent="0.2">
      <c r="A18" s="335" t="s">
        <v>109</v>
      </c>
      <c r="B18" s="366">
        <f>B30</f>
        <v>59.872722389050331</v>
      </c>
      <c r="C18" s="355">
        <f>'PG&amp;E'!$AC88</f>
        <v>105.30288239453107</v>
      </c>
      <c r="D18" s="355">
        <f>'PG&amp;E'!$AD88</f>
        <v>106.89333206924873</v>
      </c>
      <c r="E18" s="358">
        <f>'PG&amp;E'!$AE88</f>
        <v>106.55117260977407</v>
      </c>
      <c r="F18" s="332"/>
      <c r="G18" s="366">
        <f>G30</f>
        <v>76.301126674014824</v>
      </c>
      <c r="H18" s="355">
        <f>SCE!$AC88</f>
        <v>100.24254958845967</v>
      </c>
      <c r="I18" s="355">
        <f>SCE!$AD88</f>
        <v>118.37261322999106</v>
      </c>
      <c r="J18" s="358">
        <f>SCE!$AE88</f>
        <v>113.2111190343981</v>
      </c>
      <c r="K18" s="332"/>
      <c r="L18" s="366"/>
      <c r="M18" s="355"/>
      <c r="N18" s="355"/>
      <c r="O18" s="358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</row>
    <row r="19" spans="1:32" x14ac:dyDescent="0.2">
      <c r="A19" s="335" t="s">
        <v>72</v>
      </c>
      <c r="B19" s="366">
        <f>B31</f>
        <v>225.74190006243512</v>
      </c>
      <c r="C19" s="355">
        <f>'PG&amp;E'!$AC90</f>
        <v>84.749405166515714</v>
      </c>
      <c r="D19" s="355">
        <f>'PG&amp;E'!$AD90</f>
        <v>87.240856323945422</v>
      </c>
      <c r="E19" s="358">
        <f>'PG&amp;E'!$AE90</f>
        <v>86.704861004580849</v>
      </c>
      <c r="F19" s="332"/>
      <c r="G19" s="366">
        <f>G31</f>
        <v>195.40209111707424</v>
      </c>
      <c r="H19" s="355">
        <f>SCE!$AC90</f>
        <v>75.527863531887974</v>
      </c>
      <c r="I19" s="355">
        <f>SCE!$AD90</f>
        <v>95.072027298949763</v>
      </c>
      <c r="J19" s="358">
        <f>SCE!$AE90</f>
        <v>89.507949321290383</v>
      </c>
      <c r="K19" s="332"/>
      <c r="L19" s="366"/>
      <c r="M19" s="355"/>
      <c r="N19" s="355"/>
      <c r="O19" s="358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</row>
    <row r="20" spans="1:32" x14ac:dyDescent="0.2">
      <c r="A20" s="335" t="s">
        <v>80</v>
      </c>
      <c r="B20" s="366">
        <f>B32</f>
        <v>-165.8691776733848</v>
      </c>
      <c r="C20" s="355">
        <f>'PG&amp;E'!$AC91</f>
        <v>20.553477228015378</v>
      </c>
      <c r="D20" s="355">
        <f>'PG&amp;E'!$AD91</f>
        <v>19.652475745303295</v>
      </c>
      <c r="E20" s="358">
        <f>'PG&amp;E'!$AE91</f>
        <v>19.846311605193254</v>
      </c>
      <c r="F20" s="332"/>
      <c r="G20" s="366">
        <f>G32</f>
        <v>-119.10096444305941</v>
      </c>
      <c r="H20" s="355">
        <f>SCE!$AC91</f>
        <v>24.714686056571708</v>
      </c>
      <c r="I20" s="355">
        <f>SCE!$AD91</f>
        <v>23.300585931041308</v>
      </c>
      <c r="J20" s="358">
        <f>SCE!$AE91</f>
        <v>23.703169713107727</v>
      </c>
      <c r="K20" s="332"/>
      <c r="L20" s="366"/>
      <c r="M20" s="355"/>
      <c r="N20" s="355"/>
      <c r="O20" s="358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</row>
    <row r="21" spans="1:32" x14ac:dyDescent="0.2">
      <c r="A21" s="351" t="s">
        <v>104</v>
      </c>
      <c r="B21" s="368">
        <f>'PG&amp;E'!$K94</f>
        <v>42349817.68311289</v>
      </c>
      <c r="C21" s="352">
        <f>'PG&amp;E'!$S94</f>
        <v>-14041500.701351769</v>
      </c>
      <c r="D21" s="352">
        <f>'PG&amp;E'!$Z94</f>
        <v>-48981547.724466361</v>
      </c>
      <c r="E21" s="360">
        <f>C21+D21</f>
        <v>-63023048.42581813</v>
      </c>
      <c r="F21" s="353"/>
      <c r="G21" s="368">
        <f>SCE!$K94</f>
        <v>17487101.504085846</v>
      </c>
      <c r="H21" s="352">
        <f>SCE!$S94</f>
        <v>-11559421.297629409</v>
      </c>
      <c r="I21" s="352">
        <f>SCE!$Z94</f>
        <v>-27381955.808984868</v>
      </c>
      <c r="J21" s="360">
        <f>H21+I21</f>
        <v>-38941377.106614277</v>
      </c>
      <c r="K21" s="353"/>
      <c r="L21" s="368">
        <f>B21+G21</f>
        <v>59836919.187198736</v>
      </c>
      <c r="M21" s="352">
        <f>C21+H21</f>
        <v>-25600921.998981178</v>
      </c>
      <c r="N21" s="352">
        <f>D21+I21</f>
        <v>-76363503.533451229</v>
      </c>
      <c r="O21" s="360">
        <f>E21+J21</f>
        <v>-101964425.53243241</v>
      </c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</row>
    <row r="22" spans="1:32" x14ac:dyDescent="0.2">
      <c r="B22" s="366"/>
      <c r="C22" s="355"/>
      <c r="D22" s="355"/>
      <c r="E22" s="358"/>
      <c r="F22" s="332"/>
      <c r="G22" s="366"/>
      <c r="H22" s="355"/>
      <c r="I22" s="355"/>
      <c r="J22" s="358"/>
      <c r="K22" s="332"/>
      <c r="L22" s="366"/>
      <c r="M22" s="355"/>
      <c r="N22" s="355"/>
      <c r="O22" s="358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</row>
    <row r="23" spans="1:32" x14ac:dyDescent="0.2">
      <c r="A23" s="4" t="s">
        <v>106</v>
      </c>
      <c r="B23" s="366"/>
      <c r="C23" s="355"/>
      <c r="D23" s="355"/>
      <c r="E23" s="358"/>
      <c r="F23" s="332"/>
      <c r="G23" s="366"/>
      <c r="H23" s="355"/>
      <c r="I23" s="355"/>
      <c r="J23" s="358"/>
      <c r="K23" s="332"/>
      <c r="L23" s="366"/>
      <c r="M23" s="355"/>
      <c r="N23" s="355"/>
      <c r="O23" s="358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</row>
    <row r="24" spans="1:32" x14ac:dyDescent="0.2">
      <c r="A24" s="335" t="s">
        <v>109</v>
      </c>
      <c r="B24" s="366">
        <f>'PG&amp;E'!$AB102</f>
        <v>59.872722389050331</v>
      </c>
      <c r="C24" s="355">
        <f>'PG&amp;E'!$AC102</f>
        <v>76.71480298779457</v>
      </c>
      <c r="D24" s="355">
        <f>'PG&amp;E'!$AD102</f>
        <v>67.687166309905479</v>
      </c>
      <c r="E24" s="358">
        <f>'PG&amp;E'!$AE102</f>
        <v>69.629315964271754</v>
      </c>
      <c r="F24" s="332"/>
      <c r="G24" s="366">
        <f>SCE!$AB102</f>
        <v>76.301126674014824</v>
      </c>
      <c r="H24" s="355">
        <f>SCE!$AC102</f>
        <v>85.598164602746152</v>
      </c>
      <c r="I24" s="355">
        <f>SCE!$AD102</f>
        <v>79.522646424162048</v>
      </c>
      <c r="J24" s="358">
        <f>SCE!$AE102</f>
        <v>81.252301235860912</v>
      </c>
      <c r="K24" s="332"/>
      <c r="L24" s="366"/>
      <c r="M24" s="355"/>
      <c r="N24" s="355"/>
      <c r="O24" s="358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</row>
    <row r="25" spans="1:32" x14ac:dyDescent="0.2">
      <c r="A25" s="335" t="s">
        <v>72</v>
      </c>
      <c r="B25" s="366">
        <f>'PG&amp;E'!$AB104</f>
        <v>56.708829924133646</v>
      </c>
      <c r="C25" s="355">
        <f>'PG&amp;E'!$AC104</f>
        <v>52.18644662352888</v>
      </c>
      <c r="D25" s="355">
        <f>'PG&amp;E'!$AD104</f>
        <v>51.200871248655687</v>
      </c>
      <c r="E25" s="358">
        <f>'PG&amp;E'!$AE104</f>
        <v>51.412901810136979</v>
      </c>
      <c r="F25" s="332"/>
      <c r="G25" s="366">
        <f>SCE!$AB104</f>
        <v>71.148772094976493</v>
      </c>
      <c r="H25" s="355">
        <f>SCE!$AC104</f>
        <v>62.884997267586392</v>
      </c>
      <c r="I25" s="355">
        <f>SCE!$AD104</f>
        <v>59.349855608704097</v>
      </c>
      <c r="J25" s="358">
        <f>SCE!$AE104</f>
        <v>60.356284130616267</v>
      </c>
      <c r="K25" s="332"/>
      <c r="L25" s="366"/>
      <c r="M25" s="355"/>
      <c r="N25" s="355"/>
      <c r="O25" s="358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</row>
    <row r="26" spans="1:32" x14ac:dyDescent="0.2">
      <c r="A26" s="335" t="s">
        <v>80</v>
      </c>
      <c r="B26" s="366">
        <f>'PG&amp;E'!$AB105</f>
        <v>3.1638924649166853</v>
      </c>
      <c r="C26" s="355">
        <f>'PG&amp;E'!$AC105</f>
        <v>24.528356364265704</v>
      </c>
      <c r="D26" s="355">
        <f>'PG&amp;E'!$AD105</f>
        <v>16.486295061249802</v>
      </c>
      <c r="E26" s="358">
        <f>'PG&amp;E'!$AE105</f>
        <v>18.216414154134789</v>
      </c>
      <c r="F26" s="332"/>
      <c r="G26" s="366">
        <f>SCE!$AB105</f>
        <v>5.1523545790383309</v>
      </c>
      <c r="H26" s="355">
        <f>SCE!$AC105</f>
        <v>22.713167335159753</v>
      </c>
      <c r="I26" s="355">
        <f>SCE!$AD105</f>
        <v>20.172790815457951</v>
      </c>
      <c r="J26" s="358">
        <f>SCE!$AE105</f>
        <v>20.896017105244653</v>
      </c>
      <c r="K26" s="332"/>
      <c r="L26" s="366"/>
      <c r="M26" s="355"/>
      <c r="N26" s="355"/>
      <c r="O26" s="358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</row>
    <row r="27" spans="1:32" x14ac:dyDescent="0.2">
      <c r="A27" s="351" t="s">
        <v>104</v>
      </c>
      <c r="B27" s="368">
        <f>'PG&amp;E'!$K108</f>
        <v>-807806.91709968133</v>
      </c>
      <c r="C27" s="352">
        <f>'PG&amp;E'!$S108</f>
        <v>-16757015.334728321</v>
      </c>
      <c r="D27" s="352">
        <f>'PG&amp;E'!$Z108</f>
        <v>-41090204.552738331</v>
      </c>
      <c r="E27" s="360">
        <f>C27+D27</f>
        <v>-57847219.887466654</v>
      </c>
      <c r="F27" s="353"/>
      <c r="G27" s="368">
        <f>SCE!$K108</f>
        <v>-756498.89092006721</v>
      </c>
      <c r="H27" s="352">
        <f>SCE!$S108</f>
        <v>-10623281.624119725</v>
      </c>
      <c r="I27" s="352">
        <f>SCE!$Z108</f>
        <v>-23706290.832664907</v>
      </c>
      <c r="J27" s="360">
        <f>H27+I27</f>
        <v>-34329572.456784636</v>
      </c>
      <c r="K27" s="353"/>
      <c r="L27" s="368">
        <f>B27+G27</f>
        <v>-1564305.8080197484</v>
      </c>
      <c r="M27" s="352">
        <f>C27+H27</f>
        <v>-27380296.958848044</v>
      </c>
      <c r="N27" s="352">
        <f>D27+I27</f>
        <v>-64796495.385403238</v>
      </c>
      <c r="O27" s="360">
        <f>E27+J27</f>
        <v>-92176792.34425129</v>
      </c>
      <c r="P27" s="337"/>
      <c r="Q27" s="337"/>
      <c r="R27" s="337"/>
      <c r="S27" s="337"/>
      <c r="T27" s="337"/>
      <c r="U27" s="337"/>
      <c r="V27" s="337"/>
      <c r="W27" s="337"/>
      <c r="X27" s="332"/>
      <c r="Y27" s="332"/>
      <c r="Z27" s="332"/>
      <c r="AA27" s="332"/>
      <c r="AB27" s="332"/>
      <c r="AC27" s="332"/>
      <c r="AD27" s="332"/>
      <c r="AE27" s="332"/>
      <c r="AF27" s="332"/>
    </row>
    <row r="28" spans="1:32" x14ac:dyDescent="0.2">
      <c r="B28" s="366"/>
      <c r="C28" s="355"/>
      <c r="D28" s="355"/>
      <c r="E28" s="358"/>
      <c r="F28" s="332"/>
      <c r="G28" s="366"/>
      <c r="H28" s="355"/>
      <c r="I28" s="355"/>
      <c r="J28" s="358"/>
      <c r="K28" s="332"/>
      <c r="L28" s="366"/>
      <c r="M28" s="355"/>
      <c r="N28" s="355"/>
      <c r="O28" s="358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</row>
    <row r="29" spans="1:32" x14ac:dyDescent="0.2">
      <c r="A29" s="4" t="s">
        <v>107</v>
      </c>
      <c r="B29" s="366"/>
      <c r="C29" s="355"/>
      <c r="D29" s="355"/>
      <c r="E29" s="358"/>
      <c r="F29" s="332"/>
      <c r="G29" s="366"/>
      <c r="H29" s="355"/>
      <c r="I29" s="355"/>
      <c r="J29" s="358"/>
      <c r="K29" s="332"/>
      <c r="L29" s="366"/>
      <c r="M29" s="355"/>
      <c r="N29" s="355"/>
      <c r="O29" s="358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</row>
    <row r="30" spans="1:32" x14ac:dyDescent="0.2">
      <c r="A30" s="335" t="s">
        <v>109</v>
      </c>
      <c r="B30" s="366">
        <f>'PG&amp;E'!$AB115</f>
        <v>59.872722389050331</v>
      </c>
      <c r="C30" s="355">
        <f>'PG&amp;E'!$AC115</f>
        <v>76.71480298779457</v>
      </c>
      <c r="D30" s="355">
        <f>'PG&amp;E'!$AD115</f>
        <v>67.687166309905479</v>
      </c>
      <c r="E30" s="358">
        <f>'PG&amp;E'!$AE115</f>
        <v>69.629315964271754</v>
      </c>
      <c r="F30" s="332"/>
      <c r="G30" s="366">
        <f>SCE!$AB115</f>
        <v>76.301126674014824</v>
      </c>
      <c r="H30" s="355">
        <f>SCE!$AC115</f>
        <v>85.598164602746152</v>
      </c>
      <c r="I30" s="355">
        <f>SCE!$AD115</f>
        <v>79.522646424162048</v>
      </c>
      <c r="J30" s="358">
        <f>SCE!$AE115</f>
        <v>81.252301235860912</v>
      </c>
      <c r="K30" s="332"/>
      <c r="L30" s="366"/>
      <c r="M30" s="355"/>
      <c r="N30" s="355"/>
      <c r="O30" s="358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</row>
    <row r="31" spans="1:32" x14ac:dyDescent="0.2">
      <c r="A31" s="335" t="s">
        <v>72</v>
      </c>
      <c r="B31" s="366">
        <f>'PG&amp;E'!$AB117</f>
        <v>225.74190006243512</v>
      </c>
      <c r="C31" s="355">
        <f>'PG&amp;E'!$AC117</f>
        <v>103.87440372839883</v>
      </c>
      <c r="D31" s="355">
        <f>'PG&amp;E'!$AD117</f>
        <v>48.846947377256804</v>
      </c>
      <c r="E31" s="358">
        <f>'PG&amp;E'!$AE117</f>
        <v>60.685212379079537</v>
      </c>
      <c r="F31" s="332"/>
      <c r="G31" s="366">
        <f>SCE!$AB117</f>
        <v>195.40209111707424</v>
      </c>
      <c r="H31" s="355">
        <f>SCE!$AC117</f>
        <v>149.27559467562642</v>
      </c>
      <c r="I31" s="355">
        <f>SCE!$AD117</f>
        <v>55.962404404210886</v>
      </c>
      <c r="J31" s="358">
        <f>SCE!$AE117</f>
        <v>82.527975241748905</v>
      </c>
      <c r="K31" s="332"/>
      <c r="L31" s="366"/>
      <c r="M31" s="355"/>
      <c r="N31" s="355"/>
      <c r="O31" s="358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</row>
    <row r="32" spans="1:32" x14ac:dyDescent="0.2">
      <c r="A32" s="335" t="s">
        <v>80</v>
      </c>
      <c r="B32" s="366">
        <f>'PG&amp;E'!$AB118</f>
        <v>-165.8691776733848</v>
      </c>
      <c r="C32" s="355">
        <f>'PG&amp;E'!$AC118</f>
        <v>-27.159600740604258</v>
      </c>
      <c r="D32" s="355">
        <f>'PG&amp;E'!$AD118</f>
        <v>18.840218932648686</v>
      </c>
      <c r="E32" s="358">
        <f>'PG&amp;E'!$AE118</f>
        <v>8.9441035851922255</v>
      </c>
      <c r="F32" s="332"/>
      <c r="G32" s="366">
        <f>SCE!$AB118</f>
        <v>-119.10096444305941</v>
      </c>
      <c r="H32" s="355">
        <f>SCE!$AC118</f>
        <v>-63.677430072880234</v>
      </c>
      <c r="I32" s="355">
        <f>SCE!$AD118</f>
        <v>23.560242019951154</v>
      </c>
      <c r="J32" s="358">
        <f>SCE!$AE118</f>
        <v>-1.275674005887979</v>
      </c>
      <c r="K32" s="332"/>
      <c r="L32" s="366"/>
      <c r="M32" s="355"/>
      <c r="N32" s="355"/>
      <c r="O32" s="358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</row>
    <row r="33" spans="1:67" x14ac:dyDescent="0.2">
      <c r="A33" s="351" t="s">
        <v>104</v>
      </c>
      <c r="B33" s="368">
        <f>'PG&amp;E'!$K121</f>
        <v>42349817.68311289</v>
      </c>
      <c r="C33" s="352">
        <f>'PG&amp;E'!$S121</f>
        <v>18554600.207881838</v>
      </c>
      <c r="D33" s="352">
        <f>'PG&amp;E'!$Z121</f>
        <v>-46957090.533973552</v>
      </c>
      <c r="E33" s="360">
        <f>C33+D33</f>
        <v>-28402490.326091714</v>
      </c>
      <c r="F33" s="353"/>
      <c r="G33" s="368">
        <f>SCE!$K121</f>
        <v>17487101.504085846</v>
      </c>
      <c r="H33" s="352">
        <f>SCE!$S121</f>
        <v>29782868.359237555</v>
      </c>
      <c r="I33" s="352">
        <f>SCE!$Z121</f>
        <v>-27687093.695779011</v>
      </c>
      <c r="J33" s="360">
        <f>H33+I33</f>
        <v>2095774.6634585448</v>
      </c>
      <c r="K33" s="353"/>
      <c r="L33" s="368">
        <f>B33+G33</f>
        <v>59836919.187198736</v>
      </c>
      <c r="M33" s="352">
        <f>C33+H33</f>
        <v>48337468.56711939</v>
      </c>
      <c r="N33" s="352">
        <f>D33+I33</f>
        <v>-74644184.22975257</v>
      </c>
      <c r="O33" s="360">
        <f>E33+J33</f>
        <v>-26306715.662633169</v>
      </c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</row>
    <row r="34" spans="1:67" x14ac:dyDescent="0.2">
      <c r="B34" s="366"/>
      <c r="C34" s="355"/>
      <c r="D34" s="355"/>
      <c r="E34" s="358"/>
      <c r="F34" s="332"/>
      <c r="G34" s="366"/>
      <c r="H34" s="355"/>
      <c r="I34" s="355"/>
      <c r="J34" s="358"/>
      <c r="K34" s="332"/>
      <c r="L34" s="366"/>
      <c r="M34" s="355"/>
      <c r="N34" s="355"/>
      <c r="O34" s="358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</row>
    <row r="35" spans="1:67" x14ac:dyDescent="0.2">
      <c r="A35" s="4" t="s">
        <v>81</v>
      </c>
      <c r="B35" s="366"/>
      <c r="C35" s="355"/>
      <c r="D35" s="355"/>
      <c r="E35" s="358"/>
      <c r="F35" s="332"/>
      <c r="G35" s="366"/>
      <c r="H35" s="355"/>
      <c r="I35" s="355"/>
      <c r="J35" s="358"/>
      <c r="K35" s="332"/>
      <c r="L35" s="366"/>
      <c r="M35" s="355"/>
      <c r="N35" s="355"/>
      <c r="O35" s="358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</row>
    <row r="36" spans="1:67" x14ac:dyDescent="0.2">
      <c r="A36" s="335" t="s">
        <v>109</v>
      </c>
      <c r="B36" s="366">
        <f>'PG&amp;E'!$AB128</f>
        <v>59.872722389050331</v>
      </c>
      <c r="C36" s="355">
        <f>'PG&amp;E'!$AC128</f>
        <v>76.71480298779457</v>
      </c>
      <c r="D36" s="355">
        <f>'PG&amp;E'!$AD128</f>
        <v>67.687166309905479</v>
      </c>
      <c r="E36" s="358">
        <f>'PG&amp;E'!$AE128</f>
        <v>69.629315964271754</v>
      </c>
      <c r="F36" s="332"/>
      <c r="G36" s="366">
        <f>SCE!$AB128</f>
        <v>76.301126674014824</v>
      </c>
      <c r="H36" s="355">
        <f>SCE!$AC128</f>
        <v>85.598164602746152</v>
      </c>
      <c r="I36" s="355">
        <f>SCE!$AD128</f>
        <v>79.522646424162048</v>
      </c>
      <c r="J36" s="358">
        <f>SCE!$AE128</f>
        <v>81.252301235860912</v>
      </c>
      <c r="K36" s="332"/>
      <c r="L36" s="366"/>
      <c r="M36" s="355"/>
      <c r="N36" s="355"/>
      <c r="O36" s="358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</row>
    <row r="37" spans="1:67" x14ac:dyDescent="0.2">
      <c r="A37" s="335" t="s">
        <v>72</v>
      </c>
      <c r="B37" s="366">
        <f>'PG&amp;E'!$AB130</f>
        <v>225.74190006243512</v>
      </c>
      <c r="C37" s="355">
        <f>'PG&amp;E'!$AC130</f>
        <v>146.95032987378599</v>
      </c>
      <c r="D37" s="355">
        <f>'PG&amp;E'!$AD130</f>
        <v>54.656985656222588</v>
      </c>
      <c r="E37" s="358">
        <f>'PG&amp;E'!$AE130</f>
        <v>74.512402191922277</v>
      </c>
      <c r="F37" s="332"/>
      <c r="G37" s="366">
        <f>SCE!$AB130</f>
        <v>195.40209111707424</v>
      </c>
      <c r="H37" s="355">
        <f>SCE!$AC130</f>
        <v>160.42647408015051</v>
      </c>
      <c r="I37" s="355">
        <f>SCE!$AD130</f>
        <v>48.369903642208307</v>
      </c>
      <c r="J37" s="358">
        <f>SCE!$AE130</f>
        <v>80.271575325730353</v>
      </c>
      <c r="K37" s="332"/>
      <c r="L37" s="366"/>
      <c r="M37" s="355"/>
      <c r="N37" s="355"/>
      <c r="O37" s="358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</row>
    <row r="38" spans="1:67" x14ac:dyDescent="0.2">
      <c r="A38" s="335" t="s">
        <v>80</v>
      </c>
      <c r="B38" s="366">
        <f>'PG&amp;E'!$AB131</f>
        <v>-165.8691776733848</v>
      </c>
      <c r="C38" s="355">
        <f>'PG&amp;E'!$AC131</f>
        <v>-70.235526885991419</v>
      </c>
      <c r="D38" s="355">
        <f>'PG&amp;E'!$AD131</f>
        <v>13.03018065368291</v>
      </c>
      <c r="E38" s="358">
        <f>'PG&amp;E'!$AE131</f>
        <v>-4.8830862276505247</v>
      </c>
      <c r="F38" s="332"/>
      <c r="G38" s="366">
        <f>SCE!$AB131</f>
        <v>-119.10096444305941</v>
      </c>
      <c r="H38" s="355">
        <f>SCE!$AC131</f>
        <v>-74.828309477404375</v>
      </c>
      <c r="I38" s="355">
        <f>SCE!$AD131</f>
        <v>31.152742781953741</v>
      </c>
      <c r="J38" s="358">
        <f>SCE!$AE131</f>
        <v>0.98072591013055621</v>
      </c>
      <c r="K38" s="332"/>
      <c r="L38" s="366"/>
      <c r="M38" s="355"/>
      <c r="N38" s="355"/>
      <c r="O38" s="358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</row>
    <row r="39" spans="1:67" x14ac:dyDescent="0.2">
      <c r="A39" s="351" t="s">
        <v>104</v>
      </c>
      <c r="B39" s="368">
        <f>'PG&amp;E'!$K134</f>
        <v>42349817.68311289</v>
      </c>
      <c r="C39" s="352">
        <f>'PG&amp;E'!$S134</f>
        <v>47982742.243011072</v>
      </c>
      <c r="D39" s="352">
        <f>'PG&amp;E'!$Z134</f>
        <v>-32476234.741025899</v>
      </c>
      <c r="E39" s="360">
        <f>C39+D39</f>
        <v>15506507.501985174</v>
      </c>
      <c r="F39" s="353"/>
      <c r="G39" s="368">
        <f>SCE!$K134</f>
        <v>17487101.504085846</v>
      </c>
      <c r="H39" s="352">
        <f>SCE!$S134</f>
        <v>34998298.269247651</v>
      </c>
      <c r="I39" s="352">
        <f>SCE!$Z134</f>
        <v>-36609509.679656707</v>
      </c>
      <c r="J39" s="360">
        <f>H39+I39</f>
        <v>-1611211.4104090557</v>
      </c>
      <c r="K39" s="353"/>
      <c r="L39" s="368">
        <f>B39+G39</f>
        <v>59836919.187198736</v>
      </c>
      <c r="M39" s="352">
        <f>C39+H39</f>
        <v>82981040.512258723</v>
      </c>
      <c r="N39" s="352">
        <f>D39+I39</f>
        <v>-69085744.420682609</v>
      </c>
      <c r="O39" s="360">
        <f>E39+J39</f>
        <v>13895296.091576118</v>
      </c>
      <c r="P39" s="337"/>
      <c r="Q39" s="337"/>
      <c r="R39" s="337"/>
      <c r="S39" s="337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</row>
    <row r="40" spans="1:67" x14ac:dyDescent="0.2">
      <c r="B40" s="366"/>
      <c r="C40" s="355"/>
      <c r="D40" s="355"/>
      <c r="E40" s="358"/>
      <c r="F40" s="332"/>
      <c r="G40" s="366"/>
      <c r="H40" s="355"/>
      <c r="I40" s="355"/>
      <c r="J40" s="358"/>
      <c r="K40" s="332"/>
      <c r="L40" s="366"/>
      <c r="M40" s="355"/>
      <c r="N40" s="355"/>
      <c r="O40" s="358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</row>
    <row r="41" spans="1:67" x14ac:dyDescent="0.2">
      <c r="A41" s="4" t="s">
        <v>108</v>
      </c>
      <c r="B41" s="366"/>
      <c r="C41" s="355"/>
      <c r="D41" s="355"/>
      <c r="E41" s="358"/>
      <c r="F41" s="332"/>
      <c r="G41" s="366"/>
      <c r="H41" s="355"/>
      <c r="I41" s="355"/>
      <c r="J41" s="358"/>
      <c r="K41" s="332"/>
      <c r="L41" s="366"/>
      <c r="M41" s="355"/>
      <c r="N41" s="355"/>
      <c r="O41" s="358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</row>
    <row r="42" spans="1:67" x14ac:dyDescent="0.2">
      <c r="A42" s="335" t="s">
        <v>109</v>
      </c>
      <c r="B42" s="366">
        <f>'PG&amp;E'!AB141</f>
        <v>59.872722389050331</v>
      </c>
      <c r="C42" s="355">
        <f>'PG&amp;E'!AC141</f>
        <v>76.71480298779457</v>
      </c>
      <c r="D42" s="355">
        <f>'PG&amp;E'!AD141</f>
        <v>106.89333206924873</v>
      </c>
      <c r="E42" s="358">
        <f>'PG&amp;E'!AE141</f>
        <v>100.40091086133921</v>
      </c>
      <c r="F42" s="332"/>
      <c r="G42" s="366">
        <f>SCE!$K141</f>
        <v>76.301126674014824</v>
      </c>
      <c r="H42" s="355">
        <f>SCE!$L141</f>
        <v>76.301126674014839</v>
      </c>
      <c r="I42" s="355">
        <f>SCE!$M141</f>
        <v>76.697513884066268</v>
      </c>
      <c r="J42" s="358">
        <f>SCE!$N141</f>
        <v>77.19844579792705</v>
      </c>
      <c r="K42" s="332"/>
      <c r="L42" s="366"/>
      <c r="M42" s="355"/>
      <c r="N42" s="355"/>
      <c r="O42" s="358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32"/>
      <c r="AF42" s="332"/>
    </row>
    <row r="43" spans="1:67" x14ac:dyDescent="0.2">
      <c r="A43" s="335" t="s">
        <v>72</v>
      </c>
      <c r="B43" s="366">
        <f>'PG&amp;E'!AB142</f>
        <v>225.74190006243512</v>
      </c>
      <c r="C43" s="355">
        <f>'PG&amp;E'!AC142</f>
        <v>103.87440372839883</v>
      </c>
      <c r="D43" s="355">
        <f>'PG&amp;E'!AD142</f>
        <v>87.240856323945422</v>
      </c>
      <c r="E43" s="358">
        <f>'PG&amp;E'!AE142</f>
        <v>90.819294346552908</v>
      </c>
      <c r="F43" s="332"/>
      <c r="G43" s="366">
        <f>SCE!$K142</f>
        <v>195.40209111707424</v>
      </c>
      <c r="H43" s="355">
        <f>SCE!$L142</f>
        <v>213</v>
      </c>
      <c r="I43" s="355">
        <f>SCE!$M142</f>
        <v>196</v>
      </c>
      <c r="J43" s="358">
        <f>SCE!$N142</f>
        <v>159</v>
      </c>
      <c r="K43" s="332"/>
      <c r="L43" s="366"/>
      <c r="M43" s="355"/>
      <c r="N43" s="355"/>
      <c r="O43" s="358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</row>
    <row r="44" spans="1:67" x14ac:dyDescent="0.2">
      <c r="A44" s="335" t="s">
        <v>80</v>
      </c>
      <c r="B44" s="366">
        <f>'PG&amp;E'!AB143</f>
        <v>-165.8691776733848</v>
      </c>
      <c r="C44" s="355">
        <f>'PG&amp;E'!AC143</f>
        <v>-27.159600740604258</v>
      </c>
      <c r="D44" s="355">
        <f>'PG&amp;E'!AD143</f>
        <v>19.652475745303295</v>
      </c>
      <c r="E44" s="358">
        <f>'PG&amp;E'!AE143</f>
        <v>9.5816165147863277</v>
      </c>
      <c r="F44" s="332"/>
      <c r="G44" s="366">
        <f>SCE!$K143</f>
        <v>-119.10096444305941</v>
      </c>
      <c r="H44" s="355">
        <f>SCE!$L143</f>
        <v>-136.69887332598518</v>
      </c>
      <c r="I44" s="355">
        <f>SCE!$M143</f>
        <v>-119.30248611593373</v>
      </c>
      <c r="J44" s="358">
        <f>SCE!$N143</f>
        <v>-81.80155420207295</v>
      </c>
      <c r="K44" s="332"/>
      <c r="L44" s="366"/>
      <c r="M44" s="355"/>
      <c r="N44" s="355"/>
      <c r="O44" s="358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</row>
    <row r="45" spans="1:67" x14ac:dyDescent="0.2">
      <c r="A45" s="351" t="s">
        <v>104</v>
      </c>
      <c r="B45" s="368">
        <f>'PG&amp;E'!$K139</f>
        <v>42349817.68311289</v>
      </c>
      <c r="C45" s="352">
        <f>'PG&amp;E'!$S139</f>
        <v>18554600.207881838</v>
      </c>
      <c r="D45" s="352">
        <f>'PG&amp;E'!$Z139</f>
        <v>-48981547.724466361</v>
      </c>
      <c r="E45" s="360">
        <f>C45+D45</f>
        <v>-30426947.516584523</v>
      </c>
      <c r="F45" s="353"/>
      <c r="G45" s="368">
        <f>SCE!$K139</f>
        <v>17487101.504085846</v>
      </c>
      <c r="H45" s="352">
        <f>SCE!$S139</f>
        <v>29782868.359237555</v>
      </c>
      <c r="I45" s="352">
        <f>SCE!$Z139</f>
        <v>-27381955.808984868</v>
      </c>
      <c r="J45" s="360">
        <f>H45+I45</f>
        <v>2400912.5502526872</v>
      </c>
      <c r="K45" s="353"/>
      <c r="L45" s="368">
        <f>B45+G45</f>
        <v>59836919.187198736</v>
      </c>
      <c r="M45" s="352">
        <f>C45+H45</f>
        <v>48337468.56711939</v>
      </c>
      <c r="N45" s="352">
        <f>D45+I45</f>
        <v>-76363503.533451229</v>
      </c>
      <c r="O45" s="360">
        <f>E45+J45</f>
        <v>-28026034.966331836</v>
      </c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37"/>
      <c r="AB45" s="337"/>
      <c r="AC45" s="337"/>
      <c r="AD45" s="337"/>
      <c r="AE45" s="337"/>
      <c r="AF45" s="337"/>
      <c r="AG45" s="346"/>
      <c r="AH45" s="346"/>
      <c r="AI45" s="346"/>
      <c r="AJ45" s="346"/>
      <c r="AK45" s="346"/>
      <c r="AL45" s="346"/>
      <c r="AM45" s="346"/>
      <c r="AN45" s="346"/>
      <c r="AO45" s="346"/>
      <c r="AP45" s="346"/>
      <c r="AQ45" s="346"/>
      <c r="AR45" s="346"/>
      <c r="AS45" s="346"/>
      <c r="AT45" s="346"/>
      <c r="AU45" s="346"/>
      <c r="AV45" s="346"/>
      <c r="AW45" s="346"/>
      <c r="AX45" s="346"/>
      <c r="AY45" s="346"/>
      <c r="AZ45" s="346"/>
      <c r="BA45" s="346"/>
      <c r="BB45" s="346"/>
      <c r="BC45" s="346"/>
      <c r="BD45" s="346"/>
      <c r="BE45" s="346"/>
      <c r="BF45" s="346"/>
      <c r="BG45" s="346"/>
      <c r="BH45" s="346"/>
      <c r="BI45" s="346"/>
      <c r="BJ45" s="346"/>
      <c r="BK45" s="346"/>
      <c r="BL45" s="346"/>
      <c r="BM45" s="346"/>
      <c r="BN45" s="346"/>
      <c r="BO45" s="346"/>
    </row>
    <row r="46" spans="1:67" x14ac:dyDescent="0.2"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</row>
    <row r="47" spans="1:67" x14ac:dyDescent="0.2">
      <c r="B47" s="332"/>
      <c r="C47" s="332"/>
      <c r="D47" s="332"/>
      <c r="E47" s="347"/>
      <c r="F47" s="332"/>
      <c r="G47" s="332"/>
      <c r="H47" s="332"/>
      <c r="I47" s="332"/>
      <c r="J47" s="347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</row>
    <row r="48" spans="1:67" x14ac:dyDescent="0.2"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</row>
    <row r="49" spans="2:32" x14ac:dyDescent="0.2">
      <c r="B49" s="332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</row>
    <row r="50" spans="2:32" x14ac:dyDescent="0.2">
      <c r="B50" s="332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</row>
    <row r="51" spans="2:32" x14ac:dyDescent="0.2"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</row>
    <row r="52" spans="2:32" x14ac:dyDescent="0.2"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</row>
    <row r="53" spans="2:32" x14ac:dyDescent="0.2"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</row>
    <row r="54" spans="2:32" x14ac:dyDescent="0.2"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</row>
    <row r="55" spans="2:32" x14ac:dyDescent="0.2"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</row>
    <row r="56" spans="2:32" x14ac:dyDescent="0.2"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</row>
    <row r="57" spans="2:32" x14ac:dyDescent="0.2"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</row>
    <row r="58" spans="2:32" x14ac:dyDescent="0.2">
      <c r="B58" s="332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</row>
  </sheetData>
  <phoneticPr fontId="0" type="noConversion"/>
  <pageMargins left="0.3" right="0.3" top="0.5" bottom="0.5" header="0.5" footer="0.25"/>
  <pageSetup paperSize="5" scale="72" orientation="landscape" verticalDpi="464" r:id="rId1"/>
  <headerFooter alignWithMargins="0">
    <oddFooter>&amp;L&amp;D   &amp;T&amp;R&amp;F 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16"/>
  <sheetViews>
    <sheetView workbookViewId="0">
      <selection activeCell="B14" sqref="B14"/>
    </sheetView>
  </sheetViews>
  <sheetFormatPr defaultRowHeight="12.75" x14ac:dyDescent="0.2"/>
  <cols>
    <col min="1" max="1" width="4.28515625" customWidth="1"/>
  </cols>
  <sheetData>
    <row r="2" spans="1:2" x14ac:dyDescent="0.2">
      <c r="A2" t="s">
        <v>5</v>
      </c>
    </row>
    <row r="3" spans="1:2" x14ac:dyDescent="0.2">
      <c r="A3" s="1"/>
      <c r="B3" s="1"/>
    </row>
    <row r="4" spans="1:2" x14ac:dyDescent="0.2">
      <c r="A4" s="1" t="s">
        <v>0</v>
      </c>
      <c r="B4" s="1" t="s">
        <v>1</v>
      </c>
    </row>
    <row r="5" spans="1:2" x14ac:dyDescent="0.2">
      <c r="B5" t="s">
        <v>2</v>
      </c>
    </row>
    <row r="7" spans="1:2" x14ac:dyDescent="0.2">
      <c r="A7" s="1" t="s">
        <v>3</v>
      </c>
      <c r="B7" s="1" t="s">
        <v>4</v>
      </c>
    </row>
    <row r="8" spans="1:2" x14ac:dyDescent="0.2">
      <c r="B8" t="s">
        <v>6</v>
      </c>
    </row>
    <row r="9" spans="1:2" x14ac:dyDescent="0.2">
      <c r="B9" t="s">
        <v>7</v>
      </c>
    </row>
    <row r="10" spans="1:2" x14ac:dyDescent="0.2">
      <c r="B10" t="s">
        <v>8</v>
      </c>
    </row>
    <row r="11" spans="1:2" x14ac:dyDescent="0.2">
      <c r="B11" t="s">
        <v>9</v>
      </c>
    </row>
    <row r="12" spans="1:2" x14ac:dyDescent="0.2">
      <c r="B12" t="s">
        <v>10</v>
      </c>
    </row>
    <row r="14" spans="1:2" x14ac:dyDescent="0.2">
      <c r="A14" s="1" t="s">
        <v>11</v>
      </c>
      <c r="B14" s="1" t="s">
        <v>12</v>
      </c>
    </row>
    <row r="15" spans="1:2" x14ac:dyDescent="0.2">
      <c r="B15" t="s">
        <v>23</v>
      </c>
    </row>
    <row r="16" spans="1:2" x14ac:dyDescent="0.2">
      <c r="B16" t="s">
        <v>24</v>
      </c>
    </row>
  </sheetData>
  <phoneticPr fontId="0" type="noConversion"/>
  <pageMargins left="0.75" right="0.75" top="1" bottom="1" header="0.5" footer="0.5"/>
  <pageSetup orientation="portrait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M190"/>
  <sheetViews>
    <sheetView zoomScale="75" zoomScaleNormal="75" zoomScaleSheetLayoutView="65" workbookViewId="0">
      <pane xSplit="3" ySplit="8" topLeftCell="D9" activePane="bottomRight" state="frozen"/>
      <selection activeCell="A81" sqref="A81"/>
      <selection pane="topRight" activeCell="A81" sqref="A81"/>
      <selection pane="bottomLeft" activeCell="A81" sqref="A81"/>
      <selection pane="bottomRight" activeCell="K6" sqref="K6"/>
    </sheetView>
  </sheetViews>
  <sheetFormatPr defaultRowHeight="12.75" outlineLevelRow="1" outlineLevelCol="1" x14ac:dyDescent="0.2"/>
  <cols>
    <col min="1" max="1" width="36.5703125" style="81" customWidth="1"/>
    <col min="2" max="2" width="10" style="81" customWidth="1"/>
    <col min="3" max="3" width="16.7109375" style="81" customWidth="1" collapsed="1"/>
    <col min="4" max="7" width="14" style="290" hidden="1" customWidth="1" outlineLevel="1"/>
    <col min="8" max="10" width="14" style="291" hidden="1" customWidth="1" outlineLevel="1"/>
    <col min="11" max="11" width="14.85546875" style="319" customWidth="1"/>
    <col min="12" max="19" width="14.5703125" style="292" customWidth="1"/>
    <col min="20" max="26" width="14.5703125" style="293" customWidth="1"/>
    <col min="27" max="27" width="12" style="81" bestFit="1" customWidth="1"/>
    <col min="28" max="32" width="10.7109375" style="81" customWidth="1"/>
    <col min="33" max="38" width="9.140625" style="81"/>
    <col min="39" max="39" width="6.28515625" style="81" bestFit="1" customWidth="1"/>
    <col min="40" max="16384" width="9.140625" style="81"/>
  </cols>
  <sheetData>
    <row r="1" spans="1:39" ht="20.25" x14ac:dyDescent="0.3">
      <c r="A1" s="75" t="s">
        <v>97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39" x14ac:dyDescent="0.2"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39" ht="4.5" customHeight="1" thickBot="1" x14ac:dyDescent="0.25"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39" s="302" customFormat="1" ht="13.5" thickBot="1" x14ac:dyDescent="0.25">
      <c r="A4" s="5"/>
      <c r="B4" s="301"/>
      <c r="D4" s="303" t="s">
        <v>51</v>
      </c>
      <c r="E4" s="304"/>
      <c r="F4" s="304"/>
      <c r="G4" s="305"/>
      <c r="H4" s="306" t="s">
        <v>50</v>
      </c>
      <c r="I4" s="307"/>
      <c r="J4" s="308"/>
      <c r="K4" s="320" t="s">
        <v>89</v>
      </c>
      <c r="L4" s="321" t="s">
        <v>90</v>
      </c>
      <c r="M4" s="321"/>
      <c r="N4" s="321"/>
      <c r="O4" s="321"/>
      <c r="P4" s="321"/>
      <c r="Q4" s="321"/>
      <c r="R4" s="321"/>
      <c r="S4" s="322"/>
      <c r="T4" s="323" t="s">
        <v>96</v>
      </c>
      <c r="U4" s="324"/>
      <c r="V4" s="324"/>
      <c r="W4" s="324"/>
      <c r="X4" s="324"/>
      <c r="Y4" s="324"/>
      <c r="Z4" s="325"/>
      <c r="AM4" s="302" t="s">
        <v>67</v>
      </c>
    </row>
    <row r="5" spans="1:39" ht="15" x14ac:dyDescent="0.2">
      <c r="A5" s="5"/>
      <c r="B5" s="48"/>
      <c r="D5" s="91"/>
      <c r="E5" s="92"/>
      <c r="F5" s="92"/>
      <c r="G5" s="93"/>
      <c r="H5" s="94"/>
      <c r="I5" s="95"/>
      <c r="J5" s="95"/>
      <c r="K5" s="96"/>
      <c r="L5" s="97"/>
      <c r="M5" s="97"/>
      <c r="N5" s="97"/>
      <c r="O5" s="97"/>
      <c r="P5" s="97"/>
      <c r="Q5" s="97"/>
      <c r="R5" s="97"/>
      <c r="S5" s="98"/>
      <c r="T5" s="99"/>
      <c r="U5" s="100"/>
      <c r="V5" s="100"/>
      <c r="W5" s="100"/>
      <c r="X5" s="100"/>
      <c r="Y5" s="100"/>
      <c r="Z5" s="101"/>
      <c r="AM5" s="81" t="s">
        <v>68</v>
      </c>
    </row>
    <row r="6" spans="1:39" x14ac:dyDescent="0.2">
      <c r="D6" s="102"/>
      <c r="E6" s="103"/>
      <c r="F6" s="103"/>
      <c r="G6" s="104"/>
      <c r="H6" s="105"/>
      <c r="I6" s="106"/>
      <c r="J6" s="106"/>
      <c r="K6" s="295">
        <f>18/31</f>
        <v>0.58064516129032262</v>
      </c>
      <c r="L6" s="296">
        <f>1-K6</f>
        <v>0.41935483870967738</v>
      </c>
      <c r="M6" s="107"/>
      <c r="N6" s="107"/>
      <c r="O6" s="107"/>
      <c r="P6" s="107"/>
      <c r="Q6" s="107"/>
      <c r="R6" s="107"/>
      <c r="S6" s="108"/>
      <c r="T6" s="109"/>
      <c r="U6" s="110"/>
      <c r="V6" s="110"/>
      <c r="W6" s="110"/>
      <c r="X6" s="110"/>
      <c r="Y6" s="110"/>
      <c r="Z6" s="111"/>
      <c r="AM6" s="81" t="s">
        <v>69</v>
      </c>
    </row>
    <row r="7" spans="1:39" x14ac:dyDescent="0.2">
      <c r="A7" s="80"/>
      <c r="D7" s="102"/>
      <c r="E7" s="103"/>
      <c r="F7" s="103"/>
      <c r="G7" s="104"/>
      <c r="H7" s="105"/>
      <c r="I7" s="106"/>
      <c r="J7" s="106"/>
      <c r="K7" s="71" t="s">
        <v>13</v>
      </c>
      <c r="L7" s="70" t="s">
        <v>14</v>
      </c>
      <c r="M7" s="107"/>
      <c r="N7" s="107"/>
      <c r="O7" s="107"/>
      <c r="P7" s="107"/>
      <c r="Q7" s="107"/>
      <c r="R7" s="107"/>
      <c r="S7" s="108"/>
      <c r="T7" s="109"/>
      <c r="U7" s="110"/>
      <c r="V7" s="110"/>
      <c r="W7" s="110"/>
      <c r="X7" s="110"/>
      <c r="Y7" s="110"/>
      <c r="Z7" s="111"/>
    </row>
    <row r="8" spans="1:39" x14ac:dyDescent="0.2">
      <c r="A8" s="69"/>
      <c r="D8" s="112">
        <v>36678</v>
      </c>
      <c r="E8" s="113">
        <v>36708</v>
      </c>
      <c r="F8" s="113">
        <v>36739</v>
      </c>
      <c r="G8" s="114">
        <v>36770</v>
      </c>
      <c r="H8" s="115">
        <v>36800</v>
      </c>
      <c r="I8" s="116">
        <v>36831</v>
      </c>
      <c r="J8" s="116">
        <v>36861</v>
      </c>
      <c r="K8" s="117">
        <v>36892</v>
      </c>
      <c r="L8" s="118">
        <v>36892</v>
      </c>
      <c r="M8" s="118">
        <v>36923</v>
      </c>
      <c r="N8" s="118">
        <v>36951</v>
      </c>
      <c r="O8" s="118">
        <v>36982</v>
      </c>
      <c r="P8" s="118">
        <v>37012</v>
      </c>
      <c r="Q8" s="118">
        <v>37043</v>
      </c>
      <c r="R8" s="118">
        <v>37073</v>
      </c>
      <c r="S8" s="119">
        <v>37104</v>
      </c>
      <c r="T8" s="120">
        <v>37135</v>
      </c>
      <c r="U8" s="121">
        <v>37165</v>
      </c>
      <c r="V8" s="121">
        <v>37196</v>
      </c>
      <c r="W8" s="121">
        <v>37226</v>
      </c>
      <c r="X8" s="121">
        <v>37257</v>
      </c>
      <c r="Y8" s="121">
        <v>37288</v>
      </c>
      <c r="Z8" s="122">
        <v>37316</v>
      </c>
      <c r="AB8" s="81" t="s">
        <v>13</v>
      </c>
      <c r="AC8" s="81" t="s">
        <v>99</v>
      </c>
      <c r="AD8" s="81" t="s">
        <v>100</v>
      </c>
      <c r="AE8" s="332" t="s">
        <v>111</v>
      </c>
    </row>
    <row r="9" spans="1:39" x14ac:dyDescent="0.2">
      <c r="D9" s="123"/>
      <c r="E9" s="124"/>
      <c r="F9" s="124"/>
      <c r="G9" s="125"/>
      <c r="H9" s="126"/>
      <c r="I9" s="127"/>
      <c r="J9" s="127"/>
      <c r="K9" s="128"/>
      <c r="L9" s="129"/>
      <c r="M9" s="129"/>
      <c r="N9" s="129"/>
      <c r="O9" s="129"/>
      <c r="P9" s="129"/>
      <c r="Q9" s="129"/>
      <c r="R9" s="129"/>
      <c r="S9" s="130"/>
      <c r="T9" s="131"/>
      <c r="U9" s="132"/>
      <c r="V9" s="132"/>
      <c r="W9" s="132"/>
      <c r="X9" s="132"/>
      <c r="Y9" s="132"/>
      <c r="Z9" s="133"/>
      <c r="AA9" s="134"/>
      <c r="AB9" s="134"/>
      <c r="AC9" s="134"/>
      <c r="AD9" s="134"/>
      <c r="AE9" s="134"/>
      <c r="AF9" s="134"/>
      <c r="AG9" s="134"/>
      <c r="AH9" s="134"/>
      <c r="AI9" s="134"/>
      <c r="AJ9" s="134"/>
    </row>
    <row r="10" spans="1:39" x14ac:dyDescent="0.2">
      <c r="A10" s="135" t="s">
        <v>18</v>
      </c>
      <c r="D10" s="136"/>
      <c r="E10" s="137"/>
      <c r="F10" s="137"/>
      <c r="G10" s="138"/>
      <c r="H10" s="139"/>
      <c r="I10" s="140"/>
      <c r="J10" s="140"/>
      <c r="K10" s="141"/>
      <c r="L10" s="142"/>
      <c r="M10" s="142"/>
      <c r="N10" s="142"/>
      <c r="O10" s="142"/>
      <c r="P10" s="142"/>
      <c r="Q10" s="142"/>
      <c r="R10" s="142"/>
      <c r="S10" s="143"/>
      <c r="T10" s="144"/>
      <c r="U10" s="145"/>
      <c r="V10" s="145"/>
      <c r="W10" s="145"/>
      <c r="X10" s="145"/>
      <c r="Y10" s="145"/>
      <c r="Z10" s="146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</row>
    <row r="11" spans="1:39" outlineLevel="1" x14ac:dyDescent="0.2">
      <c r="A11" s="4" t="s">
        <v>15</v>
      </c>
      <c r="B11" s="135"/>
      <c r="C11" s="135"/>
      <c r="D11" s="147"/>
      <c r="E11" s="148"/>
      <c r="F11" s="148"/>
      <c r="G11" s="149"/>
      <c r="H11" s="150"/>
      <c r="I11" s="151"/>
      <c r="J11" s="151"/>
      <c r="K11" s="152"/>
      <c r="L11" s="153"/>
      <c r="M11" s="153"/>
      <c r="N11" s="153"/>
      <c r="O11" s="153"/>
      <c r="P11" s="153"/>
      <c r="Q11" s="153"/>
      <c r="R11" s="153"/>
      <c r="S11" s="154">
        <f t="shared" ref="S11:Z11" si="0">SUM(S12:S14)</f>
        <v>5325.9388264117279</v>
      </c>
      <c r="T11" s="155">
        <f t="shared" si="0"/>
        <v>4960.5260104999652</v>
      </c>
      <c r="U11" s="156">
        <f t="shared" si="0"/>
        <v>4919.4447594259318</v>
      </c>
      <c r="V11" s="156">
        <f t="shared" si="0"/>
        <v>4519.2141919030491</v>
      </c>
      <c r="W11" s="156">
        <f t="shared" si="0"/>
        <v>4326.1820439937374</v>
      </c>
      <c r="X11" s="156">
        <f t="shared" si="0"/>
        <v>4328.2247895833834</v>
      </c>
      <c r="Y11" s="156">
        <f t="shared" si="0"/>
        <v>4076.4490540740589</v>
      </c>
      <c r="Z11" s="157">
        <f t="shared" si="0"/>
        <v>4440.974659496781</v>
      </c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</row>
    <row r="12" spans="1:39" outlineLevel="1" x14ac:dyDescent="0.2">
      <c r="A12" s="3" t="s">
        <v>26</v>
      </c>
      <c r="B12" s="158"/>
      <c r="D12" s="136"/>
      <c r="E12" s="137"/>
      <c r="F12" s="137"/>
      <c r="G12" s="138"/>
      <c r="H12" s="139"/>
      <c r="I12" s="140"/>
      <c r="J12" s="140"/>
      <c r="K12" s="141"/>
      <c r="L12" s="142"/>
      <c r="M12" s="142"/>
      <c r="N12" s="142"/>
      <c r="O12" s="142"/>
      <c r="P12" s="142"/>
      <c r="Q12" s="142"/>
      <c r="R12" s="142"/>
      <c r="S12" s="383">
        <v>1597.7816479235182</v>
      </c>
      <c r="T12" s="384">
        <v>1488.1578031499896</v>
      </c>
      <c r="U12" s="382">
        <v>1475.8334278277794</v>
      </c>
      <c r="V12" s="382">
        <v>1355.7642575709147</v>
      </c>
      <c r="W12" s="382">
        <v>1297.8546131981211</v>
      </c>
      <c r="X12" s="382">
        <v>1298.467436875015</v>
      </c>
      <c r="Y12" s="382">
        <v>1222.9347162222177</v>
      </c>
      <c r="Z12" s="383">
        <v>1332.2923978490344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spans="1:39" outlineLevel="1" x14ac:dyDescent="0.2">
      <c r="A13" s="3" t="s">
        <v>27</v>
      </c>
      <c r="B13" s="158"/>
      <c r="D13" s="136"/>
      <c r="E13" s="137"/>
      <c r="F13" s="137"/>
      <c r="G13" s="138"/>
      <c r="H13" s="139"/>
      <c r="I13" s="140"/>
      <c r="J13" s="140"/>
      <c r="K13" s="141"/>
      <c r="L13" s="142"/>
      <c r="M13" s="142"/>
      <c r="N13" s="142"/>
      <c r="O13" s="142"/>
      <c r="P13" s="142"/>
      <c r="Q13" s="142"/>
      <c r="R13" s="142"/>
      <c r="S13" s="383">
        <v>2662.9694132058639</v>
      </c>
      <c r="T13" s="384">
        <v>2480.2630052499826</v>
      </c>
      <c r="U13" s="382">
        <v>2459.7223797129659</v>
      </c>
      <c r="V13" s="382">
        <v>2259.6070959515246</v>
      </c>
      <c r="W13" s="382">
        <v>2163.0910219968687</v>
      </c>
      <c r="X13" s="382">
        <v>2164.1123947916917</v>
      </c>
      <c r="Y13" s="382">
        <v>2038.2245270370295</v>
      </c>
      <c r="Z13" s="383">
        <v>2220.4873297483905</v>
      </c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</row>
    <row r="14" spans="1:39" outlineLevel="1" x14ac:dyDescent="0.2">
      <c r="A14" s="3" t="s">
        <v>28</v>
      </c>
      <c r="B14" s="158"/>
      <c r="D14" s="136"/>
      <c r="E14" s="137"/>
      <c r="F14" s="137"/>
      <c r="G14" s="138"/>
      <c r="H14" s="139"/>
      <c r="I14" s="140"/>
      <c r="J14" s="140"/>
      <c r="K14" s="141"/>
      <c r="L14" s="142"/>
      <c r="M14" s="142"/>
      <c r="N14" s="142"/>
      <c r="O14" s="142"/>
      <c r="P14" s="142"/>
      <c r="Q14" s="142"/>
      <c r="R14" s="142"/>
      <c r="S14" s="383">
        <v>1065.1877652823457</v>
      </c>
      <c r="T14" s="384">
        <v>992.10520209999311</v>
      </c>
      <c r="U14" s="382">
        <v>983.88895188518643</v>
      </c>
      <c r="V14" s="382">
        <v>903.84283838060992</v>
      </c>
      <c r="W14" s="382">
        <v>865.23640879874756</v>
      </c>
      <c r="X14" s="382">
        <v>865.64495791667673</v>
      </c>
      <c r="Y14" s="382">
        <v>815.28981081481186</v>
      </c>
      <c r="Z14" s="383">
        <v>888.19493189935622</v>
      </c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</row>
    <row r="15" spans="1:39" outlineLevel="1" x14ac:dyDescent="0.2">
      <c r="A15" s="3"/>
      <c r="B15" s="158"/>
      <c r="D15" s="136"/>
      <c r="E15" s="137"/>
      <c r="F15" s="137"/>
      <c r="G15" s="138"/>
      <c r="H15" s="139"/>
      <c r="I15" s="140"/>
      <c r="J15" s="140"/>
      <c r="K15" s="141"/>
      <c r="L15" s="142"/>
      <c r="M15" s="142"/>
      <c r="N15" s="142"/>
      <c r="O15" s="142"/>
      <c r="P15" s="142"/>
      <c r="Q15" s="142"/>
      <c r="R15" s="142"/>
      <c r="S15" s="154"/>
      <c r="T15" s="144"/>
      <c r="U15" s="145"/>
      <c r="V15" s="145"/>
      <c r="W15" s="145"/>
      <c r="X15" s="145"/>
      <c r="Y15" s="145"/>
      <c r="Z15" s="146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</row>
    <row r="16" spans="1:39" outlineLevel="1" x14ac:dyDescent="0.2">
      <c r="A16" s="4" t="s">
        <v>16</v>
      </c>
      <c r="B16" s="135"/>
      <c r="C16" s="135"/>
      <c r="D16" s="147">
        <v>0</v>
      </c>
      <c r="E16" s="148">
        <v>0</v>
      </c>
      <c r="F16" s="148">
        <v>0</v>
      </c>
      <c r="G16" s="149">
        <v>0</v>
      </c>
      <c r="H16" s="150">
        <v>0</v>
      </c>
      <c r="I16" s="151">
        <v>0</v>
      </c>
      <c r="J16" s="151">
        <v>0</v>
      </c>
      <c r="K16" s="152">
        <f t="shared" ref="K16:R16" si="1">K26-K21-K11</f>
        <v>255320.59830009213</v>
      </c>
      <c r="L16" s="153">
        <f t="shared" si="1"/>
        <v>184398.20988339986</v>
      </c>
      <c r="M16" s="153">
        <f t="shared" si="1"/>
        <v>37746.091556999992</v>
      </c>
      <c r="N16" s="153">
        <f t="shared" si="1"/>
        <v>41566.255477999985</v>
      </c>
      <c r="O16" s="153">
        <f t="shared" si="1"/>
        <v>40028.657883433298</v>
      </c>
      <c r="P16" s="153">
        <f t="shared" si="1"/>
        <v>42423.914276301912</v>
      </c>
      <c r="Q16" s="153">
        <f t="shared" si="1"/>
        <v>34869.173660256696</v>
      </c>
      <c r="R16" s="153">
        <f t="shared" si="1"/>
        <v>62822.929046965553</v>
      </c>
      <c r="S16" s="154">
        <f t="shared" ref="S16:Z19" si="2">S26-S21-S11</f>
        <v>141151.53127935709</v>
      </c>
      <c r="T16" s="155">
        <f t="shared" si="2"/>
        <v>257174.42010998118</v>
      </c>
      <c r="U16" s="156">
        <f t="shared" si="2"/>
        <v>317117.10410398879</v>
      </c>
      <c r="V16" s="156">
        <f t="shared" si="2"/>
        <v>285664.09025912132</v>
      </c>
      <c r="W16" s="156">
        <f t="shared" si="2"/>
        <v>276667.71067175933</v>
      </c>
      <c r="X16" s="156">
        <f t="shared" si="2"/>
        <v>251202.55590499876</v>
      </c>
      <c r="Y16" s="156">
        <f t="shared" si="2"/>
        <v>226488.16257960949</v>
      </c>
      <c r="Z16" s="157">
        <f t="shared" si="2"/>
        <v>251741.95340321967</v>
      </c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</row>
    <row r="17" spans="1:36" outlineLevel="1" x14ac:dyDescent="0.2">
      <c r="A17" s="3" t="s">
        <v>26</v>
      </c>
      <c r="B17" s="158"/>
      <c r="D17" s="136">
        <v>0</v>
      </c>
      <c r="E17" s="137">
        <v>0</v>
      </c>
      <c r="F17" s="137">
        <v>0</v>
      </c>
      <c r="G17" s="138">
        <v>0</v>
      </c>
      <c r="H17" s="139">
        <v>0</v>
      </c>
      <c r="I17" s="140">
        <v>0</v>
      </c>
      <c r="J17" s="140">
        <v>0</v>
      </c>
      <c r="K17" s="141">
        <f t="shared" ref="K17:R17" si="3">K27-K22-K12</f>
        <v>63830.149575023032</v>
      </c>
      <c r="L17" s="142">
        <f t="shared" si="3"/>
        <v>46099.552470849965</v>
      </c>
      <c r="M17" s="142">
        <f t="shared" si="3"/>
        <v>9436.5228892499981</v>
      </c>
      <c r="N17" s="142">
        <f t="shared" si="3"/>
        <v>10391.563869499996</v>
      </c>
      <c r="O17" s="142">
        <f t="shared" si="3"/>
        <v>10007.164470858324</v>
      </c>
      <c r="P17" s="142">
        <f t="shared" si="3"/>
        <v>10605.978569075478</v>
      </c>
      <c r="Q17" s="142">
        <f t="shared" si="3"/>
        <v>8717.293415064174</v>
      </c>
      <c r="R17" s="142">
        <f t="shared" si="3"/>
        <v>15705.732261741388</v>
      </c>
      <c r="S17" s="297">
        <f t="shared" si="2"/>
        <v>81439.788864602087</v>
      </c>
      <c r="T17" s="144">
        <f t="shared" si="2"/>
        <v>111425.63770840372</v>
      </c>
      <c r="U17" s="145">
        <f t="shared" si="2"/>
        <v>124519.46039008211</v>
      </c>
      <c r="V17" s="145">
        <f t="shared" si="2"/>
        <v>114308.72325584256</v>
      </c>
      <c r="W17" s="145">
        <f t="shared" si="2"/>
        <v>110792.91527224985</v>
      </c>
      <c r="X17" s="145">
        <f t="shared" si="2"/>
        <v>102388.5139095812</v>
      </c>
      <c r="Y17" s="145">
        <f t="shared" si="2"/>
        <v>95686.683511054624</v>
      </c>
      <c r="Z17" s="146">
        <f t="shared" si="2"/>
        <v>103192.81255402813</v>
      </c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</row>
    <row r="18" spans="1:36" outlineLevel="1" x14ac:dyDescent="0.2">
      <c r="A18" s="3" t="s">
        <v>27</v>
      </c>
      <c r="B18" s="158"/>
      <c r="D18" s="136">
        <v>0</v>
      </c>
      <c r="E18" s="137">
        <v>0</v>
      </c>
      <c r="F18" s="137">
        <v>0</v>
      </c>
      <c r="G18" s="138">
        <v>0</v>
      </c>
      <c r="H18" s="139">
        <v>0</v>
      </c>
      <c r="I18" s="140">
        <v>0</v>
      </c>
      <c r="J18" s="140">
        <v>0</v>
      </c>
      <c r="K18" s="141">
        <f t="shared" ref="K18:R18" si="4">K28-K23-K13</f>
        <v>114894.26923504146</v>
      </c>
      <c r="L18" s="142">
        <f t="shared" si="4"/>
        <v>82979.194447529939</v>
      </c>
      <c r="M18" s="142">
        <f t="shared" si="4"/>
        <v>16985.741200649998</v>
      </c>
      <c r="N18" s="142">
        <f t="shared" si="4"/>
        <v>18704.814965099995</v>
      </c>
      <c r="O18" s="142">
        <f t="shared" si="4"/>
        <v>18012.896047544986</v>
      </c>
      <c r="P18" s="142">
        <f t="shared" si="4"/>
        <v>19090.761424335862</v>
      </c>
      <c r="Q18" s="142">
        <f t="shared" si="4"/>
        <v>15691.128147115514</v>
      </c>
      <c r="R18" s="142">
        <f t="shared" si="4"/>
        <v>28270.318071134501</v>
      </c>
      <c r="S18" s="297">
        <f t="shared" si="2"/>
        <v>-26068.260951565811</v>
      </c>
      <c r="T18" s="144">
        <f t="shared" si="2"/>
        <v>24041.463540385397</v>
      </c>
      <c r="U18" s="145">
        <f t="shared" si="2"/>
        <v>55178.216130981185</v>
      </c>
      <c r="V18" s="145">
        <f t="shared" si="2"/>
        <v>46222.133982104402</v>
      </c>
      <c r="W18" s="145">
        <f t="shared" si="2"/>
        <v>45396.280326841043</v>
      </c>
      <c r="X18" s="145">
        <f t="shared" si="2"/>
        <v>38405.218243892261</v>
      </c>
      <c r="Y18" s="145">
        <f t="shared" si="2"/>
        <v>27292.460466595923</v>
      </c>
      <c r="Z18" s="146">
        <f t="shared" si="2"/>
        <v>36776.214411921457</v>
      </c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</row>
    <row r="19" spans="1:36" outlineLevel="1" x14ac:dyDescent="0.2">
      <c r="A19" s="3" t="s">
        <v>28</v>
      </c>
      <c r="B19" s="158"/>
      <c r="D19" s="136">
        <v>0</v>
      </c>
      <c r="E19" s="137">
        <v>0</v>
      </c>
      <c r="F19" s="137">
        <v>0</v>
      </c>
      <c r="G19" s="138">
        <v>0</v>
      </c>
      <c r="H19" s="139">
        <v>0</v>
      </c>
      <c r="I19" s="140">
        <v>0</v>
      </c>
      <c r="J19" s="140">
        <v>0</v>
      </c>
      <c r="K19" s="141">
        <f t="shared" ref="K19:R19" si="5">K29-K24-K14</f>
        <v>76596.179490027629</v>
      </c>
      <c r="L19" s="142">
        <f t="shared" si="5"/>
        <v>55319.462965019957</v>
      </c>
      <c r="M19" s="142">
        <f t="shared" si="5"/>
        <v>11323.827467099998</v>
      </c>
      <c r="N19" s="142">
        <f t="shared" si="5"/>
        <v>12469.876643399995</v>
      </c>
      <c r="O19" s="142">
        <f t="shared" si="5"/>
        <v>12008.597365029989</v>
      </c>
      <c r="P19" s="142">
        <f t="shared" si="5"/>
        <v>12727.174282890574</v>
      </c>
      <c r="Q19" s="142">
        <f t="shared" si="5"/>
        <v>10460.752098077008</v>
      </c>
      <c r="R19" s="142">
        <f t="shared" si="5"/>
        <v>18846.878714089664</v>
      </c>
      <c r="S19" s="297">
        <f t="shared" si="2"/>
        <v>85780.003366320787</v>
      </c>
      <c r="T19" s="144">
        <f t="shared" si="2"/>
        <v>121707.31886119202</v>
      </c>
      <c r="U19" s="145">
        <f t="shared" si="2"/>
        <v>137419.42758292551</v>
      </c>
      <c r="V19" s="145">
        <f t="shared" si="2"/>
        <v>125133.23302117438</v>
      </c>
      <c r="W19" s="145">
        <f t="shared" si="2"/>
        <v>120478.51507266841</v>
      </c>
      <c r="X19" s="145">
        <f t="shared" si="2"/>
        <v>110408.8237515253</v>
      </c>
      <c r="Y19" s="145">
        <f t="shared" si="2"/>
        <v>103509.01860195896</v>
      </c>
      <c r="Z19" s="146">
        <f t="shared" si="2"/>
        <v>111772.92643727007</v>
      </c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</row>
    <row r="20" spans="1:36" outlineLevel="1" x14ac:dyDescent="0.2">
      <c r="A20" s="3"/>
      <c r="B20" s="158"/>
      <c r="D20" s="136"/>
      <c r="E20" s="137"/>
      <c r="F20" s="137"/>
      <c r="G20" s="138"/>
      <c r="H20" s="139"/>
      <c r="I20" s="140"/>
      <c r="J20" s="140"/>
      <c r="K20" s="141"/>
      <c r="L20" s="142"/>
      <c r="M20" s="142"/>
      <c r="N20" s="142"/>
      <c r="O20" s="142"/>
      <c r="P20" s="142"/>
      <c r="Q20" s="142"/>
      <c r="R20" s="142"/>
      <c r="S20" s="143"/>
      <c r="T20" s="144"/>
      <c r="U20" s="145"/>
      <c r="V20" s="145"/>
      <c r="W20" s="145"/>
      <c r="X20" s="145"/>
      <c r="Y20" s="145"/>
      <c r="Z20" s="146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</row>
    <row r="21" spans="1:36" outlineLevel="1" x14ac:dyDescent="0.2">
      <c r="A21" s="4" t="s">
        <v>17</v>
      </c>
      <c r="B21" s="135"/>
      <c r="C21" s="135"/>
      <c r="D21" s="147">
        <v>0</v>
      </c>
      <c r="E21" s="148">
        <v>0</v>
      </c>
      <c r="F21" s="148">
        <v>0</v>
      </c>
      <c r="G21" s="149">
        <v>0</v>
      </c>
      <c r="H21" s="150">
        <v>0</v>
      </c>
      <c r="I21" s="151">
        <v>0</v>
      </c>
      <c r="J21" s="151">
        <v>0</v>
      </c>
      <c r="K21" s="152">
        <v>0</v>
      </c>
      <c r="L21" s="153">
        <v>0</v>
      </c>
      <c r="M21" s="153">
        <v>0</v>
      </c>
      <c r="N21" s="153">
        <v>0</v>
      </c>
      <c r="O21" s="153">
        <v>0</v>
      </c>
      <c r="P21" s="153">
        <v>0</v>
      </c>
      <c r="Q21" s="153">
        <v>0</v>
      </c>
      <c r="R21" s="153">
        <v>0</v>
      </c>
      <c r="S21" s="154">
        <f t="shared" ref="S21:Z21" si="6">SUM(S22:S24)</f>
        <v>92836.405972166816</v>
      </c>
      <c r="T21" s="155">
        <f t="shared" si="6"/>
        <v>94760.117962866876</v>
      </c>
      <c r="U21" s="156">
        <f t="shared" si="6"/>
        <v>90972.313204112419</v>
      </c>
      <c r="V21" s="156">
        <f t="shared" si="6"/>
        <v>86237.322801314745</v>
      </c>
      <c r="W21" s="156">
        <f t="shared" si="6"/>
        <v>83684.593413019436</v>
      </c>
      <c r="X21" s="156">
        <f t="shared" si="6"/>
        <v>79608.57234562136</v>
      </c>
      <c r="Y21" s="156">
        <f t="shared" si="6"/>
        <v>78536.930637711892</v>
      </c>
      <c r="Z21" s="157">
        <f t="shared" si="6"/>
        <v>80958.745872396103</v>
      </c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</row>
    <row r="22" spans="1:36" outlineLevel="1" x14ac:dyDescent="0.2">
      <c r="A22" s="3" t="s">
        <v>26</v>
      </c>
      <c r="B22" s="158"/>
      <c r="D22" s="136">
        <v>0</v>
      </c>
      <c r="E22" s="137">
        <v>0</v>
      </c>
      <c r="F22" s="137">
        <v>0</v>
      </c>
      <c r="G22" s="138">
        <v>0</v>
      </c>
      <c r="H22" s="139">
        <v>0</v>
      </c>
      <c r="I22" s="140">
        <v>0</v>
      </c>
      <c r="J22" s="140">
        <v>0</v>
      </c>
      <c r="K22" s="381">
        <v>0</v>
      </c>
      <c r="L22" s="382">
        <v>0</v>
      </c>
      <c r="M22" s="382">
        <v>0</v>
      </c>
      <c r="N22" s="382">
        <v>0</v>
      </c>
      <c r="O22" s="382">
        <v>0</v>
      </c>
      <c r="P22" s="382">
        <v>0</v>
      </c>
      <c r="Q22" s="382">
        <v>0</v>
      </c>
      <c r="R22" s="382">
        <v>0</v>
      </c>
      <c r="S22" s="383">
        <v>0</v>
      </c>
      <c r="T22" s="384">
        <v>0</v>
      </c>
      <c r="U22" s="382">
        <v>0</v>
      </c>
      <c r="V22" s="382">
        <v>0</v>
      </c>
      <c r="W22" s="382">
        <v>0</v>
      </c>
      <c r="X22" s="382">
        <v>0</v>
      </c>
      <c r="Y22" s="382">
        <v>0</v>
      </c>
      <c r="Z22" s="383">
        <v>0</v>
      </c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</row>
    <row r="23" spans="1:36" outlineLevel="1" x14ac:dyDescent="0.2">
      <c r="A23" s="3" t="s">
        <v>27</v>
      </c>
      <c r="B23" s="158"/>
      <c r="D23" s="136">
        <v>0</v>
      </c>
      <c r="E23" s="137">
        <v>0</v>
      </c>
      <c r="F23" s="137">
        <v>0</v>
      </c>
      <c r="G23" s="138">
        <v>0</v>
      </c>
      <c r="H23" s="139">
        <v>0</v>
      </c>
      <c r="I23" s="140">
        <v>0</v>
      </c>
      <c r="J23" s="140">
        <v>0</v>
      </c>
      <c r="K23" s="381">
        <v>0</v>
      </c>
      <c r="L23" s="382">
        <v>0</v>
      </c>
      <c r="M23" s="382">
        <v>0</v>
      </c>
      <c r="N23" s="382">
        <v>0</v>
      </c>
      <c r="O23" s="382">
        <v>0</v>
      </c>
      <c r="P23" s="382">
        <v>0</v>
      </c>
      <c r="Q23" s="382">
        <v>0</v>
      </c>
      <c r="R23" s="382">
        <v>0</v>
      </c>
      <c r="S23" s="383">
        <v>86436.459230453023</v>
      </c>
      <c r="T23" s="384">
        <v>88361.552687580654</v>
      </c>
      <c r="U23" s="382">
        <v>84576.795180771835</v>
      </c>
      <c r="V23" s="382">
        <v>79857.168223044166</v>
      </c>
      <c r="W23" s="382">
        <v>77102.00722248423</v>
      </c>
      <c r="X23" s="382">
        <v>73033.617892468625</v>
      </c>
      <c r="Y23" s="382">
        <v>72553.313907732678</v>
      </c>
      <c r="Z23" s="383">
        <v>74574.243585854521</v>
      </c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</row>
    <row r="24" spans="1:36" outlineLevel="1" x14ac:dyDescent="0.2">
      <c r="A24" s="3" t="s">
        <v>28</v>
      </c>
      <c r="B24" s="158"/>
      <c r="D24" s="136">
        <v>0</v>
      </c>
      <c r="E24" s="137">
        <v>0</v>
      </c>
      <c r="F24" s="137">
        <v>0</v>
      </c>
      <c r="G24" s="138">
        <v>0</v>
      </c>
      <c r="H24" s="139">
        <v>0</v>
      </c>
      <c r="I24" s="140">
        <v>0</v>
      </c>
      <c r="J24" s="140">
        <v>0</v>
      </c>
      <c r="K24" s="381">
        <v>0</v>
      </c>
      <c r="L24" s="382">
        <v>0</v>
      </c>
      <c r="M24" s="382">
        <v>0</v>
      </c>
      <c r="N24" s="382">
        <v>0</v>
      </c>
      <c r="O24" s="382">
        <v>0</v>
      </c>
      <c r="P24" s="382">
        <v>0</v>
      </c>
      <c r="Q24" s="382">
        <v>0</v>
      </c>
      <c r="R24" s="382">
        <v>0</v>
      </c>
      <c r="S24" s="383">
        <v>6399.9467417137876</v>
      </c>
      <c r="T24" s="384">
        <v>6398.5652752862188</v>
      </c>
      <c r="U24" s="382">
        <v>6395.5180233405872</v>
      </c>
      <c r="V24" s="382">
        <v>6380.1545782705844</v>
      </c>
      <c r="W24" s="382">
        <v>6582.5861905352085</v>
      </c>
      <c r="X24" s="382">
        <v>6574.9544531527399</v>
      </c>
      <c r="Y24" s="382">
        <v>5983.616729979216</v>
      </c>
      <c r="Z24" s="383">
        <v>6384.5022865415849</v>
      </c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</row>
    <row r="25" spans="1:36" outlineLevel="1" x14ac:dyDescent="0.2">
      <c r="A25" s="3"/>
      <c r="B25" s="158"/>
      <c r="D25" s="136"/>
      <c r="E25" s="137"/>
      <c r="F25" s="137"/>
      <c r="G25" s="138"/>
      <c r="H25" s="139"/>
      <c r="I25" s="140"/>
      <c r="J25" s="140"/>
      <c r="K25" s="141"/>
      <c r="L25" s="142"/>
      <c r="M25" s="142"/>
      <c r="N25" s="142"/>
      <c r="O25" s="142"/>
      <c r="P25" s="142"/>
      <c r="Q25" s="142"/>
      <c r="R25" s="142"/>
      <c r="S25" s="143"/>
      <c r="T25" s="144"/>
      <c r="U25" s="145"/>
      <c r="V25" s="145"/>
      <c r="W25" s="145"/>
      <c r="X25" s="145"/>
      <c r="Y25" s="145"/>
      <c r="Z25" s="146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x14ac:dyDescent="0.2">
      <c r="A26" s="4" t="s">
        <v>154</v>
      </c>
      <c r="B26" s="8" t="s">
        <v>44</v>
      </c>
      <c r="C26" s="135"/>
      <c r="D26" s="387">
        <v>138992.70324665844</v>
      </c>
      <c r="E26" s="388">
        <v>154222.19301250842</v>
      </c>
      <c r="F26" s="388">
        <v>162086.26483715844</v>
      </c>
      <c r="G26" s="389">
        <v>152376.72562550844</v>
      </c>
      <c r="H26" s="387">
        <v>152708.88135550843</v>
      </c>
      <c r="I26" s="388">
        <v>144481.75591550849</v>
      </c>
      <c r="J26" s="388">
        <v>146545.69236350848</v>
      </c>
      <c r="K26" s="377">
        <f>K148-K21</f>
        <v>255320.59830009213</v>
      </c>
      <c r="L26" s="378">
        <f t="shared" ref="L26:Z26" si="7">L148-L21</f>
        <v>184398.20988339986</v>
      </c>
      <c r="M26" s="378">
        <f t="shared" si="7"/>
        <v>37746.091556999992</v>
      </c>
      <c r="N26" s="378">
        <f t="shared" si="7"/>
        <v>41566.255477999985</v>
      </c>
      <c r="O26" s="378">
        <f t="shared" si="7"/>
        <v>40028.657883433298</v>
      </c>
      <c r="P26" s="378">
        <f t="shared" si="7"/>
        <v>42423.914276301912</v>
      </c>
      <c r="Q26" s="378">
        <f t="shared" si="7"/>
        <v>34869.173660256696</v>
      </c>
      <c r="R26" s="378">
        <f t="shared" si="7"/>
        <v>62822.929046965553</v>
      </c>
      <c r="S26" s="379">
        <f t="shared" si="7"/>
        <v>239313.87607793562</v>
      </c>
      <c r="T26" s="380">
        <f t="shared" si="7"/>
        <v>356895.06408334803</v>
      </c>
      <c r="U26" s="378">
        <f t="shared" si="7"/>
        <v>413008.86206752714</v>
      </c>
      <c r="V26" s="378">
        <f t="shared" si="7"/>
        <v>376420.62725233915</v>
      </c>
      <c r="W26" s="378">
        <f t="shared" si="7"/>
        <v>364678.48612877249</v>
      </c>
      <c r="X26" s="378">
        <f t="shared" si="7"/>
        <v>335139.35304020351</v>
      </c>
      <c r="Y26" s="378">
        <f t="shared" si="7"/>
        <v>309101.54227139545</v>
      </c>
      <c r="Z26" s="379">
        <f t="shared" si="7"/>
        <v>337141.67393511254</v>
      </c>
      <c r="AA26" s="134"/>
      <c r="AB26" s="333">
        <f>'PG&amp;E'!K26</f>
        <v>255320.59830009213</v>
      </c>
      <c r="AC26" s="333">
        <f>SUM('PG&amp;E'!L26:S26)</f>
        <v>683169.1078632928</v>
      </c>
      <c r="AD26" s="333">
        <f>SUM('PG&amp;E'!T26:Z26)</f>
        <v>2492385.6087786984</v>
      </c>
      <c r="AE26" s="336">
        <f>AC26+AD26</f>
        <v>3175554.7166419914</v>
      </c>
      <c r="AF26" s="134"/>
      <c r="AG26" s="134"/>
      <c r="AH26" s="134"/>
      <c r="AI26" s="134"/>
      <c r="AJ26" s="134"/>
    </row>
    <row r="27" spans="1:36" ht="12.75" customHeight="1" x14ac:dyDescent="0.2">
      <c r="A27" s="3" t="s">
        <v>26</v>
      </c>
      <c r="B27" s="11">
        <v>0.25</v>
      </c>
      <c r="D27" s="136">
        <f t="shared" ref="D27:J29" si="8">D$26*$B27</f>
        <v>34748.175811664609</v>
      </c>
      <c r="E27" s="137">
        <f t="shared" si="8"/>
        <v>38555.548253127105</v>
      </c>
      <c r="F27" s="137">
        <f t="shared" si="8"/>
        <v>40521.566209289609</v>
      </c>
      <c r="G27" s="138">
        <f t="shared" si="8"/>
        <v>38094.181406377109</v>
      </c>
      <c r="H27" s="139">
        <f t="shared" si="8"/>
        <v>38177.220338877109</v>
      </c>
      <c r="I27" s="140">
        <f t="shared" si="8"/>
        <v>36120.438978877122</v>
      </c>
      <c r="J27" s="140">
        <f t="shared" si="8"/>
        <v>36636.423090877121</v>
      </c>
      <c r="K27" s="141">
        <f t="shared" ref="K27:Z27" si="9">K149-K22</f>
        <v>63830.149575023032</v>
      </c>
      <c r="L27" s="142">
        <f t="shared" si="9"/>
        <v>46099.552470849965</v>
      </c>
      <c r="M27" s="142">
        <f t="shared" si="9"/>
        <v>9436.5228892499981</v>
      </c>
      <c r="N27" s="142">
        <f t="shared" si="9"/>
        <v>10391.563869499996</v>
      </c>
      <c r="O27" s="142">
        <f t="shared" si="9"/>
        <v>10007.164470858324</v>
      </c>
      <c r="P27" s="142">
        <f t="shared" si="9"/>
        <v>10605.978569075478</v>
      </c>
      <c r="Q27" s="142">
        <f t="shared" si="9"/>
        <v>8717.293415064174</v>
      </c>
      <c r="R27" s="142">
        <f t="shared" si="9"/>
        <v>15705.732261741388</v>
      </c>
      <c r="S27" s="143">
        <f t="shared" si="9"/>
        <v>83037.570512525606</v>
      </c>
      <c r="T27" s="144">
        <f t="shared" si="9"/>
        <v>112913.79551155372</v>
      </c>
      <c r="U27" s="145">
        <f t="shared" si="9"/>
        <v>125995.29381790989</v>
      </c>
      <c r="V27" s="145">
        <f t="shared" si="9"/>
        <v>115664.48751341348</v>
      </c>
      <c r="W27" s="145">
        <f t="shared" si="9"/>
        <v>112090.76988544798</v>
      </c>
      <c r="X27" s="145">
        <f t="shared" si="9"/>
        <v>103686.98134645622</v>
      </c>
      <c r="Y27" s="145">
        <f t="shared" si="9"/>
        <v>96909.618227276835</v>
      </c>
      <c r="Z27" s="146">
        <f t="shared" si="9"/>
        <v>104525.10495187716</v>
      </c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x14ac:dyDescent="0.2">
      <c r="A28" s="3" t="s">
        <v>27</v>
      </c>
      <c r="B28" s="11">
        <v>0.45</v>
      </c>
      <c r="D28" s="136">
        <f t="shared" si="8"/>
        <v>62546.7164609963</v>
      </c>
      <c r="E28" s="137">
        <f t="shared" si="8"/>
        <v>69399.986855628784</v>
      </c>
      <c r="F28" s="137">
        <f t="shared" si="8"/>
        <v>72938.819176721299</v>
      </c>
      <c r="G28" s="138">
        <f t="shared" si="8"/>
        <v>68569.526531478798</v>
      </c>
      <c r="H28" s="139">
        <f t="shared" si="8"/>
        <v>68718.9966099788</v>
      </c>
      <c r="I28" s="140">
        <f t="shared" si="8"/>
        <v>65016.790161978824</v>
      </c>
      <c r="J28" s="140">
        <f t="shared" si="8"/>
        <v>65945.561563578813</v>
      </c>
      <c r="K28" s="141">
        <f t="shared" ref="K28:Z28" si="10">K150-K23</f>
        <v>114894.26923504146</v>
      </c>
      <c r="L28" s="142">
        <f t="shared" si="10"/>
        <v>82979.194447529939</v>
      </c>
      <c r="M28" s="142">
        <f t="shared" si="10"/>
        <v>16985.741200649998</v>
      </c>
      <c r="N28" s="142">
        <f t="shared" si="10"/>
        <v>18704.814965099995</v>
      </c>
      <c r="O28" s="142">
        <f t="shared" si="10"/>
        <v>18012.896047544986</v>
      </c>
      <c r="P28" s="142">
        <f t="shared" si="10"/>
        <v>19090.761424335862</v>
      </c>
      <c r="Q28" s="142">
        <f t="shared" si="10"/>
        <v>15691.128147115514</v>
      </c>
      <c r="R28" s="142">
        <f t="shared" si="10"/>
        <v>28270.318071134501</v>
      </c>
      <c r="S28" s="143">
        <f t="shared" si="10"/>
        <v>63031.167692093077</v>
      </c>
      <c r="T28" s="144">
        <f t="shared" si="10"/>
        <v>114883.27923321603</v>
      </c>
      <c r="U28" s="145">
        <f t="shared" si="10"/>
        <v>142214.73369146598</v>
      </c>
      <c r="V28" s="145">
        <f t="shared" si="10"/>
        <v>128338.9093011001</v>
      </c>
      <c r="W28" s="145">
        <f t="shared" si="10"/>
        <v>124661.37857132214</v>
      </c>
      <c r="X28" s="145">
        <f t="shared" si="10"/>
        <v>113602.94853115258</v>
      </c>
      <c r="Y28" s="145">
        <f t="shared" si="10"/>
        <v>101883.99890136563</v>
      </c>
      <c r="Z28" s="146">
        <f t="shared" si="10"/>
        <v>113570.94532752437</v>
      </c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</row>
    <row r="29" spans="1:36" x14ac:dyDescent="0.2">
      <c r="A29" s="3" t="s">
        <v>28</v>
      </c>
      <c r="B29" s="11">
        <v>0.3</v>
      </c>
      <c r="D29" s="136">
        <f t="shared" si="8"/>
        <v>41697.810973997526</v>
      </c>
      <c r="E29" s="137">
        <f t="shared" si="8"/>
        <v>46266.657903752523</v>
      </c>
      <c r="F29" s="137">
        <f t="shared" si="8"/>
        <v>48625.879451147528</v>
      </c>
      <c r="G29" s="138">
        <f t="shared" si="8"/>
        <v>45713.017687652529</v>
      </c>
      <c r="H29" s="139">
        <f t="shared" si="8"/>
        <v>45812.664406652526</v>
      </c>
      <c r="I29" s="140">
        <f t="shared" si="8"/>
        <v>43344.526774652542</v>
      </c>
      <c r="J29" s="140">
        <f t="shared" si="8"/>
        <v>43963.707709052542</v>
      </c>
      <c r="K29" s="141">
        <f t="shared" ref="K29:Z29" si="11">K151-K24</f>
        <v>76596.179490027629</v>
      </c>
      <c r="L29" s="142">
        <f t="shared" si="11"/>
        <v>55319.462965019957</v>
      </c>
      <c r="M29" s="142">
        <f t="shared" si="11"/>
        <v>11323.827467099998</v>
      </c>
      <c r="N29" s="142">
        <f t="shared" si="11"/>
        <v>12469.876643399995</v>
      </c>
      <c r="O29" s="142">
        <f t="shared" si="11"/>
        <v>12008.597365029989</v>
      </c>
      <c r="P29" s="142">
        <f t="shared" si="11"/>
        <v>12727.174282890574</v>
      </c>
      <c r="Q29" s="142">
        <f t="shared" si="11"/>
        <v>10460.752098077008</v>
      </c>
      <c r="R29" s="142">
        <f t="shared" si="11"/>
        <v>18846.878714089664</v>
      </c>
      <c r="S29" s="143">
        <f t="shared" si="11"/>
        <v>93245.137873316926</v>
      </c>
      <c r="T29" s="144">
        <f t="shared" si="11"/>
        <v>129097.98933857823</v>
      </c>
      <c r="U29" s="145">
        <f t="shared" si="11"/>
        <v>144798.83455815128</v>
      </c>
      <c r="V29" s="145">
        <f t="shared" si="11"/>
        <v>132417.23043782558</v>
      </c>
      <c r="W29" s="145">
        <f t="shared" si="11"/>
        <v>127926.33767200237</v>
      </c>
      <c r="X29" s="145">
        <f t="shared" si="11"/>
        <v>117849.42316259471</v>
      </c>
      <c r="Y29" s="145">
        <f t="shared" si="11"/>
        <v>110307.92514275298</v>
      </c>
      <c r="Z29" s="146">
        <f t="shared" si="11"/>
        <v>119045.62365571101</v>
      </c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</row>
    <row r="30" spans="1:36" x14ac:dyDescent="0.2">
      <c r="B30" s="158">
        <f>SUM(B27:B29)</f>
        <v>1</v>
      </c>
      <c r="D30" s="102"/>
      <c r="E30" s="103"/>
      <c r="F30" s="103"/>
      <c r="G30" s="104"/>
      <c r="H30" s="105"/>
      <c r="I30" s="106"/>
      <c r="J30" s="106"/>
      <c r="K30" s="159"/>
      <c r="L30" s="107"/>
      <c r="M30" s="107"/>
      <c r="N30" s="107"/>
      <c r="O30" s="107"/>
      <c r="P30" s="107"/>
      <c r="Q30" s="107"/>
      <c r="R30" s="107"/>
      <c r="S30" s="108"/>
      <c r="T30" s="109"/>
      <c r="U30" s="110"/>
      <c r="V30" s="110"/>
      <c r="W30" s="110"/>
      <c r="X30" s="110"/>
      <c r="Y30" s="110"/>
      <c r="Z30" s="111"/>
    </row>
    <row r="31" spans="1:36" x14ac:dyDescent="0.2">
      <c r="A31" s="5" t="s">
        <v>25</v>
      </c>
      <c r="D31" s="102"/>
      <c r="E31" s="103"/>
      <c r="F31" s="103"/>
      <c r="G31" s="104"/>
      <c r="H31" s="105"/>
      <c r="I31" s="106"/>
      <c r="J31" s="106"/>
      <c r="K31" s="159"/>
      <c r="L31" s="107"/>
      <c r="M31" s="107"/>
      <c r="N31" s="107"/>
      <c r="O31" s="107"/>
      <c r="P31" s="107"/>
      <c r="Q31" s="107"/>
      <c r="R31" s="107"/>
      <c r="S31" s="108"/>
      <c r="T31" s="109"/>
      <c r="U31" s="110"/>
      <c r="V31" s="110"/>
      <c r="W31" s="110"/>
      <c r="X31" s="110"/>
      <c r="Y31" s="110"/>
      <c r="Z31" s="111"/>
    </row>
    <row r="32" spans="1:36" outlineLevel="1" x14ac:dyDescent="0.2">
      <c r="A32" s="4" t="s">
        <v>32</v>
      </c>
      <c r="B32" s="135" t="s">
        <v>33</v>
      </c>
      <c r="C32" s="49" t="s">
        <v>70</v>
      </c>
      <c r="D32" s="160">
        <v>79.47076148121981</v>
      </c>
      <c r="E32" s="161">
        <v>80.273122506278</v>
      </c>
      <c r="F32" s="161">
        <v>81.363843864136669</v>
      </c>
      <c r="G32" s="162">
        <v>78.229995446272326</v>
      </c>
      <c r="H32" s="163">
        <v>69.750758490900466</v>
      </c>
      <c r="I32" s="164">
        <v>68.107883245984411</v>
      </c>
      <c r="J32" s="164">
        <v>64.040555680169703</v>
      </c>
      <c r="K32" s="165">
        <f>K33+K36</f>
        <v>57.042704437711564</v>
      </c>
      <c r="L32" s="166">
        <v>57.042704437711564</v>
      </c>
      <c r="M32" s="166">
        <v>57.401461238251386</v>
      </c>
      <c r="N32" s="166">
        <f>N33+10</f>
        <v>60.288370048142319</v>
      </c>
      <c r="O32" s="166">
        <f>O33+10</f>
        <v>60.446335344493512</v>
      </c>
      <c r="P32" s="166">
        <f>P33+10</f>
        <v>91.626561089757303</v>
      </c>
      <c r="Q32" s="166">
        <v>137.25436579952353</v>
      </c>
      <c r="R32" s="166">
        <v>135.82134248955259</v>
      </c>
      <c r="S32" s="167">
        <v>138.85211078552368</v>
      </c>
      <c r="T32" s="168">
        <v>136.83616210813418</v>
      </c>
      <c r="U32" s="169">
        <v>125.329156825231</v>
      </c>
      <c r="V32" s="169">
        <v>94.729236744163174</v>
      </c>
      <c r="W32" s="169">
        <v>94.758782287163058</v>
      </c>
      <c r="X32" s="169">
        <v>90.982889843249382</v>
      </c>
      <c r="Y32" s="169">
        <v>91.341646643789204</v>
      </c>
      <c r="Z32" s="170">
        <v>94.228555453680116</v>
      </c>
    </row>
    <row r="33" spans="1:26" outlineLevel="1" x14ac:dyDescent="0.2">
      <c r="A33" s="3" t="s">
        <v>71</v>
      </c>
      <c r="B33" s="135"/>
      <c r="C33" s="135"/>
      <c r="D33" s="171">
        <v>79.47076148121981</v>
      </c>
      <c r="E33" s="172">
        <v>80.273122506278</v>
      </c>
      <c r="F33" s="172">
        <v>81.363843864136669</v>
      </c>
      <c r="G33" s="173">
        <v>78.229995446272326</v>
      </c>
      <c r="H33" s="174">
        <v>69.750758490900466</v>
      </c>
      <c r="I33" s="175">
        <v>68.107883245984411</v>
      </c>
      <c r="J33" s="175">
        <v>64.040555680169703</v>
      </c>
      <c r="K33" s="176">
        <v>47.042704437711564</v>
      </c>
      <c r="L33" s="177">
        <v>47.042704437711564</v>
      </c>
      <c r="M33" s="177">
        <v>47.401461238251386</v>
      </c>
      <c r="N33" s="177">
        <v>50.288370048142319</v>
      </c>
      <c r="O33" s="177">
        <v>50.446335344493512</v>
      </c>
      <c r="P33" s="177">
        <v>81.626561089757303</v>
      </c>
      <c r="Q33" s="177">
        <v>81.11929860128248</v>
      </c>
      <c r="R33" s="177">
        <v>80.738966377243045</v>
      </c>
      <c r="S33" s="178">
        <v>81.451934507930403</v>
      </c>
      <c r="T33" s="179">
        <v>81.291270420195332</v>
      </c>
      <c r="U33" s="180">
        <v>68.25368480248747</v>
      </c>
      <c r="V33" s="180">
        <v>50.039236744163176</v>
      </c>
      <c r="W33" s="180">
        <v>50.06878228716306</v>
      </c>
      <c r="X33" s="180">
        <v>46.292889843249377</v>
      </c>
      <c r="Y33" s="180">
        <v>46.651646643789199</v>
      </c>
      <c r="Z33" s="181">
        <v>49.538555453680118</v>
      </c>
    </row>
    <row r="34" spans="1:26" outlineLevel="1" x14ac:dyDescent="0.2">
      <c r="A34" s="3" t="s">
        <v>37</v>
      </c>
      <c r="D34" s="182">
        <v>8.8915649970037922</v>
      </c>
      <c r="E34" s="183">
        <v>8.891564997003794</v>
      </c>
      <c r="F34" s="183">
        <v>8.8915649970037922</v>
      </c>
      <c r="G34" s="184">
        <v>8.891564997003794</v>
      </c>
      <c r="H34" s="185">
        <v>8.8915649970037922</v>
      </c>
      <c r="I34" s="186">
        <v>8.891564997003794</v>
      </c>
      <c r="J34" s="186">
        <v>8.891564997003794</v>
      </c>
      <c r="K34" s="187">
        <v>19.886956180180174</v>
      </c>
      <c r="L34" s="166">
        <v>19.886956180180174</v>
      </c>
      <c r="M34" s="188">
        <v>19.886956180180174</v>
      </c>
      <c r="N34" s="188">
        <v>19.886956180180174</v>
      </c>
      <c r="O34" s="188">
        <v>19.886956180180174</v>
      </c>
      <c r="P34" s="188">
        <v>19.886956180180174</v>
      </c>
      <c r="Q34" s="188">
        <v>19.886956180180174</v>
      </c>
      <c r="R34" s="188">
        <v>19.886956180180178</v>
      </c>
      <c r="S34" s="189">
        <v>19.886956180180174</v>
      </c>
      <c r="T34" s="190">
        <v>19.886956180180174</v>
      </c>
      <c r="U34" s="191">
        <v>19.886956180180174</v>
      </c>
      <c r="V34" s="191">
        <v>19.886956180180174</v>
      </c>
      <c r="W34" s="191">
        <v>19.886956180180174</v>
      </c>
      <c r="X34" s="191">
        <v>19.137141585717981</v>
      </c>
      <c r="Y34" s="191">
        <v>19.137141585717984</v>
      </c>
      <c r="Z34" s="192">
        <v>19.137141585717977</v>
      </c>
    </row>
    <row r="35" spans="1:26" outlineLevel="1" x14ac:dyDescent="0.2">
      <c r="A35" s="3" t="s">
        <v>29</v>
      </c>
      <c r="D35" s="26"/>
      <c r="E35" s="27"/>
      <c r="F35" s="27"/>
      <c r="G35" s="28"/>
      <c r="H35" s="29"/>
      <c r="I35" s="30"/>
      <c r="J35" s="30"/>
      <c r="K35" s="72"/>
      <c r="L35" s="41" t="s">
        <v>88</v>
      </c>
      <c r="M35" s="41" t="s">
        <v>88</v>
      </c>
      <c r="N35" s="41" t="s">
        <v>88</v>
      </c>
      <c r="O35" s="41" t="s">
        <v>88</v>
      </c>
      <c r="P35" s="41" t="s">
        <v>88</v>
      </c>
      <c r="Q35" s="41" t="s">
        <v>88</v>
      </c>
      <c r="R35" s="41" t="s">
        <v>88</v>
      </c>
      <c r="S35" s="42" t="s">
        <v>88</v>
      </c>
      <c r="T35" s="43" t="s">
        <v>88</v>
      </c>
      <c r="U35" s="44" t="s">
        <v>88</v>
      </c>
      <c r="V35" s="44" t="s">
        <v>88</v>
      </c>
      <c r="W35" s="44" t="s">
        <v>88</v>
      </c>
      <c r="X35" s="44" t="s">
        <v>88</v>
      </c>
      <c r="Y35" s="44" t="s">
        <v>88</v>
      </c>
      <c r="Z35" s="45" t="s">
        <v>88</v>
      </c>
    </row>
    <row r="36" spans="1:26" outlineLevel="1" x14ac:dyDescent="0.2">
      <c r="A36" s="3" t="s">
        <v>30</v>
      </c>
      <c r="D36" s="182">
        <v>0</v>
      </c>
      <c r="E36" s="183">
        <v>0</v>
      </c>
      <c r="F36" s="183">
        <v>0</v>
      </c>
      <c r="G36" s="184">
        <v>0</v>
      </c>
      <c r="H36" s="185">
        <v>0</v>
      </c>
      <c r="I36" s="186">
        <v>0</v>
      </c>
      <c r="J36" s="186">
        <v>0</v>
      </c>
      <c r="K36" s="187">
        <v>10</v>
      </c>
      <c r="L36" s="188">
        <v>10</v>
      </c>
      <c r="M36" s="188">
        <v>10</v>
      </c>
      <c r="N36" s="188">
        <v>10</v>
      </c>
      <c r="O36" s="188">
        <v>10</v>
      </c>
      <c r="P36" s="188">
        <v>10</v>
      </c>
      <c r="Q36" s="188">
        <v>10</v>
      </c>
      <c r="R36" s="188">
        <v>10</v>
      </c>
      <c r="S36" s="189">
        <v>10</v>
      </c>
      <c r="T36" s="190">
        <v>10</v>
      </c>
      <c r="U36" s="191">
        <v>10</v>
      </c>
      <c r="V36" s="191">
        <v>10</v>
      </c>
      <c r="W36" s="191">
        <v>10</v>
      </c>
      <c r="X36" s="191">
        <v>10</v>
      </c>
      <c r="Y36" s="191">
        <v>10</v>
      </c>
      <c r="Z36" s="192">
        <v>10</v>
      </c>
    </row>
    <row r="37" spans="1:26" outlineLevel="1" x14ac:dyDescent="0.2">
      <c r="A37" s="3" t="s">
        <v>31</v>
      </c>
      <c r="D37" s="182">
        <v>0</v>
      </c>
      <c r="E37" s="183">
        <v>0</v>
      </c>
      <c r="F37" s="183">
        <v>0</v>
      </c>
      <c r="G37" s="184">
        <v>0</v>
      </c>
      <c r="H37" s="185">
        <v>0</v>
      </c>
      <c r="I37" s="186">
        <v>0</v>
      </c>
      <c r="J37" s="186">
        <v>0</v>
      </c>
      <c r="K37" s="187">
        <v>0</v>
      </c>
      <c r="L37" s="166">
        <v>0</v>
      </c>
      <c r="M37" s="166">
        <v>0</v>
      </c>
      <c r="N37" s="166">
        <v>0</v>
      </c>
      <c r="O37" s="166">
        <v>35.19</v>
      </c>
      <c r="P37" s="166">
        <v>46.360196396704858</v>
      </c>
      <c r="Q37" s="166">
        <v>45.166360278224552</v>
      </c>
      <c r="R37" s="166">
        <v>44.774370710787395</v>
      </c>
      <c r="S37" s="167">
        <v>46.075537313084688</v>
      </c>
      <c r="T37" s="168">
        <v>44.217858057471183</v>
      </c>
      <c r="U37" s="169">
        <v>46.156614371982592</v>
      </c>
      <c r="V37" s="169">
        <v>35.19</v>
      </c>
      <c r="W37" s="169">
        <v>35.19</v>
      </c>
      <c r="X37" s="169">
        <v>35.19</v>
      </c>
      <c r="Y37" s="169">
        <v>35.19</v>
      </c>
      <c r="Z37" s="170">
        <v>35.19</v>
      </c>
    </row>
    <row r="38" spans="1:26" outlineLevel="1" x14ac:dyDescent="0.2">
      <c r="A38" s="2"/>
      <c r="D38" s="182"/>
      <c r="E38" s="183"/>
      <c r="F38" s="183"/>
      <c r="G38" s="184"/>
      <c r="H38" s="185"/>
      <c r="I38" s="186"/>
      <c r="J38" s="186"/>
      <c r="K38" s="187"/>
      <c r="L38" s="188"/>
      <c r="M38" s="188"/>
      <c r="N38" s="188"/>
      <c r="O38" s="188"/>
      <c r="P38" s="188"/>
      <c r="Q38" s="188"/>
      <c r="R38" s="188"/>
      <c r="S38" s="189"/>
      <c r="T38" s="190"/>
      <c r="U38" s="191"/>
      <c r="V38" s="191"/>
      <c r="W38" s="191"/>
      <c r="X38" s="191"/>
      <c r="Y38" s="191"/>
      <c r="Z38" s="192"/>
    </row>
    <row r="39" spans="1:26" outlineLevel="1" x14ac:dyDescent="0.2">
      <c r="A39" s="4" t="s">
        <v>36</v>
      </c>
      <c r="B39" s="135" t="s">
        <v>33</v>
      </c>
      <c r="C39" s="49" t="s">
        <v>70</v>
      </c>
      <c r="D39" s="160">
        <v>118.86728230497235</v>
      </c>
      <c r="E39" s="161">
        <v>116.91783990904766</v>
      </c>
      <c r="F39" s="161">
        <v>119.02320330045194</v>
      </c>
      <c r="G39" s="162">
        <v>118.56482410314159</v>
      </c>
      <c r="H39" s="163">
        <v>68.525680612023422</v>
      </c>
      <c r="I39" s="164">
        <v>68.215801842068018</v>
      </c>
      <c r="J39" s="164">
        <v>69.088958789081133</v>
      </c>
      <c r="K39" s="165">
        <f>K40+K43</f>
        <v>63.218412475172855</v>
      </c>
      <c r="L39" s="166">
        <v>63.218412475172855</v>
      </c>
      <c r="M39" s="166">
        <v>63.722363971587406</v>
      </c>
      <c r="N39" s="166">
        <f>N40+10</f>
        <v>67.743620621244077</v>
      </c>
      <c r="O39" s="166">
        <f>O40+10</f>
        <v>67.976610829433611</v>
      </c>
      <c r="P39" s="166">
        <f>P40+10</f>
        <v>109.13868509332161</v>
      </c>
      <c r="Q39" s="166">
        <v>153.30970496862687</v>
      </c>
      <c r="R39" s="166">
        <v>151.00903398023127</v>
      </c>
      <c r="S39" s="167">
        <v>155.32493370832606</v>
      </c>
      <c r="T39" s="168">
        <v>152.64931806231502</v>
      </c>
      <c r="U39" s="169">
        <v>139.01290129403043</v>
      </c>
      <c r="V39" s="169">
        <v>102.44154815795986</v>
      </c>
      <c r="W39" s="169">
        <v>101.97482553301981</v>
      </c>
      <c r="X39" s="169">
        <v>97.283792367229211</v>
      </c>
      <c r="Y39" s="169">
        <v>97.78085913876555</v>
      </c>
      <c r="Z39" s="170">
        <v>101.69635204419717</v>
      </c>
    </row>
    <row r="40" spans="1:26" outlineLevel="1" x14ac:dyDescent="0.2">
      <c r="A40" s="3" t="s">
        <v>71</v>
      </c>
      <c r="B40" s="135"/>
      <c r="C40" s="135"/>
      <c r="D40" s="171">
        <v>118.86728230497235</v>
      </c>
      <c r="E40" s="172">
        <v>116.91783990904766</v>
      </c>
      <c r="F40" s="172">
        <v>119.02320330045194</v>
      </c>
      <c r="G40" s="173">
        <v>118.56482410314159</v>
      </c>
      <c r="H40" s="174">
        <v>68.525680612023422</v>
      </c>
      <c r="I40" s="175">
        <v>68.215801842068018</v>
      </c>
      <c r="J40" s="175">
        <v>69.088958789081133</v>
      </c>
      <c r="K40" s="176">
        <v>53.218412475172855</v>
      </c>
      <c r="L40" s="177">
        <v>53.218412475172855</v>
      </c>
      <c r="M40" s="177">
        <v>53.722363971587406</v>
      </c>
      <c r="N40" s="177">
        <v>57.743620621244077</v>
      </c>
      <c r="O40" s="177">
        <v>57.976610829433611</v>
      </c>
      <c r="P40" s="177">
        <v>99.138685093321612</v>
      </c>
      <c r="Q40" s="177">
        <v>98.146929725148269</v>
      </c>
      <c r="R40" s="177">
        <v>97.065601028871868</v>
      </c>
      <c r="S40" s="178">
        <v>98.674731959232616</v>
      </c>
      <c r="T40" s="179">
        <v>98.342029494275664</v>
      </c>
      <c r="U40" s="180">
        <v>82.749220583979934</v>
      </c>
      <c r="V40" s="180">
        <v>57.376162567137158</v>
      </c>
      <c r="W40" s="180">
        <v>57.419740633714895</v>
      </c>
      <c r="X40" s="180">
        <v>52.35868727556921</v>
      </c>
      <c r="Y40" s="180">
        <v>52.862638771983768</v>
      </c>
      <c r="Z40" s="181">
        <v>56.88389542164046</v>
      </c>
    </row>
    <row r="41" spans="1:26" outlineLevel="1" x14ac:dyDescent="0.2">
      <c r="A41" s="3" t="s">
        <v>37</v>
      </c>
      <c r="D41" s="182">
        <v>13.018269885671891</v>
      </c>
      <c r="E41" s="183">
        <v>13.01826988567189</v>
      </c>
      <c r="F41" s="183">
        <v>13.01826988567189</v>
      </c>
      <c r="G41" s="184">
        <v>13.01826988567189</v>
      </c>
      <c r="H41" s="185">
        <v>13.018269885671888</v>
      </c>
      <c r="I41" s="186">
        <v>13.01826988567189</v>
      </c>
      <c r="J41" s="186">
        <v>13.01826988567189</v>
      </c>
      <c r="K41" s="187">
        <v>28.917425430298984</v>
      </c>
      <c r="L41" s="166">
        <v>28.917425430298984</v>
      </c>
      <c r="M41" s="188">
        <v>28.917425430298991</v>
      </c>
      <c r="N41" s="188">
        <v>28.917425430298984</v>
      </c>
      <c r="O41" s="188">
        <v>28.917425430298984</v>
      </c>
      <c r="P41" s="188">
        <v>28.917425430298984</v>
      </c>
      <c r="Q41" s="188">
        <v>28.917425430298991</v>
      </c>
      <c r="R41" s="188">
        <v>28.917425430298984</v>
      </c>
      <c r="S41" s="189">
        <v>28.917425430298984</v>
      </c>
      <c r="T41" s="190">
        <v>28.917425430298984</v>
      </c>
      <c r="U41" s="191">
        <v>28.917425430298991</v>
      </c>
      <c r="V41" s="191">
        <v>28.917425430298991</v>
      </c>
      <c r="W41" s="191">
        <v>28.917425430298984</v>
      </c>
      <c r="X41" s="191">
        <v>28.057700230695346</v>
      </c>
      <c r="Y41" s="191">
        <v>28.057700230695353</v>
      </c>
      <c r="Z41" s="192">
        <v>28.057700230695353</v>
      </c>
    </row>
    <row r="42" spans="1:26" outlineLevel="1" x14ac:dyDescent="0.2">
      <c r="A42" s="3" t="s">
        <v>29</v>
      </c>
      <c r="D42" s="26"/>
      <c r="E42" s="27"/>
      <c r="F42" s="27"/>
      <c r="G42" s="28"/>
      <c r="H42" s="29"/>
      <c r="I42" s="30"/>
      <c r="J42" s="30"/>
      <c r="K42" s="72"/>
      <c r="L42" s="41" t="s">
        <v>88</v>
      </c>
      <c r="M42" s="41" t="s">
        <v>88</v>
      </c>
      <c r="N42" s="41" t="s">
        <v>88</v>
      </c>
      <c r="O42" s="41" t="s">
        <v>88</v>
      </c>
      <c r="P42" s="41" t="s">
        <v>88</v>
      </c>
      <c r="Q42" s="41" t="s">
        <v>88</v>
      </c>
      <c r="R42" s="41" t="s">
        <v>88</v>
      </c>
      <c r="S42" s="42" t="s">
        <v>88</v>
      </c>
      <c r="T42" s="43" t="s">
        <v>88</v>
      </c>
      <c r="U42" s="44" t="s">
        <v>88</v>
      </c>
      <c r="V42" s="44" t="s">
        <v>88</v>
      </c>
      <c r="W42" s="44" t="s">
        <v>88</v>
      </c>
      <c r="X42" s="44" t="s">
        <v>88</v>
      </c>
      <c r="Y42" s="44" t="s">
        <v>88</v>
      </c>
      <c r="Z42" s="45" t="s">
        <v>88</v>
      </c>
    </row>
    <row r="43" spans="1:26" outlineLevel="1" x14ac:dyDescent="0.2">
      <c r="A43" s="3" t="s">
        <v>30</v>
      </c>
      <c r="D43" s="182">
        <v>0</v>
      </c>
      <c r="E43" s="183">
        <v>0</v>
      </c>
      <c r="F43" s="183">
        <v>0</v>
      </c>
      <c r="G43" s="184">
        <v>0</v>
      </c>
      <c r="H43" s="185">
        <v>0</v>
      </c>
      <c r="I43" s="186">
        <v>0</v>
      </c>
      <c r="J43" s="186">
        <v>0</v>
      </c>
      <c r="K43" s="187">
        <v>10</v>
      </c>
      <c r="L43" s="188">
        <v>10</v>
      </c>
      <c r="M43" s="188">
        <v>10</v>
      </c>
      <c r="N43" s="188">
        <v>10</v>
      </c>
      <c r="O43" s="188">
        <v>10</v>
      </c>
      <c r="P43" s="188">
        <v>10</v>
      </c>
      <c r="Q43" s="188">
        <v>10</v>
      </c>
      <c r="R43" s="188">
        <v>10</v>
      </c>
      <c r="S43" s="189">
        <v>10</v>
      </c>
      <c r="T43" s="190">
        <v>10</v>
      </c>
      <c r="U43" s="191">
        <v>10</v>
      </c>
      <c r="V43" s="191">
        <v>10</v>
      </c>
      <c r="W43" s="191">
        <v>10</v>
      </c>
      <c r="X43" s="191">
        <v>10</v>
      </c>
      <c r="Y43" s="191">
        <v>10</v>
      </c>
      <c r="Z43" s="192">
        <v>10</v>
      </c>
    </row>
    <row r="44" spans="1:26" outlineLevel="1" x14ac:dyDescent="0.2">
      <c r="A44" s="3" t="s">
        <v>31</v>
      </c>
      <c r="D44" s="182">
        <v>0</v>
      </c>
      <c r="E44" s="183">
        <v>0</v>
      </c>
      <c r="F44" s="183">
        <v>0</v>
      </c>
      <c r="G44" s="184">
        <v>0</v>
      </c>
      <c r="H44" s="185">
        <v>0</v>
      </c>
      <c r="I44" s="186">
        <v>0</v>
      </c>
      <c r="J44" s="186">
        <v>0</v>
      </c>
      <c r="K44" s="187">
        <v>0</v>
      </c>
      <c r="L44" s="166">
        <v>0</v>
      </c>
      <c r="M44" s="166">
        <v>0</v>
      </c>
      <c r="N44" s="166">
        <v>0</v>
      </c>
      <c r="O44" s="166">
        <v>37.124972524646033</v>
      </c>
      <c r="P44" s="166">
        <v>37.044890989331108</v>
      </c>
      <c r="Q44" s="166">
        <v>48.321547405020119</v>
      </c>
      <c r="R44" s="166">
        <v>47.566176540454009</v>
      </c>
      <c r="S44" s="167">
        <v>49.331650038192471</v>
      </c>
      <c r="T44" s="168">
        <v>47.664601928397538</v>
      </c>
      <c r="U44" s="169">
        <v>37.078428088828694</v>
      </c>
      <c r="V44" s="169">
        <v>37.131398482396584</v>
      </c>
      <c r="W44" s="169">
        <v>37.225287800675417</v>
      </c>
      <c r="X44" s="169">
        <v>37.140857650457519</v>
      </c>
      <c r="Y44" s="169">
        <v>37.142400687112961</v>
      </c>
      <c r="Z44" s="170">
        <v>37.173150944568981</v>
      </c>
    </row>
    <row r="45" spans="1:26" outlineLevel="1" x14ac:dyDescent="0.2">
      <c r="D45" s="182"/>
      <c r="E45" s="183"/>
      <c r="F45" s="183"/>
      <c r="G45" s="184"/>
      <c r="H45" s="185"/>
      <c r="I45" s="186"/>
      <c r="J45" s="186"/>
      <c r="K45" s="187"/>
      <c r="L45" s="188"/>
      <c r="M45" s="188"/>
      <c r="N45" s="188"/>
      <c r="O45" s="188"/>
      <c r="P45" s="188"/>
      <c r="Q45" s="188"/>
      <c r="R45" s="188"/>
      <c r="S45" s="189"/>
      <c r="T45" s="190"/>
      <c r="U45" s="191"/>
      <c r="V45" s="191"/>
      <c r="W45" s="191"/>
      <c r="X45" s="191"/>
      <c r="Y45" s="191"/>
      <c r="Z45" s="192"/>
    </row>
    <row r="46" spans="1:26" outlineLevel="1" x14ac:dyDescent="0.2">
      <c r="A46" s="4" t="s">
        <v>35</v>
      </c>
      <c r="B46" s="135" t="s">
        <v>34</v>
      </c>
      <c r="C46" s="49" t="s">
        <v>70</v>
      </c>
      <c r="D46" s="160">
        <v>81.923431078793683</v>
      </c>
      <c r="E46" s="161">
        <v>80.468674233443664</v>
      </c>
      <c r="F46" s="161">
        <v>81.907544096961985</v>
      </c>
      <c r="G46" s="162">
        <v>81.5714497028236</v>
      </c>
      <c r="H46" s="163">
        <v>59.11133478925521</v>
      </c>
      <c r="I46" s="164">
        <v>58.850822816796779</v>
      </c>
      <c r="J46" s="164">
        <v>59.688938717942079</v>
      </c>
      <c r="K46" s="165">
        <f>K47+K50</f>
        <v>57.212535552648859</v>
      </c>
      <c r="L46" s="166">
        <v>57.212535552648859</v>
      </c>
      <c r="M46" s="166">
        <v>57.406810112504232</v>
      </c>
      <c r="N46" s="166">
        <f>N47+10</f>
        <v>58.170789625407437</v>
      </c>
      <c r="O46" s="166">
        <f>O47+10</f>
        <v>58.23004453675555</v>
      </c>
      <c r="P46" s="166">
        <f>P47+10</f>
        <v>70.317864776764168</v>
      </c>
      <c r="Q46" s="166">
        <v>116.06164314376282</v>
      </c>
      <c r="R46" s="166">
        <v>114.91312749251968</v>
      </c>
      <c r="S46" s="167">
        <v>117.06307603101428</v>
      </c>
      <c r="T46" s="168">
        <v>115.24430272382338</v>
      </c>
      <c r="U46" s="169">
        <v>112.6883996754262</v>
      </c>
      <c r="V46" s="169">
        <v>93.035776545701196</v>
      </c>
      <c r="W46" s="169">
        <v>93.161503410949379</v>
      </c>
      <c r="X46" s="169">
        <v>91.869281299071417</v>
      </c>
      <c r="Y46" s="169">
        <v>92.063555858926804</v>
      </c>
      <c r="Z46" s="170">
        <v>92.827535371829981</v>
      </c>
    </row>
    <row r="47" spans="1:26" outlineLevel="1" x14ac:dyDescent="0.2">
      <c r="A47" s="3" t="s">
        <v>71</v>
      </c>
      <c r="B47" s="135"/>
      <c r="C47" s="135"/>
      <c r="D47" s="171">
        <v>81.923431078793683</v>
      </c>
      <c r="E47" s="172">
        <v>80.468674233443664</v>
      </c>
      <c r="F47" s="172">
        <v>81.907544096961985</v>
      </c>
      <c r="G47" s="173">
        <v>81.5714497028236</v>
      </c>
      <c r="H47" s="174">
        <v>59.11133478925521</v>
      </c>
      <c r="I47" s="175">
        <v>58.850822816796779</v>
      </c>
      <c r="J47" s="175">
        <v>59.688938717942079</v>
      </c>
      <c r="K47" s="176">
        <v>47.212535552648859</v>
      </c>
      <c r="L47" s="177">
        <v>47.212535552648859</v>
      </c>
      <c r="M47" s="177">
        <v>47.406810112504232</v>
      </c>
      <c r="N47" s="177">
        <v>48.170789625407437</v>
      </c>
      <c r="O47" s="177">
        <v>48.23004453675555</v>
      </c>
      <c r="P47" s="177">
        <v>60.317864776764168</v>
      </c>
      <c r="Q47" s="177">
        <v>60.305287340160589</v>
      </c>
      <c r="R47" s="177">
        <v>59.843582564414248</v>
      </c>
      <c r="S47" s="178">
        <v>60.330480887877044</v>
      </c>
      <c r="T47" s="179">
        <v>60.233430815549809</v>
      </c>
      <c r="U47" s="180">
        <v>56.13332333912301</v>
      </c>
      <c r="V47" s="180">
        <v>47.845776545701199</v>
      </c>
      <c r="W47" s="180">
        <v>47.971503410949381</v>
      </c>
      <c r="X47" s="180">
        <v>46.67928129907142</v>
      </c>
      <c r="Y47" s="180">
        <v>46.873555858926807</v>
      </c>
      <c r="Z47" s="181">
        <v>47.637535371829983</v>
      </c>
    </row>
    <row r="48" spans="1:26" outlineLevel="1" x14ac:dyDescent="0.2">
      <c r="A48" s="3" t="s">
        <v>37</v>
      </c>
      <c r="D48" s="182">
        <v>11.890698605807021</v>
      </c>
      <c r="E48" s="183">
        <v>11.890698605807021</v>
      </c>
      <c r="F48" s="183">
        <v>11.890698605807021</v>
      </c>
      <c r="G48" s="184">
        <v>11.890698605807021</v>
      </c>
      <c r="H48" s="185">
        <v>11.890698605807019</v>
      </c>
      <c r="I48" s="186">
        <v>11.890698605807019</v>
      </c>
      <c r="J48" s="186">
        <v>11.890698605807021</v>
      </c>
      <c r="K48" s="187">
        <v>11.417259047899737</v>
      </c>
      <c r="L48" s="166">
        <v>11.417259047899737</v>
      </c>
      <c r="M48" s="188">
        <v>11.417259047899737</v>
      </c>
      <c r="N48" s="188">
        <v>11.417259047899737</v>
      </c>
      <c r="O48" s="188">
        <v>11.417259047899737</v>
      </c>
      <c r="P48" s="188">
        <v>11.417259047899741</v>
      </c>
      <c r="Q48" s="188">
        <v>11.417259047899737</v>
      </c>
      <c r="R48" s="188">
        <v>11.417259047899737</v>
      </c>
      <c r="S48" s="189">
        <v>11.417259047899737</v>
      </c>
      <c r="T48" s="190">
        <v>11.417259047899737</v>
      </c>
      <c r="U48" s="191">
        <v>11.417259047899737</v>
      </c>
      <c r="V48" s="191">
        <v>11.417259047899741</v>
      </c>
      <c r="W48" s="191">
        <v>11.417259047899737</v>
      </c>
      <c r="X48" s="191">
        <v>10.884004794322298</v>
      </c>
      <c r="Y48" s="191">
        <v>10.884004794322301</v>
      </c>
      <c r="Z48" s="192">
        <v>10.884004794322301</v>
      </c>
    </row>
    <row r="49" spans="1:31" outlineLevel="1" x14ac:dyDescent="0.2">
      <c r="A49" s="3" t="s">
        <v>29</v>
      </c>
      <c r="D49" s="26"/>
      <c r="E49" s="27"/>
      <c r="F49" s="27"/>
      <c r="G49" s="28"/>
      <c r="H49" s="29"/>
      <c r="I49" s="30"/>
      <c r="J49" s="30"/>
      <c r="K49" s="187">
        <f>K68</f>
        <v>225.74190006243512</v>
      </c>
      <c r="L49" s="41" t="s">
        <v>88</v>
      </c>
      <c r="M49" s="41" t="s">
        <v>88</v>
      </c>
      <c r="N49" s="41" t="s">
        <v>88</v>
      </c>
      <c r="O49" s="41" t="s">
        <v>88</v>
      </c>
      <c r="P49" s="41" t="s">
        <v>88</v>
      </c>
      <c r="Q49" s="41" t="s">
        <v>88</v>
      </c>
      <c r="R49" s="41" t="s">
        <v>88</v>
      </c>
      <c r="S49" s="42" t="s">
        <v>88</v>
      </c>
      <c r="T49" s="43" t="s">
        <v>88</v>
      </c>
      <c r="U49" s="44" t="s">
        <v>88</v>
      </c>
      <c r="V49" s="44" t="s">
        <v>88</v>
      </c>
      <c r="W49" s="44" t="s">
        <v>88</v>
      </c>
      <c r="X49" s="44" t="s">
        <v>88</v>
      </c>
      <c r="Y49" s="44" t="s">
        <v>88</v>
      </c>
      <c r="Z49" s="45" t="s">
        <v>88</v>
      </c>
    </row>
    <row r="50" spans="1:31" outlineLevel="1" x14ac:dyDescent="0.2">
      <c r="A50" s="3" t="s">
        <v>30</v>
      </c>
      <c r="D50" s="182">
        <v>0</v>
      </c>
      <c r="E50" s="183">
        <v>0</v>
      </c>
      <c r="F50" s="183">
        <v>0</v>
      </c>
      <c r="G50" s="184">
        <v>0</v>
      </c>
      <c r="H50" s="185">
        <v>0</v>
      </c>
      <c r="I50" s="186">
        <v>0</v>
      </c>
      <c r="J50" s="186">
        <v>0</v>
      </c>
      <c r="K50" s="187">
        <v>10</v>
      </c>
      <c r="L50" s="188">
        <v>10</v>
      </c>
      <c r="M50" s="188">
        <v>10</v>
      </c>
      <c r="N50" s="188">
        <v>10</v>
      </c>
      <c r="O50" s="188">
        <v>10</v>
      </c>
      <c r="P50" s="188">
        <v>10</v>
      </c>
      <c r="Q50" s="188">
        <v>10</v>
      </c>
      <c r="R50" s="188">
        <v>10</v>
      </c>
      <c r="S50" s="189">
        <v>10</v>
      </c>
      <c r="T50" s="190">
        <v>10</v>
      </c>
      <c r="U50" s="191">
        <v>10</v>
      </c>
      <c r="V50" s="191">
        <v>10</v>
      </c>
      <c r="W50" s="191">
        <v>10</v>
      </c>
      <c r="X50" s="191">
        <v>10</v>
      </c>
      <c r="Y50" s="191">
        <v>10</v>
      </c>
      <c r="Z50" s="192">
        <v>10</v>
      </c>
    </row>
    <row r="51" spans="1:31" outlineLevel="1" x14ac:dyDescent="0.2">
      <c r="A51" s="3" t="s">
        <v>31</v>
      </c>
      <c r="D51" s="182">
        <v>0</v>
      </c>
      <c r="E51" s="183">
        <v>0</v>
      </c>
      <c r="F51" s="183">
        <v>0</v>
      </c>
      <c r="G51" s="184">
        <v>0</v>
      </c>
      <c r="H51" s="185">
        <v>0</v>
      </c>
      <c r="I51" s="186">
        <v>0</v>
      </c>
      <c r="J51" s="186">
        <v>0</v>
      </c>
      <c r="K51" s="187">
        <v>0</v>
      </c>
      <c r="L51" s="166">
        <v>0</v>
      </c>
      <c r="M51" s="166">
        <v>0</v>
      </c>
      <c r="N51" s="166">
        <v>0</v>
      </c>
      <c r="O51" s="166">
        <v>39.445902597442512</v>
      </c>
      <c r="P51" s="166">
        <v>39.449146866539664</v>
      </c>
      <c r="Q51" s="166">
        <v>49.563310841844192</v>
      </c>
      <c r="R51" s="166">
        <v>48.90363668580968</v>
      </c>
      <c r="S51" s="167">
        <v>50.501271200807508</v>
      </c>
      <c r="T51" s="168">
        <v>48.845543566864713</v>
      </c>
      <c r="U51" s="169">
        <v>39.448220809502473</v>
      </c>
      <c r="V51" s="169">
        <v>39.445657128155936</v>
      </c>
      <c r="W51" s="169">
        <v>39.441403755758394</v>
      </c>
      <c r="X51" s="169">
        <v>39.445426979043546</v>
      </c>
      <c r="Y51" s="169">
        <v>39.445388534666726</v>
      </c>
      <c r="Z51" s="170">
        <v>39.44379885122558</v>
      </c>
    </row>
    <row r="52" spans="1:31" x14ac:dyDescent="0.2">
      <c r="A52" s="10" t="s">
        <v>65</v>
      </c>
      <c r="B52" s="193"/>
      <c r="C52" s="193"/>
      <c r="D52" s="194">
        <f t="shared" ref="D52:Z52" si="12">(D27*D34+D28*D41+D29*D48)/D$26</f>
        <v>11.648322279545404</v>
      </c>
      <c r="E52" s="195">
        <f t="shared" si="12"/>
        <v>11.648322279545404</v>
      </c>
      <c r="F52" s="195">
        <f t="shared" si="12"/>
        <v>11.648322279545406</v>
      </c>
      <c r="G52" s="196">
        <f t="shared" si="12"/>
        <v>11.648322279545406</v>
      </c>
      <c r="H52" s="197">
        <f t="shared" si="12"/>
        <v>11.648322279545404</v>
      </c>
      <c r="I52" s="198">
        <f t="shared" si="12"/>
        <v>11.648322279545406</v>
      </c>
      <c r="J52" s="198">
        <f t="shared" si="12"/>
        <v>11.648322279545406</v>
      </c>
      <c r="K52" s="199">
        <f t="shared" si="12"/>
        <v>21.409758203049506</v>
      </c>
      <c r="L52" s="200">
        <f t="shared" si="12"/>
        <v>21.409758203049506</v>
      </c>
      <c r="M52" s="200">
        <f t="shared" si="12"/>
        <v>21.40975820304951</v>
      </c>
      <c r="N52" s="200">
        <f t="shared" si="12"/>
        <v>21.409758203049513</v>
      </c>
      <c r="O52" s="200">
        <f t="shared" si="12"/>
        <v>21.409758203049506</v>
      </c>
      <c r="P52" s="200">
        <f t="shared" si="12"/>
        <v>21.40975820304951</v>
      </c>
      <c r="Q52" s="200">
        <f t="shared" si="12"/>
        <v>21.409758203049513</v>
      </c>
      <c r="R52" s="200">
        <f t="shared" si="12"/>
        <v>21.40975820304951</v>
      </c>
      <c r="S52" s="201">
        <f t="shared" si="12"/>
        <v>18.965333669956944</v>
      </c>
      <c r="T52" s="202">
        <f t="shared" si="12"/>
        <v>19.730128711132615</v>
      </c>
      <c r="U52" s="203">
        <f t="shared" si="12"/>
        <v>20.027058514571333</v>
      </c>
      <c r="V52" s="203">
        <f t="shared" si="12"/>
        <v>19.986384145663358</v>
      </c>
      <c r="W52" s="203">
        <f t="shared" si="12"/>
        <v>20.002821009472921</v>
      </c>
      <c r="X52" s="203">
        <f t="shared" si="12"/>
        <v>19.258805467015833</v>
      </c>
      <c r="Y52" s="203">
        <f t="shared" si="12"/>
        <v>19.132210493551529</v>
      </c>
      <c r="Z52" s="204">
        <f t="shared" si="12"/>
        <v>19.227953443400104</v>
      </c>
      <c r="AB52" s="332">
        <f>K52</f>
        <v>21.409758203049506</v>
      </c>
      <c r="AC52" s="332">
        <f>SUMPRODUCT(L52:S52,$L$26:$S$26)/SUM($L$26:$S$26)</f>
        <v>20.553477228015378</v>
      </c>
      <c r="AD52" s="332">
        <f>SUMPRODUCT(T52:Z52,$T$26:$Z$26)/SUM($T$26:$Z$26)</f>
        <v>19.652475745303295</v>
      </c>
      <c r="AE52" s="332">
        <f>SUMPRODUCT(L52:Z52,$L$26:$Z$26)/SUM($L$26:$Z$26)</f>
        <v>19.846311605193254</v>
      </c>
    </row>
    <row r="53" spans="1:31" x14ac:dyDescent="0.2">
      <c r="A53" s="10" t="s">
        <v>64</v>
      </c>
      <c r="B53" s="193"/>
      <c r="C53" s="193"/>
      <c r="D53" s="194">
        <f t="shared" ref="D53:Z53" si="13">(D27*D33+D28*D40+D29*D47)/D$26</f>
        <v>97.934996731180618</v>
      </c>
      <c r="E53" s="195">
        <f t="shared" si="13"/>
        <v>96.821910855674034</v>
      </c>
      <c r="F53" s="195">
        <f t="shared" si="13"/>
        <v>98.473665680326135</v>
      </c>
      <c r="G53" s="196">
        <f t="shared" si="13"/>
        <v>97.383104618828881</v>
      </c>
      <c r="H53" s="197">
        <f t="shared" si="13"/>
        <v>66.007646334912224</v>
      </c>
      <c r="I53" s="198">
        <f t="shared" si="13"/>
        <v>65.379328485465749</v>
      </c>
      <c r="J53" s="198">
        <f t="shared" si="13"/>
        <v>65.006851990511549</v>
      </c>
      <c r="K53" s="199">
        <f t="shared" si="13"/>
        <v>49.872722389050331</v>
      </c>
      <c r="L53" s="200">
        <f t="shared" si="13"/>
        <v>49.872722389050331</v>
      </c>
      <c r="M53" s="200">
        <f t="shared" si="13"/>
        <v>50.24747213052845</v>
      </c>
      <c r="N53" s="200">
        <f t="shared" si="13"/>
        <v>53.007958679217644</v>
      </c>
      <c r="O53" s="200">
        <f t="shared" si="13"/>
        <v>53.170072070395165</v>
      </c>
      <c r="P53" s="200">
        <f t="shared" si="13"/>
        <v>83.114407997463303</v>
      </c>
      <c r="Q53" s="200">
        <f t="shared" si="13"/>
        <v>82.537529228685514</v>
      </c>
      <c r="R53" s="200">
        <f t="shared" si="13"/>
        <v>81.817336826627368</v>
      </c>
      <c r="S53" s="201">
        <f t="shared" si="13"/>
        <v>77.758459498905395</v>
      </c>
      <c r="T53" s="202">
        <f t="shared" si="13"/>
        <v>79.162696188216742</v>
      </c>
      <c r="U53" s="203">
        <f t="shared" si="13"/>
        <v>68.995713787113118</v>
      </c>
      <c r="V53" s="203">
        <f t="shared" si="13"/>
        <v>51.769113074110159</v>
      </c>
      <c r="W53" s="203">
        <f t="shared" si="13"/>
        <v>51.845918642176343</v>
      </c>
      <c r="X53" s="203">
        <f t="shared" si="13"/>
        <v>48.484898859867862</v>
      </c>
      <c r="Y53" s="203">
        <f t="shared" si="13"/>
        <v>48.778064569197518</v>
      </c>
      <c r="Z53" s="204">
        <f t="shared" si="13"/>
        <v>51.341681942292212</v>
      </c>
      <c r="AB53" s="332">
        <f>K53</f>
        <v>49.872722389050331</v>
      </c>
      <c r="AC53" s="332">
        <f>SUMPRODUCT(L53:S53,$L$26:$S$26)/SUM($L$26:$S$26)</f>
        <v>66.714802987794585</v>
      </c>
      <c r="AD53" s="332">
        <f>SUMPRODUCT(T53:Z53,$T$26:$Z$26)/SUM($T$26:$Z$26)</f>
        <v>57.6871663099055</v>
      </c>
      <c r="AE53" s="332">
        <f>SUMPRODUCT(L53:Z53,$L$26:$Z$26)/SUM($L$26:$Z$26)</f>
        <v>59.629315964271768</v>
      </c>
    </row>
    <row r="54" spans="1:31" x14ac:dyDescent="0.2">
      <c r="A54" s="10" t="s">
        <v>77</v>
      </c>
      <c r="B54" s="193"/>
      <c r="C54" s="193"/>
      <c r="D54" s="194">
        <f t="shared" ref="D54:Z54" si="14">(D27*D32+D28*D39+D29*D46)/D$26</f>
        <v>97.934996731180618</v>
      </c>
      <c r="E54" s="195">
        <f t="shared" si="14"/>
        <v>96.821910855674034</v>
      </c>
      <c r="F54" s="195">
        <f t="shared" si="14"/>
        <v>98.473665680326135</v>
      </c>
      <c r="G54" s="196">
        <f t="shared" si="14"/>
        <v>97.383104618828881</v>
      </c>
      <c r="H54" s="197">
        <f t="shared" si="14"/>
        <v>66.007646334912224</v>
      </c>
      <c r="I54" s="198">
        <f t="shared" si="14"/>
        <v>65.379328485465749</v>
      </c>
      <c r="J54" s="198">
        <f t="shared" si="14"/>
        <v>65.006851990511549</v>
      </c>
      <c r="K54" s="199">
        <f t="shared" si="14"/>
        <v>59.872722389050338</v>
      </c>
      <c r="L54" s="200">
        <f t="shared" si="14"/>
        <v>59.872722389050331</v>
      </c>
      <c r="M54" s="200">
        <f t="shared" si="14"/>
        <v>60.24747213052845</v>
      </c>
      <c r="N54" s="200">
        <f t="shared" si="14"/>
        <v>63.007958679217644</v>
      </c>
      <c r="O54" s="200">
        <f t="shared" si="14"/>
        <v>63.170072070395172</v>
      </c>
      <c r="P54" s="200">
        <f t="shared" si="14"/>
        <v>93.114407997463317</v>
      </c>
      <c r="Q54" s="200">
        <f t="shared" si="14"/>
        <v>138.12145162889183</v>
      </c>
      <c r="R54" s="200">
        <f t="shared" si="14"/>
        <v>136.3833391612481</v>
      </c>
      <c r="S54" s="201">
        <f t="shared" si="14"/>
        <v>134.70099217058012</v>
      </c>
      <c r="T54" s="202">
        <f t="shared" si="14"/>
        <v>134.11603925060265</v>
      </c>
      <c r="U54" s="203">
        <f t="shared" si="14"/>
        <v>125.60920692325799</v>
      </c>
      <c r="V54" s="203">
        <f t="shared" si="14"/>
        <v>96.762989068758486</v>
      </c>
      <c r="W54" s="203">
        <f t="shared" si="14"/>
        <v>96.665195438550384</v>
      </c>
      <c r="X54" s="203">
        <f t="shared" si="14"/>
        <v>93.430414490699462</v>
      </c>
      <c r="Y54" s="203">
        <f t="shared" si="14"/>
        <v>93.721722204140661</v>
      </c>
      <c r="Z54" s="204">
        <f t="shared" si="14"/>
        <v>96.249484521712787</v>
      </c>
      <c r="AB54" s="332">
        <f>K54</f>
        <v>59.872722389050338</v>
      </c>
      <c r="AC54" s="332">
        <f>SUMPRODUCT(L54:S54,$L$26:$S$26)/SUM($L$26:$S$26)</f>
        <v>99.583577022821913</v>
      </c>
      <c r="AD54" s="332">
        <f>SUMPRODUCT(T54:Z54,$T$26:$Z$26)/SUM($T$26:$Z$26)</f>
        <v>105.98272560812724</v>
      </c>
      <c r="AE54" s="332">
        <f>SUMPRODUCT(L54:Z54,$L$26:$Z$26)/SUM($L$26:$Z$26)</f>
        <v>104.60605254776486</v>
      </c>
    </row>
    <row r="55" spans="1:31" x14ac:dyDescent="0.2">
      <c r="D55" s="182"/>
      <c r="E55" s="183"/>
      <c r="F55" s="183"/>
      <c r="G55" s="184"/>
      <c r="H55" s="185"/>
      <c r="I55" s="186"/>
      <c r="J55" s="186"/>
      <c r="K55" s="187">
        <f>K54-K53</f>
        <v>10.000000000000007</v>
      </c>
      <c r="L55" s="188">
        <f t="shared" ref="L55:Z55" si="15">L54-L53</f>
        <v>10</v>
      </c>
      <c r="M55" s="188">
        <f t="shared" si="15"/>
        <v>10</v>
      </c>
      <c r="N55" s="188">
        <f t="shared" si="15"/>
        <v>10</v>
      </c>
      <c r="O55" s="188">
        <f t="shared" si="15"/>
        <v>10.000000000000007</v>
      </c>
      <c r="P55" s="188">
        <f t="shared" si="15"/>
        <v>10.000000000000014</v>
      </c>
      <c r="Q55" s="188">
        <f t="shared" si="15"/>
        <v>55.583922400206319</v>
      </c>
      <c r="R55" s="188">
        <f t="shared" si="15"/>
        <v>54.566002334620734</v>
      </c>
      <c r="S55" s="189">
        <f t="shared" si="15"/>
        <v>56.942532671674726</v>
      </c>
      <c r="T55" s="190">
        <f t="shared" si="15"/>
        <v>54.953343062385912</v>
      </c>
      <c r="U55" s="191">
        <f t="shared" si="15"/>
        <v>56.613493136144868</v>
      </c>
      <c r="V55" s="191">
        <f t="shared" si="15"/>
        <v>44.993875994648327</v>
      </c>
      <c r="W55" s="191">
        <f t="shared" si="15"/>
        <v>44.819276796374041</v>
      </c>
      <c r="X55" s="191">
        <f t="shared" si="15"/>
        <v>44.945515630831601</v>
      </c>
      <c r="Y55" s="191">
        <f t="shared" si="15"/>
        <v>44.943657634943143</v>
      </c>
      <c r="Z55" s="192">
        <f t="shared" si="15"/>
        <v>44.907802579420576</v>
      </c>
      <c r="AB55" s="332">
        <f>K55</f>
        <v>10.000000000000007</v>
      </c>
      <c r="AC55" s="332">
        <f>SUMPRODUCT(L55:S55,$L$26:$S$26)/SUM($L$26:$S$26)</f>
        <v>32.868774035027322</v>
      </c>
      <c r="AD55" s="332">
        <f>SUMPRODUCT(T55:Z55,$T$26:$Z$26)/SUM($T$26:$Z$26)</f>
        <v>48.295559298221761</v>
      </c>
      <c r="AE55" s="332">
        <f>SUMPRODUCT(L55:Z55,$L$26:$Z$26)/SUM($L$26:$Z$26)</f>
        <v>44.976736583493107</v>
      </c>
    </row>
    <row r="56" spans="1:31" x14ac:dyDescent="0.2">
      <c r="A56" s="5" t="s">
        <v>38</v>
      </c>
      <c r="D56" s="182"/>
      <c r="E56" s="183"/>
      <c r="F56" s="183"/>
      <c r="G56" s="184"/>
      <c r="H56" s="185"/>
      <c r="I56" s="186"/>
      <c r="J56" s="186"/>
      <c r="K56" s="187"/>
      <c r="L56" s="188"/>
      <c r="M56" s="188"/>
      <c r="N56" s="188"/>
      <c r="O56" s="188"/>
      <c r="P56" s="188"/>
      <c r="Q56" s="188"/>
      <c r="R56" s="188"/>
      <c r="S56" s="189"/>
      <c r="T56" s="190"/>
      <c r="U56" s="191"/>
      <c r="V56" s="191"/>
      <c r="W56" s="191"/>
      <c r="X56" s="191"/>
      <c r="Y56" s="191"/>
      <c r="Z56" s="192"/>
      <c r="AE56" s="332"/>
    </row>
    <row r="57" spans="1:31" x14ac:dyDescent="0.2">
      <c r="A57" s="10" t="s">
        <v>39</v>
      </c>
      <c r="B57" s="205"/>
      <c r="C57" s="205"/>
      <c r="D57" s="206">
        <v>155.16805048544074</v>
      </c>
      <c r="E57" s="207">
        <v>115.24419206451182</v>
      </c>
      <c r="F57" s="207">
        <v>167.61378975820725</v>
      </c>
      <c r="G57" s="208">
        <v>109.52648847325412</v>
      </c>
      <c r="H57" s="209">
        <v>88.94017943682708</v>
      </c>
      <c r="I57" s="210">
        <v>134.42931261089984</v>
      </c>
      <c r="J57" s="210">
        <v>228.50359274422462</v>
      </c>
      <c r="K57" s="211">
        <v>200.21251858599652</v>
      </c>
      <c r="L57" s="212">
        <v>200.21251858599652</v>
      </c>
      <c r="M57" s="212">
        <v>231.08596361158956</v>
      </c>
      <c r="N57" s="212">
        <v>199.59436397390778</v>
      </c>
      <c r="O57" s="212">
        <v>219.35999159155665</v>
      </c>
      <c r="P57" s="212">
        <v>180.59624295839262</v>
      </c>
      <c r="Q57" s="212">
        <v>55.160180692346806</v>
      </c>
      <c r="R57" s="212">
        <v>43.469306298739042</v>
      </c>
      <c r="S57" s="213">
        <v>49.822580645161288</v>
      </c>
      <c r="T57" s="214">
        <v>45.993333333333332</v>
      </c>
      <c r="U57" s="215">
        <v>44.961290322580638</v>
      </c>
      <c r="V57" s="215">
        <v>42.52</v>
      </c>
      <c r="W57" s="215">
        <v>51.046774193548394</v>
      </c>
      <c r="X57" s="215">
        <v>47.624408602150531</v>
      </c>
      <c r="Y57" s="215">
        <v>41.441428571428574</v>
      </c>
      <c r="Z57" s="216">
        <v>36.888279569892475</v>
      </c>
      <c r="AE57" s="332"/>
    </row>
    <row r="58" spans="1:31" outlineLevel="1" x14ac:dyDescent="0.2">
      <c r="A58" s="13" t="s">
        <v>46</v>
      </c>
      <c r="B58" s="217"/>
      <c r="C58" s="217"/>
      <c r="D58" s="326">
        <v>0.10137207953145366</v>
      </c>
      <c r="E58" s="327">
        <v>6.4477456921532436E-2</v>
      </c>
      <c r="F58" s="327">
        <v>9.5313195581818944E-2</v>
      </c>
      <c r="G58" s="328">
        <v>0.1076844573909755</v>
      </c>
      <c r="H58" s="329">
        <v>5.1794604807765932E-2</v>
      </c>
      <c r="I58" s="330">
        <v>6.5540412117727764E-2</v>
      </c>
      <c r="J58" s="330">
        <v>0.23385448526650188</v>
      </c>
      <c r="K58" s="187"/>
      <c r="L58" s="188"/>
      <c r="M58" s="188"/>
      <c r="N58" s="188"/>
      <c r="O58" s="188"/>
      <c r="P58" s="188"/>
      <c r="Q58" s="188"/>
      <c r="R58" s="188"/>
      <c r="S58" s="223">
        <v>0.10752184685692309</v>
      </c>
      <c r="T58" s="224">
        <v>9.5524593202733987E-2</v>
      </c>
      <c r="U58" s="225">
        <v>5.4509033082718705E-2</v>
      </c>
      <c r="V58" s="225">
        <v>5.829544859890784E-2</v>
      </c>
      <c r="W58" s="225">
        <v>7.3781211597865937E-2</v>
      </c>
      <c r="X58" s="225">
        <v>6.3072602326536761E-2</v>
      </c>
      <c r="Y58" s="225">
        <v>5.2346950243137604E-2</v>
      </c>
      <c r="Z58" s="226">
        <v>5.8167842637361376E-2</v>
      </c>
      <c r="AE58" s="332"/>
    </row>
    <row r="59" spans="1:31" outlineLevel="1" x14ac:dyDescent="0.2">
      <c r="A59" s="13" t="s">
        <v>48</v>
      </c>
      <c r="B59" s="217"/>
      <c r="C59" s="217"/>
      <c r="D59" s="182">
        <v>12.313619637996991</v>
      </c>
      <c r="E59" s="183">
        <v>12.313619637996991</v>
      </c>
      <c r="F59" s="183">
        <v>12.313619637996991</v>
      </c>
      <c r="G59" s="184">
        <v>12.313619637996991</v>
      </c>
      <c r="H59" s="185">
        <v>12.313619637996991</v>
      </c>
      <c r="I59" s="186">
        <v>12.313619637996991</v>
      </c>
      <c r="J59" s="186">
        <v>12.313619637996991</v>
      </c>
      <c r="K59" s="187">
        <v>12.571624548049726</v>
      </c>
      <c r="L59" s="188">
        <v>12.571624548049726</v>
      </c>
      <c r="M59" s="188">
        <v>12.583093353356332</v>
      </c>
      <c r="N59" s="188">
        <v>11.840250451529698</v>
      </c>
      <c r="O59" s="188">
        <v>16.745649469714067</v>
      </c>
      <c r="P59" s="188">
        <v>11.90772869271234</v>
      </c>
      <c r="Q59" s="188">
        <v>8.5667777447276805</v>
      </c>
      <c r="R59" s="188">
        <v>5.7140093768584634</v>
      </c>
      <c r="S59" s="189">
        <f>S57*S58</f>
        <v>5.3570158861457324</v>
      </c>
      <c r="T59" s="190">
        <f t="shared" ref="T59:Z59" si="16">T57*T58</f>
        <v>4.3934944567044116</v>
      </c>
      <c r="U59" s="191">
        <f t="shared" si="16"/>
        <v>2.4507964616352682</v>
      </c>
      <c r="V59" s="191">
        <f t="shared" si="16"/>
        <v>2.4787224744255614</v>
      </c>
      <c r="W59" s="191">
        <f t="shared" si="16"/>
        <v>3.7662928481626765</v>
      </c>
      <c r="X59" s="191">
        <f t="shared" si="16"/>
        <v>3.003795384799937</v>
      </c>
      <c r="Y59" s="191">
        <f t="shared" si="16"/>
        <v>2.1693323994331126</v>
      </c>
      <c r="Z59" s="192">
        <f t="shared" si="16"/>
        <v>2.1457116411844983</v>
      </c>
      <c r="AE59" s="332"/>
    </row>
    <row r="60" spans="1:31" outlineLevel="1" x14ac:dyDescent="0.2">
      <c r="A60" s="6" t="s">
        <v>47</v>
      </c>
      <c r="B60" s="8" t="s">
        <v>43</v>
      </c>
      <c r="C60" s="8" t="s">
        <v>44</v>
      </c>
      <c r="D60" s="182"/>
      <c r="E60" s="183"/>
      <c r="F60" s="183"/>
      <c r="G60" s="184"/>
      <c r="H60" s="185"/>
      <c r="I60" s="186"/>
      <c r="J60" s="186"/>
      <c r="K60" s="187"/>
      <c r="L60" s="188"/>
      <c r="M60" s="188"/>
      <c r="N60" s="188"/>
      <c r="O60" s="188"/>
      <c r="P60" s="188"/>
      <c r="Q60" s="188"/>
      <c r="R60" s="188"/>
      <c r="S60" s="189"/>
      <c r="T60" s="190"/>
      <c r="U60" s="191"/>
      <c r="V60" s="191"/>
      <c r="W60" s="191"/>
      <c r="X60" s="191"/>
      <c r="Y60" s="191"/>
      <c r="Z60" s="192"/>
      <c r="AE60" s="332"/>
    </row>
    <row r="61" spans="1:31" outlineLevel="1" x14ac:dyDescent="0.2">
      <c r="A61" s="3" t="s">
        <v>40</v>
      </c>
      <c r="B61" s="7">
        <v>0.02</v>
      </c>
      <c r="C61" s="47">
        <f>'PG&amp;E'!B27</f>
        <v>0.25</v>
      </c>
      <c r="D61" s="182">
        <f t="shared" ref="D61:R63" si="17">D$57*$B61*$C61</f>
        <v>0.77584025242720378</v>
      </c>
      <c r="E61" s="183">
        <f t="shared" si="17"/>
        <v>0.57622096032255909</v>
      </c>
      <c r="F61" s="183">
        <f t="shared" si="17"/>
        <v>0.83806894879103622</v>
      </c>
      <c r="G61" s="184">
        <f t="shared" si="17"/>
        <v>0.54763244236627062</v>
      </c>
      <c r="H61" s="185">
        <f t="shared" si="17"/>
        <v>0.44470089718413541</v>
      </c>
      <c r="I61" s="186">
        <f t="shared" si="17"/>
        <v>0.67214656305449927</v>
      </c>
      <c r="J61" s="186">
        <f t="shared" si="17"/>
        <v>1.1425179637211231</v>
      </c>
      <c r="K61" s="187">
        <f t="shared" si="17"/>
        <v>1.0010625929299826</v>
      </c>
      <c r="L61" s="188">
        <f t="shared" si="17"/>
        <v>1.0010625929299826</v>
      </c>
      <c r="M61" s="188">
        <f t="shared" si="17"/>
        <v>1.1554298180579479</v>
      </c>
      <c r="N61" s="188">
        <f t="shared" si="17"/>
        <v>0.99797181986953887</v>
      </c>
      <c r="O61" s="188">
        <f t="shared" si="17"/>
        <v>1.0967999579577832</v>
      </c>
      <c r="P61" s="188">
        <f t="shared" si="17"/>
        <v>0.90298121479196314</v>
      </c>
      <c r="Q61" s="188">
        <f t="shared" si="17"/>
        <v>0.27580090346173403</v>
      </c>
      <c r="R61" s="188">
        <f t="shared" si="17"/>
        <v>0.21734653149369521</v>
      </c>
      <c r="S61" s="189">
        <f>S$57*$B61*$C61</f>
        <v>0.24911290322580645</v>
      </c>
      <c r="T61" s="190">
        <f t="shared" ref="T61:Z63" si="18">T$57*$B61*$C61</f>
        <v>0.22996666666666665</v>
      </c>
      <c r="U61" s="191">
        <f t="shared" si="18"/>
        <v>0.22480645161290319</v>
      </c>
      <c r="V61" s="191">
        <f t="shared" si="18"/>
        <v>0.21260000000000001</v>
      </c>
      <c r="W61" s="191">
        <f t="shared" si="18"/>
        <v>0.25523387096774197</v>
      </c>
      <c r="X61" s="191">
        <f t="shared" si="18"/>
        <v>0.23812204301075265</v>
      </c>
      <c r="Y61" s="191">
        <f t="shared" si="18"/>
        <v>0.20720714285714287</v>
      </c>
      <c r="Z61" s="192">
        <f t="shared" si="18"/>
        <v>0.18444139784946237</v>
      </c>
      <c r="AE61" s="332"/>
    </row>
    <row r="62" spans="1:31" outlineLevel="1" x14ac:dyDescent="0.2">
      <c r="A62" s="3" t="s">
        <v>41</v>
      </c>
      <c r="B62" s="7">
        <v>7.0000000000000007E-2</v>
      </c>
      <c r="C62" s="47">
        <f>'PG&amp;E'!B28</f>
        <v>0.45</v>
      </c>
      <c r="D62" s="182">
        <f t="shared" si="17"/>
        <v>4.887793590291384</v>
      </c>
      <c r="E62" s="183">
        <f t="shared" si="17"/>
        <v>3.630192050032123</v>
      </c>
      <c r="F62" s="183">
        <f t="shared" si="17"/>
        <v>5.279834377383529</v>
      </c>
      <c r="G62" s="184">
        <f t="shared" si="17"/>
        <v>3.4500843869075051</v>
      </c>
      <c r="H62" s="185">
        <f t="shared" si="17"/>
        <v>2.8016156522600535</v>
      </c>
      <c r="I62" s="186">
        <f t="shared" si="17"/>
        <v>4.2345233472433454</v>
      </c>
      <c r="J62" s="186">
        <f t="shared" si="17"/>
        <v>7.1978631714430765</v>
      </c>
      <c r="K62" s="187">
        <f t="shared" si="17"/>
        <v>6.3066943354588911</v>
      </c>
      <c r="L62" s="188">
        <f t="shared" si="17"/>
        <v>6.3066943354588911</v>
      </c>
      <c r="M62" s="188">
        <f t="shared" si="17"/>
        <v>7.2792078537650715</v>
      </c>
      <c r="N62" s="188">
        <f t="shared" si="17"/>
        <v>6.2872224651780959</v>
      </c>
      <c r="O62" s="188">
        <f t="shared" si="17"/>
        <v>6.9098397351340353</v>
      </c>
      <c r="P62" s="188">
        <f t="shared" si="17"/>
        <v>5.6887816531893689</v>
      </c>
      <c r="Q62" s="188">
        <f t="shared" si="17"/>
        <v>1.7375456918089245</v>
      </c>
      <c r="R62" s="188">
        <f t="shared" si="17"/>
        <v>1.3692831484102799</v>
      </c>
      <c r="S62" s="189">
        <f>S$57*$B62*$C62</f>
        <v>1.5694112903225808</v>
      </c>
      <c r="T62" s="190">
        <f t="shared" si="18"/>
        <v>1.4487900000000002</v>
      </c>
      <c r="U62" s="191">
        <f t="shared" si="18"/>
        <v>1.4162806451612902</v>
      </c>
      <c r="V62" s="191">
        <f t="shared" si="18"/>
        <v>1.3393800000000002</v>
      </c>
      <c r="W62" s="191">
        <f t="shared" si="18"/>
        <v>1.6079733870967747</v>
      </c>
      <c r="X62" s="191">
        <f t="shared" si="18"/>
        <v>1.5001688709677419</v>
      </c>
      <c r="Y62" s="191">
        <f t="shared" si="18"/>
        <v>1.3054050000000001</v>
      </c>
      <c r="Z62" s="192">
        <f t="shared" si="18"/>
        <v>1.1619808064516133</v>
      </c>
      <c r="AE62" s="332"/>
    </row>
    <row r="63" spans="1:31" outlineLevel="1" x14ac:dyDescent="0.2">
      <c r="A63" s="3" t="s">
        <v>42</v>
      </c>
      <c r="B63" s="7">
        <v>0</v>
      </c>
      <c r="C63" s="47">
        <f>'PG&amp;E'!B29</f>
        <v>0.3</v>
      </c>
      <c r="D63" s="182">
        <f t="shared" si="17"/>
        <v>0</v>
      </c>
      <c r="E63" s="183">
        <f t="shared" si="17"/>
        <v>0</v>
      </c>
      <c r="F63" s="183">
        <f t="shared" si="17"/>
        <v>0</v>
      </c>
      <c r="G63" s="184">
        <f t="shared" si="17"/>
        <v>0</v>
      </c>
      <c r="H63" s="185">
        <f t="shared" si="17"/>
        <v>0</v>
      </c>
      <c r="I63" s="186">
        <f t="shared" si="17"/>
        <v>0</v>
      </c>
      <c r="J63" s="186">
        <f t="shared" si="17"/>
        <v>0</v>
      </c>
      <c r="K63" s="187">
        <f t="shared" si="17"/>
        <v>0</v>
      </c>
      <c r="L63" s="188">
        <f t="shared" si="17"/>
        <v>0</v>
      </c>
      <c r="M63" s="188">
        <f t="shared" si="17"/>
        <v>0</v>
      </c>
      <c r="N63" s="188">
        <f t="shared" si="17"/>
        <v>0</v>
      </c>
      <c r="O63" s="188">
        <f t="shared" si="17"/>
        <v>0</v>
      </c>
      <c r="P63" s="188">
        <f t="shared" si="17"/>
        <v>0</v>
      </c>
      <c r="Q63" s="188">
        <f t="shared" si="17"/>
        <v>0</v>
      </c>
      <c r="R63" s="188">
        <f t="shared" si="17"/>
        <v>0</v>
      </c>
      <c r="S63" s="189">
        <f>S$57*$B63*$C63</f>
        <v>0</v>
      </c>
      <c r="T63" s="190">
        <f t="shared" si="18"/>
        <v>0</v>
      </c>
      <c r="U63" s="191">
        <f t="shared" si="18"/>
        <v>0</v>
      </c>
      <c r="V63" s="191">
        <f t="shared" si="18"/>
        <v>0</v>
      </c>
      <c r="W63" s="191">
        <f t="shared" si="18"/>
        <v>0</v>
      </c>
      <c r="X63" s="191">
        <f t="shared" si="18"/>
        <v>0</v>
      </c>
      <c r="Y63" s="191">
        <f t="shared" si="18"/>
        <v>0</v>
      </c>
      <c r="Z63" s="192">
        <f t="shared" si="18"/>
        <v>0</v>
      </c>
      <c r="AE63" s="332"/>
    </row>
    <row r="64" spans="1:31" outlineLevel="1" x14ac:dyDescent="0.2">
      <c r="A64" s="3" t="s">
        <v>19</v>
      </c>
      <c r="D64" s="182">
        <v>0.5</v>
      </c>
      <c r="E64" s="183">
        <v>0.5</v>
      </c>
      <c r="F64" s="183">
        <v>0.5</v>
      </c>
      <c r="G64" s="184">
        <v>0.5</v>
      </c>
      <c r="H64" s="185">
        <v>0.5</v>
      </c>
      <c r="I64" s="186">
        <v>0.5</v>
      </c>
      <c r="J64" s="186">
        <v>0.5</v>
      </c>
      <c r="K64" s="187">
        <v>0.5</v>
      </c>
      <c r="L64" s="188">
        <v>0.5</v>
      </c>
      <c r="M64" s="188">
        <v>0.5</v>
      </c>
      <c r="N64" s="188">
        <v>0.5</v>
      </c>
      <c r="O64" s="188">
        <v>0.5</v>
      </c>
      <c r="P64" s="188">
        <v>0.5</v>
      </c>
      <c r="Q64" s="188">
        <v>0.5</v>
      </c>
      <c r="R64" s="188">
        <v>0.5</v>
      </c>
      <c r="S64" s="189">
        <v>0.5</v>
      </c>
      <c r="T64" s="190">
        <v>0.5</v>
      </c>
      <c r="U64" s="191">
        <v>0.5</v>
      </c>
      <c r="V64" s="191">
        <v>0.5</v>
      </c>
      <c r="W64" s="191">
        <v>0.5</v>
      </c>
      <c r="X64" s="191">
        <v>0.5</v>
      </c>
      <c r="Y64" s="191">
        <v>0.5</v>
      </c>
      <c r="Z64" s="192">
        <v>0.5</v>
      </c>
      <c r="AE64" s="332"/>
    </row>
    <row r="65" spans="1:31" outlineLevel="1" x14ac:dyDescent="0.2">
      <c r="A65" s="3" t="s">
        <v>20</v>
      </c>
      <c r="D65" s="182">
        <v>2</v>
      </c>
      <c r="E65" s="183">
        <v>2</v>
      </c>
      <c r="F65" s="183">
        <v>2</v>
      </c>
      <c r="G65" s="184">
        <v>2</v>
      </c>
      <c r="H65" s="185">
        <v>2</v>
      </c>
      <c r="I65" s="186">
        <v>2</v>
      </c>
      <c r="J65" s="186">
        <v>2</v>
      </c>
      <c r="K65" s="187">
        <v>2</v>
      </c>
      <c r="L65" s="188">
        <v>2</v>
      </c>
      <c r="M65" s="188">
        <v>2</v>
      </c>
      <c r="N65" s="188">
        <v>2</v>
      </c>
      <c r="O65" s="188">
        <v>2</v>
      </c>
      <c r="P65" s="188">
        <v>2</v>
      </c>
      <c r="Q65" s="188">
        <v>2</v>
      </c>
      <c r="R65" s="188">
        <v>2</v>
      </c>
      <c r="S65" s="189">
        <v>2</v>
      </c>
      <c r="T65" s="190">
        <v>2</v>
      </c>
      <c r="U65" s="191">
        <v>2</v>
      </c>
      <c r="V65" s="191">
        <v>2</v>
      </c>
      <c r="W65" s="191">
        <v>2</v>
      </c>
      <c r="X65" s="191">
        <v>2</v>
      </c>
      <c r="Y65" s="191">
        <v>2</v>
      </c>
      <c r="Z65" s="192">
        <v>2</v>
      </c>
      <c r="AE65" s="332"/>
    </row>
    <row r="66" spans="1:31" outlineLevel="1" x14ac:dyDescent="0.2">
      <c r="A66" s="3" t="s">
        <v>21</v>
      </c>
      <c r="D66" s="182">
        <v>1.5</v>
      </c>
      <c r="E66" s="183">
        <v>1.5</v>
      </c>
      <c r="F66" s="183">
        <v>1.5</v>
      </c>
      <c r="G66" s="184">
        <v>1.5</v>
      </c>
      <c r="H66" s="185">
        <v>1.5</v>
      </c>
      <c r="I66" s="186">
        <v>1.5</v>
      </c>
      <c r="J66" s="186">
        <v>1.5</v>
      </c>
      <c r="K66" s="187">
        <v>1.5</v>
      </c>
      <c r="L66" s="188">
        <v>1.5</v>
      </c>
      <c r="M66" s="188">
        <v>1.5</v>
      </c>
      <c r="N66" s="188">
        <v>1.5</v>
      </c>
      <c r="O66" s="188">
        <v>1.5</v>
      </c>
      <c r="P66" s="188">
        <v>1.5</v>
      </c>
      <c r="Q66" s="188">
        <v>1.5</v>
      </c>
      <c r="R66" s="188">
        <v>1.5</v>
      </c>
      <c r="S66" s="189">
        <v>1.5</v>
      </c>
      <c r="T66" s="190">
        <v>1.5</v>
      </c>
      <c r="U66" s="191">
        <v>1.5</v>
      </c>
      <c r="V66" s="191">
        <v>1.5</v>
      </c>
      <c r="W66" s="191">
        <v>1.5</v>
      </c>
      <c r="X66" s="191">
        <v>1.5</v>
      </c>
      <c r="Y66" s="191">
        <v>1.5</v>
      </c>
      <c r="Z66" s="192">
        <v>1.5</v>
      </c>
      <c r="AE66" s="332"/>
    </row>
    <row r="67" spans="1:31" outlineLevel="1" x14ac:dyDescent="0.2">
      <c r="A67" s="3" t="s">
        <v>22</v>
      </c>
      <c r="D67" s="182">
        <v>1.65</v>
      </c>
      <c r="E67" s="183">
        <v>1.65</v>
      </c>
      <c r="F67" s="183">
        <v>1.65</v>
      </c>
      <c r="G67" s="184">
        <v>1.65</v>
      </c>
      <c r="H67" s="185">
        <v>1.65</v>
      </c>
      <c r="I67" s="186">
        <v>1.65</v>
      </c>
      <c r="J67" s="186">
        <v>1.65</v>
      </c>
      <c r="K67" s="187">
        <v>1.65</v>
      </c>
      <c r="L67" s="188">
        <v>1.65</v>
      </c>
      <c r="M67" s="188">
        <v>1.65</v>
      </c>
      <c r="N67" s="188">
        <v>1.65</v>
      </c>
      <c r="O67" s="188">
        <v>1.65</v>
      </c>
      <c r="P67" s="188">
        <v>1.65</v>
      </c>
      <c r="Q67" s="188">
        <v>1.65</v>
      </c>
      <c r="R67" s="188">
        <v>1.65</v>
      </c>
      <c r="S67" s="189">
        <v>1.65</v>
      </c>
      <c r="T67" s="190">
        <v>1.65</v>
      </c>
      <c r="U67" s="191">
        <v>1.65</v>
      </c>
      <c r="V67" s="191">
        <v>1.65</v>
      </c>
      <c r="W67" s="191">
        <v>1.65</v>
      </c>
      <c r="X67" s="191">
        <v>1.65</v>
      </c>
      <c r="Y67" s="191">
        <v>1.65</v>
      </c>
      <c r="Z67" s="192">
        <v>1.65</v>
      </c>
      <c r="AE67" s="332"/>
    </row>
    <row r="68" spans="1:31" x14ac:dyDescent="0.2">
      <c r="A68" s="9" t="s">
        <v>49</v>
      </c>
      <c r="B68" s="193"/>
      <c r="C68" s="193"/>
      <c r="D68" s="194">
        <f t="shared" ref="D68:R68" si="19">D57+SUM(D59:D67)</f>
        <v>178.79530396615633</v>
      </c>
      <c r="E68" s="195">
        <f t="shared" si="19"/>
        <v>137.4142247128635</v>
      </c>
      <c r="F68" s="195">
        <f t="shared" si="19"/>
        <v>191.69531272237879</v>
      </c>
      <c r="G68" s="196">
        <f t="shared" si="19"/>
        <v>131.48782494052489</v>
      </c>
      <c r="H68" s="197">
        <f t="shared" si="19"/>
        <v>110.15011562426827</v>
      </c>
      <c r="I68" s="198">
        <f t="shared" si="19"/>
        <v>157.29960215919468</v>
      </c>
      <c r="J68" s="198">
        <f t="shared" si="19"/>
        <v>254.80759351738581</v>
      </c>
      <c r="K68" s="199">
        <f t="shared" si="19"/>
        <v>225.74190006243512</v>
      </c>
      <c r="L68" s="200">
        <f t="shared" si="19"/>
        <v>225.74190006243512</v>
      </c>
      <c r="M68" s="200">
        <f t="shared" si="19"/>
        <v>257.7536946367689</v>
      </c>
      <c r="N68" s="200">
        <f t="shared" si="19"/>
        <v>224.3698087104851</v>
      </c>
      <c r="O68" s="200">
        <f t="shared" si="19"/>
        <v>249.76228075436254</v>
      </c>
      <c r="P68" s="200">
        <f t="shared" si="19"/>
        <v>204.74573451908628</v>
      </c>
      <c r="Q68" s="200">
        <f t="shared" si="19"/>
        <v>71.39030503234514</v>
      </c>
      <c r="R68" s="200">
        <f t="shared" si="19"/>
        <v>56.419945355501483</v>
      </c>
      <c r="S68" s="201">
        <f>S57+SUM(S59:S67)</f>
        <v>62.64812072485541</v>
      </c>
      <c r="T68" s="202">
        <f t="shared" ref="T68:Z68" si="20">T57+SUM(T59:T67)</f>
        <v>57.715584456704413</v>
      </c>
      <c r="U68" s="203">
        <f t="shared" si="20"/>
        <v>54.7031738809901</v>
      </c>
      <c r="V68" s="203">
        <f t="shared" si="20"/>
        <v>52.200702474425569</v>
      </c>
      <c r="W68" s="203">
        <f t="shared" si="20"/>
        <v>62.326274299775591</v>
      </c>
      <c r="X68" s="203">
        <f t="shared" si="20"/>
        <v>58.016494900928961</v>
      </c>
      <c r="Y68" s="203">
        <f t="shared" si="20"/>
        <v>50.773373113718833</v>
      </c>
      <c r="Z68" s="204">
        <f t="shared" si="20"/>
        <v>46.03041341537805</v>
      </c>
      <c r="AB68" s="332">
        <f t="shared" ref="AB68:AB131" si="21">K68</f>
        <v>225.74190006243512</v>
      </c>
      <c r="AC68" s="332">
        <f t="shared" ref="AC68:AC131" si="22">SUMPRODUCT(L68:S68,$L$26:$S$26)/SUM($L$26:$S$26)</f>
        <v>146.95032987378599</v>
      </c>
      <c r="AD68" s="332">
        <f t="shared" ref="AD68:AD131" si="23">SUMPRODUCT(T68:Z68,$T$26:$Z$26)/SUM($T$26:$Z$26)</f>
        <v>54.656985656222588</v>
      </c>
      <c r="AE68" s="332">
        <f t="shared" ref="AE68:AE131" si="24">SUMPRODUCT(L68:Z68,$L$26:$Z$26)/SUM($L$26:$Z$26)</f>
        <v>74.512402191922277</v>
      </c>
    </row>
    <row r="69" spans="1:31" x14ac:dyDescent="0.2">
      <c r="D69" s="227"/>
      <c r="E69" s="228"/>
      <c r="F69" s="228"/>
      <c r="G69" s="229"/>
      <c r="H69" s="230"/>
      <c r="I69" s="231"/>
      <c r="J69" s="231"/>
      <c r="K69" s="232"/>
      <c r="L69" s="233"/>
      <c r="M69" s="233"/>
      <c r="N69" s="233"/>
      <c r="O69" s="233"/>
      <c r="P69" s="233"/>
      <c r="Q69" s="233"/>
      <c r="R69" s="233"/>
      <c r="S69" s="234"/>
      <c r="T69" s="235"/>
      <c r="U69" s="236"/>
      <c r="V69" s="236"/>
      <c r="W69" s="236"/>
      <c r="X69" s="236"/>
      <c r="Y69" s="236"/>
      <c r="Z69" s="237"/>
      <c r="AB69" s="332">
        <f t="shared" si="21"/>
        <v>0</v>
      </c>
      <c r="AC69" s="332">
        <f t="shared" si="22"/>
        <v>0</v>
      </c>
      <c r="AD69" s="332">
        <f t="shared" si="23"/>
        <v>0</v>
      </c>
      <c r="AE69" s="332">
        <f t="shared" si="24"/>
        <v>0</v>
      </c>
    </row>
    <row r="70" spans="1:31" x14ac:dyDescent="0.2">
      <c r="A70" s="135" t="s">
        <v>45</v>
      </c>
      <c r="D70" s="227"/>
      <c r="E70" s="228"/>
      <c r="F70" s="228"/>
      <c r="G70" s="229"/>
      <c r="H70" s="230"/>
      <c r="I70" s="231"/>
      <c r="J70" s="231"/>
      <c r="K70" s="232"/>
      <c r="L70" s="233"/>
      <c r="M70" s="233"/>
      <c r="N70" s="233"/>
      <c r="O70" s="233"/>
      <c r="P70" s="233"/>
      <c r="Q70" s="233"/>
      <c r="R70" s="233"/>
      <c r="S70" s="234"/>
      <c r="T70" s="235"/>
      <c r="U70" s="236"/>
      <c r="V70" s="236"/>
      <c r="W70" s="236"/>
      <c r="X70" s="236"/>
      <c r="Y70" s="236"/>
      <c r="Z70" s="237"/>
      <c r="AB70" s="332">
        <f t="shared" si="21"/>
        <v>0</v>
      </c>
      <c r="AC70" s="332">
        <f t="shared" si="22"/>
        <v>0</v>
      </c>
      <c r="AD70" s="332">
        <f t="shared" si="23"/>
        <v>0</v>
      </c>
      <c r="AE70" s="332">
        <f t="shared" si="24"/>
        <v>0</v>
      </c>
    </row>
    <row r="71" spans="1:31" outlineLevel="1" x14ac:dyDescent="0.2">
      <c r="A71" s="2" t="s">
        <v>52</v>
      </c>
      <c r="D71" s="16"/>
      <c r="E71" s="17"/>
      <c r="F71" s="17"/>
      <c r="G71" s="18"/>
      <c r="H71" s="19"/>
      <c r="I71" s="20"/>
      <c r="J71" s="20"/>
      <c r="K71" s="73"/>
      <c r="L71" s="233"/>
      <c r="M71" s="233"/>
      <c r="N71" s="233"/>
      <c r="O71" s="233"/>
      <c r="P71" s="233"/>
      <c r="Q71" s="233"/>
      <c r="R71" s="233"/>
      <c r="S71" s="234"/>
      <c r="T71" s="235"/>
      <c r="U71" s="236"/>
      <c r="V71" s="236"/>
      <c r="W71" s="236"/>
      <c r="X71" s="236"/>
      <c r="Y71" s="236"/>
      <c r="Z71" s="237"/>
      <c r="AB71" s="332">
        <f t="shared" si="21"/>
        <v>0</v>
      </c>
      <c r="AC71" s="332">
        <f t="shared" si="22"/>
        <v>0</v>
      </c>
      <c r="AD71" s="332">
        <f t="shared" si="23"/>
        <v>0</v>
      </c>
      <c r="AE71" s="332">
        <f t="shared" si="24"/>
        <v>0</v>
      </c>
    </row>
    <row r="72" spans="1:31" outlineLevel="1" x14ac:dyDescent="0.2">
      <c r="A72" s="3" t="s">
        <v>54</v>
      </c>
      <c r="D72" s="21" t="s">
        <v>60</v>
      </c>
      <c r="E72" s="22" t="s">
        <v>60</v>
      </c>
      <c r="F72" s="22" t="s">
        <v>60</v>
      </c>
      <c r="G72" s="23" t="s">
        <v>60</v>
      </c>
      <c r="H72" s="24" t="s">
        <v>60</v>
      </c>
      <c r="I72" s="25" t="s">
        <v>60</v>
      </c>
      <c r="J72" s="25" t="s">
        <v>60</v>
      </c>
      <c r="K72" s="76">
        <v>0.29978274562052581</v>
      </c>
      <c r="L72" s="296">
        <v>0.29978274562052581</v>
      </c>
      <c r="M72" s="296">
        <v>0.30376205900911274</v>
      </c>
      <c r="N72" s="296">
        <v>0.30341752111575154</v>
      </c>
      <c r="O72" s="296">
        <v>0.28159722065621545</v>
      </c>
      <c r="P72" s="296">
        <v>0.2713937254396569</v>
      </c>
      <c r="Q72" s="296">
        <v>0.31557731358072805</v>
      </c>
      <c r="R72" s="296">
        <v>0.31308098866245782</v>
      </c>
      <c r="S72" s="85">
        <v>0.31464890466035622</v>
      </c>
      <c r="T72" s="86">
        <v>0.30906728779560366</v>
      </c>
      <c r="U72" s="87">
        <v>0.30674769451223177</v>
      </c>
      <c r="V72" s="87">
        <v>0.30371518971732536</v>
      </c>
      <c r="W72" s="87">
        <v>0.30611944691629339</v>
      </c>
      <c r="X72" s="87">
        <v>0.32005510012427785</v>
      </c>
      <c r="Y72" s="87">
        <v>0.32710288921904856</v>
      </c>
      <c r="Z72" s="88">
        <v>0.33180452956003131</v>
      </c>
      <c r="AB72" s="332">
        <f t="shared" si="21"/>
        <v>0.29978274562052581</v>
      </c>
      <c r="AC72" s="332">
        <f t="shared" si="22"/>
        <v>0.30463195240522772</v>
      </c>
      <c r="AD72" s="332">
        <f t="shared" si="23"/>
        <v>0.31423313588401069</v>
      </c>
      <c r="AE72" s="332">
        <f t="shared" si="24"/>
        <v>0.3121675969350966</v>
      </c>
    </row>
    <row r="73" spans="1:31" outlineLevel="1" x14ac:dyDescent="0.2">
      <c r="A73" s="3" t="s">
        <v>55</v>
      </c>
      <c r="D73" s="31" t="s">
        <v>60</v>
      </c>
      <c r="E73" s="32" t="s">
        <v>60</v>
      </c>
      <c r="F73" s="32" t="s">
        <v>60</v>
      </c>
      <c r="G73" s="33" t="s">
        <v>60</v>
      </c>
      <c r="H73" s="34" t="s">
        <v>60</v>
      </c>
      <c r="I73" s="35" t="s">
        <v>60</v>
      </c>
      <c r="J73" s="35" t="s">
        <v>60</v>
      </c>
      <c r="K73" s="77">
        <v>42.440711269672668</v>
      </c>
      <c r="L73" s="188">
        <v>42.440711269672668</v>
      </c>
      <c r="M73" s="188">
        <v>41.440007595349535</v>
      </c>
      <c r="N73" s="188">
        <v>40.433480292823333</v>
      </c>
      <c r="O73" s="188">
        <v>39.451024382708916</v>
      </c>
      <c r="P73" s="188">
        <v>38.454241379204454</v>
      </c>
      <c r="Q73" s="188">
        <v>37.40328622430507</v>
      </c>
      <c r="R73" s="188">
        <v>36.761674768479708</v>
      </c>
      <c r="S73" s="189">
        <v>37.028120560725242</v>
      </c>
      <c r="T73" s="190">
        <v>37.120089573864355</v>
      </c>
      <c r="U73" s="191">
        <v>37.016552816920345</v>
      </c>
      <c r="V73" s="191">
        <v>36.696829005337726</v>
      </c>
      <c r="W73" s="191">
        <v>36.765174738441132</v>
      </c>
      <c r="X73" s="191">
        <v>36.88162539924835</v>
      </c>
      <c r="Y73" s="191">
        <v>36.695093514420101</v>
      </c>
      <c r="Z73" s="192">
        <v>36.547177846973099</v>
      </c>
      <c r="AB73" s="332">
        <f t="shared" si="21"/>
        <v>42.440711269672668</v>
      </c>
      <c r="AC73" s="332">
        <f t="shared" si="22"/>
        <v>39.165192615686522</v>
      </c>
      <c r="AD73" s="332">
        <f t="shared" si="23"/>
        <v>36.824808821794157</v>
      </c>
      <c r="AE73" s="332">
        <f t="shared" si="24"/>
        <v>37.32830444734644</v>
      </c>
    </row>
    <row r="74" spans="1:31" outlineLevel="1" x14ac:dyDescent="0.2">
      <c r="A74" s="2" t="s">
        <v>53</v>
      </c>
      <c r="D74" s="16" t="s">
        <v>60</v>
      </c>
      <c r="E74" s="17" t="s">
        <v>60</v>
      </c>
      <c r="F74" s="17" t="s">
        <v>60</v>
      </c>
      <c r="G74" s="18" t="s">
        <v>60</v>
      </c>
      <c r="H74" s="19" t="s">
        <v>60</v>
      </c>
      <c r="I74" s="20" t="s">
        <v>60</v>
      </c>
      <c r="J74" s="20" t="s">
        <v>60</v>
      </c>
      <c r="K74" s="78">
        <v>0</v>
      </c>
      <c r="L74" s="233"/>
      <c r="M74" s="233"/>
      <c r="N74" s="233"/>
      <c r="O74" s="233"/>
      <c r="P74" s="233"/>
      <c r="Q74" s="233"/>
      <c r="R74" s="233"/>
      <c r="S74" s="234"/>
      <c r="T74" s="235"/>
      <c r="U74" s="236"/>
      <c r="V74" s="236"/>
      <c r="W74" s="236"/>
      <c r="X74" s="236"/>
      <c r="Y74" s="236"/>
      <c r="Z74" s="237"/>
      <c r="AB74" s="332">
        <f t="shared" si="21"/>
        <v>0</v>
      </c>
      <c r="AC74" s="332">
        <f t="shared" si="22"/>
        <v>0</v>
      </c>
      <c r="AD74" s="332">
        <f t="shared" si="23"/>
        <v>0</v>
      </c>
      <c r="AE74" s="332">
        <f t="shared" si="24"/>
        <v>0</v>
      </c>
    </row>
    <row r="75" spans="1:31" outlineLevel="1" x14ac:dyDescent="0.2">
      <c r="A75" s="3" t="s">
        <v>54</v>
      </c>
      <c r="D75" s="21" t="s">
        <v>60</v>
      </c>
      <c r="E75" s="22" t="s">
        <v>60</v>
      </c>
      <c r="F75" s="22" t="s">
        <v>60</v>
      </c>
      <c r="G75" s="23" t="s">
        <v>60</v>
      </c>
      <c r="H75" s="24" t="s">
        <v>60</v>
      </c>
      <c r="I75" s="25" t="s">
        <v>60</v>
      </c>
      <c r="J75" s="25" t="s">
        <v>60</v>
      </c>
      <c r="K75" s="76">
        <v>7.4706553316517335E-2</v>
      </c>
      <c r="L75" s="296">
        <v>7.4706553316517335E-2</v>
      </c>
      <c r="M75" s="296">
        <v>7.3221762264172957E-2</v>
      </c>
      <c r="N75" s="296">
        <v>7.3350318809310491E-2</v>
      </c>
      <c r="O75" s="296">
        <v>8.1492071850100767E-2</v>
      </c>
      <c r="P75" s="296">
        <v>0.24808679404086259</v>
      </c>
      <c r="Q75" s="296">
        <v>0.20390320589979138</v>
      </c>
      <c r="R75" s="296">
        <v>0.20639953081806164</v>
      </c>
      <c r="S75" s="85">
        <v>0.20483161482016324</v>
      </c>
      <c r="T75" s="86">
        <v>0.2104132316849158</v>
      </c>
      <c r="U75" s="87">
        <v>0.21273282496828766</v>
      </c>
      <c r="V75" s="87">
        <v>0.21576532976319407</v>
      </c>
      <c r="W75" s="87">
        <v>0.2133610725642261</v>
      </c>
      <c r="X75" s="87">
        <v>0.19942541935624167</v>
      </c>
      <c r="Y75" s="87">
        <v>0.19237763026147084</v>
      </c>
      <c r="Z75" s="88">
        <v>0.18767598992048806</v>
      </c>
      <c r="AB75" s="332">
        <f t="shared" si="21"/>
        <v>7.4706553316517335E-2</v>
      </c>
      <c r="AC75" s="332">
        <f t="shared" si="22"/>
        <v>0.14999350111427989</v>
      </c>
      <c r="AD75" s="332">
        <f t="shared" si="23"/>
        <v>0.20524738359650874</v>
      </c>
      <c r="AE75" s="332">
        <f t="shared" si="24"/>
        <v>0.19336040668392568</v>
      </c>
    </row>
    <row r="76" spans="1:31" outlineLevel="1" x14ac:dyDescent="0.2">
      <c r="A76" s="3" t="s">
        <v>55</v>
      </c>
      <c r="D76" s="31" t="s">
        <v>60</v>
      </c>
      <c r="E76" s="32" t="s">
        <v>60</v>
      </c>
      <c r="F76" s="32" t="s">
        <v>60</v>
      </c>
      <c r="G76" s="33" t="s">
        <v>60</v>
      </c>
      <c r="H76" s="34" t="s">
        <v>60</v>
      </c>
      <c r="I76" s="35" t="s">
        <v>60</v>
      </c>
      <c r="J76" s="35" t="s">
        <v>60</v>
      </c>
      <c r="K76" s="385">
        <v>130.69999999999999</v>
      </c>
      <c r="L76" s="375">
        <v>130.69999999999999</v>
      </c>
      <c r="M76" s="375">
        <v>69</v>
      </c>
      <c r="N76" s="375">
        <v>69</v>
      </c>
      <c r="O76" s="375">
        <v>69</v>
      </c>
      <c r="P76" s="375">
        <v>81</v>
      </c>
      <c r="Q76" s="375">
        <v>58</v>
      </c>
      <c r="R76" s="375">
        <v>57</v>
      </c>
      <c r="S76" s="376">
        <v>55</v>
      </c>
      <c r="T76" s="386">
        <v>65</v>
      </c>
      <c r="U76" s="375">
        <v>65</v>
      </c>
      <c r="V76" s="375">
        <v>65</v>
      </c>
      <c r="W76" s="375">
        <v>65</v>
      </c>
      <c r="X76" s="375">
        <v>65</v>
      </c>
      <c r="Y76" s="375">
        <v>65</v>
      </c>
      <c r="Z76" s="376">
        <v>65</v>
      </c>
      <c r="AB76" s="332">
        <f t="shared" si="21"/>
        <v>130.69999999999999</v>
      </c>
      <c r="AC76" s="332">
        <f t="shared" si="22"/>
        <v>79.829860589487339</v>
      </c>
      <c r="AD76" s="332">
        <f t="shared" si="23"/>
        <v>65</v>
      </c>
      <c r="AE76" s="332">
        <f t="shared" si="24"/>
        <v>68.190404049901076</v>
      </c>
    </row>
    <row r="77" spans="1:31" outlineLevel="1" x14ac:dyDescent="0.2">
      <c r="A77" s="2" t="s">
        <v>58</v>
      </c>
      <c r="D77" s="16" t="s">
        <v>60</v>
      </c>
      <c r="E77" s="17" t="s">
        <v>60</v>
      </c>
      <c r="F77" s="17" t="s">
        <v>60</v>
      </c>
      <c r="G77" s="18" t="s">
        <v>60</v>
      </c>
      <c r="H77" s="19" t="s">
        <v>60</v>
      </c>
      <c r="I77" s="20" t="s">
        <v>60</v>
      </c>
      <c r="J77" s="20" t="s">
        <v>60</v>
      </c>
      <c r="K77" s="78">
        <v>0</v>
      </c>
      <c r="L77" s="233"/>
      <c r="M77" s="233"/>
      <c r="N77" s="233"/>
      <c r="O77" s="233"/>
      <c r="P77" s="233"/>
      <c r="Q77" s="233"/>
      <c r="R77" s="233"/>
      <c r="S77" s="234"/>
      <c r="T77" s="235"/>
      <c r="U77" s="236"/>
      <c r="V77" s="236"/>
      <c r="W77" s="236"/>
      <c r="X77" s="236"/>
      <c r="Y77" s="236"/>
      <c r="Z77" s="237"/>
      <c r="AB77" s="332">
        <f t="shared" si="21"/>
        <v>0</v>
      </c>
      <c r="AC77" s="332">
        <f t="shared" si="22"/>
        <v>0</v>
      </c>
      <c r="AD77" s="332">
        <f t="shared" si="23"/>
        <v>0</v>
      </c>
      <c r="AE77" s="332">
        <f t="shared" si="24"/>
        <v>0</v>
      </c>
    </row>
    <row r="78" spans="1:31" outlineLevel="1" x14ac:dyDescent="0.2">
      <c r="A78" s="3" t="s">
        <v>54</v>
      </c>
      <c r="D78" s="21" t="s">
        <v>60</v>
      </c>
      <c r="E78" s="22" t="s">
        <v>60</v>
      </c>
      <c r="F78" s="22" t="s">
        <v>60</v>
      </c>
      <c r="G78" s="23" t="s">
        <v>60</v>
      </c>
      <c r="H78" s="24" t="s">
        <v>60</v>
      </c>
      <c r="I78" s="25" t="s">
        <v>60</v>
      </c>
      <c r="J78" s="25" t="s">
        <v>60</v>
      </c>
      <c r="K78" s="76">
        <v>0.62551070106295681</v>
      </c>
      <c r="L78" s="296">
        <v>0.62551070106295681</v>
      </c>
      <c r="M78" s="296">
        <v>0.62301617872671433</v>
      </c>
      <c r="N78" s="296">
        <v>0.62323216007493798</v>
      </c>
      <c r="O78" s="296">
        <v>0.63691070749368384</v>
      </c>
      <c r="P78" s="296">
        <v>0.48051948051948051</v>
      </c>
      <c r="Q78" s="296">
        <v>0.48051948051948046</v>
      </c>
      <c r="R78" s="296">
        <v>0.48051948051948051</v>
      </c>
      <c r="S78" s="85">
        <v>0.48051948051948051</v>
      </c>
      <c r="T78" s="86">
        <v>0.48051948051948057</v>
      </c>
      <c r="U78" s="87">
        <v>0.48051948051948057</v>
      </c>
      <c r="V78" s="87">
        <v>0.48051948051948051</v>
      </c>
      <c r="W78" s="87">
        <v>0.48051948051948046</v>
      </c>
      <c r="X78" s="87">
        <v>0.48051948051948062</v>
      </c>
      <c r="Y78" s="87">
        <v>0.48051948051948051</v>
      </c>
      <c r="Z78" s="88">
        <v>0.48051948051948057</v>
      </c>
      <c r="AB78" s="332">
        <f t="shared" si="21"/>
        <v>0.62551070106295681</v>
      </c>
      <c r="AC78" s="332">
        <f t="shared" si="22"/>
        <v>0.54537454648049255</v>
      </c>
      <c r="AD78" s="332">
        <f t="shared" si="23"/>
        <v>0.48051948051948051</v>
      </c>
      <c r="AE78" s="332">
        <f t="shared" si="24"/>
        <v>0.49447199638097766</v>
      </c>
    </row>
    <row r="79" spans="1:31" outlineLevel="1" x14ac:dyDescent="0.2">
      <c r="A79" s="309" t="s">
        <v>56</v>
      </c>
      <c r="D79" s="31" t="s">
        <v>60</v>
      </c>
      <c r="E79" s="32" t="s">
        <v>60</v>
      </c>
      <c r="F79" s="32" t="s">
        <v>60</v>
      </c>
      <c r="G79" s="33" t="s">
        <v>60</v>
      </c>
      <c r="H79" s="34" t="s">
        <v>60</v>
      </c>
      <c r="I79" s="35" t="s">
        <v>60</v>
      </c>
      <c r="J79" s="35" t="s">
        <v>60</v>
      </c>
      <c r="K79" s="385">
        <v>54.71</v>
      </c>
      <c r="L79" s="375">
        <v>54.71</v>
      </c>
      <c r="M79" s="375">
        <v>54.71</v>
      </c>
      <c r="N79" s="375">
        <v>54.71</v>
      </c>
      <c r="O79" s="375">
        <v>54.71</v>
      </c>
      <c r="P79" s="375">
        <v>54.71</v>
      </c>
      <c r="Q79" s="375">
        <v>54.71</v>
      </c>
      <c r="R79" s="375">
        <v>54.71</v>
      </c>
      <c r="S79" s="376">
        <v>54.71</v>
      </c>
      <c r="T79" s="386">
        <v>54.71</v>
      </c>
      <c r="U79" s="375">
        <v>54.71</v>
      </c>
      <c r="V79" s="375">
        <v>54.71</v>
      </c>
      <c r="W79" s="375">
        <v>54.71</v>
      </c>
      <c r="X79" s="375">
        <v>54.71</v>
      </c>
      <c r="Y79" s="375">
        <v>54.71</v>
      </c>
      <c r="Z79" s="376">
        <v>54.71</v>
      </c>
      <c r="AB79" s="332">
        <f t="shared" si="21"/>
        <v>54.71</v>
      </c>
      <c r="AC79" s="332">
        <f t="shared" si="22"/>
        <v>54.710000000000015</v>
      </c>
      <c r="AD79" s="332">
        <f t="shared" si="23"/>
        <v>54.710000000000008</v>
      </c>
      <c r="AE79" s="332">
        <f t="shared" si="24"/>
        <v>54.709999999999994</v>
      </c>
    </row>
    <row r="80" spans="1:31" x14ac:dyDescent="0.2">
      <c r="A80" s="14" t="s">
        <v>57</v>
      </c>
      <c r="B80" s="238"/>
      <c r="C80" s="238"/>
      <c r="D80" s="36"/>
      <c r="E80" s="37"/>
      <c r="F80" s="37"/>
      <c r="G80" s="38"/>
      <c r="H80" s="39"/>
      <c r="I80" s="40"/>
      <c r="J80" s="40"/>
      <c r="K80" s="79"/>
      <c r="L80" s="239"/>
      <c r="M80" s="239"/>
      <c r="N80" s="239"/>
      <c r="O80" s="239"/>
      <c r="P80" s="239"/>
      <c r="Q80" s="239"/>
      <c r="R80" s="239"/>
      <c r="S80" s="240"/>
      <c r="T80" s="241"/>
      <c r="U80" s="242"/>
      <c r="V80" s="242"/>
      <c r="W80" s="242"/>
      <c r="X80" s="242"/>
      <c r="Y80" s="242"/>
      <c r="Z80" s="243"/>
      <c r="AB80" s="332">
        <f t="shared" si="21"/>
        <v>0</v>
      </c>
      <c r="AC80" s="332">
        <f t="shared" si="22"/>
        <v>0</v>
      </c>
      <c r="AD80" s="332">
        <f t="shared" si="23"/>
        <v>0</v>
      </c>
      <c r="AE80" s="332">
        <f t="shared" si="24"/>
        <v>0</v>
      </c>
    </row>
    <row r="81" spans="1:31" x14ac:dyDescent="0.2">
      <c r="A81" s="309" t="s">
        <v>59</v>
      </c>
      <c r="D81" s="31" t="s">
        <v>60</v>
      </c>
      <c r="E81" s="32" t="s">
        <v>60</v>
      </c>
      <c r="F81" s="32" t="s">
        <v>60</v>
      </c>
      <c r="G81" s="33" t="s">
        <v>60</v>
      </c>
      <c r="H81" s="34" t="s">
        <v>60</v>
      </c>
      <c r="I81" s="35" t="s">
        <v>60</v>
      </c>
      <c r="J81" s="35" t="s">
        <v>60</v>
      </c>
      <c r="K81" s="77">
        <f t="shared" ref="K81:Z81" si="25">K72*K73+K75*K76+K78*K79</f>
        <v>56.708829924133646</v>
      </c>
      <c r="L81" s="188">
        <f t="shared" si="25"/>
        <v>56.708829924133646</v>
      </c>
      <c r="M81" s="188">
        <f t="shared" si="25"/>
        <v>51.725418766883124</v>
      </c>
      <c r="N81" s="188">
        <f t="shared" si="25"/>
        <v>51.426429836073325</v>
      </c>
      <c r="O81" s="188">
        <f t="shared" si="25"/>
        <v>51.577636582847816</v>
      </c>
      <c r="P81" s="188">
        <f t="shared" si="25"/>
        <v>56.820490923388761</v>
      </c>
      <c r="Q81" s="188">
        <f t="shared" si="25"/>
        <v>49.919235307165927</v>
      </c>
      <c r="R81" s="188">
        <f t="shared" si="25"/>
        <v>49.563375517253647</v>
      </c>
      <c r="S81" s="189">
        <f t="shared" si="25"/>
        <v>49.205817170393573</v>
      </c>
      <c r="T81" s="190">
        <f t="shared" si="25"/>
        <v>51.438686246064428</v>
      </c>
      <c r="U81" s="191">
        <f t="shared" si="25"/>
        <v>51.47159663754006</v>
      </c>
      <c r="V81" s="191">
        <f t="shared" si="25"/>
        <v>51.459351597208794</v>
      </c>
      <c r="W81" s="191">
        <f t="shared" si="25"/>
        <v>51.412225452607956</v>
      </c>
      <c r="X81" s="191">
        <f t="shared" si="25"/>
        <v>51.056025347279032</v>
      </c>
      <c r="Y81" s="191">
        <f t="shared" si="25"/>
        <v>50.796837854946375</v>
      </c>
      <c r="Z81" s="192">
        <f t="shared" si="25"/>
        <v>50.614679276314206</v>
      </c>
      <c r="AB81" s="332">
        <f t="shared" si="21"/>
        <v>56.708829924133646</v>
      </c>
      <c r="AC81" s="332">
        <f t="shared" si="22"/>
        <v>52.18644662352888</v>
      </c>
      <c r="AD81" s="332">
        <f t="shared" si="23"/>
        <v>51.200871248655687</v>
      </c>
      <c r="AE81" s="332">
        <f t="shared" si="24"/>
        <v>51.412901810136979</v>
      </c>
    </row>
    <row r="82" spans="1:31" x14ac:dyDescent="0.2">
      <c r="D82" s="227"/>
      <c r="E82" s="228"/>
      <c r="F82" s="228"/>
      <c r="G82" s="229"/>
      <c r="H82" s="230"/>
      <c r="I82" s="231"/>
      <c r="J82" s="231"/>
      <c r="K82" s="232"/>
      <c r="L82" s="233"/>
      <c r="M82" s="233"/>
      <c r="N82" s="233"/>
      <c r="O82" s="233"/>
      <c r="P82" s="233"/>
      <c r="Q82" s="233"/>
      <c r="R82" s="233"/>
      <c r="S82" s="234"/>
      <c r="T82" s="235"/>
      <c r="U82" s="236"/>
      <c r="V82" s="236"/>
      <c r="W82" s="236"/>
      <c r="X82" s="236"/>
      <c r="Y82" s="236"/>
      <c r="Z82" s="237"/>
      <c r="AB82" s="332">
        <f t="shared" si="21"/>
        <v>0</v>
      </c>
      <c r="AC82" s="332">
        <f t="shared" si="22"/>
        <v>0</v>
      </c>
      <c r="AD82" s="332">
        <f t="shared" si="23"/>
        <v>0</v>
      </c>
      <c r="AE82" s="332">
        <f t="shared" si="24"/>
        <v>0</v>
      </c>
    </row>
    <row r="83" spans="1:31" x14ac:dyDescent="0.2">
      <c r="A83" s="135" t="s">
        <v>61</v>
      </c>
      <c r="D83" s="227"/>
      <c r="E83" s="228"/>
      <c r="F83" s="228"/>
      <c r="G83" s="229"/>
      <c r="H83" s="230"/>
      <c r="I83" s="231"/>
      <c r="J83" s="231"/>
      <c r="K83" s="232"/>
      <c r="L83" s="233"/>
      <c r="M83" s="233"/>
      <c r="N83" s="233"/>
      <c r="O83" s="233"/>
      <c r="P83" s="233"/>
      <c r="Q83" s="233"/>
      <c r="R83" s="233"/>
      <c r="S83" s="234"/>
      <c r="T83" s="235"/>
      <c r="U83" s="236"/>
      <c r="V83" s="236"/>
      <c r="W83" s="236"/>
      <c r="X83" s="236"/>
      <c r="Y83" s="236"/>
      <c r="Z83" s="237"/>
      <c r="AB83" s="332">
        <f t="shared" si="21"/>
        <v>0</v>
      </c>
      <c r="AC83" s="332">
        <f t="shared" si="22"/>
        <v>0</v>
      </c>
      <c r="AD83" s="332">
        <f t="shared" si="23"/>
        <v>0</v>
      </c>
      <c r="AE83" s="332">
        <f t="shared" si="24"/>
        <v>0</v>
      </c>
    </row>
    <row r="84" spans="1:31" x14ac:dyDescent="0.2">
      <c r="A84" s="68" t="s">
        <v>62</v>
      </c>
      <c r="B84" s="245"/>
      <c r="C84" s="245"/>
      <c r="D84" s="246"/>
      <c r="E84" s="247"/>
      <c r="F84" s="228"/>
      <c r="G84" s="229"/>
      <c r="H84" s="230"/>
      <c r="I84" s="231"/>
      <c r="J84" s="231"/>
      <c r="K84" s="232"/>
      <c r="L84" s="233"/>
      <c r="M84" s="233"/>
      <c r="N84" s="233"/>
      <c r="O84" s="233"/>
      <c r="P84" s="233"/>
      <c r="Q84" s="233"/>
      <c r="R84" s="233"/>
      <c r="S84" s="234"/>
      <c r="T84" s="235"/>
      <c r="U84" s="236"/>
      <c r="V84" s="236"/>
      <c r="W84" s="236"/>
      <c r="X84" s="236"/>
      <c r="Y84" s="236"/>
      <c r="Z84" s="237"/>
      <c r="AB84" s="332">
        <f t="shared" si="21"/>
        <v>0</v>
      </c>
      <c r="AC84" s="332">
        <f t="shared" si="22"/>
        <v>0</v>
      </c>
      <c r="AD84" s="332">
        <f t="shared" si="23"/>
        <v>0</v>
      </c>
      <c r="AE84" s="332">
        <f t="shared" si="24"/>
        <v>0</v>
      </c>
    </row>
    <row r="85" spans="1:31" x14ac:dyDescent="0.2">
      <c r="A85" s="52" t="s">
        <v>76</v>
      </c>
      <c r="D85" s="182">
        <f t="shared" ref="D85:Z85" si="26">D53</f>
        <v>97.934996731180618</v>
      </c>
      <c r="E85" s="183">
        <f t="shared" si="26"/>
        <v>96.821910855674034</v>
      </c>
      <c r="F85" s="183">
        <f t="shared" si="26"/>
        <v>98.473665680326135</v>
      </c>
      <c r="G85" s="184">
        <f t="shared" si="26"/>
        <v>97.383104618828881</v>
      </c>
      <c r="H85" s="185">
        <f t="shared" si="26"/>
        <v>66.007646334912224</v>
      </c>
      <c r="I85" s="186">
        <f t="shared" si="26"/>
        <v>65.379328485465749</v>
      </c>
      <c r="J85" s="186">
        <f t="shared" si="26"/>
        <v>65.006851990511549</v>
      </c>
      <c r="K85" s="187">
        <f t="shared" si="26"/>
        <v>49.872722389050331</v>
      </c>
      <c r="L85" s="188">
        <f t="shared" si="26"/>
        <v>49.872722389050331</v>
      </c>
      <c r="M85" s="188">
        <f t="shared" si="26"/>
        <v>50.24747213052845</v>
      </c>
      <c r="N85" s="188">
        <f t="shared" si="26"/>
        <v>53.007958679217644</v>
      </c>
      <c r="O85" s="188">
        <f t="shared" si="26"/>
        <v>53.170072070395165</v>
      </c>
      <c r="P85" s="188">
        <f t="shared" si="26"/>
        <v>83.114407997463303</v>
      </c>
      <c r="Q85" s="188">
        <f t="shared" si="26"/>
        <v>82.537529228685514</v>
      </c>
      <c r="R85" s="188">
        <f t="shared" si="26"/>
        <v>81.817336826627368</v>
      </c>
      <c r="S85" s="189">
        <f t="shared" si="26"/>
        <v>77.758459498905395</v>
      </c>
      <c r="T85" s="190">
        <f t="shared" si="26"/>
        <v>79.162696188216742</v>
      </c>
      <c r="U85" s="191">
        <f t="shared" si="26"/>
        <v>68.995713787113118</v>
      </c>
      <c r="V85" s="191">
        <f t="shared" si="26"/>
        <v>51.769113074110159</v>
      </c>
      <c r="W85" s="191">
        <f t="shared" si="26"/>
        <v>51.845918642176343</v>
      </c>
      <c r="X85" s="191">
        <f t="shared" si="26"/>
        <v>48.484898859867862</v>
      </c>
      <c r="Y85" s="191">
        <f t="shared" si="26"/>
        <v>48.778064569197518</v>
      </c>
      <c r="Z85" s="192">
        <f t="shared" si="26"/>
        <v>51.341681942292212</v>
      </c>
      <c r="AB85" s="332">
        <f t="shared" si="21"/>
        <v>49.872722389050331</v>
      </c>
      <c r="AC85" s="332">
        <f t="shared" si="22"/>
        <v>66.714802987794585</v>
      </c>
      <c r="AD85" s="332">
        <f t="shared" si="23"/>
        <v>57.6871663099055</v>
      </c>
      <c r="AE85" s="332">
        <f t="shared" si="24"/>
        <v>59.629315964271768</v>
      </c>
    </row>
    <row r="86" spans="1:31" x14ac:dyDescent="0.2">
      <c r="A86" s="52" t="s">
        <v>74</v>
      </c>
      <c r="D86" s="182">
        <f t="shared" ref="D86:Z86" si="27">(D36*$B$27+D43*$B$28+D50*$B$29)</f>
        <v>0</v>
      </c>
      <c r="E86" s="183">
        <f t="shared" si="27"/>
        <v>0</v>
      </c>
      <c r="F86" s="183">
        <f t="shared" si="27"/>
        <v>0</v>
      </c>
      <c r="G86" s="184">
        <f t="shared" si="27"/>
        <v>0</v>
      </c>
      <c r="H86" s="185">
        <f t="shared" si="27"/>
        <v>0</v>
      </c>
      <c r="I86" s="186">
        <f t="shared" si="27"/>
        <v>0</v>
      </c>
      <c r="J86" s="186">
        <f t="shared" si="27"/>
        <v>0</v>
      </c>
      <c r="K86" s="187">
        <f t="shared" si="27"/>
        <v>10</v>
      </c>
      <c r="L86" s="188">
        <f t="shared" si="27"/>
        <v>10</v>
      </c>
      <c r="M86" s="188">
        <f t="shared" si="27"/>
        <v>10</v>
      </c>
      <c r="N86" s="188">
        <f t="shared" si="27"/>
        <v>10</v>
      </c>
      <c r="O86" s="188">
        <f t="shared" si="27"/>
        <v>10</v>
      </c>
      <c r="P86" s="188">
        <f t="shared" si="27"/>
        <v>10</v>
      </c>
      <c r="Q86" s="188">
        <f t="shared" si="27"/>
        <v>10</v>
      </c>
      <c r="R86" s="188">
        <f t="shared" si="27"/>
        <v>10</v>
      </c>
      <c r="S86" s="189">
        <f t="shared" si="27"/>
        <v>10</v>
      </c>
      <c r="T86" s="190">
        <f t="shared" si="27"/>
        <v>10</v>
      </c>
      <c r="U86" s="191">
        <f t="shared" si="27"/>
        <v>10</v>
      </c>
      <c r="V86" s="191">
        <f t="shared" si="27"/>
        <v>10</v>
      </c>
      <c r="W86" s="191">
        <f t="shared" si="27"/>
        <v>10</v>
      </c>
      <c r="X86" s="191">
        <f t="shared" si="27"/>
        <v>10</v>
      </c>
      <c r="Y86" s="191">
        <f t="shared" si="27"/>
        <v>10</v>
      </c>
      <c r="Z86" s="192">
        <f t="shared" si="27"/>
        <v>10</v>
      </c>
      <c r="AB86" s="332">
        <f t="shared" si="21"/>
        <v>10</v>
      </c>
      <c r="AC86" s="332">
        <f t="shared" si="22"/>
        <v>10.000000000000004</v>
      </c>
      <c r="AD86" s="332">
        <f t="shared" si="23"/>
        <v>9.9999999999999982</v>
      </c>
      <c r="AE86" s="332">
        <f t="shared" si="24"/>
        <v>9.9999999999999982</v>
      </c>
    </row>
    <row r="87" spans="1:31" x14ac:dyDescent="0.2">
      <c r="A87" s="52" t="s">
        <v>75</v>
      </c>
      <c r="D87" s="182"/>
      <c r="E87" s="183"/>
      <c r="F87" s="183"/>
      <c r="G87" s="184"/>
      <c r="H87" s="185"/>
      <c r="I87" s="186"/>
      <c r="J87" s="186"/>
      <c r="K87" s="74">
        <f t="shared" ref="K87:Z87" si="28">(K37*$B$27+K44*$B$28+K51*$B$29)</f>
        <v>0</v>
      </c>
      <c r="L87" s="59">
        <f t="shared" si="28"/>
        <v>0</v>
      </c>
      <c r="M87" s="59">
        <f t="shared" si="28"/>
        <v>0</v>
      </c>
      <c r="N87" s="59">
        <f t="shared" si="28"/>
        <v>0</v>
      </c>
      <c r="O87" s="59">
        <f t="shared" si="28"/>
        <v>37.33750841532347</v>
      </c>
      <c r="P87" s="59">
        <f t="shared" si="28"/>
        <v>40.094994104337111</v>
      </c>
      <c r="Q87" s="59">
        <f t="shared" si="28"/>
        <v>47.905279654368442</v>
      </c>
      <c r="R87" s="59">
        <f t="shared" si="28"/>
        <v>47.269463126644055</v>
      </c>
      <c r="S87" s="60">
        <f t="shared" si="28"/>
        <v>48.868508205700032</v>
      </c>
      <c r="T87" s="61">
        <f t="shared" si="28"/>
        <v>47.157198452206103</v>
      </c>
      <c r="U87" s="62">
        <f t="shared" si="28"/>
        <v>40.058912475819298</v>
      </c>
      <c r="V87" s="62">
        <f t="shared" si="28"/>
        <v>37.340326455525243</v>
      </c>
      <c r="W87" s="62">
        <f t="shared" si="28"/>
        <v>37.381300637031458</v>
      </c>
      <c r="X87" s="62">
        <f t="shared" si="28"/>
        <v>37.344514036418943</v>
      </c>
      <c r="Y87" s="62">
        <f t="shared" si="28"/>
        <v>37.345196869600848</v>
      </c>
      <c r="Z87" s="63">
        <f t="shared" si="28"/>
        <v>37.358557580423714</v>
      </c>
      <c r="AB87" s="332">
        <f t="shared" si="21"/>
        <v>0</v>
      </c>
      <c r="AC87" s="332">
        <f t="shared" si="22"/>
        <v>28.588079406736504</v>
      </c>
      <c r="AD87" s="332">
        <f t="shared" si="23"/>
        <v>39.206165759343229</v>
      </c>
      <c r="AE87" s="332">
        <f t="shared" si="24"/>
        <v>36.921856645502331</v>
      </c>
    </row>
    <row r="88" spans="1:31" x14ac:dyDescent="0.2">
      <c r="A88" s="65" t="s">
        <v>78</v>
      </c>
      <c r="B88" s="238"/>
      <c r="C88" s="248"/>
      <c r="D88" s="249">
        <f t="shared" ref="D88:J88" si="29">D54</f>
        <v>97.934996731180618</v>
      </c>
      <c r="E88" s="250">
        <f t="shared" si="29"/>
        <v>96.821910855674034</v>
      </c>
      <c r="F88" s="250">
        <f t="shared" si="29"/>
        <v>98.473665680326135</v>
      </c>
      <c r="G88" s="251">
        <f t="shared" si="29"/>
        <v>97.383104618828881</v>
      </c>
      <c r="H88" s="252">
        <f t="shared" si="29"/>
        <v>66.007646334912224</v>
      </c>
      <c r="I88" s="253">
        <f t="shared" si="29"/>
        <v>65.379328485465749</v>
      </c>
      <c r="J88" s="253">
        <f t="shared" si="29"/>
        <v>65.006851990511549</v>
      </c>
      <c r="K88" s="254">
        <f t="shared" ref="K88:Z88" si="30">SUM(K85:K87)</f>
        <v>59.872722389050331</v>
      </c>
      <c r="L88" s="54">
        <f t="shared" si="30"/>
        <v>59.872722389050331</v>
      </c>
      <c r="M88" s="54">
        <f t="shared" si="30"/>
        <v>60.24747213052845</v>
      </c>
      <c r="N88" s="54">
        <f t="shared" si="30"/>
        <v>63.007958679217644</v>
      </c>
      <c r="O88" s="54">
        <f t="shared" si="30"/>
        <v>100.50758048571863</v>
      </c>
      <c r="P88" s="54">
        <f t="shared" si="30"/>
        <v>133.20940210180041</v>
      </c>
      <c r="Q88" s="54">
        <f t="shared" si="30"/>
        <v>140.44280888305394</v>
      </c>
      <c r="R88" s="54">
        <f t="shared" si="30"/>
        <v>139.08679995327142</v>
      </c>
      <c r="S88" s="55">
        <f t="shared" si="30"/>
        <v>136.62696770460542</v>
      </c>
      <c r="T88" s="56">
        <f t="shared" si="30"/>
        <v>136.31989464042283</v>
      </c>
      <c r="U88" s="57">
        <f t="shared" si="30"/>
        <v>119.05462626293242</v>
      </c>
      <c r="V88" s="57">
        <f t="shared" si="30"/>
        <v>99.109439529635409</v>
      </c>
      <c r="W88" s="57">
        <f t="shared" si="30"/>
        <v>99.227219279207802</v>
      </c>
      <c r="X88" s="57">
        <f t="shared" si="30"/>
        <v>95.829412896286811</v>
      </c>
      <c r="Y88" s="57">
        <f t="shared" si="30"/>
        <v>96.123261438798366</v>
      </c>
      <c r="Z88" s="58">
        <f t="shared" si="30"/>
        <v>98.700239522715918</v>
      </c>
      <c r="AB88" s="332">
        <f t="shared" si="21"/>
        <v>59.872722389050331</v>
      </c>
      <c r="AC88" s="332">
        <f t="shared" si="22"/>
        <v>105.30288239453107</v>
      </c>
      <c r="AD88" s="332">
        <f t="shared" si="23"/>
        <v>106.89333206924873</v>
      </c>
      <c r="AE88" s="332">
        <f t="shared" si="24"/>
        <v>106.55117260977407</v>
      </c>
    </row>
    <row r="89" spans="1:31" x14ac:dyDescent="0.2">
      <c r="A89" s="331"/>
      <c r="B89" s="217"/>
      <c r="C89" s="217"/>
      <c r="D89" s="160"/>
      <c r="E89" s="161"/>
      <c r="F89" s="161"/>
      <c r="G89" s="162"/>
      <c r="H89" s="163"/>
      <c r="I89" s="164"/>
      <c r="J89" s="164"/>
      <c r="K89" s="165"/>
      <c r="L89" s="59"/>
      <c r="M89" s="59"/>
      <c r="N89" s="59"/>
      <c r="O89" s="59"/>
      <c r="P89" s="59"/>
      <c r="Q89" s="59"/>
      <c r="R89" s="59"/>
      <c r="S89" s="60"/>
      <c r="T89" s="61"/>
      <c r="U89" s="62"/>
      <c r="V89" s="62"/>
      <c r="W89" s="62"/>
      <c r="X89" s="62"/>
      <c r="Y89" s="62"/>
      <c r="Z89" s="63"/>
      <c r="AB89" s="332">
        <f t="shared" si="21"/>
        <v>0</v>
      </c>
      <c r="AC89" s="332">
        <f t="shared" si="22"/>
        <v>0</v>
      </c>
      <c r="AD89" s="332">
        <f t="shared" si="23"/>
        <v>0</v>
      </c>
      <c r="AE89" s="332">
        <f t="shared" si="24"/>
        <v>0</v>
      </c>
    </row>
    <row r="90" spans="1:31" x14ac:dyDescent="0.2">
      <c r="A90" s="51" t="s">
        <v>72</v>
      </c>
      <c r="D90" s="182">
        <f t="shared" ref="D90:Z90" si="31">D88-D91</f>
        <v>86.286674451635207</v>
      </c>
      <c r="E90" s="183">
        <f t="shared" si="31"/>
        <v>85.173588576128623</v>
      </c>
      <c r="F90" s="183">
        <f t="shared" si="31"/>
        <v>86.825343400780724</v>
      </c>
      <c r="G90" s="184">
        <f t="shared" si="31"/>
        <v>85.73478233928347</v>
      </c>
      <c r="H90" s="185">
        <f t="shared" si="31"/>
        <v>54.35932405536682</v>
      </c>
      <c r="I90" s="186">
        <f t="shared" si="31"/>
        <v>53.731006205920345</v>
      </c>
      <c r="J90" s="186">
        <f t="shared" si="31"/>
        <v>53.358529710966145</v>
      </c>
      <c r="K90" s="187">
        <f t="shared" si="31"/>
        <v>38.462964186000825</v>
      </c>
      <c r="L90" s="188">
        <f t="shared" si="31"/>
        <v>38.462964186000825</v>
      </c>
      <c r="M90" s="188">
        <f t="shared" si="31"/>
        <v>38.837713927478944</v>
      </c>
      <c r="N90" s="188">
        <f t="shared" si="31"/>
        <v>41.598200476168131</v>
      </c>
      <c r="O90" s="188">
        <f t="shared" si="31"/>
        <v>79.097822282669128</v>
      </c>
      <c r="P90" s="188">
        <f t="shared" si="31"/>
        <v>111.7996438987509</v>
      </c>
      <c r="Q90" s="188">
        <f t="shared" si="31"/>
        <v>119.03305068000444</v>
      </c>
      <c r="R90" s="188">
        <f t="shared" si="31"/>
        <v>117.67704175022192</v>
      </c>
      <c r="S90" s="189">
        <f t="shared" si="31"/>
        <v>117.66163403464847</v>
      </c>
      <c r="T90" s="190">
        <f t="shared" si="31"/>
        <v>116.58976592929022</v>
      </c>
      <c r="U90" s="191">
        <f t="shared" si="31"/>
        <v>99.027567748361079</v>
      </c>
      <c r="V90" s="191">
        <f t="shared" si="31"/>
        <v>79.123055383972059</v>
      </c>
      <c r="W90" s="191">
        <f t="shared" si="31"/>
        <v>79.224398269734877</v>
      </c>
      <c r="X90" s="191">
        <f t="shared" si="31"/>
        <v>76.570607429270979</v>
      </c>
      <c r="Y90" s="191">
        <f t="shared" si="31"/>
        <v>76.99105094524684</v>
      </c>
      <c r="Z90" s="192">
        <f t="shared" si="31"/>
        <v>79.472286079315808</v>
      </c>
      <c r="AB90" s="332">
        <f t="shared" si="21"/>
        <v>38.462964186000825</v>
      </c>
      <c r="AC90" s="332">
        <f t="shared" si="22"/>
        <v>84.749405166515714</v>
      </c>
      <c r="AD90" s="332">
        <f t="shared" si="23"/>
        <v>87.240856323945422</v>
      </c>
      <c r="AE90" s="332">
        <f t="shared" si="24"/>
        <v>86.704861004580849</v>
      </c>
    </row>
    <row r="91" spans="1:31" x14ac:dyDescent="0.2">
      <c r="A91" s="64" t="s">
        <v>73</v>
      </c>
      <c r="B91" s="238"/>
      <c r="C91" s="248"/>
      <c r="D91" s="255">
        <f t="shared" ref="D91:J91" si="32">(D34*D27+D41*D28+D48*D29)/D$26</f>
        <v>11.648322279545404</v>
      </c>
      <c r="E91" s="256">
        <f t="shared" si="32"/>
        <v>11.648322279545404</v>
      </c>
      <c r="F91" s="256">
        <f t="shared" si="32"/>
        <v>11.648322279545406</v>
      </c>
      <c r="G91" s="257">
        <f t="shared" si="32"/>
        <v>11.648322279545406</v>
      </c>
      <c r="H91" s="258">
        <f t="shared" si="32"/>
        <v>11.648322279545404</v>
      </c>
      <c r="I91" s="259">
        <f t="shared" si="32"/>
        <v>11.648322279545406</v>
      </c>
      <c r="J91" s="259">
        <f t="shared" si="32"/>
        <v>11.648322279545406</v>
      </c>
      <c r="K91" s="260">
        <f t="shared" ref="K91:Z91" si="33">K52</f>
        <v>21.409758203049506</v>
      </c>
      <c r="L91" s="239">
        <f t="shared" si="33"/>
        <v>21.409758203049506</v>
      </c>
      <c r="M91" s="239">
        <f t="shared" si="33"/>
        <v>21.40975820304951</v>
      </c>
      <c r="N91" s="239">
        <f t="shared" si="33"/>
        <v>21.409758203049513</v>
      </c>
      <c r="O91" s="239">
        <f t="shared" si="33"/>
        <v>21.409758203049506</v>
      </c>
      <c r="P91" s="239">
        <f t="shared" si="33"/>
        <v>21.40975820304951</v>
      </c>
      <c r="Q91" s="239">
        <f t="shared" si="33"/>
        <v>21.409758203049513</v>
      </c>
      <c r="R91" s="239">
        <f t="shared" si="33"/>
        <v>21.40975820304951</v>
      </c>
      <c r="S91" s="240">
        <f t="shared" si="33"/>
        <v>18.965333669956944</v>
      </c>
      <c r="T91" s="241">
        <f t="shared" si="33"/>
        <v>19.730128711132615</v>
      </c>
      <c r="U91" s="242">
        <f t="shared" si="33"/>
        <v>20.027058514571333</v>
      </c>
      <c r="V91" s="242">
        <f t="shared" si="33"/>
        <v>19.986384145663358</v>
      </c>
      <c r="W91" s="242">
        <f t="shared" si="33"/>
        <v>20.002821009472921</v>
      </c>
      <c r="X91" s="242">
        <f t="shared" si="33"/>
        <v>19.258805467015833</v>
      </c>
      <c r="Y91" s="242">
        <f t="shared" si="33"/>
        <v>19.132210493551529</v>
      </c>
      <c r="Z91" s="243">
        <f t="shared" si="33"/>
        <v>19.227953443400104</v>
      </c>
      <c r="AB91" s="332">
        <f t="shared" si="21"/>
        <v>21.409758203049506</v>
      </c>
      <c r="AC91" s="332">
        <f t="shared" si="22"/>
        <v>20.553477228015378</v>
      </c>
      <c r="AD91" s="332">
        <f t="shared" si="23"/>
        <v>19.652475745303295</v>
      </c>
      <c r="AE91" s="332">
        <f t="shared" si="24"/>
        <v>19.846311605193254</v>
      </c>
    </row>
    <row r="92" spans="1:31" x14ac:dyDescent="0.2">
      <c r="A92" s="51" t="s">
        <v>79</v>
      </c>
      <c r="D92" s="261">
        <f t="shared" ref="D92:Z92" si="34">(D$26)</f>
        <v>138992.70324665844</v>
      </c>
      <c r="E92" s="262">
        <f t="shared" si="34"/>
        <v>154222.19301250842</v>
      </c>
      <c r="F92" s="262">
        <f t="shared" si="34"/>
        <v>162086.26483715844</v>
      </c>
      <c r="G92" s="263">
        <f t="shared" si="34"/>
        <v>152376.72562550844</v>
      </c>
      <c r="H92" s="264">
        <f t="shared" si="34"/>
        <v>152708.88135550843</v>
      </c>
      <c r="I92" s="265">
        <f t="shared" si="34"/>
        <v>144481.75591550849</v>
      </c>
      <c r="J92" s="265">
        <f t="shared" si="34"/>
        <v>146545.69236350848</v>
      </c>
      <c r="K92" s="266">
        <f t="shared" si="34"/>
        <v>255320.59830009213</v>
      </c>
      <c r="L92" s="267">
        <f t="shared" si="34"/>
        <v>184398.20988339986</v>
      </c>
      <c r="M92" s="267">
        <f t="shared" si="34"/>
        <v>37746.091556999992</v>
      </c>
      <c r="N92" s="267">
        <f t="shared" si="34"/>
        <v>41566.255477999985</v>
      </c>
      <c r="O92" s="267">
        <f t="shared" si="34"/>
        <v>40028.657883433298</v>
      </c>
      <c r="P92" s="267">
        <f t="shared" si="34"/>
        <v>42423.914276301912</v>
      </c>
      <c r="Q92" s="267">
        <f t="shared" si="34"/>
        <v>34869.173660256696</v>
      </c>
      <c r="R92" s="267">
        <f t="shared" si="34"/>
        <v>62822.929046965553</v>
      </c>
      <c r="S92" s="268">
        <f t="shared" si="34"/>
        <v>239313.87607793562</v>
      </c>
      <c r="T92" s="269">
        <f t="shared" si="34"/>
        <v>356895.06408334803</v>
      </c>
      <c r="U92" s="270">
        <f t="shared" si="34"/>
        <v>413008.86206752714</v>
      </c>
      <c r="V92" s="270">
        <f t="shared" si="34"/>
        <v>376420.62725233915</v>
      </c>
      <c r="W92" s="270">
        <f t="shared" si="34"/>
        <v>364678.48612877249</v>
      </c>
      <c r="X92" s="270">
        <f t="shared" si="34"/>
        <v>335139.35304020351</v>
      </c>
      <c r="Y92" s="270">
        <f t="shared" si="34"/>
        <v>309101.54227139545</v>
      </c>
      <c r="Z92" s="271">
        <f t="shared" si="34"/>
        <v>337141.67393511254</v>
      </c>
      <c r="AB92" s="332">
        <f t="shared" si="21"/>
        <v>255320.59830009213</v>
      </c>
      <c r="AC92" s="332">
        <f t="shared" si="22"/>
        <v>150754.78760496023</v>
      </c>
      <c r="AD92" s="332">
        <f t="shared" si="23"/>
        <v>358756.66603301797</v>
      </c>
      <c r="AE92" s="332">
        <f t="shared" si="24"/>
        <v>314008.43449574179</v>
      </c>
    </row>
    <row r="93" spans="1:31" ht="13.5" thickBot="1" x14ac:dyDescent="0.25">
      <c r="A93" s="66" t="s">
        <v>63</v>
      </c>
      <c r="B93" s="272"/>
      <c r="C93" s="273"/>
      <c r="D93" s="274">
        <f t="shared" ref="D93:J93" si="35">D$26*D91</f>
        <v>1619031.8019222943</v>
      </c>
      <c r="E93" s="275">
        <f t="shared" si="35"/>
        <v>1796429.8068679534</v>
      </c>
      <c r="F93" s="275">
        <f t="shared" si="35"/>
        <v>1888033.0499109698</v>
      </c>
      <c r="G93" s="276">
        <f t="shared" si="35"/>
        <v>1774933.2079877872</v>
      </c>
      <c r="H93" s="277">
        <f t="shared" si="35"/>
        <v>1778802.2649778246</v>
      </c>
      <c r="I93" s="278">
        <f t="shared" si="35"/>
        <v>1682970.0564184587</v>
      </c>
      <c r="J93" s="278">
        <f t="shared" si="35"/>
        <v>1707011.4533292628</v>
      </c>
      <c r="K93" s="279">
        <f>K133</f>
        <v>42349817.68311289</v>
      </c>
      <c r="L93" s="280">
        <f t="shared" ref="L93:Z93" si="36">L92*-L91</f>
        <v>-3947921.0866787648</v>
      </c>
      <c r="M93" s="280">
        <f t="shared" si="36"/>
        <v>-808134.69334553846</v>
      </c>
      <c r="N93" s="280">
        <f t="shared" si="36"/>
        <v>-889923.47919016192</v>
      </c>
      <c r="O93" s="280">
        <f t="shared" si="36"/>
        <v>-857003.88647689833</v>
      </c>
      <c r="P93" s="280">
        <f t="shared" si="36"/>
        <v>-908285.7466825241</v>
      </c>
      <c r="Q93" s="280">
        <f t="shared" si="36"/>
        <v>-746540.57680623885</v>
      </c>
      <c r="R93" s="280">
        <f t="shared" si="36"/>
        <v>-1345023.7205028681</v>
      </c>
      <c r="S93" s="281">
        <f t="shared" si="36"/>
        <v>-4538667.5116687762</v>
      </c>
      <c r="T93" s="282">
        <f t="shared" si="36"/>
        <v>-7041585.5507323798</v>
      </c>
      <c r="U93" s="283">
        <f t="shared" si="36"/>
        <v>-8271352.6476628864</v>
      </c>
      <c r="V93" s="283">
        <f t="shared" si="36"/>
        <v>-7523287.2566168075</v>
      </c>
      <c r="W93" s="283">
        <f t="shared" si="36"/>
        <v>-7294598.4840393895</v>
      </c>
      <c r="X93" s="283">
        <f t="shared" si="36"/>
        <v>-6454383.6045428207</v>
      </c>
      <c r="Y93" s="283">
        <f t="shared" si="36"/>
        <v>-5913795.7706177533</v>
      </c>
      <c r="Z93" s="284">
        <f t="shared" si="36"/>
        <v>-6482544.410254322</v>
      </c>
      <c r="AB93" s="332">
        <f t="shared" si="21"/>
        <v>42349817.68311289</v>
      </c>
      <c r="AC93" s="332">
        <f t="shared" si="22"/>
        <v>-3022703.6314270715</v>
      </c>
      <c r="AD93" s="332">
        <f t="shared" si="23"/>
        <v>-7060693.1215151343</v>
      </c>
      <c r="AE93" s="332">
        <f t="shared" si="24"/>
        <v>-6191985.1559279617</v>
      </c>
    </row>
    <row r="94" spans="1:31" ht="13.5" thickTop="1" x14ac:dyDescent="0.2">
      <c r="A94" s="15"/>
      <c r="B94" s="135" t="s">
        <v>95</v>
      </c>
      <c r="C94" s="318">
        <f>SUM(K93:Z93)</f>
        <v>-20673230.742705241</v>
      </c>
      <c r="D94" s="227"/>
      <c r="E94" s="228"/>
      <c r="F94" s="228"/>
      <c r="G94" s="229">
        <f>SUM(D93:G93)</f>
        <v>7078427.8666890049</v>
      </c>
      <c r="H94" s="230"/>
      <c r="I94" s="231"/>
      <c r="J94" s="231"/>
      <c r="K94" s="232">
        <f>K93</f>
        <v>42349817.68311289</v>
      </c>
      <c r="L94" s="233"/>
      <c r="M94" s="233"/>
      <c r="N94" s="233"/>
      <c r="O94" s="233"/>
      <c r="P94" s="233"/>
      <c r="Q94" s="233"/>
      <c r="R94" s="233"/>
      <c r="S94" s="234">
        <f>SUM(L93:S93)</f>
        <v>-14041500.701351769</v>
      </c>
      <c r="T94" s="235"/>
      <c r="U94" s="236"/>
      <c r="V94" s="236"/>
      <c r="W94" s="236"/>
      <c r="X94" s="236"/>
      <c r="Y94" s="236"/>
      <c r="Z94" s="237">
        <f>SUM(T93:Z93)</f>
        <v>-48981547.724466361</v>
      </c>
      <c r="AB94" s="332">
        <f t="shared" si="21"/>
        <v>42349817.68311289</v>
      </c>
      <c r="AC94" s="332">
        <f t="shared" si="22"/>
        <v>-4918732.3023159439</v>
      </c>
      <c r="AD94" s="332">
        <f t="shared" si="23"/>
        <v>-6625668.5697407518</v>
      </c>
      <c r="AE94" s="332">
        <f t="shared" si="24"/>
        <v>-6258448.9085946726</v>
      </c>
    </row>
    <row r="95" spans="1:31" x14ac:dyDescent="0.2">
      <c r="D95" s="227"/>
      <c r="E95" s="228"/>
      <c r="F95" s="228"/>
      <c r="G95" s="229">
        <f>SUM(D93:G93)</f>
        <v>7078427.8666890049</v>
      </c>
      <c r="H95" s="105"/>
      <c r="I95" s="106"/>
      <c r="J95" s="231">
        <f>SUM(H93:J93)</f>
        <v>5168783.7747255461</v>
      </c>
      <c r="K95" s="232"/>
      <c r="L95" s="233"/>
      <c r="M95" s="233"/>
      <c r="N95" s="233"/>
      <c r="O95" s="233"/>
      <c r="P95" s="233"/>
      <c r="Q95" s="233"/>
      <c r="R95" s="233"/>
      <c r="S95" s="234"/>
      <c r="T95" s="109"/>
      <c r="U95" s="110"/>
      <c r="V95" s="110"/>
      <c r="W95" s="110"/>
      <c r="X95" s="110"/>
      <c r="Y95" s="110"/>
      <c r="Z95" s="237"/>
      <c r="AB95" s="332">
        <f t="shared" si="21"/>
        <v>0</v>
      </c>
      <c r="AC95" s="332">
        <f t="shared" si="22"/>
        <v>0</v>
      </c>
      <c r="AD95" s="332">
        <f t="shared" si="23"/>
        <v>0</v>
      </c>
      <c r="AE95" s="332">
        <f t="shared" si="24"/>
        <v>0</v>
      </c>
    </row>
    <row r="96" spans="1:31" x14ac:dyDescent="0.2">
      <c r="D96" s="227"/>
      <c r="E96" s="228"/>
      <c r="F96" s="228"/>
      <c r="G96" s="229"/>
      <c r="H96" s="105"/>
      <c r="I96" s="106"/>
      <c r="J96" s="231"/>
      <c r="K96" s="232"/>
      <c r="L96" s="233"/>
      <c r="M96" s="233"/>
      <c r="N96" s="233"/>
      <c r="O96" s="233"/>
      <c r="P96" s="233"/>
      <c r="Q96" s="233"/>
      <c r="R96" s="233"/>
      <c r="S96" s="234"/>
      <c r="T96" s="109"/>
      <c r="U96" s="110"/>
      <c r="V96" s="110"/>
      <c r="W96" s="110"/>
      <c r="X96" s="110"/>
      <c r="Y96" s="110"/>
      <c r="Z96" s="237"/>
      <c r="AB96" s="332">
        <f t="shared" si="21"/>
        <v>0</v>
      </c>
      <c r="AC96" s="332">
        <f t="shared" si="22"/>
        <v>0</v>
      </c>
      <c r="AD96" s="332">
        <f t="shared" si="23"/>
        <v>0</v>
      </c>
      <c r="AE96" s="332">
        <f t="shared" si="24"/>
        <v>0</v>
      </c>
    </row>
    <row r="97" spans="1:31" x14ac:dyDescent="0.2">
      <c r="D97" s="227"/>
      <c r="E97" s="228"/>
      <c r="F97" s="228"/>
      <c r="G97" s="229"/>
      <c r="H97" s="105"/>
      <c r="I97" s="106"/>
      <c r="J97" s="231"/>
      <c r="K97" s="232"/>
      <c r="L97" s="233"/>
      <c r="M97" s="233"/>
      <c r="N97" s="233"/>
      <c r="O97" s="233"/>
      <c r="P97" s="233"/>
      <c r="Q97" s="233"/>
      <c r="R97" s="233"/>
      <c r="S97" s="234"/>
      <c r="T97" s="109"/>
      <c r="U97" s="110"/>
      <c r="V97" s="110"/>
      <c r="W97" s="110"/>
      <c r="X97" s="110"/>
      <c r="Y97" s="110"/>
      <c r="Z97" s="237"/>
      <c r="AB97" s="332">
        <f t="shared" si="21"/>
        <v>0</v>
      </c>
      <c r="AC97" s="332">
        <f t="shared" si="22"/>
        <v>0</v>
      </c>
      <c r="AD97" s="332">
        <f t="shared" si="23"/>
        <v>0</v>
      </c>
      <c r="AE97" s="332">
        <f t="shared" si="24"/>
        <v>0</v>
      </c>
    </row>
    <row r="98" spans="1:31" x14ac:dyDescent="0.2">
      <c r="A98" s="68" t="s">
        <v>93</v>
      </c>
      <c r="B98" s="245"/>
      <c r="C98" s="245"/>
      <c r="D98" s="246"/>
      <c r="E98" s="247"/>
      <c r="F98" s="228"/>
      <c r="G98" s="229"/>
      <c r="H98" s="230"/>
      <c r="I98" s="231"/>
      <c r="J98" s="231"/>
      <c r="K98" s="90"/>
      <c r="L98" s="233"/>
      <c r="M98" s="233"/>
      <c r="N98" s="233"/>
      <c r="O98" s="233"/>
      <c r="P98" s="233"/>
      <c r="Q98" s="233"/>
      <c r="R98" s="233"/>
      <c r="S98" s="234"/>
      <c r="T98" s="235"/>
      <c r="U98" s="236"/>
      <c r="V98" s="236"/>
      <c r="W98" s="236"/>
      <c r="X98" s="236"/>
      <c r="Y98" s="236"/>
      <c r="Z98" s="237"/>
      <c r="AB98" s="332">
        <f t="shared" si="21"/>
        <v>0</v>
      </c>
      <c r="AC98" s="332">
        <f t="shared" si="22"/>
        <v>0</v>
      </c>
      <c r="AD98" s="332">
        <f t="shared" si="23"/>
        <v>0</v>
      </c>
      <c r="AE98" s="332">
        <f t="shared" si="24"/>
        <v>0</v>
      </c>
    </row>
    <row r="99" spans="1:31" x14ac:dyDescent="0.2">
      <c r="A99" s="52" t="s">
        <v>76</v>
      </c>
      <c r="D99" s="182">
        <f t="shared" ref="D99:Z99" si="37">D53</f>
        <v>97.934996731180618</v>
      </c>
      <c r="E99" s="183">
        <f t="shared" si="37"/>
        <v>96.821910855674034</v>
      </c>
      <c r="F99" s="183">
        <f t="shared" si="37"/>
        <v>98.473665680326135</v>
      </c>
      <c r="G99" s="184">
        <f t="shared" si="37"/>
        <v>97.383104618828881</v>
      </c>
      <c r="H99" s="185">
        <f t="shared" si="37"/>
        <v>66.007646334912224</v>
      </c>
      <c r="I99" s="186">
        <f t="shared" si="37"/>
        <v>65.379328485465749</v>
      </c>
      <c r="J99" s="186">
        <f t="shared" si="37"/>
        <v>65.006851990511549</v>
      </c>
      <c r="K99" s="187">
        <f t="shared" si="37"/>
        <v>49.872722389050331</v>
      </c>
      <c r="L99" s="188">
        <f t="shared" si="37"/>
        <v>49.872722389050331</v>
      </c>
      <c r="M99" s="188">
        <f t="shared" si="37"/>
        <v>50.24747213052845</v>
      </c>
      <c r="N99" s="188">
        <f t="shared" si="37"/>
        <v>53.007958679217644</v>
      </c>
      <c r="O99" s="188">
        <f t="shared" si="37"/>
        <v>53.170072070395165</v>
      </c>
      <c r="P99" s="188">
        <f t="shared" si="37"/>
        <v>83.114407997463303</v>
      </c>
      <c r="Q99" s="188">
        <f t="shared" si="37"/>
        <v>82.537529228685514</v>
      </c>
      <c r="R99" s="188">
        <f t="shared" si="37"/>
        <v>81.817336826627368</v>
      </c>
      <c r="S99" s="189">
        <f t="shared" si="37"/>
        <v>77.758459498905395</v>
      </c>
      <c r="T99" s="190">
        <f t="shared" si="37"/>
        <v>79.162696188216742</v>
      </c>
      <c r="U99" s="191">
        <f t="shared" si="37"/>
        <v>68.995713787113118</v>
      </c>
      <c r="V99" s="191">
        <f t="shared" si="37"/>
        <v>51.769113074110159</v>
      </c>
      <c r="W99" s="191">
        <f t="shared" si="37"/>
        <v>51.845918642176343</v>
      </c>
      <c r="X99" s="191">
        <f t="shared" si="37"/>
        <v>48.484898859867862</v>
      </c>
      <c r="Y99" s="191">
        <f t="shared" si="37"/>
        <v>48.778064569197518</v>
      </c>
      <c r="Z99" s="192">
        <f t="shared" si="37"/>
        <v>51.341681942292212</v>
      </c>
      <c r="AB99" s="332">
        <f t="shared" si="21"/>
        <v>49.872722389050331</v>
      </c>
      <c r="AC99" s="332">
        <f t="shared" si="22"/>
        <v>66.714802987794585</v>
      </c>
      <c r="AD99" s="332">
        <f t="shared" si="23"/>
        <v>57.6871663099055</v>
      </c>
      <c r="AE99" s="332">
        <f t="shared" si="24"/>
        <v>59.629315964271768</v>
      </c>
    </row>
    <row r="100" spans="1:31" x14ac:dyDescent="0.2">
      <c r="A100" s="52" t="s">
        <v>74</v>
      </c>
      <c r="D100" s="182">
        <f t="shared" ref="D100:Z100" si="38">(D36*$B$27+D43*$B$28+D50*$B$29)</f>
        <v>0</v>
      </c>
      <c r="E100" s="183">
        <f t="shared" si="38"/>
        <v>0</v>
      </c>
      <c r="F100" s="183">
        <f t="shared" si="38"/>
        <v>0</v>
      </c>
      <c r="G100" s="184">
        <f t="shared" si="38"/>
        <v>0</v>
      </c>
      <c r="H100" s="185">
        <f t="shared" si="38"/>
        <v>0</v>
      </c>
      <c r="I100" s="186">
        <f t="shared" si="38"/>
        <v>0</v>
      </c>
      <c r="J100" s="186">
        <f t="shared" si="38"/>
        <v>0</v>
      </c>
      <c r="K100" s="187">
        <f t="shared" si="38"/>
        <v>10</v>
      </c>
      <c r="L100" s="188">
        <f t="shared" si="38"/>
        <v>10</v>
      </c>
      <c r="M100" s="188">
        <f t="shared" si="38"/>
        <v>10</v>
      </c>
      <c r="N100" s="188">
        <f t="shared" si="38"/>
        <v>10</v>
      </c>
      <c r="O100" s="188">
        <f t="shared" si="38"/>
        <v>10</v>
      </c>
      <c r="P100" s="188">
        <f t="shared" si="38"/>
        <v>10</v>
      </c>
      <c r="Q100" s="188">
        <f t="shared" si="38"/>
        <v>10</v>
      </c>
      <c r="R100" s="188">
        <f t="shared" si="38"/>
        <v>10</v>
      </c>
      <c r="S100" s="189">
        <f t="shared" si="38"/>
        <v>10</v>
      </c>
      <c r="T100" s="190">
        <f t="shared" si="38"/>
        <v>10</v>
      </c>
      <c r="U100" s="191">
        <f t="shared" si="38"/>
        <v>10</v>
      </c>
      <c r="V100" s="191">
        <f t="shared" si="38"/>
        <v>10</v>
      </c>
      <c r="W100" s="191">
        <f t="shared" si="38"/>
        <v>10</v>
      </c>
      <c r="X100" s="191">
        <f t="shared" si="38"/>
        <v>10</v>
      </c>
      <c r="Y100" s="191">
        <f t="shared" si="38"/>
        <v>10</v>
      </c>
      <c r="Z100" s="192">
        <f t="shared" si="38"/>
        <v>10</v>
      </c>
      <c r="AB100" s="332">
        <f t="shared" si="21"/>
        <v>10</v>
      </c>
      <c r="AC100" s="332">
        <f t="shared" si="22"/>
        <v>10.000000000000004</v>
      </c>
      <c r="AD100" s="332">
        <f t="shared" si="23"/>
        <v>9.9999999999999982</v>
      </c>
      <c r="AE100" s="332">
        <f t="shared" si="24"/>
        <v>9.9999999999999982</v>
      </c>
    </row>
    <row r="101" spans="1:31" x14ac:dyDescent="0.2">
      <c r="A101" s="67" t="s">
        <v>75</v>
      </c>
      <c r="B101" s="244"/>
      <c r="C101" s="244"/>
      <c r="D101" s="285">
        <f t="shared" ref="D101:J101" si="39">D102-D100-D99</f>
        <v>0</v>
      </c>
      <c r="E101" s="286">
        <f t="shared" si="39"/>
        <v>0</v>
      </c>
      <c r="F101" s="286">
        <f t="shared" si="39"/>
        <v>0</v>
      </c>
      <c r="G101" s="287">
        <f t="shared" si="39"/>
        <v>0</v>
      </c>
      <c r="H101" s="288">
        <f t="shared" si="39"/>
        <v>0</v>
      </c>
      <c r="I101" s="289">
        <f t="shared" si="39"/>
        <v>0</v>
      </c>
      <c r="J101" s="289">
        <f t="shared" si="39"/>
        <v>0</v>
      </c>
      <c r="K101" s="310" t="s">
        <v>66</v>
      </c>
      <c r="L101" s="311" t="s">
        <v>66</v>
      </c>
      <c r="M101" s="311" t="s">
        <v>66</v>
      </c>
      <c r="N101" s="311" t="s">
        <v>66</v>
      </c>
      <c r="O101" s="311" t="s">
        <v>66</v>
      </c>
      <c r="P101" s="311" t="s">
        <v>66</v>
      </c>
      <c r="Q101" s="311" t="s">
        <v>66</v>
      </c>
      <c r="R101" s="311" t="s">
        <v>66</v>
      </c>
      <c r="S101" s="312" t="s">
        <v>66</v>
      </c>
      <c r="T101" s="313" t="s">
        <v>66</v>
      </c>
      <c r="U101" s="314" t="s">
        <v>66</v>
      </c>
      <c r="V101" s="314" t="s">
        <v>66</v>
      </c>
      <c r="W101" s="314" t="s">
        <v>66</v>
      </c>
      <c r="X101" s="314" t="s">
        <v>66</v>
      </c>
      <c r="Y101" s="314" t="s">
        <v>66</v>
      </c>
      <c r="Z101" s="315" t="s">
        <v>66</v>
      </c>
      <c r="AB101" s="332" t="str">
        <f t="shared" si="21"/>
        <v>none</v>
      </c>
      <c r="AC101" s="332">
        <f t="shared" si="22"/>
        <v>0</v>
      </c>
      <c r="AD101" s="332">
        <f t="shared" si="23"/>
        <v>0</v>
      </c>
      <c r="AE101" s="332">
        <f t="shared" si="24"/>
        <v>0</v>
      </c>
    </row>
    <row r="102" spans="1:31" x14ac:dyDescent="0.2">
      <c r="A102" s="65" t="s">
        <v>78</v>
      </c>
      <c r="B102" s="238"/>
      <c r="C102" s="248"/>
      <c r="D102" s="249">
        <f t="shared" ref="D102:J102" si="40">D54</f>
        <v>97.934996731180618</v>
      </c>
      <c r="E102" s="250">
        <f t="shared" si="40"/>
        <v>96.821910855674034</v>
      </c>
      <c r="F102" s="250">
        <f t="shared" si="40"/>
        <v>98.473665680326135</v>
      </c>
      <c r="G102" s="251">
        <f t="shared" si="40"/>
        <v>97.383104618828881</v>
      </c>
      <c r="H102" s="252">
        <f t="shared" si="40"/>
        <v>66.007646334912224</v>
      </c>
      <c r="I102" s="253">
        <f t="shared" si="40"/>
        <v>65.379328485465749</v>
      </c>
      <c r="J102" s="253">
        <f t="shared" si="40"/>
        <v>65.006851990511549</v>
      </c>
      <c r="K102" s="254">
        <f t="shared" ref="K102:Z102" si="41">SUM(K99:K101)</f>
        <v>59.872722389050331</v>
      </c>
      <c r="L102" s="54">
        <f t="shared" si="41"/>
        <v>59.872722389050331</v>
      </c>
      <c r="M102" s="54">
        <f t="shared" si="41"/>
        <v>60.24747213052845</v>
      </c>
      <c r="N102" s="54">
        <f t="shared" si="41"/>
        <v>63.007958679217644</v>
      </c>
      <c r="O102" s="54">
        <f t="shared" si="41"/>
        <v>63.170072070395165</v>
      </c>
      <c r="P102" s="54">
        <f t="shared" si="41"/>
        <v>93.114407997463303</v>
      </c>
      <c r="Q102" s="54">
        <f t="shared" si="41"/>
        <v>92.537529228685514</v>
      </c>
      <c r="R102" s="54">
        <f t="shared" si="41"/>
        <v>91.817336826627368</v>
      </c>
      <c r="S102" s="55">
        <f t="shared" si="41"/>
        <v>87.758459498905395</v>
      </c>
      <c r="T102" s="56">
        <f t="shared" si="41"/>
        <v>89.162696188216742</v>
      </c>
      <c r="U102" s="57">
        <f t="shared" si="41"/>
        <v>78.995713787113118</v>
      </c>
      <c r="V102" s="57">
        <f t="shared" si="41"/>
        <v>61.769113074110159</v>
      </c>
      <c r="W102" s="57">
        <f t="shared" si="41"/>
        <v>61.845918642176343</v>
      </c>
      <c r="X102" s="57">
        <f t="shared" si="41"/>
        <v>58.484898859867862</v>
      </c>
      <c r="Y102" s="57">
        <f t="shared" si="41"/>
        <v>58.778064569197518</v>
      </c>
      <c r="Z102" s="58">
        <f t="shared" si="41"/>
        <v>61.341681942292212</v>
      </c>
      <c r="AB102" s="332">
        <f t="shared" si="21"/>
        <v>59.872722389050331</v>
      </c>
      <c r="AC102" s="332">
        <f t="shared" si="22"/>
        <v>76.71480298779457</v>
      </c>
      <c r="AD102" s="332">
        <f t="shared" si="23"/>
        <v>67.687166309905479</v>
      </c>
      <c r="AE102" s="332">
        <f t="shared" si="24"/>
        <v>69.629315964271754</v>
      </c>
    </row>
    <row r="103" spans="1:31" x14ac:dyDescent="0.2">
      <c r="A103" s="331"/>
      <c r="B103" s="217"/>
      <c r="C103" s="217"/>
      <c r="D103" s="160"/>
      <c r="E103" s="161"/>
      <c r="F103" s="161"/>
      <c r="G103" s="162"/>
      <c r="H103" s="163"/>
      <c r="I103" s="164"/>
      <c r="J103" s="164"/>
      <c r="K103" s="165"/>
      <c r="L103" s="59"/>
      <c r="M103" s="59"/>
      <c r="N103" s="59"/>
      <c r="O103" s="59"/>
      <c r="P103" s="59"/>
      <c r="Q103" s="59"/>
      <c r="R103" s="59"/>
      <c r="S103" s="60"/>
      <c r="T103" s="61"/>
      <c r="U103" s="62"/>
      <c r="V103" s="62"/>
      <c r="W103" s="62"/>
      <c r="X103" s="62"/>
      <c r="Y103" s="62"/>
      <c r="Z103" s="63"/>
      <c r="AB103" s="332">
        <f t="shared" si="21"/>
        <v>0</v>
      </c>
      <c r="AC103" s="332">
        <f t="shared" si="22"/>
        <v>0</v>
      </c>
      <c r="AD103" s="332">
        <f t="shared" si="23"/>
        <v>0</v>
      </c>
      <c r="AE103" s="332">
        <f t="shared" si="24"/>
        <v>0</v>
      </c>
    </row>
    <row r="104" spans="1:31" ht="12.75" customHeight="1" x14ac:dyDescent="0.2">
      <c r="A104" s="51" t="s">
        <v>72</v>
      </c>
      <c r="D104" s="182" t="e">
        <f>#REF!</f>
        <v>#REF!</v>
      </c>
      <c r="E104" s="183" t="e">
        <f>#REF!</f>
        <v>#REF!</v>
      </c>
      <c r="F104" s="183" t="e">
        <f>#REF!</f>
        <v>#REF!</v>
      </c>
      <c r="G104" s="184" t="e">
        <f>#REF!</f>
        <v>#REF!</v>
      </c>
      <c r="H104" s="185" t="e">
        <f>#REF!</f>
        <v>#REF!</v>
      </c>
      <c r="I104" s="186" t="e">
        <f>#REF!</f>
        <v>#REF!</v>
      </c>
      <c r="J104" s="186" t="e">
        <f>#REF!</f>
        <v>#REF!</v>
      </c>
      <c r="K104" s="187">
        <f t="shared" ref="K104:Z104" si="42">K81</f>
        <v>56.708829924133646</v>
      </c>
      <c r="L104" s="188">
        <f t="shared" si="42"/>
        <v>56.708829924133646</v>
      </c>
      <c r="M104" s="188">
        <f t="shared" si="42"/>
        <v>51.725418766883124</v>
      </c>
      <c r="N104" s="188">
        <f t="shared" si="42"/>
        <v>51.426429836073325</v>
      </c>
      <c r="O104" s="188">
        <f t="shared" si="42"/>
        <v>51.577636582847816</v>
      </c>
      <c r="P104" s="188">
        <f t="shared" si="42"/>
        <v>56.820490923388761</v>
      </c>
      <c r="Q104" s="188">
        <f t="shared" si="42"/>
        <v>49.919235307165927</v>
      </c>
      <c r="R104" s="188">
        <f t="shared" si="42"/>
        <v>49.563375517253647</v>
      </c>
      <c r="S104" s="189">
        <f t="shared" si="42"/>
        <v>49.205817170393573</v>
      </c>
      <c r="T104" s="190">
        <f t="shared" si="42"/>
        <v>51.438686246064428</v>
      </c>
      <c r="U104" s="191">
        <f t="shared" si="42"/>
        <v>51.47159663754006</v>
      </c>
      <c r="V104" s="191">
        <f t="shared" si="42"/>
        <v>51.459351597208794</v>
      </c>
      <c r="W104" s="191">
        <f t="shared" si="42"/>
        <v>51.412225452607956</v>
      </c>
      <c r="X104" s="191">
        <f t="shared" si="42"/>
        <v>51.056025347279032</v>
      </c>
      <c r="Y104" s="191">
        <f t="shared" si="42"/>
        <v>50.796837854946375</v>
      </c>
      <c r="Z104" s="192">
        <f t="shared" si="42"/>
        <v>50.614679276314206</v>
      </c>
      <c r="AB104" s="332">
        <f t="shared" si="21"/>
        <v>56.708829924133646</v>
      </c>
      <c r="AC104" s="332">
        <f t="shared" si="22"/>
        <v>52.18644662352888</v>
      </c>
      <c r="AD104" s="332">
        <f t="shared" si="23"/>
        <v>51.200871248655687</v>
      </c>
      <c r="AE104" s="332">
        <f t="shared" si="24"/>
        <v>51.412901810136979</v>
      </c>
    </row>
    <row r="105" spans="1:31" ht="12.75" customHeight="1" x14ac:dyDescent="0.2">
      <c r="A105" s="64" t="s">
        <v>80</v>
      </c>
      <c r="B105" s="238"/>
      <c r="C105" s="248"/>
      <c r="D105" s="255" t="e">
        <f t="shared" ref="D105:Z105" si="43">D102-D104</f>
        <v>#REF!</v>
      </c>
      <c r="E105" s="256" t="e">
        <f t="shared" si="43"/>
        <v>#REF!</v>
      </c>
      <c r="F105" s="256" t="e">
        <f t="shared" si="43"/>
        <v>#REF!</v>
      </c>
      <c r="G105" s="257" t="e">
        <f t="shared" si="43"/>
        <v>#REF!</v>
      </c>
      <c r="H105" s="258" t="e">
        <f t="shared" si="43"/>
        <v>#REF!</v>
      </c>
      <c r="I105" s="259" t="e">
        <f t="shared" si="43"/>
        <v>#REF!</v>
      </c>
      <c r="J105" s="259" t="e">
        <f t="shared" si="43"/>
        <v>#REF!</v>
      </c>
      <c r="K105" s="260">
        <f t="shared" si="43"/>
        <v>3.1638924649166853</v>
      </c>
      <c r="L105" s="239">
        <f t="shared" si="43"/>
        <v>3.1638924649166853</v>
      </c>
      <c r="M105" s="239">
        <f t="shared" si="43"/>
        <v>8.5220533636453268</v>
      </c>
      <c r="N105" s="239">
        <f t="shared" si="43"/>
        <v>11.581528843144319</v>
      </c>
      <c r="O105" s="239">
        <f t="shared" si="43"/>
        <v>11.592435487547348</v>
      </c>
      <c r="P105" s="239">
        <f t="shared" si="43"/>
        <v>36.293917074074542</v>
      </c>
      <c r="Q105" s="239">
        <f t="shared" si="43"/>
        <v>42.618293921519587</v>
      </c>
      <c r="R105" s="239">
        <f t="shared" si="43"/>
        <v>42.253961309373722</v>
      </c>
      <c r="S105" s="240">
        <f t="shared" si="43"/>
        <v>38.552642328511823</v>
      </c>
      <c r="T105" s="241">
        <f t="shared" si="43"/>
        <v>37.724009942152314</v>
      </c>
      <c r="U105" s="242">
        <f t="shared" si="43"/>
        <v>27.524117149573058</v>
      </c>
      <c r="V105" s="242">
        <f t="shared" si="43"/>
        <v>10.309761476901365</v>
      </c>
      <c r="W105" s="242">
        <f t="shared" si="43"/>
        <v>10.433693189568388</v>
      </c>
      <c r="X105" s="242">
        <f t="shared" si="43"/>
        <v>7.4288735125888294</v>
      </c>
      <c r="Y105" s="242">
        <f t="shared" si="43"/>
        <v>7.9812267142511431</v>
      </c>
      <c r="Z105" s="243">
        <f t="shared" si="43"/>
        <v>10.727002665978006</v>
      </c>
      <c r="AB105" s="332">
        <f t="shared" si="21"/>
        <v>3.1638924649166853</v>
      </c>
      <c r="AC105" s="332">
        <f t="shared" si="22"/>
        <v>24.528356364265704</v>
      </c>
      <c r="AD105" s="332">
        <f t="shared" si="23"/>
        <v>16.486295061249802</v>
      </c>
      <c r="AE105" s="332">
        <f t="shared" si="24"/>
        <v>18.216414154134789</v>
      </c>
    </row>
    <row r="106" spans="1:31" x14ac:dyDescent="0.2">
      <c r="A106" s="51" t="s">
        <v>79</v>
      </c>
      <c r="D106" s="261">
        <f t="shared" ref="D106:Z106" si="44">(D$26)</f>
        <v>138992.70324665844</v>
      </c>
      <c r="E106" s="262">
        <f t="shared" si="44"/>
        <v>154222.19301250842</v>
      </c>
      <c r="F106" s="262">
        <f t="shared" si="44"/>
        <v>162086.26483715844</v>
      </c>
      <c r="G106" s="263">
        <f t="shared" si="44"/>
        <v>152376.72562550844</v>
      </c>
      <c r="H106" s="264">
        <f t="shared" si="44"/>
        <v>152708.88135550843</v>
      </c>
      <c r="I106" s="265">
        <f t="shared" si="44"/>
        <v>144481.75591550849</v>
      </c>
      <c r="J106" s="265">
        <f t="shared" si="44"/>
        <v>146545.69236350848</v>
      </c>
      <c r="K106" s="266">
        <f t="shared" si="44"/>
        <v>255320.59830009213</v>
      </c>
      <c r="L106" s="267">
        <f t="shared" si="44"/>
        <v>184398.20988339986</v>
      </c>
      <c r="M106" s="267">
        <f t="shared" si="44"/>
        <v>37746.091556999992</v>
      </c>
      <c r="N106" s="267">
        <f t="shared" si="44"/>
        <v>41566.255477999985</v>
      </c>
      <c r="O106" s="267">
        <f t="shared" si="44"/>
        <v>40028.657883433298</v>
      </c>
      <c r="P106" s="267">
        <f t="shared" si="44"/>
        <v>42423.914276301912</v>
      </c>
      <c r="Q106" s="267">
        <f t="shared" si="44"/>
        <v>34869.173660256696</v>
      </c>
      <c r="R106" s="267">
        <f t="shared" si="44"/>
        <v>62822.929046965553</v>
      </c>
      <c r="S106" s="268">
        <f t="shared" si="44"/>
        <v>239313.87607793562</v>
      </c>
      <c r="T106" s="269">
        <f t="shared" si="44"/>
        <v>356895.06408334803</v>
      </c>
      <c r="U106" s="270">
        <f t="shared" si="44"/>
        <v>413008.86206752714</v>
      </c>
      <c r="V106" s="270">
        <f t="shared" si="44"/>
        <v>376420.62725233915</v>
      </c>
      <c r="W106" s="270">
        <f t="shared" si="44"/>
        <v>364678.48612877249</v>
      </c>
      <c r="X106" s="270">
        <f t="shared" si="44"/>
        <v>335139.35304020351</v>
      </c>
      <c r="Y106" s="270">
        <f t="shared" si="44"/>
        <v>309101.54227139545</v>
      </c>
      <c r="Z106" s="271">
        <f t="shared" si="44"/>
        <v>337141.67393511254</v>
      </c>
      <c r="AB106" s="332">
        <f t="shared" si="21"/>
        <v>255320.59830009213</v>
      </c>
      <c r="AC106" s="332">
        <f t="shared" si="22"/>
        <v>150754.78760496023</v>
      </c>
      <c r="AD106" s="332">
        <f t="shared" si="23"/>
        <v>358756.66603301797</v>
      </c>
      <c r="AE106" s="332">
        <f t="shared" si="24"/>
        <v>314008.43449574179</v>
      </c>
    </row>
    <row r="107" spans="1:31" ht="13.5" thickBot="1" x14ac:dyDescent="0.25">
      <c r="A107" s="66" t="s">
        <v>63</v>
      </c>
      <c r="B107" s="272"/>
      <c r="C107" s="273"/>
      <c r="D107" s="274" t="e">
        <f t="shared" ref="D107:J107" si="45">D106*D105</f>
        <v>#REF!</v>
      </c>
      <c r="E107" s="275" t="e">
        <f t="shared" si="45"/>
        <v>#REF!</v>
      </c>
      <c r="F107" s="275" t="e">
        <f t="shared" si="45"/>
        <v>#REF!</v>
      </c>
      <c r="G107" s="276" t="e">
        <f t="shared" si="45"/>
        <v>#REF!</v>
      </c>
      <c r="H107" s="277" t="e">
        <f t="shared" si="45"/>
        <v>#REF!</v>
      </c>
      <c r="I107" s="278" t="e">
        <f t="shared" si="45"/>
        <v>#REF!</v>
      </c>
      <c r="J107" s="278" t="e">
        <f t="shared" si="45"/>
        <v>#REF!</v>
      </c>
      <c r="K107" s="279">
        <f t="shared" ref="K107:Z107" si="46">K106*-K105</f>
        <v>-807806.91709968133</v>
      </c>
      <c r="L107" s="280">
        <f t="shared" si="46"/>
        <v>-583416.10679421423</v>
      </c>
      <c r="M107" s="280">
        <f t="shared" si="46"/>
        <v>-321674.20651779626</v>
      </c>
      <c r="N107" s="280">
        <f t="shared" si="46"/>
        <v>-481400.78671996237</v>
      </c>
      <c r="O107" s="280">
        <f t="shared" si="46"/>
        <v>-464029.63416680408</v>
      </c>
      <c r="P107" s="280">
        <f t="shared" si="46"/>
        <v>-1539730.0267017486</v>
      </c>
      <c r="Q107" s="280">
        <f t="shared" si="46"/>
        <v>-1486064.6918533288</v>
      </c>
      <c r="R107" s="280">
        <f t="shared" si="46"/>
        <v>-2654517.6132920128</v>
      </c>
      <c r="S107" s="281">
        <f t="shared" si="46"/>
        <v>-9226182.2686824538</v>
      </c>
      <c r="T107" s="282">
        <f t="shared" si="46"/>
        <v>-13463512.945785308</v>
      </c>
      <c r="U107" s="283">
        <f t="shared" si="46"/>
        <v>-11367704.303358477</v>
      </c>
      <c r="V107" s="283">
        <f t="shared" si="46"/>
        <v>-3880806.8819572143</v>
      </c>
      <c r="W107" s="283">
        <f t="shared" si="46"/>
        <v>-3804943.4371038834</v>
      </c>
      <c r="X107" s="283">
        <f t="shared" si="46"/>
        <v>-2489707.8628265243</v>
      </c>
      <c r="Y107" s="283">
        <f t="shared" si="46"/>
        <v>-2467009.4865926905</v>
      </c>
      <c r="Z107" s="284">
        <f t="shared" si="46"/>
        <v>-3616519.63511424</v>
      </c>
      <c r="AB107" s="332">
        <f t="shared" si="21"/>
        <v>-807806.91709968133</v>
      </c>
      <c r="AC107" s="332">
        <f t="shared" si="22"/>
        <v>-3879221.9160453407</v>
      </c>
      <c r="AD107" s="332">
        <f t="shared" si="23"/>
        <v>-6084393.8663113546</v>
      </c>
      <c r="AE107" s="332">
        <f t="shared" si="24"/>
        <v>-5609986.8765488053</v>
      </c>
    </row>
    <row r="108" spans="1:31" ht="13.5" thickTop="1" x14ac:dyDescent="0.2">
      <c r="A108" s="316"/>
      <c r="B108" s="135" t="s">
        <v>95</v>
      </c>
      <c r="C108" s="318">
        <f>SUM(K107:Z107)</f>
        <v>-58655026.804566331</v>
      </c>
      <c r="D108" s="102"/>
      <c r="E108" s="103"/>
      <c r="F108" s="103"/>
      <c r="G108" s="229" t="e">
        <f>SUM(D107:G107)</f>
        <v>#REF!</v>
      </c>
      <c r="H108" s="105"/>
      <c r="I108" s="106"/>
      <c r="J108" s="231" t="e">
        <f>SUM(H107:J107)</f>
        <v>#REF!</v>
      </c>
      <c r="K108" s="232">
        <f>SUM(K107)</f>
        <v>-807806.91709968133</v>
      </c>
      <c r="L108" s="233"/>
      <c r="M108" s="233"/>
      <c r="N108" s="233"/>
      <c r="O108" s="233"/>
      <c r="P108" s="233"/>
      <c r="Q108" s="233"/>
      <c r="R108" s="233"/>
      <c r="S108" s="234">
        <f>SUM(L107:S107)</f>
        <v>-16757015.334728321</v>
      </c>
      <c r="T108" s="235"/>
      <c r="U108" s="236"/>
      <c r="V108" s="236"/>
      <c r="W108" s="236"/>
      <c r="X108" s="236"/>
      <c r="Y108" s="236"/>
      <c r="Z108" s="237">
        <f>SUM(T107:Z107)</f>
        <v>-41090204.552738331</v>
      </c>
      <c r="AB108" s="332">
        <f t="shared" si="21"/>
        <v>-807806.91709968133</v>
      </c>
      <c r="AC108" s="332">
        <f t="shared" si="22"/>
        <v>-5869976.0353533262</v>
      </c>
      <c r="AD108" s="332">
        <f t="shared" si="23"/>
        <v>-5558217.1139379358</v>
      </c>
      <c r="AE108" s="332">
        <f t="shared" si="24"/>
        <v>-5625286.990925285</v>
      </c>
    </row>
    <row r="109" spans="1:31" x14ac:dyDescent="0.2">
      <c r="A109" s="316"/>
      <c r="B109" s="317"/>
      <c r="C109" s="317"/>
      <c r="D109" s="227"/>
      <c r="E109" s="228"/>
      <c r="F109" s="228"/>
      <c r="G109" s="229"/>
      <c r="H109" s="230"/>
      <c r="I109" s="231"/>
      <c r="J109" s="231"/>
      <c r="K109" s="232"/>
      <c r="L109" s="233"/>
      <c r="M109" s="233"/>
      <c r="N109" s="233"/>
      <c r="O109" s="233"/>
      <c r="P109" s="233"/>
      <c r="Q109" s="233"/>
      <c r="R109" s="233"/>
      <c r="S109" s="234"/>
      <c r="T109" s="235"/>
      <c r="U109" s="236"/>
      <c r="V109" s="236"/>
      <c r="W109" s="236"/>
      <c r="X109" s="236"/>
      <c r="Y109" s="236"/>
      <c r="Z109" s="237"/>
      <c r="AB109" s="332">
        <f t="shared" si="21"/>
        <v>0</v>
      </c>
      <c r="AC109" s="332">
        <f t="shared" si="22"/>
        <v>0</v>
      </c>
      <c r="AD109" s="332">
        <f t="shared" si="23"/>
        <v>0</v>
      </c>
      <c r="AE109" s="332">
        <f t="shared" si="24"/>
        <v>0</v>
      </c>
    </row>
    <row r="110" spans="1:31" x14ac:dyDescent="0.2">
      <c r="A110" s="316"/>
      <c r="B110" s="317"/>
      <c r="C110" s="317"/>
      <c r="D110" s="227"/>
      <c r="E110" s="228"/>
      <c r="F110" s="228"/>
      <c r="G110" s="229"/>
      <c r="H110" s="230"/>
      <c r="I110" s="231"/>
      <c r="J110" s="231"/>
      <c r="K110" s="232"/>
      <c r="L110" s="233"/>
      <c r="M110" s="233"/>
      <c r="N110" s="233"/>
      <c r="O110" s="233"/>
      <c r="P110" s="233"/>
      <c r="Q110" s="233"/>
      <c r="R110" s="233"/>
      <c r="S110" s="234"/>
      <c r="T110" s="235"/>
      <c r="U110" s="236"/>
      <c r="V110" s="236"/>
      <c r="W110" s="236"/>
      <c r="X110" s="236"/>
      <c r="Y110" s="236"/>
      <c r="Z110" s="237"/>
      <c r="AB110" s="332">
        <f t="shared" si="21"/>
        <v>0</v>
      </c>
      <c r="AC110" s="332">
        <f t="shared" si="22"/>
        <v>0</v>
      </c>
      <c r="AD110" s="332">
        <f t="shared" si="23"/>
        <v>0</v>
      </c>
      <c r="AE110" s="332">
        <f t="shared" si="24"/>
        <v>0</v>
      </c>
    </row>
    <row r="111" spans="1:31" x14ac:dyDescent="0.2">
      <c r="A111" s="68" t="s">
        <v>94</v>
      </c>
      <c r="B111" s="245"/>
      <c r="C111" s="245"/>
      <c r="D111" s="246"/>
      <c r="E111" s="247"/>
      <c r="F111" s="228"/>
      <c r="G111" s="229"/>
      <c r="H111" s="230"/>
      <c r="I111" s="231"/>
      <c r="J111" s="231"/>
      <c r="K111" s="90"/>
      <c r="L111" s="233"/>
      <c r="M111" s="233"/>
      <c r="N111" s="233"/>
      <c r="O111" s="233"/>
      <c r="P111" s="233"/>
      <c r="Q111" s="233"/>
      <c r="R111" s="233"/>
      <c r="S111" s="234"/>
      <c r="T111" s="235"/>
      <c r="U111" s="236"/>
      <c r="V111" s="236"/>
      <c r="W111" s="236"/>
      <c r="X111" s="236"/>
      <c r="Y111" s="236"/>
      <c r="Z111" s="237"/>
      <c r="AB111" s="332">
        <f t="shared" si="21"/>
        <v>0</v>
      </c>
      <c r="AC111" s="332">
        <f t="shared" si="22"/>
        <v>0</v>
      </c>
      <c r="AD111" s="332">
        <f t="shared" si="23"/>
        <v>0</v>
      </c>
      <c r="AE111" s="332">
        <f t="shared" si="24"/>
        <v>0</v>
      </c>
    </row>
    <row r="112" spans="1:31" x14ac:dyDescent="0.2">
      <c r="A112" s="52" t="s">
        <v>76</v>
      </c>
      <c r="D112" s="182">
        <f t="shared" ref="D112:J112" si="47">D108</f>
        <v>0</v>
      </c>
      <c r="E112" s="183">
        <f t="shared" si="47"/>
        <v>0</v>
      </c>
      <c r="F112" s="183">
        <f t="shared" si="47"/>
        <v>0</v>
      </c>
      <c r="G112" s="184" t="e">
        <f t="shared" si="47"/>
        <v>#REF!</v>
      </c>
      <c r="H112" s="185">
        <f t="shared" si="47"/>
        <v>0</v>
      </c>
      <c r="I112" s="186">
        <f t="shared" si="47"/>
        <v>0</v>
      </c>
      <c r="J112" s="186" t="e">
        <f t="shared" si="47"/>
        <v>#REF!</v>
      </c>
      <c r="K112" s="187">
        <f t="shared" ref="K112:Z112" si="48">K53</f>
        <v>49.872722389050331</v>
      </c>
      <c r="L112" s="188">
        <f t="shared" si="48"/>
        <v>49.872722389050331</v>
      </c>
      <c r="M112" s="188">
        <f t="shared" si="48"/>
        <v>50.24747213052845</v>
      </c>
      <c r="N112" s="188">
        <f t="shared" si="48"/>
        <v>53.007958679217644</v>
      </c>
      <c r="O112" s="188">
        <f t="shared" si="48"/>
        <v>53.170072070395165</v>
      </c>
      <c r="P112" s="188">
        <f t="shared" si="48"/>
        <v>83.114407997463303</v>
      </c>
      <c r="Q112" s="188">
        <f t="shared" si="48"/>
        <v>82.537529228685514</v>
      </c>
      <c r="R112" s="188">
        <f t="shared" si="48"/>
        <v>81.817336826627368</v>
      </c>
      <c r="S112" s="189">
        <f t="shared" si="48"/>
        <v>77.758459498905395</v>
      </c>
      <c r="T112" s="190">
        <f t="shared" si="48"/>
        <v>79.162696188216742</v>
      </c>
      <c r="U112" s="191">
        <f t="shared" si="48"/>
        <v>68.995713787113118</v>
      </c>
      <c r="V112" s="191">
        <f t="shared" si="48"/>
        <v>51.769113074110159</v>
      </c>
      <c r="W112" s="191">
        <f t="shared" si="48"/>
        <v>51.845918642176343</v>
      </c>
      <c r="X112" s="191">
        <f t="shared" si="48"/>
        <v>48.484898859867862</v>
      </c>
      <c r="Y112" s="191">
        <f t="shared" si="48"/>
        <v>48.778064569197518</v>
      </c>
      <c r="Z112" s="192">
        <f t="shared" si="48"/>
        <v>51.341681942292212</v>
      </c>
      <c r="AB112" s="332">
        <f t="shared" si="21"/>
        <v>49.872722389050331</v>
      </c>
      <c r="AC112" s="332">
        <f t="shared" si="22"/>
        <v>66.714802987794585</v>
      </c>
      <c r="AD112" s="332">
        <f t="shared" si="23"/>
        <v>57.6871663099055</v>
      </c>
      <c r="AE112" s="332">
        <f t="shared" si="24"/>
        <v>59.629315964271768</v>
      </c>
    </row>
    <row r="113" spans="1:31" x14ac:dyDescent="0.2">
      <c r="A113" s="52" t="s">
        <v>74</v>
      </c>
      <c r="D113" s="182" t="e">
        <f>(#REF!*$B$27+#REF!*$B$28+#REF!*$B$29)</f>
        <v>#REF!</v>
      </c>
      <c r="E113" s="183" t="e">
        <f>(#REF!*$B$27+#REF!*$B$28+#REF!*$B$29)</f>
        <v>#REF!</v>
      </c>
      <c r="F113" s="183" t="e">
        <f>(#REF!*$B$27+#REF!*$B$28+#REF!*$B$29)</f>
        <v>#REF!</v>
      </c>
      <c r="G113" s="184" t="e">
        <f>(#REF!*$B$27+#REF!*$B$28+#REF!*$B$29)</f>
        <v>#REF!</v>
      </c>
      <c r="H113" s="185" t="e">
        <f>(#REF!*$B$27+#REF!*$B$28+#REF!*$B$29)</f>
        <v>#REF!</v>
      </c>
      <c r="I113" s="186" t="e">
        <f>(#REF!*$B$27+#REF!*$B$28+#REF!*$B$29)</f>
        <v>#REF!</v>
      </c>
      <c r="J113" s="186" t="e">
        <f>(#REF!*$B$27+#REF!*$B$28+#REF!*$B$29)</f>
        <v>#REF!</v>
      </c>
      <c r="K113" s="187">
        <f t="shared" ref="K113:Z113" si="49">(K36*$B$27+K43*$B$28+K50*$B$29)</f>
        <v>10</v>
      </c>
      <c r="L113" s="188">
        <f t="shared" si="49"/>
        <v>10</v>
      </c>
      <c r="M113" s="188">
        <f t="shared" si="49"/>
        <v>10</v>
      </c>
      <c r="N113" s="188">
        <f t="shared" si="49"/>
        <v>10</v>
      </c>
      <c r="O113" s="188">
        <f t="shared" si="49"/>
        <v>10</v>
      </c>
      <c r="P113" s="188">
        <f t="shared" si="49"/>
        <v>10</v>
      </c>
      <c r="Q113" s="188">
        <f t="shared" si="49"/>
        <v>10</v>
      </c>
      <c r="R113" s="188">
        <f t="shared" si="49"/>
        <v>10</v>
      </c>
      <c r="S113" s="189">
        <f t="shared" si="49"/>
        <v>10</v>
      </c>
      <c r="T113" s="190">
        <f t="shared" si="49"/>
        <v>10</v>
      </c>
      <c r="U113" s="191">
        <f t="shared" si="49"/>
        <v>10</v>
      </c>
      <c r="V113" s="191">
        <f t="shared" si="49"/>
        <v>10</v>
      </c>
      <c r="W113" s="191">
        <f t="shared" si="49"/>
        <v>10</v>
      </c>
      <c r="X113" s="191">
        <f t="shared" si="49"/>
        <v>10</v>
      </c>
      <c r="Y113" s="191">
        <f t="shared" si="49"/>
        <v>10</v>
      </c>
      <c r="Z113" s="192">
        <f t="shared" si="49"/>
        <v>10</v>
      </c>
      <c r="AB113" s="332">
        <f t="shared" si="21"/>
        <v>10</v>
      </c>
      <c r="AC113" s="332">
        <f t="shared" si="22"/>
        <v>10.000000000000004</v>
      </c>
      <c r="AD113" s="332">
        <f t="shared" si="23"/>
        <v>9.9999999999999982</v>
      </c>
      <c r="AE113" s="332">
        <f t="shared" si="24"/>
        <v>9.9999999999999982</v>
      </c>
    </row>
    <row r="114" spans="1:31" x14ac:dyDescent="0.2">
      <c r="A114" s="67" t="s">
        <v>75</v>
      </c>
      <c r="B114" s="244"/>
      <c r="C114" s="244"/>
      <c r="D114" s="285" t="e">
        <f t="shared" ref="D114:J114" si="50">D115-D113-D112</f>
        <v>#REF!</v>
      </c>
      <c r="E114" s="286" t="e">
        <f t="shared" si="50"/>
        <v>#REF!</v>
      </c>
      <c r="F114" s="286" t="e">
        <f t="shared" si="50"/>
        <v>#REF!</v>
      </c>
      <c r="G114" s="287" t="e">
        <f t="shared" si="50"/>
        <v>#REF!</v>
      </c>
      <c r="H114" s="288" t="e">
        <f t="shared" si="50"/>
        <v>#REF!</v>
      </c>
      <c r="I114" s="289" t="e">
        <f t="shared" si="50"/>
        <v>#REF!</v>
      </c>
      <c r="J114" s="289" t="e">
        <f t="shared" si="50"/>
        <v>#REF!</v>
      </c>
      <c r="K114" s="310" t="s">
        <v>66</v>
      </c>
      <c r="L114" s="311" t="s">
        <v>66</v>
      </c>
      <c r="M114" s="311" t="s">
        <v>66</v>
      </c>
      <c r="N114" s="311" t="s">
        <v>66</v>
      </c>
      <c r="O114" s="311" t="s">
        <v>66</v>
      </c>
      <c r="P114" s="311" t="s">
        <v>66</v>
      </c>
      <c r="Q114" s="311" t="s">
        <v>66</v>
      </c>
      <c r="R114" s="311" t="s">
        <v>66</v>
      </c>
      <c r="S114" s="312" t="s">
        <v>66</v>
      </c>
      <c r="T114" s="313" t="s">
        <v>66</v>
      </c>
      <c r="U114" s="314" t="s">
        <v>66</v>
      </c>
      <c r="V114" s="314" t="s">
        <v>66</v>
      </c>
      <c r="W114" s="314" t="s">
        <v>66</v>
      </c>
      <c r="X114" s="314" t="s">
        <v>66</v>
      </c>
      <c r="Y114" s="314" t="s">
        <v>66</v>
      </c>
      <c r="Z114" s="315" t="s">
        <v>66</v>
      </c>
      <c r="AB114" s="332" t="str">
        <f t="shared" si="21"/>
        <v>none</v>
      </c>
      <c r="AC114" s="332">
        <f t="shared" si="22"/>
        <v>0</v>
      </c>
      <c r="AD114" s="332">
        <f t="shared" si="23"/>
        <v>0</v>
      </c>
      <c r="AE114" s="332">
        <f t="shared" si="24"/>
        <v>0</v>
      </c>
    </row>
    <row r="115" spans="1:31" x14ac:dyDescent="0.2">
      <c r="A115" s="65" t="s">
        <v>78</v>
      </c>
      <c r="B115" s="238"/>
      <c r="C115" s="248"/>
      <c r="D115" s="249" t="e">
        <f>#REF!</f>
        <v>#REF!</v>
      </c>
      <c r="E115" s="250" t="e">
        <f>#REF!</f>
        <v>#REF!</v>
      </c>
      <c r="F115" s="250" t="e">
        <f>#REF!</f>
        <v>#REF!</v>
      </c>
      <c r="G115" s="251" t="e">
        <f>#REF!</f>
        <v>#REF!</v>
      </c>
      <c r="H115" s="252" t="e">
        <f>#REF!</f>
        <v>#REF!</v>
      </c>
      <c r="I115" s="253" t="e">
        <f>#REF!</f>
        <v>#REF!</v>
      </c>
      <c r="J115" s="253" t="e">
        <f>#REF!</f>
        <v>#REF!</v>
      </c>
      <c r="K115" s="254">
        <f t="shared" ref="K115:Z115" si="51">SUM(K112:K114)</f>
        <v>59.872722389050331</v>
      </c>
      <c r="L115" s="54">
        <f t="shared" si="51"/>
        <v>59.872722389050331</v>
      </c>
      <c r="M115" s="54">
        <f t="shared" si="51"/>
        <v>60.24747213052845</v>
      </c>
      <c r="N115" s="54">
        <f t="shared" si="51"/>
        <v>63.007958679217644</v>
      </c>
      <c r="O115" s="54">
        <f t="shared" si="51"/>
        <v>63.170072070395165</v>
      </c>
      <c r="P115" s="54">
        <f t="shared" si="51"/>
        <v>93.114407997463303</v>
      </c>
      <c r="Q115" s="54">
        <f t="shared" si="51"/>
        <v>92.537529228685514</v>
      </c>
      <c r="R115" s="54">
        <f t="shared" si="51"/>
        <v>91.817336826627368</v>
      </c>
      <c r="S115" s="55">
        <f t="shared" si="51"/>
        <v>87.758459498905395</v>
      </c>
      <c r="T115" s="56">
        <f t="shared" si="51"/>
        <v>89.162696188216742</v>
      </c>
      <c r="U115" s="57">
        <f t="shared" si="51"/>
        <v>78.995713787113118</v>
      </c>
      <c r="V115" s="57">
        <f t="shared" si="51"/>
        <v>61.769113074110159</v>
      </c>
      <c r="W115" s="57">
        <f t="shared" si="51"/>
        <v>61.845918642176343</v>
      </c>
      <c r="X115" s="57">
        <f t="shared" si="51"/>
        <v>58.484898859867862</v>
      </c>
      <c r="Y115" s="57">
        <f t="shared" si="51"/>
        <v>58.778064569197518</v>
      </c>
      <c r="Z115" s="58">
        <f t="shared" si="51"/>
        <v>61.341681942292212</v>
      </c>
      <c r="AB115" s="332">
        <f t="shared" si="21"/>
        <v>59.872722389050331</v>
      </c>
      <c r="AC115" s="332">
        <f t="shared" si="22"/>
        <v>76.71480298779457</v>
      </c>
      <c r="AD115" s="332">
        <f t="shared" si="23"/>
        <v>67.687166309905479</v>
      </c>
      <c r="AE115" s="332">
        <f t="shared" si="24"/>
        <v>69.629315964271754</v>
      </c>
    </row>
    <row r="116" spans="1:31" x14ac:dyDescent="0.2">
      <c r="A116" s="53"/>
      <c r="D116" s="160"/>
      <c r="E116" s="161"/>
      <c r="F116" s="161"/>
      <c r="G116" s="162"/>
      <c r="H116" s="163"/>
      <c r="I116" s="164"/>
      <c r="J116" s="164"/>
      <c r="K116" s="165"/>
      <c r="L116" s="59"/>
      <c r="M116" s="59"/>
      <c r="N116" s="59"/>
      <c r="O116" s="59"/>
      <c r="P116" s="59"/>
      <c r="Q116" s="59"/>
      <c r="R116" s="59"/>
      <c r="S116" s="60"/>
      <c r="T116" s="61"/>
      <c r="U116" s="62"/>
      <c r="V116" s="62"/>
      <c r="W116" s="62"/>
      <c r="X116" s="62"/>
      <c r="Y116" s="62"/>
      <c r="Z116" s="63"/>
      <c r="AB116" s="332">
        <f t="shared" si="21"/>
        <v>0</v>
      </c>
      <c r="AC116" s="332">
        <f t="shared" si="22"/>
        <v>0</v>
      </c>
      <c r="AD116" s="332">
        <f t="shared" si="23"/>
        <v>0</v>
      </c>
      <c r="AE116" s="332">
        <f t="shared" si="24"/>
        <v>0</v>
      </c>
    </row>
    <row r="117" spans="1:31" x14ac:dyDescent="0.2">
      <c r="A117" s="51" t="s">
        <v>72</v>
      </c>
      <c r="D117" s="182" t="e">
        <f>#REF!</f>
        <v>#REF!</v>
      </c>
      <c r="E117" s="183" t="e">
        <f>#REF!</f>
        <v>#REF!</v>
      </c>
      <c r="F117" s="183" t="e">
        <f>#REF!</f>
        <v>#REF!</v>
      </c>
      <c r="G117" s="184" t="e">
        <f>#REF!</f>
        <v>#REF!</v>
      </c>
      <c r="H117" s="185" t="e">
        <f>#REF!</f>
        <v>#REF!</v>
      </c>
      <c r="I117" s="186" t="e">
        <f>#REF!</f>
        <v>#REF!</v>
      </c>
      <c r="J117" s="186" t="e">
        <f>#REF!</f>
        <v>#REF!</v>
      </c>
      <c r="K117" s="187">
        <f>K68</f>
        <v>225.74190006243512</v>
      </c>
      <c r="L117" s="375">
        <v>213</v>
      </c>
      <c r="M117" s="375">
        <v>196</v>
      </c>
      <c r="N117" s="375">
        <v>159</v>
      </c>
      <c r="O117" s="375">
        <v>102</v>
      </c>
      <c r="P117" s="375">
        <v>40</v>
      </c>
      <c r="Q117" s="375">
        <v>38</v>
      </c>
      <c r="R117" s="375">
        <v>35</v>
      </c>
      <c r="S117" s="376">
        <v>35</v>
      </c>
      <c r="T117" s="386">
        <v>35</v>
      </c>
      <c r="U117" s="191">
        <f t="shared" ref="U117:Z117" si="52">U81</f>
        <v>51.47159663754006</v>
      </c>
      <c r="V117" s="191">
        <f t="shared" si="52"/>
        <v>51.459351597208794</v>
      </c>
      <c r="W117" s="191">
        <f t="shared" si="52"/>
        <v>51.412225452607956</v>
      </c>
      <c r="X117" s="191">
        <f t="shared" si="52"/>
        <v>51.056025347279032</v>
      </c>
      <c r="Y117" s="191">
        <f t="shared" si="52"/>
        <v>50.796837854946375</v>
      </c>
      <c r="Z117" s="192">
        <f t="shared" si="52"/>
        <v>50.614679276314206</v>
      </c>
      <c r="AB117" s="332">
        <f t="shared" si="21"/>
        <v>225.74190006243512</v>
      </c>
      <c r="AC117" s="332">
        <f t="shared" si="22"/>
        <v>103.87440372839883</v>
      </c>
      <c r="AD117" s="332">
        <f t="shared" si="23"/>
        <v>48.846947377256804</v>
      </c>
      <c r="AE117" s="332">
        <f t="shared" si="24"/>
        <v>60.685212379079537</v>
      </c>
    </row>
    <row r="118" spans="1:31" x14ac:dyDescent="0.2">
      <c r="A118" s="64" t="s">
        <v>80</v>
      </c>
      <c r="B118" s="238"/>
      <c r="C118" s="248"/>
      <c r="D118" s="255" t="e">
        <f t="shared" ref="D118:Z118" si="53">D115-D117</f>
        <v>#REF!</v>
      </c>
      <c r="E118" s="256" t="e">
        <f t="shared" si="53"/>
        <v>#REF!</v>
      </c>
      <c r="F118" s="256" t="e">
        <f t="shared" si="53"/>
        <v>#REF!</v>
      </c>
      <c r="G118" s="257" t="e">
        <f t="shared" si="53"/>
        <v>#REF!</v>
      </c>
      <c r="H118" s="258" t="e">
        <f t="shared" si="53"/>
        <v>#REF!</v>
      </c>
      <c r="I118" s="259" t="e">
        <f t="shared" si="53"/>
        <v>#REF!</v>
      </c>
      <c r="J118" s="259" t="e">
        <f t="shared" si="53"/>
        <v>#REF!</v>
      </c>
      <c r="K118" s="260">
        <f t="shared" si="53"/>
        <v>-165.8691776733848</v>
      </c>
      <c r="L118" s="239">
        <f t="shared" si="53"/>
        <v>-153.12727761094968</v>
      </c>
      <c r="M118" s="239">
        <f t="shared" si="53"/>
        <v>-135.75252786947155</v>
      </c>
      <c r="N118" s="239">
        <f t="shared" si="53"/>
        <v>-95.992041320782363</v>
      </c>
      <c r="O118" s="239">
        <f t="shared" si="53"/>
        <v>-38.829927929604835</v>
      </c>
      <c r="P118" s="239">
        <f t="shared" si="53"/>
        <v>53.114407997463303</v>
      </c>
      <c r="Q118" s="239">
        <f t="shared" si="53"/>
        <v>54.537529228685514</v>
      </c>
      <c r="R118" s="239">
        <f t="shared" si="53"/>
        <v>56.817336826627368</v>
      </c>
      <c r="S118" s="240">
        <f t="shared" si="53"/>
        <v>52.758459498905395</v>
      </c>
      <c r="T118" s="241">
        <f t="shared" si="53"/>
        <v>54.162696188216742</v>
      </c>
      <c r="U118" s="242">
        <f t="shared" si="53"/>
        <v>27.524117149573058</v>
      </c>
      <c r="V118" s="242">
        <f t="shared" si="53"/>
        <v>10.309761476901365</v>
      </c>
      <c r="W118" s="242">
        <f t="shared" si="53"/>
        <v>10.433693189568388</v>
      </c>
      <c r="X118" s="242">
        <f t="shared" si="53"/>
        <v>7.4288735125888294</v>
      </c>
      <c r="Y118" s="242">
        <f t="shared" si="53"/>
        <v>7.9812267142511431</v>
      </c>
      <c r="Z118" s="243">
        <f t="shared" si="53"/>
        <v>10.727002665978006</v>
      </c>
      <c r="AB118" s="332">
        <f t="shared" si="21"/>
        <v>-165.8691776733848</v>
      </c>
      <c r="AC118" s="332">
        <f t="shared" si="22"/>
        <v>-27.159600740604258</v>
      </c>
      <c r="AD118" s="332">
        <f t="shared" si="23"/>
        <v>18.840218932648686</v>
      </c>
      <c r="AE118" s="332">
        <f t="shared" si="24"/>
        <v>8.9441035851922255</v>
      </c>
    </row>
    <row r="119" spans="1:31" x14ac:dyDescent="0.2">
      <c r="A119" s="51" t="s">
        <v>79</v>
      </c>
      <c r="D119" s="261">
        <f t="shared" ref="D119:Z119" si="54">(D$26)</f>
        <v>138992.70324665844</v>
      </c>
      <c r="E119" s="262">
        <f t="shared" si="54"/>
        <v>154222.19301250842</v>
      </c>
      <c r="F119" s="262">
        <f t="shared" si="54"/>
        <v>162086.26483715844</v>
      </c>
      <c r="G119" s="263">
        <f t="shared" si="54"/>
        <v>152376.72562550844</v>
      </c>
      <c r="H119" s="264">
        <f t="shared" si="54"/>
        <v>152708.88135550843</v>
      </c>
      <c r="I119" s="265">
        <f t="shared" si="54"/>
        <v>144481.75591550849</v>
      </c>
      <c r="J119" s="265">
        <f t="shared" si="54"/>
        <v>146545.69236350848</v>
      </c>
      <c r="K119" s="266">
        <f t="shared" si="54"/>
        <v>255320.59830009213</v>
      </c>
      <c r="L119" s="267">
        <f t="shared" si="54"/>
        <v>184398.20988339986</v>
      </c>
      <c r="M119" s="267">
        <f t="shared" si="54"/>
        <v>37746.091556999992</v>
      </c>
      <c r="N119" s="267">
        <f t="shared" si="54"/>
        <v>41566.255477999985</v>
      </c>
      <c r="O119" s="267">
        <f t="shared" si="54"/>
        <v>40028.657883433298</v>
      </c>
      <c r="P119" s="267">
        <f t="shared" si="54"/>
        <v>42423.914276301912</v>
      </c>
      <c r="Q119" s="267">
        <f t="shared" si="54"/>
        <v>34869.173660256696</v>
      </c>
      <c r="R119" s="267">
        <f t="shared" si="54"/>
        <v>62822.929046965553</v>
      </c>
      <c r="S119" s="268">
        <f t="shared" si="54"/>
        <v>239313.87607793562</v>
      </c>
      <c r="T119" s="269">
        <f t="shared" si="54"/>
        <v>356895.06408334803</v>
      </c>
      <c r="U119" s="270">
        <f t="shared" si="54"/>
        <v>413008.86206752714</v>
      </c>
      <c r="V119" s="270">
        <f t="shared" si="54"/>
        <v>376420.62725233915</v>
      </c>
      <c r="W119" s="270">
        <f t="shared" si="54"/>
        <v>364678.48612877249</v>
      </c>
      <c r="X119" s="270">
        <f t="shared" si="54"/>
        <v>335139.35304020351</v>
      </c>
      <c r="Y119" s="270">
        <f t="shared" si="54"/>
        <v>309101.54227139545</v>
      </c>
      <c r="Z119" s="271">
        <f t="shared" si="54"/>
        <v>337141.67393511254</v>
      </c>
      <c r="AB119" s="332">
        <f t="shared" si="21"/>
        <v>255320.59830009213</v>
      </c>
      <c r="AC119" s="332">
        <f t="shared" si="22"/>
        <v>150754.78760496023</v>
      </c>
      <c r="AD119" s="332">
        <f t="shared" si="23"/>
        <v>358756.66603301797</v>
      </c>
      <c r="AE119" s="332">
        <f t="shared" si="24"/>
        <v>314008.43449574179</v>
      </c>
    </row>
    <row r="120" spans="1:31" ht="13.5" thickBot="1" x14ac:dyDescent="0.25">
      <c r="A120" s="66" t="s">
        <v>63</v>
      </c>
      <c r="B120" s="272"/>
      <c r="C120" s="273"/>
      <c r="D120" s="274" t="e">
        <f t="shared" ref="D120:J120" si="55">D119*D118</f>
        <v>#REF!</v>
      </c>
      <c r="E120" s="275" t="e">
        <f t="shared" si="55"/>
        <v>#REF!</v>
      </c>
      <c r="F120" s="275" t="e">
        <f t="shared" si="55"/>
        <v>#REF!</v>
      </c>
      <c r="G120" s="276" t="e">
        <f t="shared" si="55"/>
        <v>#REF!</v>
      </c>
      <c r="H120" s="277" t="e">
        <f t="shared" si="55"/>
        <v>#REF!</v>
      </c>
      <c r="I120" s="278" t="e">
        <f t="shared" si="55"/>
        <v>#REF!</v>
      </c>
      <c r="J120" s="278" t="e">
        <f t="shared" si="55"/>
        <v>#REF!</v>
      </c>
      <c r="K120" s="279">
        <f t="shared" ref="K120:Z120" si="56">K119*-K118</f>
        <v>42349817.68311289</v>
      </c>
      <c r="L120" s="280">
        <f t="shared" si="56"/>
        <v>28236395.875777535</v>
      </c>
      <c r="M120" s="280">
        <f t="shared" si="56"/>
        <v>5124127.3460552664</v>
      </c>
      <c r="N120" s="280">
        <f t="shared" si="56"/>
        <v>3990029.7133943709</v>
      </c>
      <c r="O120" s="280">
        <f t="shared" si="56"/>
        <v>1554309.9007325233</v>
      </c>
      <c r="P120" s="280">
        <f t="shared" si="56"/>
        <v>-2253321.0917209079</v>
      </c>
      <c r="Q120" s="280">
        <f t="shared" si="56"/>
        <v>-1901678.5776763607</v>
      </c>
      <c r="R120" s="280">
        <f t="shared" si="56"/>
        <v>-3569431.5200967542</v>
      </c>
      <c r="S120" s="281">
        <f t="shared" si="56"/>
        <v>-12625831.438583832</v>
      </c>
      <c r="T120" s="282">
        <f t="shared" si="56"/>
        <v>-19330398.927020524</v>
      </c>
      <c r="U120" s="283">
        <f t="shared" si="56"/>
        <v>-11367704.303358477</v>
      </c>
      <c r="V120" s="283">
        <f t="shared" si="56"/>
        <v>-3880806.8819572143</v>
      </c>
      <c r="W120" s="283">
        <f t="shared" si="56"/>
        <v>-3804943.4371038834</v>
      </c>
      <c r="X120" s="283">
        <f t="shared" si="56"/>
        <v>-2489707.8628265243</v>
      </c>
      <c r="Y120" s="283">
        <f t="shared" si="56"/>
        <v>-2467009.4865926905</v>
      </c>
      <c r="Z120" s="284">
        <f t="shared" si="56"/>
        <v>-3616519.63511424</v>
      </c>
      <c r="AB120" s="332">
        <f t="shared" si="21"/>
        <v>42349817.68311289</v>
      </c>
      <c r="AC120" s="332">
        <f t="shared" si="22"/>
        <v>3250352.9160474744</v>
      </c>
      <c r="AD120" s="332">
        <f t="shared" si="23"/>
        <v>-6924497.6772415806</v>
      </c>
      <c r="AE120" s="332">
        <f t="shared" si="24"/>
        <v>-4735543.5502567664</v>
      </c>
    </row>
    <row r="121" spans="1:31" ht="13.5" thickTop="1" x14ac:dyDescent="0.2">
      <c r="B121" s="135" t="s">
        <v>95</v>
      </c>
      <c r="C121" s="318">
        <f>SUM(K120:Z120)</f>
        <v>13947327.357021192</v>
      </c>
      <c r="K121" s="187">
        <f>K120</f>
        <v>42349817.68311289</v>
      </c>
      <c r="S121" s="234">
        <f>SUM(L120:S120)</f>
        <v>18554600.207881838</v>
      </c>
      <c r="Z121" s="237">
        <f>SUM(T120:Z120)</f>
        <v>-46957090.533973552</v>
      </c>
      <c r="AB121" s="332">
        <f t="shared" si="21"/>
        <v>42349817.68311289</v>
      </c>
      <c r="AC121" s="332">
        <f t="shared" si="22"/>
        <v>6499669.3259631768</v>
      </c>
      <c r="AD121" s="332">
        <f t="shared" si="23"/>
        <v>-6351822.9482571771</v>
      </c>
      <c r="AE121" s="332">
        <f t="shared" si="24"/>
        <v>-3587032.7635126011</v>
      </c>
    </row>
    <row r="122" spans="1:31" x14ac:dyDescent="0.2">
      <c r="A122" s="316"/>
      <c r="B122" s="317"/>
      <c r="C122" s="317"/>
      <c r="D122" s="227"/>
      <c r="E122" s="228"/>
      <c r="F122" s="228"/>
      <c r="G122" s="229"/>
      <c r="H122" s="230"/>
      <c r="I122" s="231"/>
      <c r="J122" s="231"/>
      <c r="K122" s="187"/>
      <c r="L122" s="233"/>
      <c r="M122" s="233"/>
      <c r="N122" s="233"/>
      <c r="O122" s="233"/>
      <c r="P122" s="233"/>
      <c r="Q122" s="233"/>
      <c r="R122" s="233"/>
      <c r="S122" s="234"/>
      <c r="T122" s="235"/>
      <c r="U122" s="236"/>
      <c r="V122" s="236"/>
      <c r="W122" s="236"/>
      <c r="X122" s="236"/>
      <c r="Y122" s="236"/>
      <c r="Z122" s="237"/>
      <c r="AB122" s="332">
        <f t="shared" si="21"/>
        <v>0</v>
      </c>
      <c r="AC122" s="332">
        <f t="shared" si="22"/>
        <v>0</v>
      </c>
      <c r="AD122" s="332">
        <f t="shared" si="23"/>
        <v>0</v>
      </c>
      <c r="AE122" s="332">
        <f t="shared" si="24"/>
        <v>0</v>
      </c>
    </row>
    <row r="123" spans="1:31" x14ac:dyDescent="0.2">
      <c r="D123" s="102"/>
      <c r="E123" s="103"/>
      <c r="F123" s="103"/>
      <c r="G123" s="104"/>
      <c r="H123" s="105"/>
      <c r="I123" s="106"/>
      <c r="J123" s="106"/>
      <c r="K123" s="159"/>
      <c r="L123" s="107"/>
      <c r="M123" s="107"/>
      <c r="N123" s="107"/>
      <c r="O123" s="107"/>
      <c r="P123" s="107"/>
      <c r="Q123" s="107"/>
      <c r="R123" s="107"/>
      <c r="S123" s="108"/>
      <c r="T123" s="109"/>
      <c r="U123" s="110"/>
      <c r="V123" s="110"/>
      <c r="W123" s="110"/>
      <c r="X123" s="110"/>
      <c r="Y123" s="110"/>
      <c r="Z123" s="111"/>
      <c r="AB123" s="332">
        <f t="shared" si="21"/>
        <v>0</v>
      </c>
      <c r="AC123" s="332">
        <f t="shared" si="22"/>
        <v>0</v>
      </c>
      <c r="AD123" s="332">
        <f t="shared" si="23"/>
        <v>0</v>
      </c>
      <c r="AE123" s="332">
        <f t="shared" si="24"/>
        <v>0</v>
      </c>
    </row>
    <row r="124" spans="1:31" x14ac:dyDescent="0.2">
      <c r="A124" s="68" t="s">
        <v>81</v>
      </c>
      <c r="B124" s="245"/>
      <c r="C124" s="245"/>
      <c r="D124" s="246"/>
      <c r="E124" s="247"/>
      <c r="F124" s="228"/>
      <c r="G124" s="229"/>
      <c r="H124" s="230"/>
      <c r="I124" s="231"/>
      <c r="J124" s="231"/>
      <c r="K124" s="232"/>
      <c r="L124" s="233"/>
      <c r="M124" s="233"/>
      <c r="N124" s="233"/>
      <c r="O124" s="233"/>
      <c r="P124" s="233"/>
      <c r="Q124" s="233"/>
      <c r="R124" s="233"/>
      <c r="S124" s="234"/>
      <c r="T124" s="235"/>
      <c r="U124" s="236"/>
      <c r="V124" s="236"/>
      <c r="W124" s="236"/>
      <c r="X124" s="236"/>
      <c r="Y124" s="236"/>
      <c r="Z124" s="237"/>
      <c r="AB124" s="332">
        <f t="shared" si="21"/>
        <v>0</v>
      </c>
      <c r="AC124" s="332">
        <f t="shared" si="22"/>
        <v>0</v>
      </c>
      <c r="AD124" s="332">
        <f t="shared" si="23"/>
        <v>0</v>
      </c>
      <c r="AE124" s="332">
        <f t="shared" si="24"/>
        <v>0</v>
      </c>
    </row>
    <row r="125" spans="1:31" x14ac:dyDescent="0.2">
      <c r="A125" s="52" t="s">
        <v>76</v>
      </c>
      <c r="D125" s="182">
        <f t="shared" ref="D125:Z125" si="57">D53</f>
        <v>97.934996731180618</v>
      </c>
      <c r="E125" s="183">
        <f t="shared" si="57"/>
        <v>96.821910855674034</v>
      </c>
      <c r="F125" s="183">
        <f t="shared" si="57"/>
        <v>98.473665680326135</v>
      </c>
      <c r="G125" s="184">
        <f t="shared" si="57"/>
        <v>97.383104618828881</v>
      </c>
      <c r="H125" s="185">
        <f t="shared" si="57"/>
        <v>66.007646334912224</v>
      </c>
      <c r="I125" s="186">
        <f t="shared" si="57"/>
        <v>65.379328485465749</v>
      </c>
      <c r="J125" s="186">
        <f t="shared" si="57"/>
        <v>65.006851990511549</v>
      </c>
      <c r="K125" s="187">
        <f t="shared" si="57"/>
        <v>49.872722389050331</v>
      </c>
      <c r="L125" s="188">
        <f t="shared" si="57"/>
        <v>49.872722389050331</v>
      </c>
      <c r="M125" s="188">
        <f t="shared" si="57"/>
        <v>50.24747213052845</v>
      </c>
      <c r="N125" s="188">
        <f t="shared" si="57"/>
        <v>53.007958679217644</v>
      </c>
      <c r="O125" s="188">
        <f t="shared" si="57"/>
        <v>53.170072070395165</v>
      </c>
      <c r="P125" s="188">
        <f t="shared" si="57"/>
        <v>83.114407997463303</v>
      </c>
      <c r="Q125" s="188">
        <f t="shared" si="57"/>
        <v>82.537529228685514</v>
      </c>
      <c r="R125" s="188">
        <f t="shared" si="57"/>
        <v>81.817336826627368</v>
      </c>
      <c r="S125" s="189">
        <f t="shared" si="57"/>
        <v>77.758459498905395</v>
      </c>
      <c r="T125" s="190">
        <f t="shared" si="57"/>
        <v>79.162696188216742</v>
      </c>
      <c r="U125" s="191">
        <f t="shared" si="57"/>
        <v>68.995713787113118</v>
      </c>
      <c r="V125" s="191">
        <f t="shared" si="57"/>
        <v>51.769113074110159</v>
      </c>
      <c r="W125" s="191">
        <f t="shared" si="57"/>
        <v>51.845918642176343</v>
      </c>
      <c r="X125" s="191">
        <f t="shared" si="57"/>
        <v>48.484898859867862</v>
      </c>
      <c r="Y125" s="191">
        <f t="shared" si="57"/>
        <v>48.778064569197518</v>
      </c>
      <c r="Z125" s="192">
        <f t="shared" si="57"/>
        <v>51.341681942292212</v>
      </c>
      <c r="AB125" s="332">
        <f t="shared" si="21"/>
        <v>49.872722389050331</v>
      </c>
      <c r="AC125" s="332">
        <f t="shared" si="22"/>
        <v>66.714802987794585</v>
      </c>
      <c r="AD125" s="332">
        <f t="shared" si="23"/>
        <v>57.6871663099055</v>
      </c>
      <c r="AE125" s="332">
        <f t="shared" si="24"/>
        <v>59.629315964271768</v>
      </c>
    </row>
    <row r="126" spans="1:31" x14ac:dyDescent="0.2">
      <c r="A126" s="52" t="s">
        <v>74</v>
      </c>
      <c r="D126" s="182">
        <f t="shared" ref="D126:Z126" si="58">(D36*$B$27+D43*$B$28+D50*$B$29)</f>
        <v>0</v>
      </c>
      <c r="E126" s="183">
        <f t="shared" si="58"/>
        <v>0</v>
      </c>
      <c r="F126" s="183">
        <f t="shared" si="58"/>
        <v>0</v>
      </c>
      <c r="G126" s="184">
        <f t="shared" si="58"/>
        <v>0</v>
      </c>
      <c r="H126" s="185">
        <f t="shared" si="58"/>
        <v>0</v>
      </c>
      <c r="I126" s="186">
        <f t="shared" si="58"/>
        <v>0</v>
      </c>
      <c r="J126" s="186">
        <f t="shared" si="58"/>
        <v>0</v>
      </c>
      <c r="K126" s="187">
        <f t="shared" si="58"/>
        <v>10</v>
      </c>
      <c r="L126" s="188">
        <f t="shared" si="58"/>
        <v>10</v>
      </c>
      <c r="M126" s="188">
        <f t="shared" si="58"/>
        <v>10</v>
      </c>
      <c r="N126" s="188">
        <f t="shared" si="58"/>
        <v>10</v>
      </c>
      <c r="O126" s="188">
        <f t="shared" si="58"/>
        <v>10</v>
      </c>
      <c r="P126" s="188">
        <f t="shared" si="58"/>
        <v>10</v>
      </c>
      <c r="Q126" s="188">
        <f t="shared" si="58"/>
        <v>10</v>
      </c>
      <c r="R126" s="188">
        <f t="shared" si="58"/>
        <v>10</v>
      </c>
      <c r="S126" s="189">
        <f t="shared" si="58"/>
        <v>10</v>
      </c>
      <c r="T126" s="190">
        <f t="shared" si="58"/>
        <v>10</v>
      </c>
      <c r="U126" s="191">
        <f t="shared" si="58"/>
        <v>10</v>
      </c>
      <c r="V126" s="191">
        <f t="shared" si="58"/>
        <v>10</v>
      </c>
      <c r="W126" s="191">
        <f t="shared" si="58"/>
        <v>10</v>
      </c>
      <c r="X126" s="191">
        <f t="shared" si="58"/>
        <v>10</v>
      </c>
      <c r="Y126" s="191">
        <f t="shared" si="58"/>
        <v>10</v>
      </c>
      <c r="Z126" s="192">
        <f t="shared" si="58"/>
        <v>10</v>
      </c>
      <c r="AB126" s="332">
        <f t="shared" si="21"/>
        <v>10</v>
      </c>
      <c r="AC126" s="332">
        <f t="shared" si="22"/>
        <v>10.000000000000004</v>
      </c>
      <c r="AD126" s="332">
        <f t="shared" si="23"/>
        <v>9.9999999999999982</v>
      </c>
      <c r="AE126" s="332">
        <f t="shared" si="24"/>
        <v>9.9999999999999982</v>
      </c>
    </row>
    <row r="127" spans="1:31" x14ac:dyDescent="0.2">
      <c r="A127" s="67" t="s">
        <v>75</v>
      </c>
      <c r="B127" s="244"/>
      <c r="C127" s="244"/>
      <c r="D127" s="182"/>
      <c r="E127" s="183"/>
      <c r="F127" s="183"/>
      <c r="G127" s="184"/>
      <c r="H127" s="185"/>
      <c r="I127" s="186"/>
      <c r="J127" s="186"/>
      <c r="K127" s="187"/>
      <c r="L127" s="41" t="s">
        <v>66</v>
      </c>
      <c r="M127" s="41" t="s">
        <v>66</v>
      </c>
      <c r="N127" s="41" t="s">
        <v>66</v>
      </c>
      <c r="O127" s="41" t="s">
        <v>66</v>
      </c>
      <c r="P127" s="41" t="s">
        <v>66</v>
      </c>
      <c r="Q127" s="41" t="s">
        <v>66</v>
      </c>
      <c r="R127" s="41" t="s">
        <v>66</v>
      </c>
      <c r="S127" s="42" t="s">
        <v>66</v>
      </c>
      <c r="T127" s="43" t="s">
        <v>66</v>
      </c>
      <c r="U127" s="44" t="s">
        <v>66</v>
      </c>
      <c r="V127" s="44" t="s">
        <v>66</v>
      </c>
      <c r="W127" s="44" t="s">
        <v>66</v>
      </c>
      <c r="X127" s="44" t="s">
        <v>66</v>
      </c>
      <c r="Y127" s="44" t="s">
        <v>66</v>
      </c>
      <c r="Z127" s="45" t="s">
        <v>66</v>
      </c>
      <c r="AB127" s="332">
        <f t="shared" si="21"/>
        <v>0</v>
      </c>
      <c r="AC127" s="332">
        <f t="shared" si="22"/>
        <v>0</v>
      </c>
      <c r="AD127" s="332">
        <f t="shared" si="23"/>
        <v>0</v>
      </c>
      <c r="AE127" s="332">
        <f t="shared" si="24"/>
        <v>0</v>
      </c>
    </row>
    <row r="128" spans="1:31" x14ac:dyDescent="0.2">
      <c r="A128" s="65" t="s">
        <v>78</v>
      </c>
      <c r="B128" s="238"/>
      <c r="C128" s="248"/>
      <c r="D128" s="249">
        <f t="shared" ref="D128:J128" si="59">D54</f>
        <v>97.934996731180618</v>
      </c>
      <c r="E128" s="250">
        <f t="shared" si="59"/>
        <v>96.821910855674034</v>
      </c>
      <c r="F128" s="250">
        <f t="shared" si="59"/>
        <v>98.473665680326135</v>
      </c>
      <c r="G128" s="251">
        <f t="shared" si="59"/>
        <v>97.383104618828881</v>
      </c>
      <c r="H128" s="252">
        <f t="shared" si="59"/>
        <v>66.007646334912224</v>
      </c>
      <c r="I128" s="253">
        <f t="shared" si="59"/>
        <v>65.379328485465749</v>
      </c>
      <c r="J128" s="253">
        <f t="shared" si="59"/>
        <v>65.006851990511549</v>
      </c>
      <c r="K128" s="254">
        <f t="shared" ref="K128:Z128" si="60">SUM(K125:K127)</f>
        <v>59.872722389050331</v>
      </c>
      <c r="L128" s="54">
        <f t="shared" si="60"/>
        <v>59.872722389050331</v>
      </c>
      <c r="M128" s="54">
        <f t="shared" si="60"/>
        <v>60.24747213052845</v>
      </c>
      <c r="N128" s="54">
        <f t="shared" si="60"/>
        <v>63.007958679217644</v>
      </c>
      <c r="O128" s="54">
        <f t="shared" si="60"/>
        <v>63.170072070395165</v>
      </c>
      <c r="P128" s="54">
        <f t="shared" si="60"/>
        <v>93.114407997463303</v>
      </c>
      <c r="Q128" s="54">
        <f t="shared" si="60"/>
        <v>92.537529228685514</v>
      </c>
      <c r="R128" s="54">
        <f t="shared" si="60"/>
        <v>91.817336826627368</v>
      </c>
      <c r="S128" s="55">
        <f t="shared" si="60"/>
        <v>87.758459498905395</v>
      </c>
      <c r="T128" s="56">
        <f t="shared" si="60"/>
        <v>89.162696188216742</v>
      </c>
      <c r="U128" s="57">
        <f t="shared" si="60"/>
        <v>78.995713787113118</v>
      </c>
      <c r="V128" s="57">
        <f t="shared" si="60"/>
        <v>61.769113074110159</v>
      </c>
      <c r="W128" s="57">
        <f t="shared" si="60"/>
        <v>61.845918642176343</v>
      </c>
      <c r="X128" s="57">
        <f t="shared" si="60"/>
        <v>58.484898859867862</v>
      </c>
      <c r="Y128" s="57">
        <f t="shared" si="60"/>
        <v>58.778064569197518</v>
      </c>
      <c r="Z128" s="58">
        <f t="shared" si="60"/>
        <v>61.341681942292212</v>
      </c>
      <c r="AB128" s="332">
        <f t="shared" si="21"/>
        <v>59.872722389050331</v>
      </c>
      <c r="AC128" s="332">
        <f t="shared" si="22"/>
        <v>76.71480298779457</v>
      </c>
      <c r="AD128" s="332">
        <f t="shared" si="23"/>
        <v>67.687166309905479</v>
      </c>
      <c r="AE128" s="332">
        <f t="shared" si="24"/>
        <v>69.629315964271754</v>
      </c>
    </row>
    <row r="129" spans="1:31" x14ac:dyDescent="0.2">
      <c r="A129" s="331"/>
      <c r="B129" s="217"/>
      <c r="C129" s="217"/>
      <c r="D129" s="160"/>
      <c r="E129" s="161"/>
      <c r="F129" s="161"/>
      <c r="G129" s="162"/>
      <c r="H129" s="163"/>
      <c r="I129" s="164"/>
      <c r="J129" s="164"/>
      <c r="K129" s="165"/>
      <c r="L129" s="59"/>
      <c r="M129" s="59"/>
      <c r="N129" s="59"/>
      <c r="O129" s="59"/>
      <c r="P129" s="59"/>
      <c r="Q129" s="59"/>
      <c r="R129" s="59"/>
      <c r="S129" s="60"/>
      <c r="T129" s="61"/>
      <c r="U129" s="62"/>
      <c r="V129" s="62"/>
      <c r="W129" s="62"/>
      <c r="X129" s="62"/>
      <c r="Y129" s="62"/>
      <c r="Z129" s="63"/>
      <c r="AB129" s="332">
        <f t="shared" si="21"/>
        <v>0</v>
      </c>
      <c r="AC129" s="332">
        <f t="shared" si="22"/>
        <v>0</v>
      </c>
      <c r="AD129" s="332">
        <f t="shared" si="23"/>
        <v>0</v>
      </c>
      <c r="AE129" s="332">
        <f t="shared" si="24"/>
        <v>0</v>
      </c>
    </row>
    <row r="130" spans="1:31" ht="12.75" customHeight="1" x14ac:dyDescent="0.2">
      <c r="A130" s="51" t="s">
        <v>72</v>
      </c>
      <c r="D130" s="182">
        <f t="shared" ref="D130:Z130" si="61">D68</f>
        <v>178.79530396615633</v>
      </c>
      <c r="E130" s="183">
        <f t="shared" si="61"/>
        <v>137.4142247128635</v>
      </c>
      <c r="F130" s="183">
        <f t="shared" si="61"/>
        <v>191.69531272237879</v>
      </c>
      <c r="G130" s="184">
        <f t="shared" si="61"/>
        <v>131.48782494052489</v>
      </c>
      <c r="H130" s="185">
        <f t="shared" si="61"/>
        <v>110.15011562426827</v>
      </c>
      <c r="I130" s="186">
        <f t="shared" si="61"/>
        <v>157.29960215919468</v>
      </c>
      <c r="J130" s="186">
        <f t="shared" si="61"/>
        <v>254.80759351738581</v>
      </c>
      <c r="K130" s="187">
        <f t="shared" si="61"/>
        <v>225.74190006243512</v>
      </c>
      <c r="L130" s="188">
        <f t="shared" si="61"/>
        <v>225.74190006243512</v>
      </c>
      <c r="M130" s="188">
        <f t="shared" si="61"/>
        <v>257.7536946367689</v>
      </c>
      <c r="N130" s="188">
        <f t="shared" si="61"/>
        <v>224.3698087104851</v>
      </c>
      <c r="O130" s="188">
        <f t="shared" si="61"/>
        <v>249.76228075436254</v>
      </c>
      <c r="P130" s="188">
        <f t="shared" si="61"/>
        <v>204.74573451908628</v>
      </c>
      <c r="Q130" s="188">
        <f t="shared" si="61"/>
        <v>71.39030503234514</v>
      </c>
      <c r="R130" s="188">
        <f t="shared" si="61"/>
        <v>56.419945355501483</v>
      </c>
      <c r="S130" s="189">
        <f t="shared" si="61"/>
        <v>62.64812072485541</v>
      </c>
      <c r="T130" s="190">
        <f t="shared" si="61"/>
        <v>57.715584456704413</v>
      </c>
      <c r="U130" s="191">
        <f t="shared" si="61"/>
        <v>54.7031738809901</v>
      </c>
      <c r="V130" s="191">
        <f t="shared" si="61"/>
        <v>52.200702474425569</v>
      </c>
      <c r="W130" s="191">
        <f t="shared" si="61"/>
        <v>62.326274299775591</v>
      </c>
      <c r="X130" s="191">
        <f t="shared" si="61"/>
        <v>58.016494900928961</v>
      </c>
      <c r="Y130" s="191">
        <f t="shared" si="61"/>
        <v>50.773373113718833</v>
      </c>
      <c r="Z130" s="192">
        <f t="shared" si="61"/>
        <v>46.03041341537805</v>
      </c>
      <c r="AB130" s="332">
        <f t="shared" si="21"/>
        <v>225.74190006243512</v>
      </c>
      <c r="AC130" s="332">
        <f t="shared" si="22"/>
        <v>146.95032987378599</v>
      </c>
      <c r="AD130" s="332">
        <f t="shared" si="23"/>
        <v>54.656985656222588</v>
      </c>
      <c r="AE130" s="332">
        <f t="shared" si="24"/>
        <v>74.512402191922277</v>
      </c>
    </row>
    <row r="131" spans="1:31" ht="12.75" customHeight="1" x14ac:dyDescent="0.2">
      <c r="A131" s="64" t="s">
        <v>80</v>
      </c>
      <c r="B131" s="238"/>
      <c r="C131" s="248"/>
      <c r="D131" s="255">
        <f t="shared" ref="D131:Z131" si="62">D128-D130</f>
        <v>-80.860307234975707</v>
      </c>
      <c r="E131" s="256">
        <f t="shared" si="62"/>
        <v>-40.592313857189467</v>
      </c>
      <c r="F131" s="256">
        <f t="shared" si="62"/>
        <v>-93.221647042052652</v>
      </c>
      <c r="G131" s="257">
        <f t="shared" si="62"/>
        <v>-34.104720321696007</v>
      </c>
      <c r="H131" s="258">
        <f t="shared" si="62"/>
        <v>-44.142469289356043</v>
      </c>
      <c r="I131" s="259">
        <f t="shared" si="62"/>
        <v>-91.920273673728929</v>
      </c>
      <c r="J131" s="259">
        <f t="shared" si="62"/>
        <v>-189.80074152687428</v>
      </c>
      <c r="K131" s="260">
        <f t="shared" si="62"/>
        <v>-165.8691776733848</v>
      </c>
      <c r="L131" s="239">
        <f t="shared" si="62"/>
        <v>-165.8691776733848</v>
      </c>
      <c r="M131" s="239">
        <f t="shared" si="62"/>
        <v>-197.50622250624045</v>
      </c>
      <c r="N131" s="239">
        <f t="shared" si="62"/>
        <v>-161.36185003126747</v>
      </c>
      <c r="O131" s="239">
        <f t="shared" si="62"/>
        <v>-186.59220868396739</v>
      </c>
      <c r="P131" s="239">
        <f t="shared" si="62"/>
        <v>-111.63132652162298</v>
      </c>
      <c r="Q131" s="239">
        <f t="shared" si="62"/>
        <v>21.147224196340375</v>
      </c>
      <c r="R131" s="239">
        <f t="shared" si="62"/>
        <v>35.397391471125886</v>
      </c>
      <c r="S131" s="240">
        <f t="shared" si="62"/>
        <v>25.110338774049985</v>
      </c>
      <c r="T131" s="241">
        <f t="shared" si="62"/>
        <v>31.447111731512329</v>
      </c>
      <c r="U131" s="242">
        <f t="shared" si="62"/>
        <v>24.292539906123018</v>
      </c>
      <c r="V131" s="242">
        <f t="shared" si="62"/>
        <v>9.5684105996845901</v>
      </c>
      <c r="W131" s="242">
        <f t="shared" si="62"/>
        <v>-0.48035565759924737</v>
      </c>
      <c r="X131" s="242">
        <f t="shared" si="62"/>
        <v>0.46840395893890019</v>
      </c>
      <c r="Y131" s="242">
        <f t="shared" si="62"/>
        <v>8.0046914554786852</v>
      </c>
      <c r="Z131" s="243">
        <f t="shared" si="62"/>
        <v>15.311268526914162</v>
      </c>
      <c r="AB131" s="332">
        <f t="shared" si="21"/>
        <v>-165.8691776733848</v>
      </c>
      <c r="AC131" s="332">
        <f t="shared" si="22"/>
        <v>-70.235526885991419</v>
      </c>
      <c r="AD131" s="332">
        <f t="shared" si="23"/>
        <v>13.03018065368291</v>
      </c>
      <c r="AE131" s="332">
        <f t="shared" si="24"/>
        <v>-4.8830862276505247</v>
      </c>
    </row>
    <row r="132" spans="1:31" x14ac:dyDescent="0.2">
      <c r="A132" s="51" t="s">
        <v>79</v>
      </c>
      <c r="D132" s="261">
        <f t="shared" ref="D132:Z132" si="63">(D$26)</f>
        <v>138992.70324665844</v>
      </c>
      <c r="E132" s="262">
        <f t="shared" si="63"/>
        <v>154222.19301250842</v>
      </c>
      <c r="F132" s="262">
        <f t="shared" si="63"/>
        <v>162086.26483715844</v>
      </c>
      <c r="G132" s="263">
        <f t="shared" si="63"/>
        <v>152376.72562550844</v>
      </c>
      <c r="H132" s="264">
        <f t="shared" si="63"/>
        <v>152708.88135550843</v>
      </c>
      <c r="I132" s="265">
        <f t="shared" si="63"/>
        <v>144481.75591550849</v>
      </c>
      <c r="J132" s="265">
        <f t="shared" si="63"/>
        <v>146545.69236350848</v>
      </c>
      <c r="K132" s="266">
        <f t="shared" si="63"/>
        <v>255320.59830009213</v>
      </c>
      <c r="L132" s="267">
        <f t="shared" si="63"/>
        <v>184398.20988339986</v>
      </c>
      <c r="M132" s="267">
        <f t="shared" si="63"/>
        <v>37746.091556999992</v>
      </c>
      <c r="N132" s="267">
        <f t="shared" si="63"/>
        <v>41566.255477999985</v>
      </c>
      <c r="O132" s="267">
        <f t="shared" si="63"/>
        <v>40028.657883433298</v>
      </c>
      <c r="P132" s="267">
        <f t="shared" si="63"/>
        <v>42423.914276301912</v>
      </c>
      <c r="Q132" s="267">
        <f t="shared" si="63"/>
        <v>34869.173660256696</v>
      </c>
      <c r="R132" s="267">
        <f t="shared" si="63"/>
        <v>62822.929046965553</v>
      </c>
      <c r="S132" s="268">
        <f t="shared" si="63"/>
        <v>239313.87607793562</v>
      </c>
      <c r="T132" s="269">
        <f t="shared" si="63"/>
        <v>356895.06408334803</v>
      </c>
      <c r="U132" s="270">
        <f t="shared" si="63"/>
        <v>413008.86206752714</v>
      </c>
      <c r="V132" s="270">
        <f t="shared" si="63"/>
        <v>376420.62725233915</v>
      </c>
      <c r="W132" s="270">
        <f t="shared" si="63"/>
        <v>364678.48612877249</v>
      </c>
      <c r="X132" s="270">
        <f t="shared" si="63"/>
        <v>335139.35304020351</v>
      </c>
      <c r="Y132" s="270">
        <f t="shared" si="63"/>
        <v>309101.54227139545</v>
      </c>
      <c r="Z132" s="271">
        <f t="shared" si="63"/>
        <v>337141.67393511254</v>
      </c>
      <c r="AB132" s="332">
        <f t="shared" ref="AB132:AB169" si="64">K132</f>
        <v>255320.59830009213</v>
      </c>
      <c r="AC132" s="332">
        <f t="shared" ref="AC132:AC169" si="65">SUMPRODUCT(L132:S132,$L$26:$S$26)/SUM($L$26:$S$26)</f>
        <v>150754.78760496023</v>
      </c>
      <c r="AD132" s="332">
        <f t="shared" ref="AD132:AD169" si="66">SUMPRODUCT(T132:Z132,$T$26:$Z$26)/SUM($T$26:$Z$26)</f>
        <v>358756.66603301797</v>
      </c>
      <c r="AE132" s="332">
        <f t="shared" ref="AE132:AE169" si="67">SUMPRODUCT(L132:Z132,$L$26:$Z$26)/SUM($L$26:$Z$26)</f>
        <v>314008.43449574179</v>
      </c>
    </row>
    <row r="133" spans="1:31" ht="13.5" collapsed="1" thickBot="1" x14ac:dyDescent="0.25">
      <c r="A133" s="66" t="s">
        <v>63</v>
      </c>
      <c r="B133" s="272"/>
      <c r="C133" s="273"/>
      <c r="D133" s="274">
        <f t="shared" ref="D133:J133" si="68">D132*D131</f>
        <v>-11238992.687944606</v>
      </c>
      <c r="E133" s="275">
        <f t="shared" si="68"/>
        <v>-6260235.6625077939</v>
      </c>
      <c r="F133" s="275">
        <f t="shared" si="68"/>
        <v>-15109948.571014253</v>
      </c>
      <c r="G133" s="276">
        <f t="shared" si="68"/>
        <v>-5196765.6109937746</v>
      </c>
      <c r="H133" s="277">
        <f t="shared" si="68"/>
        <v>-6740947.1054474469</v>
      </c>
      <c r="I133" s="278">
        <f t="shared" si="68"/>
        <v>-13280802.544614444</v>
      </c>
      <c r="J133" s="278">
        <f t="shared" si="68"/>
        <v>-27814481.078163106</v>
      </c>
      <c r="K133" s="279">
        <f t="shared" ref="K133:Z133" si="69">K132*-K131</f>
        <v>42349817.68311289</v>
      </c>
      <c r="L133" s="280">
        <f t="shared" si="69"/>
        <v>30585979.437803753</v>
      </c>
      <c r="M133" s="280">
        <f t="shared" si="69"/>
        <v>7455087.9577977648</v>
      </c>
      <c r="N133" s="280">
        <f t="shared" si="69"/>
        <v>6707207.882802383</v>
      </c>
      <c r="O133" s="280">
        <f t="shared" si="69"/>
        <v>7469035.6851247223</v>
      </c>
      <c r="P133" s="280">
        <f t="shared" si="69"/>
        <v>4735837.8269032016</v>
      </c>
      <c r="Q133" s="280">
        <f t="shared" si="69"/>
        <v>-737386.23293457483</v>
      </c>
      <c r="R133" s="280">
        <f t="shared" si="69"/>
        <v>-2223767.8128382051</v>
      </c>
      <c r="S133" s="281">
        <f t="shared" si="69"/>
        <v>-6009252.50164798</v>
      </c>
      <c r="T133" s="282">
        <f t="shared" si="69"/>
        <v>-11223318.956654299</v>
      </c>
      <c r="U133" s="283">
        <f t="shared" si="69"/>
        <v>-10033034.263357861</v>
      </c>
      <c r="V133" s="283">
        <f t="shared" si="69"/>
        <v>-3601747.1197412042</v>
      </c>
      <c r="W133" s="283">
        <f t="shared" si="69"/>
        <v>175175.37401668451</v>
      </c>
      <c r="X133" s="283">
        <f t="shared" si="69"/>
        <v>-156980.59976025307</v>
      </c>
      <c r="Y133" s="283">
        <f t="shared" si="69"/>
        <v>-2474262.4742951225</v>
      </c>
      <c r="Z133" s="284">
        <f t="shared" si="69"/>
        <v>-5162066.7012338452</v>
      </c>
      <c r="AB133" s="332">
        <f t="shared" si="64"/>
        <v>42349817.68311289</v>
      </c>
      <c r="AC133" s="332">
        <f t="shared" si="65"/>
        <v>7460186.4073490379</v>
      </c>
      <c r="AD133" s="332">
        <f t="shared" si="66"/>
        <v>-4814232.9630130818</v>
      </c>
      <c r="AE133" s="332">
        <f t="shared" si="67"/>
        <v>-2173590.6566958055</v>
      </c>
    </row>
    <row r="134" spans="1:31" ht="13.5" thickTop="1" x14ac:dyDescent="0.2">
      <c r="B134" s="135" t="s">
        <v>95</v>
      </c>
      <c r="C134" s="318">
        <f>SUM(K133:Z133)</f>
        <v>57856325.185098052</v>
      </c>
      <c r="D134" s="102"/>
      <c r="E134" s="103"/>
      <c r="F134" s="103"/>
      <c r="G134" s="229">
        <f>SUM(D133:G133)</f>
        <v>-37805942.532460429</v>
      </c>
      <c r="H134" s="105"/>
      <c r="I134" s="106"/>
      <c r="J134" s="231">
        <f>SUM(H133:J133)</f>
        <v>-47836230.728224993</v>
      </c>
      <c r="K134" s="89">
        <f>K133</f>
        <v>42349817.68311289</v>
      </c>
      <c r="L134" s="107"/>
      <c r="M134" s="107"/>
      <c r="N134" s="107"/>
      <c r="O134" s="107"/>
      <c r="P134" s="107"/>
      <c r="Q134" s="107"/>
      <c r="R134" s="107"/>
      <c r="S134" s="234">
        <f>SUM(L133:S133)</f>
        <v>47982742.243011072</v>
      </c>
      <c r="T134" s="109"/>
      <c r="U134" s="110"/>
      <c r="V134" s="110"/>
      <c r="W134" s="110"/>
      <c r="X134" s="110"/>
      <c r="Y134" s="110"/>
      <c r="Z134" s="237">
        <f>SUM(T133:Z133)</f>
        <v>-32476234.741025899</v>
      </c>
      <c r="AB134" s="332">
        <f t="shared" si="64"/>
        <v>42349817.68311289</v>
      </c>
      <c r="AC134" s="332">
        <f t="shared" si="65"/>
        <v>16808336.177462667</v>
      </c>
      <c r="AD134" s="332">
        <f t="shared" si="66"/>
        <v>-4393016.9172595749</v>
      </c>
      <c r="AE134" s="332">
        <f t="shared" si="67"/>
        <v>168110.4358009198</v>
      </c>
    </row>
    <row r="135" spans="1:31" x14ac:dyDescent="0.2">
      <c r="C135" s="294"/>
      <c r="D135" s="102"/>
      <c r="E135" s="103"/>
      <c r="F135" s="103"/>
      <c r="G135" s="229"/>
      <c r="H135" s="105"/>
      <c r="I135" s="106"/>
      <c r="J135" s="231"/>
      <c r="K135" s="232"/>
      <c r="L135" s="107"/>
      <c r="M135" s="107"/>
      <c r="N135" s="107"/>
      <c r="O135" s="107"/>
      <c r="P135" s="107"/>
      <c r="Q135" s="107"/>
      <c r="R135" s="107"/>
      <c r="S135" s="234"/>
      <c r="T135" s="109"/>
      <c r="U135" s="110"/>
      <c r="V135" s="110"/>
      <c r="W135" s="110"/>
      <c r="X135" s="110"/>
      <c r="Y135" s="110"/>
      <c r="Z135" s="237"/>
      <c r="AB135" s="332">
        <f t="shared" si="64"/>
        <v>0</v>
      </c>
      <c r="AC135" s="332">
        <f t="shared" si="65"/>
        <v>0</v>
      </c>
      <c r="AD135" s="332">
        <f t="shared" si="66"/>
        <v>0</v>
      </c>
      <c r="AE135" s="332">
        <f t="shared" si="67"/>
        <v>0</v>
      </c>
    </row>
    <row r="136" spans="1:31" x14ac:dyDescent="0.2">
      <c r="C136" s="294"/>
      <c r="D136" s="102"/>
      <c r="E136" s="103"/>
      <c r="F136" s="103"/>
      <c r="G136" s="229"/>
      <c r="H136" s="105"/>
      <c r="I136" s="106"/>
      <c r="J136" s="231"/>
      <c r="K136" s="232"/>
      <c r="L136" s="107"/>
      <c r="M136" s="107"/>
      <c r="N136" s="107"/>
      <c r="O136" s="107"/>
      <c r="P136" s="107"/>
      <c r="Q136" s="107"/>
      <c r="R136" s="107"/>
      <c r="S136" s="234"/>
      <c r="T136" s="109"/>
      <c r="U136" s="110"/>
      <c r="V136" s="110"/>
      <c r="W136" s="110"/>
      <c r="X136" s="110"/>
      <c r="Y136" s="110"/>
      <c r="Z136" s="237"/>
      <c r="AB136" s="332">
        <f t="shared" si="64"/>
        <v>0</v>
      </c>
      <c r="AC136" s="332">
        <f t="shared" si="65"/>
        <v>0</v>
      </c>
      <c r="AD136" s="332">
        <f t="shared" si="66"/>
        <v>0</v>
      </c>
      <c r="AE136" s="332">
        <f t="shared" si="67"/>
        <v>0</v>
      </c>
    </row>
    <row r="137" spans="1:31" x14ac:dyDescent="0.2">
      <c r="A137" s="68" t="s">
        <v>92</v>
      </c>
      <c r="B137" s="245"/>
      <c r="C137" s="245"/>
      <c r="D137" s="246"/>
      <c r="E137" s="247"/>
      <c r="F137" s="228"/>
      <c r="G137" s="229"/>
      <c r="H137" s="230"/>
      <c r="I137" s="231"/>
      <c r="J137" s="231"/>
      <c r="K137" s="232"/>
      <c r="L137" s="233"/>
      <c r="M137" s="233"/>
      <c r="N137" s="233"/>
      <c r="O137" s="233"/>
      <c r="P137" s="233"/>
      <c r="Q137" s="233"/>
      <c r="R137" s="233"/>
      <c r="S137" s="234"/>
      <c r="T137" s="235"/>
      <c r="U137" s="236"/>
      <c r="V137" s="236"/>
      <c r="W137" s="236"/>
      <c r="X137" s="236"/>
      <c r="Y137" s="236"/>
      <c r="Z137" s="237"/>
      <c r="AB137" s="332">
        <f t="shared" si="64"/>
        <v>0</v>
      </c>
      <c r="AC137" s="332">
        <f t="shared" si="65"/>
        <v>0</v>
      </c>
      <c r="AD137" s="332">
        <f t="shared" si="66"/>
        <v>0</v>
      </c>
      <c r="AE137" s="332">
        <f t="shared" si="67"/>
        <v>0</v>
      </c>
    </row>
    <row r="138" spans="1:31" ht="13.5" collapsed="1" thickBot="1" x14ac:dyDescent="0.25">
      <c r="A138" s="66" t="s">
        <v>63</v>
      </c>
      <c r="B138" s="272"/>
      <c r="C138" s="273"/>
      <c r="D138" s="274" t="e">
        <f>#REF!*#REF!</f>
        <v>#REF!</v>
      </c>
      <c r="E138" s="275" t="e">
        <f>#REF!*#REF!</f>
        <v>#REF!</v>
      </c>
      <c r="F138" s="275" t="e">
        <f>#REF!*#REF!</f>
        <v>#REF!</v>
      </c>
      <c r="G138" s="276" t="e">
        <f>#REF!*#REF!</f>
        <v>#REF!</v>
      </c>
      <c r="H138" s="277" t="e">
        <f>#REF!*#REF!</f>
        <v>#REF!</v>
      </c>
      <c r="I138" s="278" t="e">
        <f>#REF!*#REF!</f>
        <v>#REF!</v>
      </c>
      <c r="J138" s="278" t="e">
        <f>#REF!*#REF!</f>
        <v>#REF!</v>
      </c>
      <c r="K138" s="279">
        <f>K133</f>
        <v>42349817.68311289</v>
      </c>
      <c r="L138" s="280">
        <f>L120</f>
        <v>28236395.875777535</v>
      </c>
      <c r="M138" s="280">
        <f t="shared" ref="M138:S138" si="70">M120</f>
        <v>5124127.3460552664</v>
      </c>
      <c r="N138" s="280">
        <f t="shared" si="70"/>
        <v>3990029.7133943709</v>
      </c>
      <c r="O138" s="280">
        <f t="shared" si="70"/>
        <v>1554309.9007325233</v>
      </c>
      <c r="P138" s="280">
        <f t="shared" si="70"/>
        <v>-2253321.0917209079</v>
      </c>
      <c r="Q138" s="280">
        <f t="shared" si="70"/>
        <v>-1901678.5776763607</v>
      </c>
      <c r="R138" s="280">
        <f t="shared" si="70"/>
        <v>-3569431.5200967542</v>
      </c>
      <c r="S138" s="281">
        <f t="shared" si="70"/>
        <v>-12625831.438583832</v>
      </c>
      <c r="T138" s="282">
        <f t="shared" ref="T138:Z138" si="71">T93</f>
        <v>-7041585.5507323798</v>
      </c>
      <c r="U138" s="283">
        <f t="shared" si="71"/>
        <v>-8271352.6476628864</v>
      </c>
      <c r="V138" s="283">
        <f t="shared" si="71"/>
        <v>-7523287.2566168075</v>
      </c>
      <c r="W138" s="283">
        <f t="shared" si="71"/>
        <v>-7294598.4840393895</v>
      </c>
      <c r="X138" s="283">
        <f t="shared" si="71"/>
        <v>-6454383.6045428207</v>
      </c>
      <c r="Y138" s="283">
        <f t="shared" si="71"/>
        <v>-5913795.7706177533</v>
      </c>
      <c r="Z138" s="284">
        <f t="shared" si="71"/>
        <v>-6482544.410254322</v>
      </c>
      <c r="AB138" s="332">
        <f t="shared" si="64"/>
        <v>42349817.68311289</v>
      </c>
      <c r="AC138" s="332">
        <f t="shared" si="65"/>
        <v>3250352.9160474744</v>
      </c>
      <c r="AD138" s="332">
        <f t="shared" si="66"/>
        <v>-7060693.1215151343</v>
      </c>
      <c r="AE138" s="332">
        <f t="shared" si="67"/>
        <v>-4842438.7530097468</v>
      </c>
    </row>
    <row r="139" spans="1:31" ht="13.5" thickTop="1" x14ac:dyDescent="0.2">
      <c r="B139" s="135" t="s">
        <v>95</v>
      </c>
      <c r="C139" s="318">
        <f>SUM(K138:Z138)</f>
        <v>11922870.166528381</v>
      </c>
      <c r="D139" s="102"/>
      <c r="E139" s="103"/>
      <c r="F139" s="103"/>
      <c r="G139" s="229" t="e">
        <f>SUM(D138:G138)</f>
        <v>#REF!</v>
      </c>
      <c r="H139" s="105"/>
      <c r="I139" s="106"/>
      <c r="J139" s="106"/>
      <c r="K139" s="89">
        <f>K138</f>
        <v>42349817.68311289</v>
      </c>
      <c r="L139" s="107"/>
      <c r="M139" s="107"/>
      <c r="N139" s="107"/>
      <c r="O139" s="107"/>
      <c r="P139" s="107"/>
      <c r="Q139" s="107"/>
      <c r="R139" s="107"/>
      <c r="S139" s="234">
        <f>SUM(L138:S138)</f>
        <v>18554600.207881838</v>
      </c>
      <c r="T139" s="109"/>
      <c r="U139" s="110"/>
      <c r="V139" s="110"/>
      <c r="W139" s="110"/>
      <c r="X139" s="110"/>
      <c r="Y139" s="110"/>
      <c r="Z139" s="237">
        <f>SUM(T138:Z138)</f>
        <v>-48981547.724466361</v>
      </c>
      <c r="AB139" s="332">
        <f t="shared" si="64"/>
        <v>42349817.68311289</v>
      </c>
      <c r="AC139" s="332">
        <f t="shared" si="65"/>
        <v>6499669.3259631768</v>
      </c>
      <c r="AD139" s="332">
        <f t="shared" si="66"/>
        <v>-6625668.5697407518</v>
      </c>
      <c r="AE139" s="332">
        <f t="shared" si="67"/>
        <v>-3801964.9397512353</v>
      </c>
    </row>
    <row r="140" spans="1:31" x14ac:dyDescent="0.2">
      <c r="K140" s="232"/>
      <c r="AB140" s="332">
        <f t="shared" si="64"/>
        <v>0</v>
      </c>
      <c r="AC140" s="332">
        <f t="shared" si="65"/>
        <v>0</v>
      </c>
      <c r="AD140" s="332">
        <f t="shared" si="66"/>
        <v>0</v>
      </c>
      <c r="AE140" s="332">
        <f t="shared" si="67"/>
        <v>0</v>
      </c>
    </row>
    <row r="141" spans="1:31" x14ac:dyDescent="0.2">
      <c r="A141" s="65" t="s">
        <v>78</v>
      </c>
      <c r="K141" s="343">
        <f>K128</f>
        <v>59.872722389050331</v>
      </c>
      <c r="L141" s="344">
        <f>L115</f>
        <v>59.872722389050331</v>
      </c>
      <c r="M141" s="344">
        <f t="shared" ref="M141:S141" si="72">M115</f>
        <v>60.24747213052845</v>
      </c>
      <c r="N141" s="344">
        <f t="shared" si="72"/>
        <v>63.007958679217644</v>
      </c>
      <c r="O141" s="344">
        <f t="shared" si="72"/>
        <v>63.170072070395165</v>
      </c>
      <c r="P141" s="344">
        <f t="shared" si="72"/>
        <v>93.114407997463303</v>
      </c>
      <c r="Q141" s="344">
        <f t="shared" si="72"/>
        <v>92.537529228685514</v>
      </c>
      <c r="R141" s="344">
        <f t="shared" si="72"/>
        <v>91.817336826627368</v>
      </c>
      <c r="S141" s="344">
        <f t="shared" si="72"/>
        <v>87.758459498905395</v>
      </c>
      <c r="T141" s="345">
        <f>T88</f>
        <v>136.31989464042283</v>
      </c>
      <c r="U141" s="345">
        <f t="shared" ref="U141:Z141" si="73">U88</f>
        <v>119.05462626293242</v>
      </c>
      <c r="V141" s="345">
        <f t="shared" si="73"/>
        <v>99.109439529635409</v>
      </c>
      <c r="W141" s="345">
        <f t="shared" si="73"/>
        <v>99.227219279207802</v>
      </c>
      <c r="X141" s="345">
        <f t="shared" si="73"/>
        <v>95.829412896286811</v>
      </c>
      <c r="Y141" s="345">
        <f t="shared" si="73"/>
        <v>96.123261438798366</v>
      </c>
      <c r="Z141" s="345">
        <f t="shared" si="73"/>
        <v>98.700239522715918</v>
      </c>
      <c r="AB141" s="332">
        <f t="shared" si="64"/>
        <v>59.872722389050331</v>
      </c>
      <c r="AC141" s="332">
        <f t="shared" si="65"/>
        <v>76.71480298779457</v>
      </c>
      <c r="AD141" s="332">
        <f t="shared" si="66"/>
        <v>106.89333206924873</v>
      </c>
      <c r="AE141" s="332">
        <f t="shared" si="67"/>
        <v>100.40091086133921</v>
      </c>
    </row>
    <row r="142" spans="1:31" x14ac:dyDescent="0.2">
      <c r="A142" s="51" t="s">
        <v>72</v>
      </c>
      <c r="K142" s="343">
        <f>K130</f>
        <v>225.74190006243512</v>
      </c>
      <c r="L142" s="344">
        <f>L117</f>
        <v>213</v>
      </c>
      <c r="M142" s="344">
        <f t="shared" ref="M142:S142" si="74">M117</f>
        <v>196</v>
      </c>
      <c r="N142" s="344">
        <f t="shared" si="74"/>
        <v>159</v>
      </c>
      <c r="O142" s="344">
        <f t="shared" si="74"/>
        <v>102</v>
      </c>
      <c r="P142" s="344">
        <f t="shared" si="74"/>
        <v>40</v>
      </c>
      <c r="Q142" s="344">
        <f t="shared" si="74"/>
        <v>38</v>
      </c>
      <c r="R142" s="344">
        <f t="shared" si="74"/>
        <v>35</v>
      </c>
      <c r="S142" s="344">
        <f t="shared" si="74"/>
        <v>35</v>
      </c>
      <c r="T142" s="345">
        <f>T90</f>
        <v>116.58976592929022</v>
      </c>
      <c r="U142" s="345">
        <f t="shared" ref="U142:Z142" si="75">U90</f>
        <v>99.027567748361079</v>
      </c>
      <c r="V142" s="345">
        <f t="shared" si="75"/>
        <v>79.123055383972059</v>
      </c>
      <c r="W142" s="345">
        <f t="shared" si="75"/>
        <v>79.224398269734877</v>
      </c>
      <c r="X142" s="345">
        <f t="shared" si="75"/>
        <v>76.570607429270979</v>
      </c>
      <c r="Y142" s="345">
        <f t="shared" si="75"/>
        <v>76.99105094524684</v>
      </c>
      <c r="Z142" s="345">
        <f t="shared" si="75"/>
        <v>79.472286079315808</v>
      </c>
      <c r="AB142" s="332">
        <f t="shared" si="64"/>
        <v>225.74190006243512</v>
      </c>
      <c r="AC142" s="332">
        <f t="shared" si="65"/>
        <v>103.87440372839883</v>
      </c>
      <c r="AD142" s="332">
        <f t="shared" si="66"/>
        <v>87.240856323945422</v>
      </c>
      <c r="AE142" s="332">
        <f t="shared" si="67"/>
        <v>90.819294346552908</v>
      </c>
    </row>
    <row r="143" spans="1:31" x14ac:dyDescent="0.2">
      <c r="A143" s="64" t="s">
        <v>80</v>
      </c>
      <c r="K143" s="343">
        <f>K131</f>
        <v>-165.8691776733848</v>
      </c>
      <c r="L143" s="344">
        <f>L118</f>
        <v>-153.12727761094968</v>
      </c>
      <c r="M143" s="344">
        <f t="shared" ref="M143:S143" si="76">M118</f>
        <v>-135.75252786947155</v>
      </c>
      <c r="N143" s="344">
        <f t="shared" si="76"/>
        <v>-95.992041320782363</v>
      </c>
      <c r="O143" s="344">
        <f t="shared" si="76"/>
        <v>-38.829927929604835</v>
      </c>
      <c r="P143" s="344">
        <f t="shared" si="76"/>
        <v>53.114407997463303</v>
      </c>
      <c r="Q143" s="344">
        <f t="shared" si="76"/>
        <v>54.537529228685514</v>
      </c>
      <c r="R143" s="344">
        <f t="shared" si="76"/>
        <v>56.817336826627368</v>
      </c>
      <c r="S143" s="344">
        <f t="shared" si="76"/>
        <v>52.758459498905395</v>
      </c>
      <c r="T143" s="345">
        <f>T91</f>
        <v>19.730128711132615</v>
      </c>
      <c r="U143" s="345">
        <f t="shared" ref="U143:Z143" si="77">U91</f>
        <v>20.027058514571333</v>
      </c>
      <c r="V143" s="345">
        <f t="shared" si="77"/>
        <v>19.986384145663358</v>
      </c>
      <c r="W143" s="345">
        <f t="shared" si="77"/>
        <v>20.002821009472921</v>
      </c>
      <c r="X143" s="345">
        <f t="shared" si="77"/>
        <v>19.258805467015833</v>
      </c>
      <c r="Y143" s="345">
        <f t="shared" si="77"/>
        <v>19.132210493551529</v>
      </c>
      <c r="Z143" s="345">
        <f t="shared" si="77"/>
        <v>19.227953443400104</v>
      </c>
      <c r="AB143" s="332">
        <f t="shared" si="64"/>
        <v>-165.8691776733848</v>
      </c>
      <c r="AC143" s="332">
        <f t="shared" si="65"/>
        <v>-27.159600740604258</v>
      </c>
      <c r="AD143" s="332">
        <f t="shared" si="66"/>
        <v>19.652475745303295</v>
      </c>
      <c r="AE143" s="332">
        <f t="shared" si="67"/>
        <v>9.5816165147863277</v>
      </c>
    </row>
    <row r="144" spans="1:31" x14ac:dyDescent="0.2">
      <c r="AB144" s="332">
        <f t="shared" si="64"/>
        <v>0</v>
      </c>
      <c r="AC144" s="332">
        <f t="shared" si="65"/>
        <v>0</v>
      </c>
      <c r="AD144" s="332">
        <f t="shared" si="66"/>
        <v>0</v>
      </c>
      <c r="AE144" s="332">
        <f t="shared" si="67"/>
        <v>0</v>
      </c>
    </row>
    <row r="145" spans="3:31" x14ac:dyDescent="0.2">
      <c r="AB145" s="332">
        <f t="shared" si="64"/>
        <v>0</v>
      </c>
      <c r="AC145" s="332">
        <f t="shared" si="65"/>
        <v>0</v>
      </c>
      <c r="AD145" s="332">
        <f t="shared" si="66"/>
        <v>0</v>
      </c>
      <c r="AE145" s="332">
        <f t="shared" si="67"/>
        <v>0</v>
      </c>
    </row>
    <row r="146" spans="3:31" x14ac:dyDescent="0.2">
      <c r="AB146" s="332">
        <f t="shared" si="64"/>
        <v>0</v>
      </c>
      <c r="AC146" s="332">
        <f t="shared" si="65"/>
        <v>0</v>
      </c>
      <c r="AD146" s="332">
        <f t="shared" si="66"/>
        <v>0</v>
      </c>
      <c r="AE146" s="332">
        <f t="shared" si="67"/>
        <v>0</v>
      </c>
    </row>
    <row r="147" spans="3:31" x14ac:dyDescent="0.2">
      <c r="AB147" s="332">
        <f t="shared" si="64"/>
        <v>0</v>
      </c>
      <c r="AC147" s="332">
        <f t="shared" si="65"/>
        <v>0</v>
      </c>
      <c r="AD147" s="332">
        <f t="shared" si="66"/>
        <v>0</v>
      </c>
      <c r="AE147" s="332">
        <f t="shared" si="67"/>
        <v>0</v>
      </c>
    </row>
    <row r="148" spans="3:31" x14ac:dyDescent="0.2">
      <c r="C148" s="81" t="s">
        <v>153</v>
      </c>
      <c r="K148" s="319">
        <v>255320.59830009213</v>
      </c>
      <c r="L148" s="292">
        <v>184398.20988339986</v>
      </c>
      <c r="M148" s="292">
        <v>37746.091556999992</v>
      </c>
      <c r="N148" s="292">
        <v>41566.255477999985</v>
      </c>
      <c r="O148" s="292">
        <v>40028.657883433298</v>
      </c>
      <c r="P148" s="292">
        <v>42423.914276301912</v>
      </c>
      <c r="Q148" s="292">
        <v>34869.173660256696</v>
      </c>
      <c r="R148" s="292">
        <v>62822.929046965553</v>
      </c>
      <c r="S148" s="292">
        <v>332150.28205010243</v>
      </c>
      <c r="T148" s="293">
        <v>451655.18204621488</v>
      </c>
      <c r="U148" s="293">
        <v>503981.17527163954</v>
      </c>
      <c r="V148" s="293">
        <v>462657.95005365391</v>
      </c>
      <c r="W148" s="293">
        <v>448363.07954179193</v>
      </c>
      <c r="X148" s="293">
        <v>414747.92538582487</v>
      </c>
      <c r="Y148" s="293">
        <v>387638.47290910734</v>
      </c>
      <c r="Z148" s="293">
        <v>418100.41980750865</v>
      </c>
      <c r="AB148" s="332">
        <f t="shared" si="64"/>
        <v>255320.59830009213</v>
      </c>
      <c r="AC148" s="332">
        <f t="shared" si="65"/>
        <v>183275.34495836715</v>
      </c>
      <c r="AD148" s="332">
        <f t="shared" si="66"/>
        <v>444065.16969333956</v>
      </c>
      <c r="AE148" s="332">
        <f t="shared" si="67"/>
        <v>387960.46742815047</v>
      </c>
    </row>
    <row r="149" spans="3:31" x14ac:dyDescent="0.2">
      <c r="K149" s="319">
        <f t="shared" ref="K149:Z149" si="78">$B$27*K$148</f>
        <v>63830.149575023032</v>
      </c>
      <c r="L149" s="292">
        <f t="shared" si="78"/>
        <v>46099.552470849965</v>
      </c>
      <c r="M149" s="292">
        <f t="shared" si="78"/>
        <v>9436.5228892499981</v>
      </c>
      <c r="N149" s="292">
        <f t="shared" si="78"/>
        <v>10391.563869499996</v>
      </c>
      <c r="O149" s="292">
        <f t="shared" si="78"/>
        <v>10007.164470858324</v>
      </c>
      <c r="P149" s="292">
        <f t="shared" si="78"/>
        <v>10605.978569075478</v>
      </c>
      <c r="Q149" s="292">
        <f t="shared" si="78"/>
        <v>8717.293415064174</v>
      </c>
      <c r="R149" s="292">
        <f t="shared" si="78"/>
        <v>15705.732261741388</v>
      </c>
      <c r="S149" s="292">
        <f t="shared" si="78"/>
        <v>83037.570512525606</v>
      </c>
      <c r="T149" s="293">
        <f t="shared" si="78"/>
        <v>112913.79551155372</v>
      </c>
      <c r="U149" s="293">
        <f t="shared" si="78"/>
        <v>125995.29381790989</v>
      </c>
      <c r="V149" s="293">
        <f t="shared" si="78"/>
        <v>115664.48751341348</v>
      </c>
      <c r="W149" s="293">
        <f t="shared" si="78"/>
        <v>112090.76988544798</v>
      </c>
      <c r="X149" s="293">
        <f t="shared" si="78"/>
        <v>103686.98134645622</v>
      </c>
      <c r="Y149" s="293">
        <f t="shared" si="78"/>
        <v>96909.618227276835</v>
      </c>
      <c r="Z149" s="293">
        <f t="shared" si="78"/>
        <v>104525.10495187716</v>
      </c>
      <c r="AB149" s="332">
        <f t="shared" si="64"/>
        <v>63830.149575023032</v>
      </c>
      <c r="AC149" s="332">
        <f t="shared" si="65"/>
        <v>45818.836239591787</v>
      </c>
      <c r="AD149" s="332">
        <f t="shared" si="66"/>
        <v>111016.29242333489</v>
      </c>
      <c r="AE149" s="332">
        <f t="shared" si="67"/>
        <v>96990.116857037618</v>
      </c>
    </row>
    <row r="150" spans="3:31" x14ac:dyDescent="0.2">
      <c r="K150" s="319">
        <f>$B$28*K$148</f>
        <v>114894.26923504146</v>
      </c>
      <c r="L150" s="292">
        <f t="shared" ref="L150:Z150" si="79">$B$28*L$148</f>
        <v>82979.194447529939</v>
      </c>
      <c r="M150" s="292">
        <f t="shared" si="79"/>
        <v>16985.741200649998</v>
      </c>
      <c r="N150" s="292">
        <f t="shared" si="79"/>
        <v>18704.814965099995</v>
      </c>
      <c r="O150" s="292">
        <f t="shared" si="79"/>
        <v>18012.896047544986</v>
      </c>
      <c r="P150" s="292">
        <f t="shared" si="79"/>
        <v>19090.761424335862</v>
      </c>
      <c r="Q150" s="292">
        <f t="shared" si="79"/>
        <v>15691.128147115514</v>
      </c>
      <c r="R150" s="292">
        <f t="shared" si="79"/>
        <v>28270.318071134501</v>
      </c>
      <c r="S150" s="292">
        <f t="shared" si="79"/>
        <v>149467.6269225461</v>
      </c>
      <c r="T150" s="293">
        <f t="shared" si="79"/>
        <v>203244.83192079669</v>
      </c>
      <c r="U150" s="293">
        <f t="shared" si="79"/>
        <v>226791.5288722378</v>
      </c>
      <c r="V150" s="293">
        <f t="shared" si="79"/>
        <v>208196.07752414426</v>
      </c>
      <c r="W150" s="293">
        <f t="shared" si="79"/>
        <v>201763.38579380637</v>
      </c>
      <c r="X150" s="293">
        <f t="shared" si="79"/>
        <v>186636.5664236212</v>
      </c>
      <c r="Y150" s="293">
        <f t="shared" si="79"/>
        <v>174437.31280909831</v>
      </c>
      <c r="Z150" s="293">
        <f t="shared" si="79"/>
        <v>188145.18891337889</v>
      </c>
      <c r="AB150" s="332">
        <f t="shared" si="64"/>
        <v>114894.26923504146</v>
      </c>
      <c r="AC150" s="332">
        <f t="shared" si="65"/>
        <v>82473.90523126522</v>
      </c>
      <c r="AD150" s="332">
        <f t="shared" si="66"/>
        <v>199829.32636200279</v>
      </c>
      <c r="AE150" s="332">
        <f t="shared" si="67"/>
        <v>174582.21034266773</v>
      </c>
    </row>
    <row r="151" spans="3:31" x14ac:dyDescent="0.2">
      <c r="K151" s="319">
        <f>$B$29*K$148</f>
        <v>76596.179490027629</v>
      </c>
      <c r="L151" s="292">
        <f t="shared" ref="L151:Z151" si="80">$B$29*L$148</f>
        <v>55319.462965019957</v>
      </c>
      <c r="M151" s="292">
        <f t="shared" si="80"/>
        <v>11323.827467099998</v>
      </c>
      <c r="N151" s="292">
        <f t="shared" si="80"/>
        <v>12469.876643399995</v>
      </c>
      <c r="O151" s="292">
        <f t="shared" si="80"/>
        <v>12008.597365029989</v>
      </c>
      <c r="P151" s="292">
        <f t="shared" si="80"/>
        <v>12727.174282890574</v>
      </c>
      <c r="Q151" s="292">
        <f t="shared" si="80"/>
        <v>10460.752098077008</v>
      </c>
      <c r="R151" s="292">
        <f t="shared" si="80"/>
        <v>18846.878714089664</v>
      </c>
      <c r="S151" s="292">
        <f t="shared" si="80"/>
        <v>99645.084615030719</v>
      </c>
      <c r="T151" s="293">
        <f t="shared" si="80"/>
        <v>135496.55461386446</v>
      </c>
      <c r="U151" s="293">
        <f t="shared" si="80"/>
        <v>151194.35258149187</v>
      </c>
      <c r="V151" s="293">
        <f t="shared" si="80"/>
        <v>138797.38501609617</v>
      </c>
      <c r="W151" s="293">
        <f t="shared" si="80"/>
        <v>134508.92386253757</v>
      </c>
      <c r="X151" s="293">
        <f t="shared" si="80"/>
        <v>124424.37761574745</v>
      </c>
      <c r="Y151" s="293">
        <f t="shared" si="80"/>
        <v>116291.5418727322</v>
      </c>
      <c r="Z151" s="293">
        <f t="shared" si="80"/>
        <v>125430.12594225259</v>
      </c>
      <c r="AB151" s="332">
        <f t="shared" si="64"/>
        <v>76596.179490027629</v>
      </c>
      <c r="AC151" s="332">
        <f t="shared" si="65"/>
        <v>54982.603487510147</v>
      </c>
      <c r="AD151" s="332">
        <f t="shared" si="66"/>
        <v>133219.55090800187</v>
      </c>
      <c r="AE151" s="332">
        <f t="shared" si="67"/>
        <v>116388.14022844516</v>
      </c>
    </row>
    <row r="152" spans="3:31" x14ac:dyDescent="0.2">
      <c r="AB152" s="332">
        <f t="shared" si="64"/>
        <v>0</v>
      </c>
      <c r="AC152" s="332">
        <f t="shared" si="65"/>
        <v>0</v>
      </c>
      <c r="AD152" s="332">
        <f t="shared" si="66"/>
        <v>0</v>
      </c>
      <c r="AE152" s="332">
        <f t="shared" si="67"/>
        <v>0</v>
      </c>
    </row>
    <row r="153" spans="3:31" x14ac:dyDescent="0.2">
      <c r="AB153" s="332">
        <f t="shared" si="64"/>
        <v>0</v>
      </c>
      <c r="AC153" s="332">
        <f t="shared" si="65"/>
        <v>0</v>
      </c>
      <c r="AD153" s="332">
        <f t="shared" si="66"/>
        <v>0</v>
      </c>
      <c r="AE153" s="332">
        <f t="shared" si="67"/>
        <v>0</v>
      </c>
    </row>
    <row r="154" spans="3:31" x14ac:dyDescent="0.2">
      <c r="AB154" s="332">
        <f t="shared" si="64"/>
        <v>0</v>
      </c>
      <c r="AC154" s="332">
        <f t="shared" si="65"/>
        <v>0</v>
      </c>
      <c r="AD154" s="332">
        <f t="shared" si="66"/>
        <v>0</v>
      </c>
      <c r="AE154" s="332">
        <f t="shared" si="67"/>
        <v>0</v>
      </c>
    </row>
    <row r="155" spans="3:31" x14ac:dyDescent="0.2">
      <c r="AB155" s="332">
        <f t="shared" si="64"/>
        <v>0</v>
      </c>
      <c r="AC155" s="332">
        <f t="shared" si="65"/>
        <v>0</v>
      </c>
      <c r="AD155" s="332">
        <f t="shared" si="66"/>
        <v>0</v>
      </c>
      <c r="AE155" s="332">
        <f t="shared" si="67"/>
        <v>0</v>
      </c>
    </row>
    <row r="156" spans="3:31" x14ac:dyDescent="0.2">
      <c r="AB156" s="332">
        <f t="shared" si="64"/>
        <v>0</v>
      </c>
      <c r="AC156" s="332">
        <f t="shared" si="65"/>
        <v>0</v>
      </c>
      <c r="AD156" s="332">
        <f t="shared" si="66"/>
        <v>0</v>
      </c>
      <c r="AE156" s="332">
        <f t="shared" si="67"/>
        <v>0</v>
      </c>
    </row>
    <row r="157" spans="3:31" x14ac:dyDescent="0.2">
      <c r="AB157" s="332">
        <f t="shared" si="64"/>
        <v>0</v>
      </c>
      <c r="AC157" s="332">
        <f t="shared" si="65"/>
        <v>0</v>
      </c>
      <c r="AD157" s="332">
        <f t="shared" si="66"/>
        <v>0</v>
      </c>
      <c r="AE157" s="332">
        <f t="shared" si="67"/>
        <v>0</v>
      </c>
    </row>
    <row r="158" spans="3:31" x14ac:dyDescent="0.2">
      <c r="AB158" s="332">
        <f t="shared" si="64"/>
        <v>0</v>
      </c>
      <c r="AC158" s="332">
        <f t="shared" si="65"/>
        <v>0</v>
      </c>
      <c r="AD158" s="332">
        <f t="shared" si="66"/>
        <v>0</v>
      </c>
      <c r="AE158" s="332">
        <f t="shared" si="67"/>
        <v>0</v>
      </c>
    </row>
    <row r="159" spans="3:31" x14ac:dyDescent="0.2">
      <c r="AB159" s="332">
        <f t="shared" si="64"/>
        <v>0</v>
      </c>
      <c r="AC159" s="332">
        <f t="shared" si="65"/>
        <v>0</v>
      </c>
      <c r="AD159" s="332">
        <f t="shared" si="66"/>
        <v>0</v>
      </c>
      <c r="AE159" s="332">
        <f t="shared" si="67"/>
        <v>0</v>
      </c>
    </row>
    <row r="160" spans="3:31" x14ac:dyDescent="0.2">
      <c r="AB160" s="332">
        <f t="shared" si="64"/>
        <v>0</v>
      </c>
      <c r="AC160" s="332">
        <f t="shared" si="65"/>
        <v>0</v>
      </c>
      <c r="AD160" s="332">
        <f t="shared" si="66"/>
        <v>0</v>
      </c>
      <c r="AE160" s="332">
        <f t="shared" si="67"/>
        <v>0</v>
      </c>
    </row>
    <row r="161" spans="28:31" x14ac:dyDescent="0.2">
      <c r="AB161" s="332">
        <f t="shared" si="64"/>
        <v>0</v>
      </c>
      <c r="AC161" s="332">
        <f t="shared" si="65"/>
        <v>0</v>
      </c>
      <c r="AD161" s="332">
        <f t="shared" si="66"/>
        <v>0</v>
      </c>
      <c r="AE161" s="332">
        <f t="shared" si="67"/>
        <v>0</v>
      </c>
    </row>
    <row r="162" spans="28:31" x14ac:dyDescent="0.2">
      <c r="AB162" s="332">
        <f t="shared" si="64"/>
        <v>0</v>
      </c>
      <c r="AC162" s="332">
        <f t="shared" si="65"/>
        <v>0</v>
      </c>
      <c r="AD162" s="332">
        <f t="shared" si="66"/>
        <v>0</v>
      </c>
      <c r="AE162" s="332">
        <f t="shared" si="67"/>
        <v>0</v>
      </c>
    </row>
    <row r="163" spans="28:31" x14ac:dyDescent="0.2">
      <c r="AB163" s="332">
        <f t="shared" si="64"/>
        <v>0</v>
      </c>
      <c r="AC163" s="332">
        <f t="shared" si="65"/>
        <v>0</v>
      </c>
      <c r="AD163" s="332">
        <f t="shared" si="66"/>
        <v>0</v>
      </c>
      <c r="AE163" s="332">
        <f t="shared" si="67"/>
        <v>0</v>
      </c>
    </row>
    <row r="164" spans="28:31" x14ac:dyDescent="0.2">
      <c r="AB164" s="332">
        <f t="shared" si="64"/>
        <v>0</v>
      </c>
      <c r="AC164" s="332">
        <f t="shared" si="65"/>
        <v>0</v>
      </c>
      <c r="AD164" s="332">
        <f t="shared" si="66"/>
        <v>0</v>
      </c>
      <c r="AE164" s="332">
        <f t="shared" si="67"/>
        <v>0</v>
      </c>
    </row>
    <row r="165" spans="28:31" x14ac:dyDescent="0.2">
      <c r="AB165" s="332">
        <f t="shared" si="64"/>
        <v>0</v>
      </c>
      <c r="AC165" s="332">
        <f t="shared" si="65"/>
        <v>0</v>
      </c>
      <c r="AD165" s="332">
        <f t="shared" si="66"/>
        <v>0</v>
      </c>
      <c r="AE165" s="332">
        <f t="shared" si="67"/>
        <v>0</v>
      </c>
    </row>
    <row r="166" spans="28:31" x14ac:dyDescent="0.2">
      <c r="AB166" s="332">
        <f t="shared" si="64"/>
        <v>0</v>
      </c>
      <c r="AC166" s="332">
        <f t="shared" si="65"/>
        <v>0</v>
      </c>
      <c r="AD166" s="332">
        <f t="shared" si="66"/>
        <v>0</v>
      </c>
      <c r="AE166" s="332">
        <f t="shared" si="67"/>
        <v>0</v>
      </c>
    </row>
    <row r="167" spans="28:31" x14ac:dyDescent="0.2">
      <c r="AB167" s="332">
        <f t="shared" si="64"/>
        <v>0</v>
      </c>
      <c r="AC167" s="332">
        <f t="shared" si="65"/>
        <v>0</v>
      </c>
      <c r="AD167" s="332">
        <f t="shared" si="66"/>
        <v>0</v>
      </c>
      <c r="AE167" s="332">
        <f t="shared" si="67"/>
        <v>0</v>
      </c>
    </row>
    <row r="168" spans="28:31" x14ac:dyDescent="0.2">
      <c r="AB168" s="332">
        <f t="shared" si="64"/>
        <v>0</v>
      </c>
      <c r="AC168" s="332">
        <f t="shared" si="65"/>
        <v>0</v>
      </c>
      <c r="AD168" s="332">
        <f t="shared" si="66"/>
        <v>0</v>
      </c>
      <c r="AE168" s="332">
        <f t="shared" si="67"/>
        <v>0</v>
      </c>
    </row>
    <row r="169" spans="28:31" x14ac:dyDescent="0.2">
      <c r="AB169" s="332">
        <f t="shared" si="64"/>
        <v>0</v>
      </c>
      <c r="AC169" s="332">
        <f t="shared" si="65"/>
        <v>0</v>
      </c>
      <c r="AD169" s="332">
        <f t="shared" si="66"/>
        <v>0</v>
      </c>
      <c r="AE169" s="332">
        <f t="shared" si="67"/>
        <v>0</v>
      </c>
    </row>
    <row r="170" spans="28:31" x14ac:dyDescent="0.2">
      <c r="AE170" s="332">
        <f t="shared" ref="AE170:AE183" si="81">SUMPRODUCT(L170:Z170,$L$26:$Z$26)/SUM($L$26:$Z$26)</f>
        <v>0</v>
      </c>
    </row>
    <row r="171" spans="28:31" x14ac:dyDescent="0.2">
      <c r="AE171" s="332">
        <f t="shared" si="81"/>
        <v>0</v>
      </c>
    </row>
    <row r="172" spans="28:31" x14ac:dyDescent="0.2">
      <c r="AE172" s="332">
        <f t="shared" si="81"/>
        <v>0</v>
      </c>
    </row>
    <row r="173" spans="28:31" x14ac:dyDescent="0.2">
      <c r="AE173" s="332">
        <f t="shared" si="81"/>
        <v>0</v>
      </c>
    </row>
    <row r="174" spans="28:31" x14ac:dyDescent="0.2">
      <c r="AE174" s="332">
        <f t="shared" si="81"/>
        <v>0</v>
      </c>
    </row>
    <row r="175" spans="28:31" x14ac:dyDescent="0.2">
      <c r="AE175" s="332">
        <f t="shared" si="81"/>
        <v>0</v>
      </c>
    </row>
    <row r="176" spans="28:31" x14ac:dyDescent="0.2">
      <c r="AE176" s="332">
        <f t="shared" si="81"/>
        <v>0</v>
      </c>
    </row>
    <row r="177" spans="31:31" x14ac:dyDescent="0.2">
      <c r="AE177" s="332">
        <f t="shared" si="81"/>
        <v>0</v>
      </c>
    </row>
    <row r="178" spans="31:31" x14ac:dyDescent="0.2">
      <c r="AE178" s="332">
        <f t="shared" si="81"/>
        <v>0</v>
      </c>
    </row>
    <row r="179" spans="31:31" x14ac:dyDescent="0.2">
      <c r="AE179" s="332">
        <f t="shared" si="81"/>
        <v>0</v>
      </c>
    </row>
    <row r="180" spans="31:31" x14ac:dyDescent="0.2">
      <c r="AE180" s="332">
        <f t="shared" si="81"/>
        <v>0</v>
      </c>
    </row>
    <row r="181" spans="31:31" x14ac:dyDescent="0.2">
      <c r="AE181" s="332">
        <f t="shared" si="81"/>
        <v>0</v>
      </c>
    </row>
    <row r="182" spans="31:31" x14ac:dyDescent="0.2">
      <c r="AE182" s="332">
        <f t="shared" si="81"/>
        <v>0</v>
      </c>
    </row>
    <row r="183" spans="31:31" x14ac:dyDescent="0.2">
      <c r="AE183" s="332">
        <f t="shared" si="81"/>
        <v>0</v>
      </c>
    </row>
    <row r="184" spans="31:31" x14ac:dyDescent="0.2">
      <c r="AE184" s="332">
        <f t="shared" ref="AE184:AE190" si="82">SUMPRODUCT(L184:Z184,$L$26:$Z$26)/SUM($L$26:$Z$26)</f>
        <v>0</v>
      </c>
    </row>
    <row r="185" spans="31:31" x14ac:dyDescent="0.2">
      <c r="AE185" s="332">
        <f t="shared" si="82"/>
        <v>0</v>
      </c>
    </row>
    <row r="186" spans="31:31" x14ac:dyDescent="0.2">
      <c r="AE186" s="332">
        <f t="shared" si="82"/>
        <v>0</v>
      </c>
    </row>
    <row r="187" spans="31:31" x14ac:dyDescent="0.2">
      <c r="AE187" s="332">
        <f t="shared" si="82"/>
        <v>0</v>
      </c>
    </row>
    <row r="188" spans="31:31" x14ac:dyDescent="0.2">
      <c r="AE188" s="332">
        <f t="shared" si="82"/>
        <v>0</v>
      </c>
    </row>
    <row r="189" spans="31:31" x14ac:dyDescent="0.2">
      <c r="AE189" s="332">
        <f t="shared" si="82"/>
        <v>0</v>
      </c>
    </row>
    <row r="190" spans="31:31" x14ac:dyDescent="0.2">
      <c r="AE190" s="332">
        <f t="shared" si="82"/>
        <v>0</v>
      </c>
    </row>
  </sheetData>
  <phoneticPr fontId="0" type="noConversion"/>
  <dataValidations disablePrompts="1" count="1">
    <dataValidation type="list" allowBlank="1" showInputMessage="1" showErrorMessage="1" sqref="B7">
      <formula1>$AM$4:$AM$6</formula1>
    </dataValidation>
  </dataValidations>
  <pageMargins left="0" right="0" top="0" bottom="0" header="0" footer="0"/>
  <pageSetup paperSize="5" scale="59" fitToHeight="0" orientation="landscape" verticalDpi="300" r:id="rId1"/>
  <headerFooter alignWithMargins="0">
    <oddFooter>&amp;LDate:  &amp;D
Time:  &amp;T&amp;CPage &amp;P of &amp;N&amp;RFilename:  &amp;F
  Tab:  &amp;A</oddFooter>
  </headerFooter>
  <rowBreaks count="1" manualBreakCount="1">
    <brk id="82" max="2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  <pageSetUpPr fitToPage="1"/>
  </sheetPr>
  <dimension ref="A1:AM177"/>
  <sheetViews>
    <sheetView zoomScale="75" zoomScaleNormal="75" zoomScaleSheetLayoutView="65" workbookViewId="0">
      <pane xSplit="3" ySplit="8" topLeftCell="D56" activePane="bottomRight" state="frozen"/>
      <selection activeCell="A81" sqref="A81"/>
      <selection pane="topRight" activeCell="A81" sqref="A81"/>
      <selection pane="bottomLeft" activeCell="A81" sqref="A81"/>
      <selection pane="bottomRight" activeCell="C75" sqref="C75"/>
    </sheetView>
  </sheetViews>
  <sheetFormatPr defaultRowHeight="12.75" outlineLevelRow="1" outlineLevelCol="1" x14ac:dyDescent="0.2"/>
  <cols>
    <col min="1" max="1" width="36.5703125" style="81" customWidth="1"/>
    <col min="2" max="2" width="10" style="81" customWidth="1"/>
    <col min="3" max="3" width="16.7109375" style="81" customWidth="1" collapsed="1"/>
    <col min="4" max="7" width="14" style="290" hidden="1" customWidth="1" outlineLevel="1"/>
    <col min="8" max="10" width="14" style="291" hidden="1" customWidth="1" outlineLevel="1"/>
    <col min="11" max="11" width="14.85546875" style="319" customWidth="1"/>
    <col min="12" max="19" width="14.5703125" style="292" customWidth="1"/>
    <col min="20" max="26" width="14.5703125" style="293" customWidth="1"/>
    <col min="27" max="27" width="12" style="81" bestFit="1" customWidth="1"/>
    <col min="28" max="30" width="12.85546875" style="81" customWidth="1"/>
    <col min="31" max="32" width="10.7109375" style="81" customWidth="1"/>
    <col min="33" max="38" width="9.140625" style="81"/>
    <col min="39" max="39" width="6.28515625" style="81" bestFit="1" customWidth="1"/>
    <col min="40" max="16384" width="9.140625" style="81"/>
  </cols>
  <sheetData>
    <row r="1" spans="1:39" ht="20.25" x14ac:dyDescent="0.3">
      <c r="A1" s="75" t="s">
        <v>87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39" x14ac:dyDescent="0.2"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39" ht="4.5" customHeight="1" thickBot="1" x14ac:dyDescent="0.25"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39" s="302" customFormat="1" ht="13.5" thickBot="1" x14ac:dyDescent="0.25">
      <c r="A4" s="5"/>
      <c r="B4" s="301"/>
      <c r="D4" s="303" t="s">
        <v>51</v>
      </c>
      <c r="E4" s="304"/>
      <c r="F4" s="304"/>
      <c r="G4" s="305"/>
      <c r="H4" s="306" t="s">
        <v>50</v>
      </c>
      <c r="I4" s="307"/>
      <c r="J4" s="308"/>
      <c r="K4" s="320" t="s">
        <v>89</v>
      </c>
      <c r="L4" s="321" t="s">
        <v>90</v>
      </c>
      <c r="M4" s="321"/>
      <c r="N4" s="321"/>
      <c r="O4" s="321"/>
      <c r="P4" s="321"/>
      <c r="Q4" s="321"/>
      <c r="R4" s="321"/>
      <c r="S4" s="322"/>
      <c r="T4" s="323" t="s">
        <v>96</v>
      </c>
      <c r="U4" s="324"/>
      <c r="V4" s="324"/>
      <c r="W4" s="324"/>
      <c r="X4" s="324"/>
      <c r="Y4" s="324"/>
      <c r="Z4" s="325"/>
      <c r="AM4" s="302" t="s">
        <v>67</v>
      </c>
    </row>
    <row r="5" spans="1:39" ht="15" x14ac:dyDescent="0.2">
      <c r="A5" s="5"/>
      <c r="B5" s="48"/>
      <c r="D5" s="91"/>
      <c r="E5" s="92"/>
      <c r="F5" s="92"/>
      <c r="G5" s="93"/>
      <c r="H5" s="94"/>
      <c r="I5" s="95"/>
      <c r="J5" s="95"/>
      <c r="K5" s="96"/>
      <c r="L5" s="97"/>
      <c r="M5" s="97"/>
      <c r="N5" s="97"/>
      <c r="O5" s="97"/>
      <c r="P5" s="97"/>
      <c r="Q5" s="97"/>
      <c r="R5" s="97"/>
      <c r="S5" s="98"/>
      <c r="T5" s="99"/>
      <c r="U5" s="100"/>
      <c r="V5" s="100"/>
      <c r="W5" s="100"/>
      <c r="X5" s="100"/>
      <c r="Y5" s="100"/>
      <c r="Z5" s="101"/>
      <c r="AM5" s="81" t="s">
        <v>68</v>
      </c>
    </row>
    <row r="6" spans="1:39" x14ac:dyDescent="0.2">
      <c r="D6" s="102"/>
      <c r="E6" s="103"/>
      <c r="F6" s="103"/>
      <c r="G6" s="104"/>
      <c r="H6" s="105"/>
      <c r="I6" s="106"/>
      <c r="J6" s="106"/>
      <c r="K6" s="295">
        <f>18/31</f>
        <v>0.58064516129032262</v>
      </c>
      <c r="L6" s="296">
        <f>1-K6</f>
        <v>0.41935483870967738</v>
      </c>
      <c r="M6" s="107"/>
      <c r="N6" s="107"/>
      <c r="O6" s="107"/>
      <c r="P6" s="107"/>
      <c r="Q6" s="107"/>
      <c r="R6" s="107"/>
      <c r="S6" s="108"/>
      <c r="T6" s="109"/>
      <c r="U6" s="110"/>
      <c r="V6" s="110"/>
      <c r="W6" s="110"/>
      <c r="X6" s="110"/>
      <c r="Y6" s="110"/>
      <c r="Z6" s="111"/>
      <c r="AM6" s="81" t="s">
        <v>69</v>
      </c>
    </row>
    <row r="7" spans="1:39" x14ac:dyDescent="0.2">
      <c r="A7" s="80"/>
      <c r="D7" s="102"/>
      <c r="E7" s="103"/>
      <c r="F7" s="103"/>
      <c r="G7" s="104"/>
      <c r="H7" s="105"/>
      <c r="I7" s="106"/>
      <c r="J7" s="106"/>
      <c r="K7" s="71" t="s">
        <v>13</v>
      </c>
      <c r="L7" s="70" t="s">
        <v>14</v>
      </c>
      <c r="M7" s="107"/>
      <c r="N7" s="107"/>
      <c r="O7" s="107"/>
      <c r="P7" s="107"/>
      <c r="Q7" s="107"/>
      <c r="R7" s="107"/>
      <c r="S7" s="108"/>
      <c r="T7" s="109"/>
      <c r="U7" s="110"/>
      <c r="V7" s="110"/>
      <c r="W7" s="110"/>
      <c r="X7" s="110"/>
      <c r="Y7" s="110"/>
      <c r="Z7" s="111"/>
    </row>
    <row r="8" spans="1:39" x14ac:dyDescent="0.2">
      <c r="A8" s="69"/>
      <c r="D8" s="112">
        <v>36678</v>
      </c>
      <c r="E8" s="113">
        <v>36708</v>
      </c>
      <c r="F8" s="113">
        <v>36739</v>
      </c>
      <c r="G8" s="114">
        <v>36770</v>
      </c>
      <c r="H8" s="115">
        <v>36800</v>
      </c>
      <c r="I8" s="116">
        <v>36831</v>
      </c>
      <c r="J8" s="116">
        <v>36861</v>
      </c>
      <c r="K8" s="117">
        <v>36892</v>
      </c>
      <c r="L8" s="118">
        <v>36892</v>
      </c>
      <c r="M8" s="118">
        <v>36923</v>
      </c>
      <c r="N8" s="118">
        <v>36951</v>
      </c>
      <c r="O8" s="118">
        <v>36982</v>
      </c>
      <c r="P8" s="118">
        <v>37012</v>
      </c>
      <c r="Q8" s="118">
        <v>37043</v>
      </c>
      <c r="R8" s="118">
        <v>37073</v>
      </c>
      <c r="S8" s="119">
        <v>37104</v>
      </c>
      <c r="T8" s="120">
        <v>37135</v>
      </c>
      <c r="U8" s="121">
        <v>37165</v>
      </c>
      <c r="V8" s="121">
        <v>37196</v>
      </c>
      <c r="W8" s="121">
        <v>37226</v>
      </c>
      <c r="X8" s="121">
        <v>37257</v>
      </c>
      <c r="Y8" s="121">
        <v>37288</v>
      </c>
      <c r="Z8" s="122">
        <v>37316</v>
      </c>
      <c r="AB8" s="81" t="s">
        <v>13</v>
      </c>
      <c r="AC8" s="81" t="s">
        <v>99</v>
      </c>
      <c r="AD8" s="81" t="s">
        <v>100</v>
      </c>
      <c r="AE8" s="332" t="s">
        <v>111</v>
      </c>
    </row>
    <row r="9" spans="1:39" x14ac:dyDescent="0.2">
      <c r="D9" s="123"/>
      <c r="E9" s="124"/>
      <c r="F9" s="124"/>
      <c r="G9" s="125"/>
      <c r="H9" s="126"/>
      <c r="I9" s="127"/>
      <c r="J9" s="127"/>
      <c r="K9" s="128"/>
      <c r="L9" s="129"/>
      <c r="M9" s="129"/>
      <c r="N9" s="129"/>
      <c r="O9" s="129"/>
      <c r="P9" s="129"/>
      <c r="Q9" s="129"/>
      <c r="R9" s="129"/>
      <c r="S9" s="130"/>
      <c r="T9" s="131"/>
      <c r="U9" s="132"/>
      <c r="V9" s="132"/>
      <c r="W9" s="132"/>
      <c r="X9" s="132"/>
      <c r="Y9" s="132"/>
      <c r="Z9" s="133"/>
      <c r="AA9" s="134"/>
      <c r="AB9" s="134"/>
      <c r="AC9" s="134"/>
      <c r="AD9" s="134"/>
      <c r="AE9" s="134"/>
      <c r="AF9" s="134"/>
      <c r="AG9" s="134"/>
      <c r="AH9" s="134"/>
      <c r="AI9" s="134"/>
      <c r="AJ9" s="134"/>
    </row>
    <row r="10" spans="1:39" x14ac:dyDescent="0.2">
      <c r="A10" s="135" t="s">
        <v>18</v>
      </c>
      <c r="D10" s="136"/>
      <c r="E10" s="137"/>
      <c r="F10" s="137"/>
      <c r="G10" s="138"/>
      <c r="H10" s="139"/>
      <c r="I10" s="140"/>
      <c r="J10" s="140"/>
      <c r="K10" s="141"/>
      <c r="L10" s="142"/>
      <c r="M10" s="142"/>
      <c r="N10" s="142"/>
      <c r="O10" s="142"/>
      <c r="P10" s="142"/>
      <c r="Q10" s="142"/>
      <c r="R10" s="142"/>
      <c r="S10" s="143"/>
      <c r="T10" s="144"/>
      <c r="U10" s="145"/>
      <c r="V10" s="145"/>
      <c r="W10" s="145"/>
      <c r="X10" s="145"/>
      <c r="Y10" s="145"/>
      <c r="Z10" s="146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</row>
    <row r="11" spans="1:39" outlineLevel="1" x14ac:dyDescent="0.2">
      <c r="A11" s="4" t="s">
        <v>15</v>
      </c>
      <c r="B11" s="135"/>
      <c r="C11" s="135"/>
      <c r="D11" s="147"/>
      <c r="E11" s="148"/>
      <c r="F11" s="148"/>
      <c r="G11" s="149"/>
      <c r="H11" s="150"/>
      <c r="I11" s="151"/>
      <c r="J11" s="151"/>
      <c r="K11" s="152"/>
      <c r="L11" s="153"/>
      <c r="M11" s="153"/>
      <c r="N11" s="153"/>
      <c r="O11" s="153"/>
      <c r="P11" s="153"/>
      <c r="Q11" s="153"/>
      <c r="R11" s="153"/>
      <c r="S11" s="154">
        <f t="shared" ref="S11:Z11" si="0">SUM(S12:S14)</f>
        <v>5325.9388264117279</v>
      </c>
      <c r="T11" s="155">
        <f t="shared" si="0"/>
        <v>4960.5260104999652</v>
      </c>
      <c r="U11" s="156">
        <f t="shared" si="0"/>
        <v>4919.4447594259318</v>
      </c>
      <c r="V11" s="156">
        <f t="shared" si="0"/>
        <v>4519.2141919030491</v>
      </c>
      <c r="W11" s="156">
        <f t="shared" si="0"/>
        <v>4326.1820439937374</v>
      </c>
      <c r="X11" s="156">
        <f t="shared" si="0"/>
        <v>4328.2247895833834</v>
      </c>
      <c r="Y11" s="156">
        <f t="shared" si="0"/>
        <v>4076.4490540740589</v>
      </c>
      <c r="Z11" s="157">
        <f t="shared" si="0"/>
        <v>4440.974659496781</v>
      </c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</row>
    <row r="12" spans="1:39" outlineLevel="1" x14ac:dyDescent="0.2">
      <c r="A12" s="3" t="s">
        <v>26</v>
      </c>
      <c r="B12" s="158"/>
      <c r="D12" s="136"/>
      <c r="E12" s="137"/>
      <c r="F12" s="137"/>
      <c r="G12" s="138"/>
      <c r="H12" s="139"/>
      <c r="I12" s="140"/>
      <c r="J12" s="140"/>
      <c r="K12" s="141"/>
      <c r="L12" s="142"/>
      <c r="M12" s="142"/>
      <c r="N12" s="142"/>
      <c r="O12" s="142"/>
      <c r="P12" s="142"/>
      <c r="Q12" s="142"/>
      <c r="R12" s="142"/>
      <c r="S12" s="383">
        <v>1597.7816479235182</v>
      </c>
      <c r="T12" s="384">
        <v>1488.1578031499896</v>
      </c>
      <c r="U12" s="382">
        <v>1475.8334278277794</v>
      </c>
      <c r="V12" s="382">
        <v>1355.7642575709147</v>
      </c>
      <c r="W12" s="382">
        <v>1297.8546131981211</v>
      </c>
      <c r="X12" s="382">
        <v>1298.467436875015</v>
      </c>
      <c r="Y12" s="382">
        <v>1222.9347162222177</v>
      </c>
      <c r="Z12" s="383">
        <v>1332.2923978490344</v>
      </c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</row>
    <row r="13" spans="1:39" outlineLevel="1" x14ac:dyDescent="0.2">
      <c r="A13" s="3" t="s">
        <v>27</v>
      </c>
      <c r="B13" s="158"/>
      <c r="D13" s="136"/>
      <c r="E13" s="137"/>
      <c r="F13" s="137"/>
      <c r="G13" s="138"/>
      <c r="H13" s="139"/>
      <c r="I13" s="140"/>
      <c r="J13" s="140"/>
      <c r="K13" s="141"/>
      <c r="L13" s="142"/>
      <c r="M13" s="142"/>
      <c r="N13" s="142"/>
      <c r="O13" s="142"/>
      <c r="P13" s="142"/>
      <c r="Q13" s="142"/>
      <c r="R13" s="142"/>
      <c r="S13" s="383">
        <v>2662.9694132058639</v>
      </c>
      <c r="T13" s="384">
        <v>2480.2630052499826</v>
      </c>
      <c r="U13" s="382">
        <v>2459.7223797129659</v>
      </c>
      <c r="V13" s="382">
        <v>2259.6070959515246</v>
      </c>
      <c r="W13" s="382">
        <v>2163.0910219968687</v>
      </c>
      <c r="X13" s="382">
        <v>2164.1123947916917</v>
      </c>
      <c r="Y13" s="382">
        <v>2038.2245270370295</v>
      </c>
      <c r="Z13" s="383">
        <v>2220.4873297483905</v>
      </c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</row>
    <row r="14" spans="1:39" outlineLevel="1" x14ac:dyDescent="0.2">
      <c r="A14" s="3" t="s">
        <v>28</v>
      </c>
      <c r="B14" s="158"/>
      <c r="D14" s="136"/>
      <c r="E14" s="137"/>
      <c r="F14" s="137"/>
      <c r="G14" s="138"/>
      <c r="H14" s="139"/>
      <c r="I14" s="140"/>
      <c r="J14" s="140"/>
      <c r="K14" s="141"/>
      <c r="L14" s="142"/>
      <c r="M14" s="142"/>
      <c r="N14" s="142"/>
      <c r="O14" s="142"/>
      <c r="P14" s="142"/>
      <c r="Q14" s="142"/>
      <c r="R14" s="142"/>
      <c r="S14" s="383">
        <v>1065.1877652823457</v>
      </c>
      <c r="T14" s="384">
        <v>992.10520209999311</v>
      </c>
      <c r="U14" s="382">
        <v>983.88895188518643</v>
      </c>
      <c r="V14" s="382">
        <v>903.84283838060992</v>
      </c>
      <c r="W14" s="382">
        <v>865.23640879874756</v>
      </c>
      <c r="X14" s="382">
        <v>865.64495791667673</v>
      </c>
      <c r="Y14" s="382">
        <v>815.28981081481186</v>
      </c>
      <c r="Z14" s="383">
        <v>888.19493189935622</v>
      </c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</row>
    <row r="15" spans="1:39" outlineLevel="1" x14ac:dyDescent="0.2">
      <c r="A15" s="3"/>
      <c r="B15" s="158"/>
      <c r="D15" s="136"/>
      <c r="E15" s="137"/>
      <c r="F15" s="137"/>
      <c r="G15" s="138"/>
      <c r="H15" s="139"/>
      <c r="I15" s="140"/>
      <c r="J15" s="140"/>
      <c r="K15" s="141"/>
      <c r="L15" s="142"/>
      <c r="M15" s="142"/>
      <c r="N15" s="142"/>
      <c r="O15" s="142"/>
      <c r="P15" s="142"/>
      <c r="Q15" s="142"/>
      <c r="R15" s="142"/>
      <c r="S15" s="154"/>
      <c r="T15" s="144"/>
      <c r="U15" s="145"/>
      <c r="V15" s="145"/>
      <c r="W15" s="145"/>
      <c r="X15" s="145"/>
      <c r="Y15" s="145"/>
      <c r="Z15" s="146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</row>
    <row r="16" spans="1:39" outlineLevel="1" x14ac:dyDescent="0.2">
      <c r="A16" s="4" t="s">
        <v>16</v>
      </c>
      <c r="B16" s="135"/>
      <c r="C16" s="135"/>
      <c r="D16" s="147">
        <v>0</v>
      </c>
      <c r="E16" s="148">
        <v>0</v>
      </c>
      <c r="F16" s="148">
        <v>0</v>
      </c>
      <c r="G16" s="149">
        <v>0</v>
      </c>
      <c r="H16" s="150">
        <v>0</v>
      </c>
      <c r="I16" s="151">
        <v>0</v>
      </c>
      <c r="J16" s="151">
        <v>0</v>
      </c>
      <c r="K16" s="152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/>
      <c r="R16" s="153"/>
      <c r="S16" s="154">
        <f t="shared" ref="S16:Z16" si="1">S26-S21-S11</f>
        <v>-23028.391004554374</v>
      </c>
      <c r="T16" s="155">
        <f t="shared" si="1"/>
        <v>62530.412288073203</v>
      </c>
      <c r="U16" s="156">
        <f t="shared" si="1"/>
        <v>98062.668826191919</v>
      </c>
      <c r="V16" s="156">
        <f t="shared" si="1"/>
        <v>86627.428256883897</v>
      </c>
      <c r="W16" s="156">
        <f t="shared" si="1"/>
        <v>78425.675441042535</v>
      </c>
      <c r="X16" s="156">
        <f t="shared" si="1"/>
        <v>75909.460406590777</v>
      </c>
      <c r="Y16" s="156">
        <f t="shared" si="1"/>
        <v>66654.672605329775</v>
      </c>
      <c r="Z16" s="157">
        <f t="shared" si="1"/>
        <v>80621.754776454138</v>
      </c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</row>
    <row r="17" spans="1:36" outlineLevel="1" x14ac:dyDescent="0.2">
      <c r="A17" s="3" t="s">
        <v>26</v>
      </c>
      <c r="B17" s="158"/>
      <c r="D17" s="136">
        <v>0</v>
      </c>
      <c r="E17" s="137">
        <v>0</v>
      </c>
      <c r="F17" s="137">
        <v>0</v>
      </c>
      <c r="G17" s="138">
        <v>0</v>
      </c>
      <c r="H17" s="139">
        <v>0</v>
      </c>
      <c r="I17" s="140">
        <v>0</v>
      </c>
      <c r="J17" s="140">
        <v>0</v>
      </c>
      <c r="K17" s="141">
        <v>0</v>
      </c>
      <c r="L17" s="142">
        <v>0</v>
      </c>
      <c r="M17" s="142">
        <v>0</v>
      </c>
      <c r="N17" s="142">
        <v>0</v>
      </c>
      <c r="O17" s="142">
        <v>0</v>
      </c>
      <c r="P17" s="142">
        <v>0</v>
      </c>
      <c r="Q17" s="142"/>
      <c r="R17" s="142"/>
      <c r="S17" s="297">
        <f>S27-S22-S12</f>
        <v>31996.29030531468</v>
      </c>
      <c r="T17" s="144">
        <f t="shared" ref="T17:Z17" si="2">T27-T22-T12</f>
        <v>49914.077041711396</v>
      </c>
      <c r="U17" s="145">
        <f t="shared" si="2"/>
        <v>55509.514570940759</v>
      </c>
      <c r="V17" s="145">
        <f t="shared" si="2"/>
        <v>51368.493352712379</v>
      </c>
      <c r="W17" s="145">
        <f t="shared" si="2"/>
        <v>48726.354249016913</v>
      </c>
      <c r="X17" s="145">
        <f t="shared" si="2"/>
        <v>46592.498540608365</v>
      </c>
      <c r="Y17" s="145">
        <f t="shared" si="2"/>
        <v>44338.06187074331</v>
      </c>
      <c r="Z17" s="146">
        <f t="shared" si="2"/>
        <v>48063.751838299591</v>
      </c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</row>
    <row r="18" spans="1:36" outlineLevel="1" x14ac:dyDescent="0.2">
      <c r="A18" s="3" t="s">
        <v>27</v>
      </c>
      <c r="B18" s="158"/>
      <c r="D18" s="136">
        <v>0</v>
      </c>
      <c r="E18" s="137">
        <v>0</v>
      </c>
      <c r="F18" s="137">
        <v>0</v>
      </c>
      <c r="G18" s="138">
        <v>0</v>
      </c>
      <c r="H18" s="139">
        <v>0</v>
      </c>
      <c r="I18" s="140">
        <v>0</v>
      </c>
      <c r="J18" s="140">
        <v>0</v>
      </c>
      <c r="K18" s="141">
        <v>0</v>
      </c>
      <c r="L18" s="142">
        <v>0</v>
      </c>
      <c r="M18" s="142">
        <v>0</v>
      </c>
      <c r="N18" s="142">
        <v>0</v>
      </c>
      <c r="O18" s="142">
        <v>0</v>
      </c>
      <c r="P18" s="142">
        <v>0</v>
      </c>
      <c r="Q18" s="142"/>
      <c r="R18" s="142"/>
      <c r="S18" s="297">
        <f t="shared" ref="S18:Z18" si="3">S28-S23-S13</f>
        <v>-66355.154026087766</v>
      </c>
      <c r="T18" s="144">
        <f t="shared" si="3"/>
        <v>-12146.105134611798</v>
      </c>
      <c r="U18" s="145">
        <f t="shared" si="3"/>
        <v>13589.068254741116</v>
      </c>
      <c r="V18" s="145">
        <f t="shared" si="3"/>
        <v>9379.8936913808393</v>
      </c>
      <c r="W18" s="145">
        <f t="shared" si="3"/>
        <v>6211.5733352335192</v>
      </c>
      <c r="X18" s="145">
        <f t="shared" si="3"/>
        <v>7414.2912470920292</v>
      </c>
      <c r="Y18" s="145">
        <f t="shared" si="3"/>
        <v>928.38656513556271</v>
      </c>
      <c r="Z18" s="146">
        <f t="shared" si="3"/>
        <v>9168.1692660256049</v>
      </c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</row>
    <row r="19" spans="1:36" outlineLevel="1" x14ac:dyDescent="0.2">
      <c r="A19" s="3" t="s">
        <v>28</v>
      </c>
      <c r="B19" s="158"/>
      <c r="D19" s="136">
        <v>0</v>
      </c>
      <c r="E19" s="137">
        <v>0</v>
      </c>
      <c r="F19" s="137">
        <v>0</v>
      </c>
      <c r="G19" s="138">
        <v>0</v>
      </c>
      <c r="H19" s="139">
        <v>0</v>
      </c>
      <c r="I19" s="140">
        <v>0</v>
      </c>
      <c r="J19" s="140">
        <v>0</v>
      </c>
      <c r="K19" s="141">
        <v>0</v>
      </c>
      <c r="L19" s="142">
        <v>0</v>
      </c>
      <c r="M19" s="142">
        <v>0</v>
      </c>
      <c r="N19" s="142">
        <v>0</v>
      </c>
      <c r="O19" s="142">
        <v>0</v>
      </c>
      <c r="P19" s="142">
        <v>0</v>
      </c>
      <c r="Q19" s="142"/>
      <c r="R19" s="142"/>
      <c r="S19" s="297">
        <f t="shared" ref="S19:Z19" si="4">S29-S24-S14</f>
        <v>11330.472716218725</v>
      </c>
      <c r="T19" s="144">
        <f t="shared" si="4"/>
        <v>24762.440380973603</v>
      </c>
      <c r="U19" s="145">
        <f t="shared" si="4"/>
        <v>28964.086000510037</v>
      </c>
      <c r="V19" s="145">
        <f t="shared" si="4"/>
        <v>25879.041212790686</v>
      </c>
      <c r="W19" s="145">
        <f t="shared" si="4"/>
        <v>23487.74785679211</v>
      </c>
      <c r="X19" s="145">
        <f t="shared" si="4"/>
        <v>21902.670618890374</v>
      </c>
      <c r="Y19" s="145">
        <f t="shared" si="4"/>
        <v>21388.224169450903</v>
      </c>
      <c r="Z19" s="146">
        <f t="shared" si="4"/>
        <v>23389.833672128938</v>
      </c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</row>
    <row r="20" spans="1:36" outlineLevel="1" x14ac:dyDescent="0.2">
      <c r="A20" s="3"/>
      <c r="B20" s="158"/>
      <c r="D20" s="136"/>
      <c r="E20" s="137"/>
      <c r="F20" s="137"/>
      <c r="G20" s="138"/>
      <c r="H20" s="139"/>
      <c r="I20" s="140"/>
      <c r="J20" s="140"/>
      <c r="K20" s="141"/>
      <c r="L20" s="142"/>
      <c r="M20" s="142"/>
      <c r="N20" s="142"/>
      <c r="O20" s="142"/>
      <c r="P20" s="142"/>
      <c r="Q20" s="142"/>
      <c r="R20" s="142"/>
      <c r="S20" s="143"/>
      <c r="T20" s="144"/>
      <c r="U20" s="145"/>
      <c r="V20" s="145"/>
      <c r="W20" s="145"/>
      <c r="X20" s="145"/>
      <c r="Y20" s="145"/>
      <c r="Z20" s="146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</row>
    <row r="21" spans="1:36" outlineLevel="1" x14ac:dyDescent="0.2">
      <c r="A21" s="4" t="s">
        <v>17</v>
      </c>
      <c r="B21" s="135"/>
      <c r="C21" s="135"/>
      <c r="D21" s="147">
        <v>0</v>
      </c>
      <c r="E21" s="148">
        <v>0</v>
      </c>
      <c r="F21" s="148">
        <v>0</v>
      </c>
      <c r="G21" s="149">
        <v>0</v>
      </c>
      <c r="H21" s="150">
        <v>0</v>
      </c>
      <c r="I21" s="151">
        <v>0</v>
      </c>
      <c r="J21" s="151">
        <v>0</v>
      </c>
      <c r="K21" s="152">
        <v>0</v>
      </c>
      <c r="L21" s="153">
        <v>0</v>
      </c>
      <c r="M21" s="153">
        <v>0</v>
      </c>
      <c r="N21" s="153">
        <v>0</v>
      </c>
      <c r="O21" s="153">
        <v>0</v>
      </c>
      <c r="P21" s="153">
        <v>0</v>
      </c>
      <c r="Q21" s="153">
        <v>0</v>
      </c>
      <c r="R21" s="153">
        <v>0</v>
      </c>
      <c r="S21" s="154">
        <f t="shared" ref="S21:Z21" si="5">SUM(S22:S24)</f>
        <v>92836.405972166816</v>
      </c>
      <c r="T21" s="155">
        <f t="shared" si="5"/>
        <v>94760.117962866876</v>
      </c>
      <c r="U21" s="156">
        <f t="shared" si="5"/>
        <v>90972.313204112419</v>
      </c>
      <c r="V21" s="156">
        <f t="shared" si="5"/>
        <v>86237.322801314745</v>
      </c>
      <c r="W21" s="156">
        <f t="shared" si="5"/>
        <v>83684.593413019436</v>
      </c>
      <c r="X21" s="156">
        <f t="shared" si="5"/>
        <v>79608.57234562136</v>
      </c>
      <c r="Y21" s="156">
        <f t="shared" si="5"/>
        <v>78536.930637711892</v>
      </c>
      <c r="Z21" s="157">
        <f t="shared" si="5"/>
        <v>80958.745872396103</v>
      </c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</row>
    <row r="22" spans="1:36" outlineLevel="1" x14ac:dyDescent="0.2">
      <c r="A22" s="3" t="s">
        <v>26</v>
      </c>
      <c r="B22" s="158"/>
      <c r="D22" s="136">
        <v>0</v>
      </c>
      <c r="E22" s="137">
        <v>0</v>
      </c>
      <c r="F22" s="137">
        <v>0</v>
      </c>
      <c r="G22" s="138">
        <v>0</v>
      </c>
      <c r="H22" s="139">
        <v>0</v>
      </c>
      <c r="I22" s="140">
        <v>0</v>
      </c>
      <c r="J22" s="140">
        <v>0</v>
      </c>
      <c r="K22" s="381">
        <v>0</v>
      </c>
      <c r="L22" s="382">
        <v>0</v>
      </c>
      <c r="M22" s="382">
        <v>0</v>
      </c>
      <c r="N22" s="382">
        <v>0</v>
      </c>
      <c r="O22" s="382">
        <v>0</v>
      </c>
      <c r="P22" s="382">
        <v>0</v>
      </c>
      <c r="Q22" s="382">
        <v>0</v>
      </c>
      <c r="R22" s="382">
        <v>0</v>
      </c>
      <c r="S22" s="383">
        <v>0</v>
      </c>
      <c r="T22" s="384">
        <v>0</v>
      </c>
      <c r="U22" s="382">
        <v>0</v>
      </c>
      <c r="V22" s="382">
        <v>0</v>
      </c>
      <c r="W22" s="382">
        <v>0</v>
      </c>
      <c r="X22" s="382">
        <v>0</v>
      </c>
      <c r="Y22" s="382">
        <v>0</v>
      </c>
      <c r="Z22" s="383">
        <v>0</v>
      </c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</row>
    <row r="23" spans="1:36" outlineLevel="1" x14ac:dyDescent="0.2">
      <c r="A23" s="3" t="s">
        <v>27</v>
      </c>
      <c r="B23" s="158"/>
      <c r="D23" s="136">
        <v>0</v>
      </c>
      <c r="E23" s="137">
        <v>0</v>
      </c>
      <c r="F23" s="137">
        <v>0</v>
      </c>
      <c r="G23" s="138">
        <v>0</v>
      </c>
      <c r="H23" s="139">
        <v>0</v>
      </c>
      <c r="I23" s="140">
        <v>0</v>
      </c>
      <c r="J23" s="140">
        <v>0</v>
      </c>
      <c r="K23" s="381">
        <v>0</v>
      </c>
      <c r="L23" s="382">
        <v>0</v>
      </c>
      <c r="M23" s="382">
        <v>0</v>
      </c>
      <c r="N23" s="382">
        <v>0</v>
      </c>
      <c r="O23" s="382">
        <v>0</v>
      </c>
      <c r="P23" s="382">
        <v>0</v>
      </c>
      <c r="Q23" s="382">
        <v>0</v>
      </c>
      <c r="R23" s="382">
        <v>0</v>
      </c>
      <c r="S23" s="383">
        <v>86436.459230453023</v>
      </c>
      <c r="T23" s="384">
        <v>88361.552687580654</v>
      </c>
      <c r="U23" s="382">
        <v>84576.795180771835</v>
      </c>
      <c r="V23" s="382">
        <v>79857.168223044166</v>
      </c>
      <c r="W23" s="382">
        <v>77102.00722248423</v>
      </c>
      <c r="X23" s="382">
        <v>73033.617892468625</v>
      </c>
      <c r="Y23" s="382">
        <v>72553.313907732678</v>
      </c>
      <c r="Z23" s="383">
        <v>74574.243585854521</v>
      </c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</row>
    <row r="24" spans="1:36" outlineLevel="1" x14ac:dyDescent="0.2">
      <c r="A24" s="3" t="s">
        <v>28</v>
      </c>
      <c r="B24" s="158"/>
      <c r="D24" s="136">
        <v>0</v>
      </c>
      <c r="E24" s="137">
        <v>0</v>
      </c>
      <c r="F24" s="137">
        <v>0</v>
      </c>
      <c r="G24" s="138">
        <v>0</v>
      </c>
      <c r="H24" s="139">
        <v>0</v>
      </c>
      <c r="I24" s="140">
        <v>0</v>
      </c>
      <c r="J24" s="140">
        <v>0</v>
      </c>
      <c r="K24" s="381">
        <v>0</v>
      </c>
      <c r="L24" s="382">
        <v>0</v>
      </c>
      <c r="M24" s="382">
        <v>0</v>
      </c>
      <c r="N24" s="382">
        <v>0</v>
      </c>
      <c r="O24" s="382">
        <v>0</v>
      </c>
      <c r="P24" s="382">
        <v>0</v>
      </c>
      <c r="Q24" s="382">
        <v>0</v>
      </c>
      <c r="R24" s="382">
        <v>0</v>
      </c>
      <c r="S24" s="383">
        <v>6399.9467417137876</v>
      </c>
      <c r="T24" s="384">
        <v>6398.5652752862188</v>
      </c>
      <c r="U24" s="382">
        <v>6395.5180233405872</v>
      </c>
      <c r="V24" s="382">
        <v>6380.1545782705844</v>
      </c>
      <c r="W24" s="382">
        <v>6582.5861905352085</v>
      </c>
      <c r="X24" s="382">
        <v>6574.9544531527399</v>
      </c>
      <c r="Y24" s="382">
        <v>5983.616729979216</v>
      </c>
      <c r="Z24" s="383">
        <v>6384.5022865415849</v>
      </c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</row>
    <row r="25" spans="1:36" outlineLevel="1" x14ac:dyDescent="0.2">
      <c r="A25" s="3"/>
      <c r="B25" s="158"/>
      <c r="D25" s="136"/>
      <c r="E25" s="137"/>
      <c r="F25" s="137"/>
      <c r="G25" s="138"/>
      <c r="H25" s="139"/>
      <c r="I25" s="140"/>
      <c r="J25" s="140"/>
      <c r="K25" s="141"/>
      <c r="L25" s="142"/>
      <c r="M25" s="142"/>
      <c r="N25" s="142"/>
      <c r="O25" s="142"/>
      <c r="P25" s="142"/>
      <c r="Q25" s="142"/>
      <c r="R25" s="142"/>
      <c r="S25" s="143"/>
      <c r="T25" s="144"/>
      <c r="U25" s="145"/>
      <c r="V25" s="145"/>
      <c r="W25" s="145"/>
      <c r="X25" s="145"/>
      <c r="Y25" s="145"/>
      <c r="Z25" s="146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x14ac:dyDescent="0.2">
      <c r="A26" s="4" t="s">
        <v>154</v>
      </c>
      <c r="B26" s="8" t="s">
        <v>44</v>
      </c>
      <c r="C26" s="135"/>
      <c r="D26" s="147">
        <v>138992.70324665844</v>
      </c>
      <c r="E26" s="148">
        <v>154222.19301250842</v>
      </c>
      <c r="F26" s="148">
        <v>162086.26483715844</v>
      </c>
      <c r="G26" s="149">
        <v>152376.72562550844</v>
      </c>
      <c r="H26" s="150">
        <v>152708.88135550843</v>
      </c>
      <c r="I26" s="151">
        <v>144481.75591550849</v>
      </c>
      <c r="J26" s="151">
        <v>146545.69236350848</v>
      </c>
      <c r="K26" s="377">
        <f>K148-K21</f>
        <v>146825.85977249747</v>
      </c>
      <c r="L26" s="378">
        <f t="shared" ref="L26:Z26" si="6">L148-L21</f>
        <v>106040.89872458152</v>
      </c>
      <c r="M26" s="378">
        <f t="shared" si="6"/>
        <v>196850.71151575807</v>
      </c>
      <c r="N26" s="378">
        <f t="shared" si="6"/>
        <v>20496.733372697301</v>
      </c>
      <c r="O26" s="378">
        <f t="shared" si="6"/>
        <v>4462.9223853410313</v>
      </c>
      <c r="P26" s="378">
        <f t="shared" si="6"/>
        <v>5680.8772422253232</v>
      </c>
      <c r="Q26" s="378">
        <f t="shared" si="6"/>
        <v>3704.2332883122981</v>
      </c>
      <c r="R26" s="378">
        <f t="shared" si="6"/>
        <v>55344.342287911568</v>
      </c>
      <c r="S26" s="379">
        <f t="shared" si="6"/>
        <v>75133.953794024172</v>
      </c>
      <c r="T26" s="380">
        <f t="shared" si="6"/>
        <v>162251.05626144004</v>
      </c>
      <c r="U26" s="378">
        <f t="shared" si="6"/>
        <v>193954.42678973026</v>
      </c>
      <c r="V26" s="378">
        <f t="shared" si="6"/>
        <v>177383.9652501017</v>
      </c>
      <c r="W26" s="378">
        <f t="shared" si="6"/>
        <v>166436.45089805571</v>
      </c>
      <c r="X26" s="378">
        <f t="shared" si="6"/>
        <v>159846.25754179552</v>
      </c>
      <c r="Y26" s="378">
        <f t="shared" si="6"/>
        <v>149268.05229711573</v>
      </c>
      <c r="Z26" s="379">
        <f t="shared" si="6"/>
        <v>166021.47530834703</v>
      </c>
      <c r="AA26" s="134"/>
      <c r="AB26" s="333">
        <f>K26</f>
        <v>146825.85977249747</v>
      </c>
      <c r="AC26" s="333">
        <f>SUM(L26:S26)</f>
        <v>467714.6726108513</v>
      </c>
      <c r="AD26" s="333">
        <f>SUM(T26:Z26)</f>
        <v>1175161.684346586</v>
      </c>
      <c r="AE26" s="336">
        <f>AC26+AD26</f>
        <v>1642876.3569574372</v>
      </c>
      <c r="AF26" s="134"/>
      <c r="AG26" s="134"/>
      <c r="AH26" s="134"/>
      <c r="AI26" s="134"/>
      <c r="AJ26" s="134"/>
    </row>
    <row r="27" spans="1:36" ht="12.75" customHeight="1" x14ac:dyDescent="0.2">
      <c r="A27" s="3" t="s">
        <v>82</v>
      </c>
      <c r="B27" s="11">
        <v>0.2</v>
      </c>
      <c r="D27" s="136">
        <f t="shared" ref="D27:J29" si="7">D$26*$B27</f>
        <v>27798.540649331688</v>
      </c>
      <c r="E27" s="137">
        <f t="shared" si="7"/>
        <v>30844.438602501687</v>
      </c>
      <c r="F27" s="137">
        <f t="shared" si="7"/>
        <v>32417.25296743169</v>
      </c>
      <c r="G27" s="138">
        <f t="shared" si="7"/>
        <v>30475.345125101689</v>
      </c>
      <c r="H27" s="139">
        <f t="shared" si="7"/>
        <v>30541.776271101688</v>
      </c>
      <c r="I27" s="140">
        <f t="shared" si="7"/>
        <v>28896.351183101699</v>
      </c>
      <c r="J27" s="140">
        <f t="shared" si="7"/>
        <v>29309.138472701699</v>
      </c>
      <c r="K27" s="141">
        <f t="shared" ref="K27:Z27" si="8">K149-K22</f>
        <v>29365.171954499496</v>
      </c>
      <c r="L27" s="142">
        <f t="shared" si="8"/>
        <v>21208.179744916306</v>
      </c>
      <c r="M27" s="142">
        <f t="shared" si="8"/>
        <v>39370.142303151617</v>
      </c>
      <c r="N27" s="142">
        <f t="shared" si="8"/>
        <v>4099.3466745394608</v>
      </c>
      <c r="O27" s="142">
        <f t="shared" si="8"/>
        <v>892.5844770682063</v>
      </c>
      <c r="P27" s="142">
        <f t="shared" si="8"/>
        <v>1136.1754484450646</v>
      </c>
      <c r="Q27" s="142">
        <f t="shared" si="8"/>
        <v>740.84665766245962</v>
      </c>
      <c r="R27" s="142">
        <f t="shared" si="8"/>
        <v>11068.868457582314</v>
      </c>
      <c r="S27" s="143">
        <f t="shared" si="8"/>
        <v>33594.071953238199</v>
      </c>
      <c r="T27" s="144">
        <f t="shared" si="8"/>
        <v>51402.234844861385</v>
      </c>
      <c r="U27" s="145">
        <f t="shared" si="8"/>
        <v>56985.347998768535</v>
      </c>
      <c r="V27" s="145">
        <f t="shared" si="8"/>
        <v>52724.257610283297</v>
      </c>
      <c r="W27" s="145">
        <f t="shared" si="8"/>
        <v>50024.208862215033</v>
      </c>
      <c r="X27" s="145">
        <f t="shared" si="8"/>
        <v>47890.965977483378</v>
      </c>
      <c r="Y27" s="145">
        <f t="shared" si="8"/>
        <v>45560.996586965528</v>
      </c>
      <c r="Z27" s="146">
        <f t="shared" si="8"/>
        <v>49396.044236148628</v>
      </c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x14ac:dyDescent="0.2">
      <c r="A28" s="3" t="s">
        <v>84</v>
      </c>
      <c r="B28" s="11">
        <v>0.65</v>
      </c>
      <c r="D28" s="136">
        <f t="shared" si="7"/>
        <v>90345.257110327992</v>
      </c>
      <c r="E28" s="137">
        <f t="shared" si="7"/>
        <v>100244.42545813047</v>
      </c>
      <c r="F28" s="137">
        <f t="shared" si="7"/>
        <v>105356.07214415299</v>
      </c>
      <c r="G28" s="138">
        <f t="shared" si="7"/>
        <v>99044.871656580493</v>
      </c>
      <c r="H28" s="139">
        <f t="shared" si="7"/>
        <v>99260.772881080484</v>
      </c>
      <c r="I28" s="140">
        <f t="shared" si="7"/>
        <v>93913.141345080527</v>
      </c>
      <c r="J28" s="140">
        <f t="shared" si="7"/>
        <v>95254.700036280512</v>
      </c>
      <c r="K28" s="141">
        <f t="shared" ref="K28:Z28" si="9">K150-K23</f>
        <v>95436.808852123359</v>
      </c>
      <c r="L28" s="142">
        <f t="shared" si="9"/>
        <v>68926.584170977992</v>
      </c>
      <c r="M28" s="142">
        <f t="shared" si="9"/>
        <v>127952.96248524275</v>
      </c>
      <c r="N28" s="142">
        <f t="shared" si="9"/>
        <v>13322.876692253247</v>
      </c>
      <c r="O28" s="142">
        <f t="shared" si="9"/>
        <v>2900.8995504716704</v>
      </c>
      <c r="P28" s="142">
        <f t="shared" si="9"/>
        <v>3692.5702074464602</v>
      </c>
      <c r="Q28" s="142">
        <f t="shared" si="9"/>
        <v>2407.7516374029938</v>
      </c>
      <c r="R28" s="142">
        <f t="shared" si="9"/>
        <v>35973.822487142519</v>
      </c>
      <c r="S28" s="143">
        <f t="shared" si="9"/>
        <v>22744.274617571122</v>
      </c>
      <c r="T28" s="144">
        <f t="shared" si="9"/>
        <v>78695.710558218838</v>
      </c>
      <c r="U28" s="145">
        <f t="shared" si="9"/>
        <v>100625.58581522592</v>
      </c>
      <c r="V28" s="145">
        <f t="shared" si="9"/>
        <v>91496.669010376529</v>
      </c>
      <c r="W28" s="145">
        <f t="shared" si="9"/>
        <v>85476.671579714617</v>
      </c>
      <c r="X28" s="145">
        <f t="shared" si="9"/>
        <v>82612.021534352345</v>
      </c>
      <c r="Y28" s="145">
        <f t="shared" si="9"/>
        <v>75519.92499990527</v>
      </c>
      <c r="Z28" s="146">
        <f t="shared" si="9"/>
        <v>85962.900181628516</v>
      </c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</row>
    <row r="29" spans="1:36" x14ac:dyDescent="0.2">
      <c r="A29" s="3" t="s">
        <v>86</v>
      </c>
      <c r="B29" s="11">
        <v>0.15</v>
      </c>
      <c r="D29" s="136">
        <f t="shared" si="7"/>
        <v>20848.905486998763</v>
      </c>
      <c r="E29" s="137">
        <f t="shared" si="7"/>
        <v>23133.328951876261</v>
      </c>
      <c r="F29" s="137">
        <f t="shared" si="7"/>
        <v>24312.939725573764</v>
      </c>
      <c r="G29" s="138">
        <f t="shared" si="7"/>
        <v>22856.508843826265</v>
      </c>
      <c r="H29" s="139">
        <f t="shared" si="7"/>
        <v>22906.332203326263</v>
      </c>
      <c r="I29" s="140">
        <f t="shared" si="7"/>
        <v>21672.263387326271</v>
      </c>
      <c r="J29" s="140">
        <f t="shared" si="7"/>
        <v>21981.853854526271</v>
      </c>
      <c r="K29" s="141">
        <f t="shared" ref="K29:Z29" si="10">K151-K24</f>
        <v>22023.878965874621</v>
      </c>
      <c r="L29" s="142">
        <f t="shared" si="10"/>
        <v>15906.134808687228</v>
      </c>
      <c r="M29" s="142">
        <f t="shared" si="10"/>
        <v>29527.606727363709</v>
      </c>
      <c r="N29" s="142">
        <f t="shared" si="10"/>
        <v>3074.5100059045949</v>
      </c>
      <c r="O29" s="142">
        <f t="shared" si="10"/>
        <v>669.43835780115467</v>
      </c>
      <c r="P29" s="142">
        <f t="shared" si="10"/>
        <v>852.13158633379851</v>
      </c>
      <c r="Q29" s="142">
        <f t="shared" si="10"/>
        <v>555.63499324684472</v>
      </c>
      <c r="R29" s="142">
        <f t="shared" si="10"/>
        <v>8301.6513431867352</v>
      </c>
      <c r="S29" s="143">
        <f t="shared" si="10"/>
        <v>18795.607223214858</v>
      </c>
      <c r="T29" s="144">
        <f t="shared" si="10"/>
        <v>32153.110858359814</v>
      </c>
      <c r="U29" s="145">
        <f t="shared" si="10"/>
        <v>36343.492975735811</v>
      </c>
      <c r="V29" s="145">
        <f t="shared" si="10"/>
        <v>33163.038629441879</v>
      </c>
      <c r="W29" s="145">
        <f t="shared" si="10"/>
        <v>30935.570456126065</v>
      </c>
      <c r="X29" s="145">
        <f t="shared" si="10"/>
        <v>29343.270029959789</v>
      </c>
      <c r="Y29" s="145">
        <f t="shared" si="10"/>
        <v>28187.130710244928</v>
      </c>
      <c r="Z29" s="146">
        <f t="shared" si="10"/>
        <v>30662.53089056988</v>
      </c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</row>
    <row r="30" spans="1:36" x14ac:dyDescent="0.2">
      <c r="B30" s="158">
        <f>SUM(B27:B29)</f>
        <v>1</v>
      </c>
      <c r="D30" s="102"/>
      <c r="E30" s="103"/>
      <c r="F30" s="103"/>
      <c r="G30" s="104"/>
      <c r="H30" s="105"/>
      <c r="I30" s="106"/>
      <c r="J30" s="106"/>
      <c r="K30" s="159"/>
      <c r="L30" s="107"/>
      <c r="M30" s="107"/>
      <c r="N30" s="107"/>
      <c r="O30" s="107"/>
      <c r="P30" s="107"/>
      <c r="Q30" s="107"/>
      <c r="R30" s="107"/>
      <c r="S30" s="108"/>
      <c r="T30" s="109"/>
      <c r="U30" s="110"/>
      <c r="V30" s="110"/>
      <c r="W30" s="110"/>
      <c r="X30" s="110"/>
      <c r="Y30" s="110"/>
      <c r="Z30" s="111"/>
    </row>
    <row r="31" spans="1:36" x14ac:dyDescent="0.2">
      <c r="A31" s="5" t="s">
        <v>25</v>
      </c>
      <c r="D31" s="102"/>
      <c r="E31" s="103"/>
      <c r="F31" s="103"/>
      <c r="G31" s="104"/>
      <c r="H31" s="105"/>
      <c r="I31" s="106"/>
      <c r="J31" s="106"/>
      <c r="K31" s="159"/>
      <c r="L31" s="107"/>
      <c r="M31" s="107"/>
      <c r="N31" s="107"/>
      <c r="O31" s="107"/>
      <c r="P31" s="107"/>
      <c r="Q31" s="107"/>
      <c r="R31" s="107"/>
      <c r="S31" s="108"/>
      <c r="T31" s="109"/>
      <c r="U31" s="110"/>
      <c r="V31" s="110"/>
      <c r="W31" s="110"/>
      <c r="X31" s="110"/>
      <c r="Y31" s="110"/>
      <c r="Z31" s="111"/>
    </row>
    <row r="32" spans="1:36" outlineLevel="1" x14ac:dyDescent="0.2">
      <c r="A32" s="4" t="s">
        <v>82</v>
      </c>
      <c r="B32" s="135" t="s">
        <v>83</v>
      </c>
      <c r="C32" s="49" t="s">
        <v>70</v>
      </c>
      <c r="D32" s="160">
        <v>79.47076148121981</v>
      </c>
      <c r="E32" s="161">
        <v>80.273122506278</v>
      </c>
      <c r="F32" s="161">
        <v>81.363843864136669</v>
      </c>
      <c r="G32" s="162">
        <v>78.229995446272326</v>
      </c>
      <c r="H32" s="163">
        <v>69.750758490900466</v>
      </c>
      <c r="I32" s="164">
        <v>68.107883245984411</v>
      </c>
      <c r="J32" s="164">
        <v>64.040555680169703</v>
      </c>
      <c r="K32" s="165">
        <f>K33+K36</f>
        <v>79.15066368715182</v>
      </c>
      <c r="L32" s="166">
        <v>79.15066368715182</v>
      </c>
      <c r="M32" s="166">
        <v>79.577767262523608</v>
      </c>
      <c r="N32" s="166">
        <v>76.265365652333685</v>
      </c>
      <c r="O32" s="166">
        <f>O33+10</f>
        <v>76.978696901756791</v>
      </c>
      <c r="P32" s="166">
        <f>P33+10</f>
        <v>79.674127859774515</v>
      </c>
      <c r="Q32" s="166">
        <v>129.21076148121981</v>
      </c>
      <c r="R32" s="166">
        <v>130.01312250627799</v>
      </c>
      <c r="S32" s="167">
        <v>131.10384386413668</v>
      </c>
      <c r="T32" s="168">
        <v>127.96999544627232</v>
      </c>
      <c r="U32" s="169">
        <v>119.49075849090046</v>
      </c>
      <c r="V32" s="169">
        <v>117.84788324598441</v>
      </c>
      <c r="W32" s="169">
        <v>113.78055568016971</v>
      </c>
      <c r="X32" s="169">
        <v>114.51284834018279</v>
      </c>
      <c r="Y32" s="169">
        <v>114.93995191555456</v>
      </c>
      <c r="Z32" s="170">
        <v>111.62755030536466</v>
      </c>
    </row>
    <row r="33" spans="1:26" outlineLevel="1" x14ac:dyDescent="0.2">
      <c r="A33" s="3" t="s">
        <v>71</v>
      </c>
      <c r="B33" s="135"/>
      <c r="C33" s="135"/>
      <c r="D33" s="171">
        <v>79.47076148121981</v>
      </c>
      <c r="E33" s="172">
        <v>80.273122506278</v>
      </c>
      <c r="F33" s="172">
        <v>81.363843864136669</v>
      </c>
      <c r="G33" s="173">
        <v>78.229995446272326</v>
      </c>
      <c r="H33" s="174">
        <v>69.750758490900466</v>
      </c>
      <c r="I33" s="175">
        <v>68.107883245984411</v>
      </c>
      <c r="J33" s="175">
        <v>64.040555680169703</v>
      </c>
      <c r="K33" s="176">
        <v>69.15066368715182</v>
      </c>
      <c r="L33" s="177">
        <v>69.15066368715182</v>
      </c>
      <c r="M33" s="177">
        <v>69.577767262523608</v>
      </c>
      <c r="N33" s="177">
        <v>66.265365652333685</v>
      </c>
      <c r="O33" s="177">
        <v>66.978696901756791</v>
      </c>
      <c r="P33" s="177">
        <v>69.674127859774515</v>
      </c>
      <c r="Q33" s="177">
        <v>79.47076148121981</v>
      </c>
      <c r="R33" s="177">
        <v>80.273122506278</v>
      </c>
      <c r="S33" s="178">
        <v>81.363843864136669</v>
      </c>
      <c r="T33" s="179">
        <v>78.229995446272326</v>
      </c>
      <c r="U33" s="180">
        <v>69.750758490900466</v>
      </c>
      <c r="V33" s="180">
        <v>68.107883245984397</v>
      </c>
      <c r="W33" s="180">
        <v>64.040555680169717</v>
      </c>
      <c r="X33" s="180">
        <v>64.772848340182776</v>
      </c>
      <c r="Y33" s="180">
        <v>65.199951915554564</v>
      </c>
      <c r="Z33" s="181">
        <v>61.88755030536467</v>
      </c>
    </row>
    <row r="34" spans="1:26" outlineLevel="1" x14ac:dyDescent="0.2">
      <c r="A34" s="3" t="s">
        <v>37</v>
      </c>
      <c r="D34" s="182">
        <v>8.8915649970037922</v>
      </c>
      <c r="E34" s="183">
        <v>8.891564997003794</v>
      </c>
      <c r="F34" s="183">
        <v>8.8915649970037922</v>
      </c>
      <c r="G34" s="184">
        <v>8.891564997003794</v>
      </c>
      <c r="H34" s="185">
        <v>8.8915649970037922</v>
      </c>
      <c r="I34" s="186">
        <v>8.891564997003794</v>
      </c>
      <c r="J34" s="186">
        <v>8.891564997003794</v>
      </c>
      <c r="K34" s="187">
        <v>24.542761423763196</v>
      </c>
      <c r="L34" s="166">
        <v>24.542761423763196</v>
      </c>
      <c r="M34" s="188">
        <v>24.542761423763196</v>
      </c>
      <c r="N34" s="188">
        <v>24.542761423763196</v>
      </c>
      <c r="O34" s="188">
        <v>24.542761423763203</v>
      </c>
      <c r="P34" s="188">
        <v>24.542761423763196</v>
      </c>
      <c r="Q34" s="188">
        <v>24.542761423763196</v>
      </c>
      <c r="R34" s="188">
        <v>24.542761423763196</v>
      </c>
      <c r="S34" s="189">
        <v>24.542761423763196</v>
      </c>
      <c r="T34" s="190">
        <v>24.542761423763196</v>
      </c>
      <c r="U34" s="191">
        <v>24.542761423763196</v>
      </c>
      <c r="V34" s="191">
        <v>24.542761423763196</v>
      </c>
      <c r="W34" s="191">
        <v>24.542761423763196</v>
      </c>
      <c r="X34" s="191">
        <v>20.16494607679417</v>
      </c>
      <c r="Y34" s="191">
        <v>20.164946076794159</v>
      </c>
      <c r="Z34" s="192">
        <v>20.164946076794166</v>
      </c>
    </row>
    <row r="35" spans="1:26" outlineLevel="1" x14ac:dyDescent="0.2">
      <c r="A35" s="3" t="s">
        <v>29</v>
      </c>
      <c r="D35" s="26"/>
      <c r="E35" s="27"/>
      <c r="F35" s="27"/>
      <c r="G35" s="28"/>
      <c r="H35" s="29"/>
      <c r="I35" s="30"/>
      <c r="J35" s="30"/>
      <c r="K35" s="72"/>
      <c r="L35" s="41" t="s">
        <v>88</v>
      </c>
      <c r="M35" s="41" t="s">
        <v>88</v>
      </c>
      <c r="N35" s="41" t="s">
        <v>88</v>
      </c>
      <c r="O35" s="41" t="s">
        <v>88</v>
      </c>
      <c r="P35" s="41" t="s">
        <v>88</v>
      </c>
      <c r="Q35" s="41" t="s">
        <v>88</v>
      </c>
      <c r="R35" s="41" t="s">
        <v>88</v>
      </c>
      <c r="S35" s="42" t="s">
        <v>88</v>
      </c>
      <c r="T35" s="43" t="s">
        <v>88</v>
      </c>
      <c r="U35" s="44" t="s">
        <v>88</v>
      </c>
      <c r="V35" s="44" t="s">
        <v>88</v>
      </c>
      <c r="W35" s="44" t="s">
        <v>88</v>
      </c>
      <c r="X35" s="44" t="s">
        <v>88</v>
      </c>
      <c r="Y35" s="44" t="s">
        <v>88</v>
      </c>
      <c r="Z35" s="45" t="s">
        <v>88</v>
      </c>
    </row>
    <row r="36" spans="1:26" outlineLevel="1" x14ac:dyDescent="0.2">
      <c r="A36" s="3" t="s">
        <v>30</v>
      </c>
      <c r="D36" s="182">
        <v>0</v>
      </c>
      <c r="E36" s="183">
        <v>0</v>
      </c>
      <c r="F36" s="183">
        <v>0</v>
      </c>
      <c r="G36" s="184">
        <v>0</v>
      </c>
      <c r="H36" s="185">
        <v>0</v>
      </c>
      <c r="I36" s="186">
        <v>0</v>
      </c>
      <c r="J36" s="186">
        <v>0</v>
      </c>
      <c r="K36" s="187">
        <v>10</v>
      </c>
      <c r="L36" s="188">
        <v>10</v>
      </c>
      <c r="M36" s="188">
        <v>10</v>
      </c>
      <c r="N36" s="188">
        <v>10</v>
      </c>
      <c r="O36" s="188">
        <v>10</v>
      </c>
      <c r="P36" s="188">
        <v>10</v>
      </c>
      <c r="Q36" s="188">
        <v>10</v>
      </c>
      <c r="R36" s="188">
        <v>10</v>
      </c>
      <c r="S36" s="189">
        <v>10</v>
      </c>
      <c r="T36" s="190">
        <v>10</v>
      </c>
      <c r="U36" s="191">
        <v>10</v>
      </c>
      <c r="V36" s="191">
        <v>10</v>
      </c>
      <c r="W36" s="191">
        <v>10</v>
      </c>
      <c r="X36" s="191">
        <v>10</v>
      </c>
      <c r="Y36" s="191">
        <v>10</v>
      </c>
      <c r="Z36" s="192">
        <v>10</v>
      </c>
    </row>
    <row r="37" spans="1:26" outlineLevel="1" x14ac:dyDescent="0.2">
      <c r="A37" s="3" t="s">
        <v>31</v>
      </c>
      <c r="D37" s="182">
        <v>0</v>
      </c>
      <c r="E37" s="183">
        <v>0</v>
      </c>
      <c r="F37" s="183">
        <v>0</v>
      </c>
      <c r="G37" s="184">
        <v>0</v>
      </c>
      <c r="H37" s="185">
        <v>0</v>
      </c>
      <c r="I37" s="186">
        <v>0</v>
      </c>
      <c r="J37" s="186">
        <v>0</v>
      </c>
      <c r="K37" s="187">
        <v>0</v>
      </c>
      <c r="L37" s="166">
        <v>0</v>
      </c>
      <c r="M37" s="166">
        <v>0</v>
      </c>
      <c r="N37" s="166">
        <v>0</v>
      </c>
      <c r="O37" s="166">
        <v>35.19</v>
      </c>
      <c r="P37" s="166">
        <v>46.360196396704858</v>
      </c>
      <c r="Q37" s="166">
        <v>45.166360278224552</v>
      </c>
      <c r="R37" s="166">
        <v>44.774370710787395</v>
      </c>
      <c r="S37" s="167">
        <v>46.075537313084688</v>
      </c>
      <c r="T37" s="168">
        <v>44.217858057471183</v>
      </c>
      <c r="U37" s="169">
        <v>46.156614371982592</v>
      </c>
      <c r="V37" s="169">
        <v>35.19</v>
      </c>
      <c r="W37" s="169">
        <v>35.19</v>
      </c>
      <c r="X37" s="169">
        <v>35.19</v>
      </c>
      <c r="Y37" s="169">
        <v>35.19</v>
      </c>
      <c r="Z37" s="170">
        <v>35.19</v>
      </c>
    </row>
    <row r="38" spans="1:26" outlineLevel="1" x14ac:dyDescent="0.2">
      <c r="A38" s="2"/>
      <c r="D38" s="182"/>
      <c r="E38" s="183"/>
      <c r="F38" s="183"/>
      <c r="G38" s="184"/>
      <c r="H38" s="185"/>
      <c r="I38" s="186"/>
      <c r="J38" s="186"/>
      <c r="K38" s="187"/>
      <c r="L38" s="188"/>
      <c r="M38" s="188"/>
      <c r="N38" s="188"/>
      <c r="O38" s="188"/>
      <c r="P38" s="188"/>
      <c r="Q38" s="188"/>
      <c r="R38" s="188"/>
      <c r="S38" s="189"/>
      <c r="T38" s="190"/>
      <c r="U38" s="191"/>
      <c r="V38" s="191"/>
      <c r="W38" s="191"/>
      <c r="X38" s="191"/>
      <c r="Y38" s="191"/>
      <c r="Z38" s="192"/>
    </row>
    <row r="39" spans="1:26" outlineLevel="1" x14ac:dyDescent="0.2">
      <c r="A39" s="4" t="s">
        <v>84</v>
      </c>
      <c r="B39" s="135" t="s">
        <v>85</v>
      </c>
      <c r="C39" s="49" t="s">
        <v>70</v>
      </c>
      <c r="D39" s="160">
        <v>118.86728230497235</v>
      </c>
      <c r="E39" s="161">
        <v>116.91783990904766</v>
      </c>
      <c r="F39" s="161">
        <v>119.02320330045194</v>
      </c>
      <c r="G39" s="162">
        <v>118.56482410314159</v>
      </c>
      <c r="H39" s="163">
        <v>68.525680612023422</v>
      </c>
      <c r="I39" s="164">
        <v>68.215801842068018</v>
      </c>
      <c r="J39" s="164">
        <v>69.088958789081133</v>
      </c>
      <c r="K39" s="165">
        <f>K40+K43</f>
        <v>77.303075391977472</v>
      </c>
      <c r="L39" s="166">
        <v>77.303075391977472</v>
      </c>
      <c r="M39" s="166">
        <v>77.700527889880618</v>
      </c>
      <c r="N39" s="166">
        <v>79.200401881065801</v>
      </c>
      <c r="O39" s="166">
        <f>O40+10</f>
        <v>79.533908049959678</v>
      </c>
      <c r="P39" s="166">
        <f>P40+10</f>
        <v>79.395200427010408</v>
      </c>
      <c r="Q39" s="166">
        <v>177.18882970999243</v>
      </c>
      <c r="R39" s="166">
        <v>174.48401644950167</v>
      </c>
      <c r="S39" s="167">
        <v>178.35485333864443</v>
      </c>
      <c r="T39" s="168">
        <v>176.22942603153911</v>
      </c>
      <c r="U39" s="169">
        <v>115.60410870085212</v>
      </c>
      <c r="V39" s="169">
        <v>115.34720032446459</v>
      </c>
      <c r="W39" s="169">
        <v>116.31424658975655</v>
      </c>
      <c r="X39" s="169">
        <v>111.53720852706651</v>
      </c>
      <c r="Y39" s="169">
        <v>111.93620406162509</v>
      </c>
      <c r="Z39" s="170">
        <v>113.46682831026631</v>
      </c>
    </row>
    <row r="40" spans="1:26" outlineLevel="1" x14ac:dyDescent="0.2">
      <c r="A40" s="3" t="s">
        <v>71</v>
      </c>
      <c r="B40" s="135"/>
      <c r="C40" s="135"/>
      <c r="D40" s="171">
        <v>118.86728230497235</v>
      </c>
      <c r="E40" s="172">
        <v>116.91783990904766</v>
      </c>
      <c r="F40" s="172">
        <v>119.02320330045194</v>
      </c>
      <c r="G40" s="173">
        <v>118.56482410314159</v>
      </c>
      <c r="H40" s="174">
        <v>68.525680612023422</v>
      </c>
      <c r="I40" s="175">
        <v>68.215801842068018</v>
      </c>
      <c r="J40" s="175">
        <v>69.088958789081133</v>
      </c>
      <c r="K40" s="176">
        <v>67.303075391977472</v>
      </c>
      <c r="L40" s="177">
        <v>67.303075391977472</v>
      </c>
      <c r="M40" s="177">
        <v>67.700527889880618</v>
      </c>
      <c r="N40" s="177">
        <v>69.200401881065801</v>
      </c>
      <c r="O40" s="177">
        <v>69.533908049959678</v>
      </c>
      <c r="P40" s="177">
        <v>69.395200427010408</v>
      </c>
      <c r="Q40" s="177">
        <v>118.86728230497232</v>
      </c>
      <c r="R40" s="177">
        <v>116.91783990904766</v>
      </c>
      <c r="S40" s="178">
        <v>119.02320330045197</v>
      </c>
      <c r="T40" s="179">
        <v>118.56482410314158</v>
      </c>
      <c r="U40" s="180">
        <v>68.525680612023422</v>
      </c>
      <c r="V40" s="180">
        <v>68.215801842068004</v>
      </c>
      <c r="W40" s="180">
        <v>69.088958789081133</v>
      </c>
      <c r="X40" s="180">
        <v>64.396350876608992</v>
      </c>
      <c r="Y40" s="180">
        <v>64.793803374512123</v>
      </c>
      <c r="Z40" s="181">
        <v>66.293677365697334</v>
      </c>
    </row>
    <row r="41" spans="1:26" outlineLevel="1" x14ac:dyDescent="0.2">
      <c r="A41" s="3" t="s">
        <v>37</v>
      </c>
      <c r="D41" s="182">
        <v>13.018269885671891</v>
      </c>
      <c r="E41" s="183">
        <v>13.01826988567189</v>
      </c>
      <c r="F41" s="183">
        <v>13.01826988567189</v>
      </c>
      <c r="G41" s="184">
        <v>13.01826988567189</v>
      </c>
      <c r="H41" s="185">
        <v>13.018269885671888</v>
      </c>
      <c r="I41" s="186">
        <v>13.01826988567189</v>
      </c>
      <c r="J41" s="186">
        <v>13.01826988567189</v>
      </c>
      <c r="K41" s="187">
        <v>25.022981921698644</v>
      </c>
      <c r="L41" s="166">
        <v>25.022981921698644</v>
      </c>
      <c r="M41" s="188">
        <v>25.022981921698644</v>
      </c>
      <c r="N41" s="188">
        <v>25.022981921698644</v>
      </c>
      <c r="O41" s="188">
        <v>25.022981921698644</v>
      </c>
      <c r="P41" s="188">
        <v>25.022981921698637</v>
      </c>
      <c r="Q41" s="188">
        <v>25.022981921698644</v>
      </c>
      <c r="R41" s="188">
        <v>25.022981921698644</v>
      </c>
      <c r="S41" s="189">
        <v>25.022981921698644</v>
      </c>
      <c r="T41" s="190">
        <v>25.022981921698644</v>
      </c>
      <c r="U41" s="191">
        <v>25.022981921698644</v>
      </c>
      <c r="V41" s="191">
        <v>25.022981921698644</v>
      </c>
      <c r="W41" s="191">
        <v>25.022981921698644</v>
      </c>
      <c r="X41" s="191">
        <v>22.116257406330163</v>
      </c>
      <c r="Y41" s="191">
        <v>22.116257406330163</v>
      </c>
      <c r="Z41" s="192">
        <v>22.116257406330163</v>
      </c>
    </row>
    <row r="42" spans="1:26" outlineLevel="1" x14ac:dyDescent="0.2">
      <c r="A42" s="3" t="s">
        <v>29</v>
      </c>
      <c r="D42" s="26"/>
      <c r="E42" s="27"/>
      <c r="F42" s="27"/>
      <c r="G42" s="28"/>
      <c r="H42" s="29"/>
      <c r="I42" s="30"/>
      <c r="J42" s="30"/>
      <c r="K42" s="72"/>
      <c r="L42" s="41" t="s">
        <v>88</v>
      </c>
      <c r="M42" s="41" t="s">
        <v>88</v>
      </c>
      <c r="N42" s="41" t="s">
        <v>88</v>
      </c>
      <c r="O42" s="41" t="s">
        <v>88</v>
      </c>
      <c r="P42" s="41" t="s">
        <v>88</v>
      </c>
      <c r="Q42" s="41" t="s">
        <v>88</v>
      </c>
      <c r="R42" s="41" t="s">
        <v>88</v>
      </c>
      <c r="S42" s="42" t="s">
        <v>88</v>
      </c>
      <c r="T42" s="43" t="s">
        <v>88</v>
      </c>
      <c r="U42" s="44" t="s">
        <v>88</v>
      </c>
      <c r="V42" s="44" t="s">
        <v>88</v>
      </c>
      <c r="W42" s="44" t="s">
        <v>88</v>
      </c>
      <c r="X42" s="44" t="s">
        <v>88</v>
      </c>
      <c r="Y42" s="44" t="s">
        <v>88</v>
      </c>
      <c r="Z42" s="45" t="s">
        <v>88</v>
      </c>
    </row>
    <row r="43" spans="1:26" outlineLevel="1" x14ac:dyDescent="0.2">
      <c r="A43" s="3" t="s">
        <v>30</v>
      </c>
      <c r="D43" s="182">
        <v>0</v>
      </c>
      <c r="E43" s="183">
        <v>0</v>
      </c>
      <c r="F43" s="183">
        <v>0</v>
      </c>
      <c r="G43" s="184">
        <v>0</v>
      </c>
      <c r="H43" s="185">
        <v>0</v>
      </c>
      <c r="I43" s="186">
        <v>0</v>
      </c>
      <c r="J43" s="186">
        <v>0</v>
      </c>
      <c r="K43" s="187">
        <v>10</v>
      </c>
      <c r="L43" s="188">
        <v>10</v>
      </c>
      <c r="M43" s="188">
        <v>10</v>
      </c>
      <c r="N43" s="188">
        <v>10</v>
      </c>
      <c r="O43" s="188">
        <v>10</v>
      </c>
      <c r="P43" s="188">
        <v>10</v>
      </c>
      <c r="Q43" s="188">
        <v>10</v>
      </c>
      <c r="R43" s="188">
        <v>10</v>
      </c>
      <c r="S43" s="189">
        <v>10</v>
      </c>
      <c r="T43" s="190">
        <v>10</v>
      </c>
      <c r="U43" s="191">
        <v>10</v>
      </c>
      <c r="V43" s="191">
        <v>10</v>
      </c>
      <c r="W43" s="191">
        <v>10</v>
      </c>
      <c r="X43" s="191">
        <v>10</v>
      </c>
      <c r="Y43" s="191">
        <v>10</v>
      </c>
      <c r="Z43" s="192">
        <v>10</v>
      </c>
    </row>
    <row r="44" spans="1:26" outlineLevel="1" x14ac:dyDescent="0.2">
      <c r="A44" s="3" t="s">
        <v>31</v>
      </c>
      <c r="D44" s="182">
        <v>0</v>
      </c>
      <c r="E44" s="183">
        <v>0</v>
      </c>
      <c r="F44" s="183">
        <v>0</v>
      </c>
      <c r="G44" s="184">
        <v>0</v>
      </c>
      <c r="H44" s="185">
        <v>0</v>
      </c>
      <c r="I44" s="186">
        <v>0</v>
      </c>
      <c r="J44" s="186">
        <v>0</v>
      </c>
      <c r="K44" s="187">
        <v>0</v>
      </c>
      <c r="L44" s="166">
        <v>0</v>
      </c>
      <c r="M44" s="166">
        <v>0</v>
      </c>
      <c r="N44" s="166">
        <v>0</v>
      </c>
      <c r="O44" s="166">
        <v>37.124972524646033</v>
      </c>
      <c r="P44" s="166">
        <v>37.044890989331108</v>
      </c>
      <c r="Q44" s="166">
        <v>48.321547405020119</v>
      </c>
      <c r="R44" s="166">
        <v>47.566176540454009</v>
      </c>
      <c r="S44" s="167">
        <v>49.331650038192471</v>
      </c>
      <c r="T44" s="168">
        <v>47.664601928397538</v>
      </c>
      <c r="U44" s="169">
        <v>37.078428088828694</v>
      </c>
      <c r="V44" s="169">
        <v>37.131398482396584</v>
      </c>
      <c r="W44" s="169">
        <v>37.225287800675417</v>
      </c>
      <c r="X44" s="169">
        <v>37.140857650457519</v>
      </c>
      <c r="Y44" s="169">
        <v>37.142400687112961</v>
      </c>
      <c r="Z44" s="170">
        <v>37.173150944568981</v>
      </c>
    </row>
    <row r="45" spans="1:26" outlineLevel="1" x14ac:dyDescent="0.2">
      <c r="D45" s="182"/>
      <c r="E45" s="183"/>
      <c r="F45" s="183"/>
      <c r="G45" s="184"/>
      <c r="H45" s="185"/>
      <c r="I45" s="186"/>
      <c r="J45" s="186"/>
      <c r="K45" s="187"/>
      <c r="L45" s="188"/>
      <c r="M45" s="188"/>
      <c r="N45" s="188"/>
      <c r="O45" s="188"/>
      <c r="P45" s="188"/>
      <c r="Q45" s="188"/>
      <c r="R45" s="188"/>
      <c r="S45" s="189"/>
      <c r="T45" s="190"/>
      <c r="U45" s="191"/>
      <c r="V45" s="191"/>
      <c r="W45" s="191"/>
      <c r="X45" s="191"/>
      <c r="Y45" s="191"/>
      <c r="Z45" s="192"/>
    </row>
    <row r="46" spans="1:26" outlineLevel="1" x14ac:dyDescent="0.2">
      <c r="A46" s="4" t="s">
        <v>86</v>
      </c>
      <c r="B46" s="135" t="s">
        <v>34</v>
      </c>
      <c r="C46" s="49" t="s">
        <v>70</v>
      </c>
      <c r="D46" s="160">
        <v>81.923431078793683</v>
      </c>
      <c r="E46" s="161">
        <v>80.468674233443664</v>
      </c>
      <c r="F46" s="161">
        <v>81.907544096961985</v>
      </c>
      <c r="G46" s="162">
        <v>81.5714497028236</v>
      </c>
      <c r="H46" s="163">
        <v>59.11133478925521</v>
      </c>
      <c r="I46" s="164">
        <v>58.850822816796779</v>
      </c>
      <c r="J46" s="164">
        <v>59.688938717942079</v>
      </c>
      <c r="K46" s="165">
        <f>K47+K50</f>
        <v>68.159966211994089</v>
      </c>
      <c r="L46" s="166">
        <v>68.159966211994089</v>
      </c>
      <c r="M46" s="166">
        <v>68.510782020927621</v>
      </c>
      <c r="N46" s="166">
        <v>69.767409631783636</v>
      </c>
      <c r="O46" s="166">
        <f>O47+10</f>
        <v>69.96463171643714</v>
      </c>
      <c r="P46" s="166">
        <f>P47+10</f>
        <v>69.63310339846349</v>
      </c>
      <c r="Q46" s="166">
        <v>141.48674192063788</v>
      </c>
      <c r="R46" s="166">
        <v>139.37231091925332</v>
      </c>
      <c r="S46" s="167">
        <v>142.40881529776951</v>
      </c>
      <c r="T46" s="168">
        <v>140.41699326968831</v>
      </c>
      <c r="U46" s="169">
        <v>108.5595555987577</v>
      </c>
      <c r="V46" s="169">
        <v>108.29647994495272</v>
      </c>
      <c r="W46" s="169">
        <v>109.13034247370047</v>
      </c>
      <c r="X46" s="169">
        <v>104.6299355801862</v>
      </c>
      <c r="Y46" s="169">
        <v>104.98071294474292</v>
      </c>
      <c r="Z46" s="170">
        <v>106.23575087215779</v>
      </c>
    </row>
    <row r="47" spans="1:26" outlineLevel="1" x14ac:dyDescent="0.2">
      <c r="A47" s="3" t="s">
        <v>71</v>
      </c>
      <c r="B47" s="135"/>
      <c r="C47" s="135"/>
      <c r="D47" s="171">
        <v>81.923431078793683</v>
      </c>
      <c r="E47" s="172">
        <v>80.468674233443664</v>
      </c>
      <c r="F47" s="172">
        <v>81.907544096961985</v>
      </c>
      <c r="G47" s="173">
        <v>81.5714497028236</v>
      </c>
      <c r="H47" s="174">
        <v>59.11133478925521</v>
      </c>
      <c r="I47" s="175">
        <v>58.850822816796779</v>
      </c>
      <c r="J47" s="175">
        <v>59.688938717942079</v>
      </c>
      <c r="K47" s="176">
        <v>58.159966211994089</v>
      </c>
      <c r="L47" s="177">
        <v>58.159966211994089</v>
      </c>
      <c r="M47" s="177">
        <v>58.510782020927621</v>
      </c>
      <c r="N47" s="177">
        <v>59.767409631783636</v>
      </c>
      <c r="O47" s="177">
        <v>59.96463171643714</v>
      </c>
      <c r="P47" s="177">
        <v>59.63310339846349</v>
      </c>
      <c r="Q47" s="177">
        <v>81.923431078793698</v>
      </c>
      <c r="R47" s="177">
        <v>80.468674233443636</v>
      </c>
      <c r="S47" s="178">
        <v>81.907544096961999</v>
      </c>
      <c r="T47" s="179">
        <v>81.5714497028236</v>
      </c>
      <c r="U47" s="180">
        <v>59.111334789255224</v>
      </c>
      <c r="V47" s="180">
        <v>58.850822816796779</v>
      </c>
      <c r="W47" s="180">
        <v>59.688938717942079</v>
      </c>
      <c r="X47" s="180">
        <v>55.184508601142653</v>
      </c>
      <c r="Y47" s="180">
        <v>55.535324410076186</v>
      </c>
      <c r="Z47" s="181">
        <v>56.791952020932214</v>
      </c>
    </row>
    <row r="48" spans="1:26" outlineLevel="1" x14ac:dyDescent="0.2">
      <c r="A48" s="3" t="s">
        <v>37</v>
      </c>
      <c r="D48" s="182">
        <v>11.890698605807021</v>
      </c>
      <c r="E48" s="183">
        <v>11.890698605807021</v>
      </c>
      <c r="F48" s="183">
        <v>11.890698605807021</v>
      </c>
      <c r="G48" s="184">
        <v>11.890698605807021</v>
      </c>
      <c r="H48" s="185">
        <v>11.890698605807019</v>
      </c>
      <c r="I48" s="186">
        <v>11.890698605807019</v>
      </c>
      <c r="J48" s="186">
        <v>11.890698605807021</v>
      </c>
      <c r="K48" s="187">
        <v>23.859829012369445</v>
      </c>
      <c r="L48" s="166">
        <v>23.859829012369445</v>
      </c>
      <c r="M48" s="188">
        <v>23.859829012369438</v>
      </c>
      <c r="N48" s="188">
        <v>23.859829012369445</v>
      </c>
      <c r="O48" s="188">
        <v>23.859829012369438</v>
      </c>
      <c r="P48" s="188">
        <v>23.859829012369445</v>
      </c>
      <c r="Q48" s="188">
        <v>23.859829012369438</v>
      </c>
      <c r="R48" s="188">
        <v>23.859829012369438</v>
      </c>
      <c r="S48" s="189">
        <v>23.859829012369438</v>
      </c>
      <c r="T48" s="190">
        <v>23.859829012369438</v>
      </c>
      <c r="U48" s="191">
        <v>23.859829012369445</v>
      </c>
      <c r="V48" s="191">
        <v>23.859829012369438</v>
      </c>
      <c r="W48" s="191">
        <v>23.859829012369438</v>
      </c>
      <c r="X48" s="191">
        <v>20.884371401518013</v>
      </c>
      <c r="Y48" s="191">
        <v>20.884371401518013</v>
      </c>
      <c r="Z48" s="192">
        <v>20.88437140151801</v>
      </c>
    </row>
    <row r="49" spans="1:31" outlineLevel="1" x14ac:dyDescent="0.2">
      <c r="A49" s="3" t="s">
        <v>29</v>
      </c>
      <c r="D49" s="26"/>
      <c r="E49" s="27"/>
      <c r="F49" s="27"/>
      <c r="G49" s="28"/>
      <c r="H49" s="29"/>
      <c r="I49" s="30"/>
      <c r="J49" s="30"/>
      <c r="K49" s="187">
        <f>K68</f>
        <v>195.40209111707424</v>
      </c>
      <c r="L49" s="41" t="s">
        <v>88</v>
      </c>
      <c r="M49" s="41" t="s">
        <v>88</v>
      </c>
      <c r="N49" s="41" t="s">
        <v>88</v>
      </c>
      <c r="O49" s="41" t="s">
        <v>88</v>
      </c>
      <c r="P49" s="41" t="s">
        <v>88</v>
      </c>
      <c r="Q49" s="41" t="s">
        <v>88</v>
      </c>
      <c r="R49" s="41" t="s">
        <v>88</v>
      </c>
      <c r="S49" s="42" t="s">
        <v>88</v>
      </c>
      <c r="T49" s="43" t="s">
        <v>88</v>
      </c>
      <c r="U49" s="44" t="s">
        <v>88</v>
      </c>
      <c r="V49" s="44" t="s">
        <v>88</v>
      </c>
      <c r="W49" s="44" t="s">
        <v>88</v>
      </c>
      <c r="X49" s="44" t="s">
        <v>88</v>
      </c>
      <c r="Y49" s="44" t="s">
        <v>88</v>
      </c>
      <c r="Z49" s="45" t="s">
        <v>88</v>
      </c>
    </row>
    <row r="50" spans="1:31" outlineLevel="1" x14ac:dyDescent="0.2">
      <c r="A50" s="3" t="s">
        <v>30</v>
      </c>
      <c r="D50" s="182">
        <v>0</v>
      </c>
      <c r="E50" s="183">
        <v>0</v>
      </c>
      <c r="F50" s="183">
        <v>0</v>
      </c>
      <c r="G50" s="184">
        <v>0</v>
      </c>
      <c r="H50" s="185">
        <v>0</v>
      </c>
      <c r="I50" s="186">
        <v>0</v>
      </c>
      <c r="J50" s="186">
        <v>0</v>
      </c>
      <c r="K50" s="187">
        <v>10</v>
      </c>
      <c r="L50" s="188">
        <v>10</v>
      </c>
      <c r="M50" s="188">
        <v>10</v>
      </c>
      <c r="N50" s="188">
        <v>10</v>
      </c>
      <c r="O50" s="188">
        <v>10</v>
      </c>
      <c r="P50" s="188">
        <v>10</v>
      </c>
      <c r="Q50" s="188">
        <v>10</v>
      </c>
      <c r="R50" s="188">
        <v>10</v>
      </c>
      <c r="S50" s="189">
        <v>10</v>
      </c>
      <c r="T50" s="190">
        <v>10</v>
      </c>
      <c r="U50" s="191">
        <v>10</v>
      </c>
      <c r="V50" s="191">
        <v>10</v>
      </c>
      <c r="W50" s="191">
        <v>10</v>
      </c>
      <c r="X50" s="191">
        <v>10</v>
      </c>
      <c r="Y50" s="191">
        <v>10</v>
      </c>
      <c r="Z50" s="192">
        <v>10</v>
      </c>
    </row>
    <row r="51" spans="1:31" outlineLevel="1" x14ac:dyDescent="0.2">
      <c r="A51" s="3" t="s">
        <v>31</v>
      </c>
      <c r="D51" s="182">
        <v>0</v>
      </c>
      <c r="E51" s="183">
        <v>0</v>
      </c>
      <c r="F51" s="183">
        <v>0</v>
      </c>
      <c r="G51" s="184">
        <v>0</v>
      </c>
      <c r="H51" s="185">
        <v>0</v>
      </c>
      <c r="I51" s="186">
        <v>0</v>
      </c>
      <c r="J51" s="186">
        <v>0</v>
      </c>
      <c r="K51" s="187">
        <v>0</v>
      </c>
      <c r="L51" s="166">
        <v>0</v>
      </c>
      <c r="M51" s="166">
        <v>0</v>
      </c>
      <c r="N51" s="166">
        <v>0</v>
      </c>
      <c r="O51" s="166">
        <v>39.445902597442512</v>
      </c>
      <c r="P51" s="166">
        <v>39.449146866539664</v>
      </c>
      <c r="Q51" s="166">
        <v>49.563310841844192</v>
      </c>
      <c r="R51" s="166">
        <v>48.90363668580968</v>
      </c>
      <c r="S51" s="167">
        <v>50.501271200807508</v>
      </c>
      <c r="T51" s="168">
        <v>48.845543566864713</v>
      </c>
      <c r="U51" s="169">
        <v>39.448220809502473</v>
      </c>
      <c r="V51" s="169">
        <v>39.445657128155936</v>
      </c>
      <c r="W51" s="169">
        <v>39.441403755758394</v>
      </c>
      <c r="X51" s="169">
        <v>39.445426979043546</v>
      </c>
      <c r="Y51" s="169">
        <v>39.445388534666726</v>
      </c>
      <c r="Z51" s="170">
        <v>39.44379885122558</v>
      </c>
    </row>
    <row r="52" spans="1:31" x14ac:dyDescent="0.2">
      <c r="A52" s="10" t="s">
        <v>65</v>
      </c>
      <c r="B52" s="193"/>
      <c r="C52" s="193"/>
      <c r="D52" s="194">
        <f t="shared" ref="D52:Z52" si="11">(D27*D34+D28*D41+D29*D48)/D$26</f>
        <v>12.023793215958541</v>
      </c>
      <c r="E52" s="195">
        <f t="shared" si="11"/>
        <v>12.023793215958539</v>
      </c>
      <c r="F52" s="195">
        <f t="shared" si="11"/>
        <v>12.023793215958541</v>
      </c>
      <c r="G52" s="196">
        <f t="shared" si="11"/>
        <v>12.023793215958541</v>
      </c>
      <c r="H52" s="197">
        <f t="shared" si="11"/>
        <v>12.023793215958538</v>
      </c>
      <c r="I52" s="198">
        <f t="shared" si="11"/>
        <v>12.023793215958541</v>
      </c>
      <c r="J52" s="198">
        <f t="shared" si="11"/>
        <v>12.023793215958539</v>
      </c>
      <c r="K52" s="199">
        <f t="shared" si="11"/>
        <v>24.752464885712175</v>
      </c>
      <c r="L52" s="200">
        <f t="shared" si="11"/>
        <v>24.752464885712175</v>
      </c>
      <c r="M52" s="200">
        <f t="shared" si="11"/>
        <v>24.752464885712172</v>
      </c>
      <c r="N52" s="200">
        <f t="shared" si="11"/>
        <v>24.752464885712175</v>
      </c>
      <c r="O52" s="200">
        <f>(O27*O34+O28*O41+O29*O48)/O$26</f>
        <v>24.752464885712175</v>
      </c>
      <c r="P52" s="200">
        <f t="shared" si="11"/>
        <v>24.752464885712172</v>
      </c>
      <c r="Q52" s="200">
        <f t="shared" si="11"/>
        <v>24.752464885712175</v>
      </c>
      <c r="R52" s="200">
        <f t="shared" si="11"/>
        <v>24.752464885712172</v>
      </c>
      <c r="S52" s="201">
        <f t="shared" si="11"/>
        <v>24.517288752808383</v>
      </c>
      <c r="T52" s="202">
        <f t="shared" si="11"/>
        <v>24.640344096826535</v>
      </c>
      <c r="U52" s="203">
        <f t="shared" si="11"/>
        <v>24.66393586673852</v>
      </c>
      <c r="V52" s="203">
        <f t="shared" si="11"/>
        <v>24.662786150807893</v>
      </c>
      <c r="W52" s="203">
        <f t="shared" si="11"/>
        <v>24.662451226994058</v>
      </c>
      <c r="X52" s="203">
        <f t="shared" si="11"/>
        <v>21.305492423948692</v>
      </c>
      <c r="Y52" s="203">
        <f t="shared" si="11"/>
        <v>21.288035836072243</v>
      </c>
      <c r="Z52" s="204">
        <f t="shared" si="11"/>
        <v>21.308170361089175</v>
      </c>
      <c r="AB52" s="332">
        <f>K52</f>
        <v>24.752464885712175</v>
      </c>
      <c r="AC52" s="332">
        <f>SUMPRODUCT(L52:S52,$L$26:$S$26)/SUM($L$26:$S$26)</f>
        <v>24.714686056571708</v>
      </c>
      <c r="AD52" s="332">
        <f>SUMPRODUCT(T52:Z52,$T$26:$Z$26)/SUM($T$26:$Z$26)</f>
        <v>23.300585931041308</v>
      </c>
      <c r="AE52" s="332">
        <f>SUMPRODUCT(L52:Z52,$L$26:$Z$26)/SUM($L$26:$Z$26)</f>
        <v>23.703169713107727</v>
      </c>
    </row>
    <row r="53" spans="1:31" x14ac:dyDescent="0.2">
      <c r="A53" s="10" t="s">
        <v>64</v>
      </c>
      <c r="B53" s="193"/>
      <c r="C53" s="193"/>
      <c r="D53" s="194">
        <f t="shared" ref="D53:Z53" si="12">(D27*D33+D28*D40+D29*D47)/D$26</f>
        <v>105.44640045629505</v>
      </c>
      <c r="E53" s="195">
        <f t="shared" si="12"/>
        <v>104.12152157715312</v>
      </c>
      <c r="F53" s="195">
        <f t="shared" si="12"/>
        <v>105.92398253266541</v>
      </c>
      <c r="G53" s="196">
        <f t="shared" si="12"/>
        <v>104.94885221172005</v>
      </c>
      <c r="H53" s="197">
        <f t="shared" si="12"/>
        <v>67.358544314383607</v>
      </c>
      <c r="I53" s="198">
        <f t="shared" si="12"/>
        <v>66.789471269060613</v>
      </c>
      <c r="J53" s="198">
        <f t="shared" si="12"/>
        <v>66.66927515662799</v>
      </c>
      <c r="K53" s="199">
        <f t="shared" si="12"/>
        <v>66.301126674014824</v>
      </c>
      <c r="L53" s="200">
        <f t="shared" si="12"/>
        <v>66.301126674014839</v>
      </c>
      <c r="M53" s="200">
        <f>(M27*M33+M28*M40+M29*M47)/M$26</f>
        <v>66.697513884066268</v>
      </c>
      <c r="N53" s="200">
        <f t="shared" si="12"/>
        <v>67.19844579792705</v>
      </c>
      <c r="O53" s="200">
        <f t="shared" si="12"/>
        <v>67.587474370290721</v>
      </c>
      <c r="P53" s="200">
        <f t="shared" si="12"/>
        <v>67.986671359281189</v>
      </c>
      <c r="Q53" s="200">
        <f t="shared" si="12"/>
        <v>105.44640045629502</v>
      </c>
      <c r="R53" s="200">
        <f t="shared" si="12"/>
        <v>104.12152157715313</v>
      </c>
      <c r="S53" s="201">
        <f t="shared" si="12"/>
        <v>92.899959630663346</v>
      </c>
      <c r="T53" s="202">
        <f t="shared" si="12"/>
        <v>98.455541129300698</v>
      </c>
      <c r="U53" s="203">
        <f t="shared" si="12"/>
        <v>67.121542915683193</v>
      </c>
      <c r="V53" s="203">
        <f t="shared" si="12"/>
        <v>66.43288370403944</v>
      </c>
      <c r="W53" s="203">
        <f t="shared" si="12"/>
        <v>65.824425378227758</v>
      </c>
      <c r="X53" s="203">
        <f t="shared" si="12"/>
        <v>62.818117191170181</v>
      </c>
      <c r="Y53" s="203">
        <f t="shared" si="12"/>
        <v>63.169440888869509</v>
      </c>
      <c r="Z53" s="204">
        <f t="shared" si="12"/>
        <v>63.227855952325847</v>
      </c>
      <c r="AB53" s="332">
        <f>K53</f>
        <v>66.301126674014824</v>
      </c>
      <c r="AC53" s="332">
        <f>SUMPRODUCT(L53:S53,$L$26:$S$26)/SUM($L$26:$S$26)</f>
        <v>75.598164602746152</v>
      </c>
      <c r="AD53" s="332">
        <f>SUMPRODUCT(T53:Z53,$T$26:$Z$26)/SUM($T$26:$Z$26)</f>
        <v>69.522646424162048</v>
      </c>
      <c r="AE53" s="332">
        <f>SUMPRODUCT(L53:Z53,$L$26:$Z$26)/SUM($L$26:$Z$26)</f>
        <v>71.252301235860926</v>
      </c>
    </row>
    <row r="54" spans="1:31" x14ac:dyDescent="0.2">
      <c r="A54" s="10" t="s">
        <v>77</v>
      </c>
      <c r="B54" s="193"/>
      <c r="C54" s="193"/>
      <c r="D54" s="194">
        <f t="shared" ref="D54:Z54" si="13">(D27*D32+D28*D39+D29*D46)/D$26</f>
        <v>105.44640045629505</v>
      </c>
      <c r="E54" s="195">
        <f t="shared" si="13"/>
        <v>104.12152157715312</v>
      </c>
      <c r="F54" s="195">
        <f t="shared" si="13"/>
        <v>105.92398253266541</v>
      </c>
      <c r="G54" s="196">
        <f t="shared" si="13"/>
        <v>104.94885221172005</v>
      </c>
      <c r="H54" s="197">
        <f t="shared" si="13"/>
        <v>67.358544314383607</v>
      </c>
      <c r="I54" s="198">
        <f t="shared" si="13"/>
        <v>66.789471269060613</v>
      </c>
      <c r="J54" s="198">
        <f t="shared" si="13"/>
        <v>66.66927515662799</v>
      </c>
      <c r="K54" s="199">
        <f t="shared" si="13"/>
        <v>76.301126674014853</v>
      </c>
      <c r="L54" s="200">
        <f t="shared" si="13"/>
        <v>76.301126674014839</v>
      </c>
      <c r="M54" s="200">
        <f t="shared" si="13"/>
        <v>76.697513884066268</v>
      </c>
      <c r="N54" s="200">
        <f t="shared" si="13"/>
        <v>77.19844579792705</v>
      </c>
      <c r="O54" s="200">
        <f t="shared" si="13"/>
        <v>77.587474370290721</v>
      </c>
      <c r="P54" s="200">
        <f t="shared" si="13"/>
        <v>77.986671359281203</v>
      </c>
      <c r="Q54" s="200">
        <f t="shared" si="13"/>
        <v>162.23790289583471</v>
      </c>
      <c r="R54" s="200">
        <f t="shared" si="13"/>
        <v>160.32308183131968</v>
      </c>
      <c r="S54" s="201">
        <f t="shared" si="13"/>
        <v>148.23556225753586</v>
      </c>
      <c r="T54" s="202">
        <f t="shared" si="13"/>
        <v>153.84360131758493</v>
      </c>
      <c r="U54" s="203">
        <f t="shared" si="13"/>
        <v>115.42601750737106</v>
      </c>
      <c r="V54" s="203">
        <f t="shared" si="13"/>
        <v>114.77230810344835</v>
      </c>
      <c r="W54" s="203">
        <f t="shared" si="13"/>
        <v>114.21744595922921</v>
      </c>
      <c r="X54" s="203">
        <f t="shared" si="13"/>
        <v>111.16074860160334</v>
      </c>
      <c r="Y54" s="203">
        <f t="shared" si="13"/>
        <v>111.53959145341152</v>
      </c>
      <c r="Z54" s="204">
        <f t="shared" si="13"/>
        <v>111.58408276526822</v>
      </c>
      <c r="AB54" s="332">
        <f>K54</f>
        <v>76.301126674014853</v>
      </c>
      <c r="AC54" s="332">
        <f>SUMPRODUCT(L54:S54,$L$26:$S$26)/SUM($L$26:$S$26)</f>
        <v>98.718481407488113</v>
      </c>
      <c r="AD54" s="332">
        <f>SUMPRODUCT(T54:Z54,$T$26:$Z$26)/SUM($T$26:$Z$26)</f>
        <v>118.84379013135228</v>
      </c>
      <c r="AE54" s="332">
        <f>SUMPRODUCT(L54:Z54,$L$26:$Z$26)/SUM($L$26:$Z$26)</f>
        <v>113.11426450934694</v>
      </c>
    </row>
    <row r="55" spans="1:31" x14ac:dyDescent="0.2">
      <c r="D55" s="182"/>
      <c r="E55" s="183"/>
      <c r="F55" s="183"/>
      <c r="G55" s="184"/>
      <c r="H55" s="185"/>
      <c r="I55" s="186"/>
      <c r="J55" s="186"/>
      <c r="K55" s="393"/>
      <c r="L55" s="188"/>
      <c r="M55" s="188"/>
      <c r="N55" s="188"/>
      <c r="O55" s="188"/>
      <c r="P55" s="188"/>
      <c r="Q55" s="188"/>
      <c r="R55" s="188"/>
      <c r="S55" s="189"/>
      <c r="T55" s="190"/>
      <c r="U55" s="191"/>
      <c r="V55" s="191"/>
      <c r="W55" s="191"/>
      <c r="X55" s="191"/>
      <c r="Y55" s="191"/>
      <c r="Z55" s="192"/>
      <c r="AB55" s="332">
        <f>K55</f>
        <v>0</v>
      </c>
      <c r="AC55" s="332">
        <f>SUMPRODUCT(L55:S55,$L$26:$S$26)/SUM($L$26:$S$26)</f>
        <v>0</v>
      </c>
      <c r="AD55" s="332">
        <f>SUMPRODUCT(T55:Z55,$T$26:$Z$26)/SUM($T$26:$Z$26)</f>
        <v>0</v>
      </c>
      <c r="AE55" s="332">
        <f>SUMPRODUCT(L55:Z55,$L$26:$Z$26)/SUM($L$26:$Z$26)</f>
        <v>0</v>
      </c>
    </row>
    <row r="56" spans="1:31" x14ac:dyDescent="0.2">
      <c r="A56" s="5" t="s">
        <v>38</v>
      </c>
      <c r="D56" s="182"/>
      <c r="E56" s="183"/>
      <c r="F56" s="183"/>
      <c r="G56" s="184"/>
      <c r="H56" s="185"/>
      <c r="I56" s="186"/>
      <c r="J56" s="186"/>
      <c r="K56" s="187"/>
      <c r="L56" s="188"/>
      <c r="M56" s="188"/>
      <c r="N56" s="188"/>
      <c r="O56" s="188"/>
      <c r="P56" s="188"/>
      <c r="Q56" s="188"/>
      <c r="R56" s="188"/>
      <c r="S56" s="189"/>
      <c r="T56" s="190"/>
      <c r="U56" s="191"/>
      <c r="V56" s="191"/>
      <c r="W56" s="191"/>
      <c r="X56" s="191"/>
      <c r="Y56" s="191"/>
      <c r="Z56" s="192"/>
      <c r="AE56" s="332"/>
    </row>
    <row r="57" spans="1:31" x14ac:dyDescent="0.2">
      <c r="A57" s="10" t="s">
        <v>98</v>
      </c>
      <c r="B57" s="205"/>
      <c r="C57" s="205"/>
      <c r="D57" s="206">
        <v>155.16805048544074</v>
      </c>
      <c r="E57" s="207">
        <v>115.24419206451182</v>
      </c>
      <c r="F57" s="207">
        <v>167.61378975820725</v>
      </c>
      <c r="G57" s="208">
        <v>109.52648847325412</v>
      </c>
      <c r="H57" s="209">
        <v>88.94017943682708</v>
      </c>
      <c r="I57" s="210">
        <v>134.42931261089984</v>
      </c>
      <c r="J57" s="210">
        <v>228.50359274422462</v>
      </c>
      <c r="K57" s="211">
        <v>169.55420112668634</v>
      </c>
      <c r="L57" s="212">
        <v>169.55420112668634</v>
      </c>
      <c r="M57" s="212">
        <v>186.51868697369366</v>
      </c>
      <c r="N57" s="212">
        <v>187.56283868490405</v>
      </c>
      <c r="O57" s="212">
        <v>140.5292083773621</v>
      </c>
      <c r="P57" s="212">
        <v>137.59442235464016</v>
      </c>
      <c r="Q57" s="212">
        <v>46.214883535750182</v>
      </c>
      <c r="R57" s="212">
        <v>34.256874813032134</v>
      </c>
      <c r="S57" s="213">
        <v>38.07174913112857</v>
      </c>
      <c r="T57" s="214">
        <v>42.739000000000004</v>
      </c>
      <c r="U57" s="215">
        <v>37.211350000000003</v>
      </c>
      <c r="V57" s="215">
        <v>37.251100000000001</v>
      </c>
      <c r="W57" s="215">
        <v>37.216799999999999</v>
      </c>
      <c r="X57" s="215">
        <v>38.478549999999998</v>
      </c>
      <c r="Y57" s="215">
        <v>38.512500000000003</v>
      </c>
      <c r="Z57" s="216">
        <v>35.934699999999999</v>
      </c>
      <c r="AE57" s="332"/>
    </row>
    <row r="58" spans="1:31" outlineLevel="1" x14ac:dyDescent="0.2">
      <c r="A58" s="13" t="s">
        <v>46</v>
      </c>
      <c r="B58" s="217"/>
      <c r="C58" s="217"/>
      <c r="D58" s="218">
        <v>0.10137207953145366</v>
      </c>
      <c r="E58" s="219">
        <v>6.4477456921532436E-2</v>
      </c>
      <c r="F58" s="219">
        <v>9.5313195581818944E-2</v>
      </c>
      <c r="G58" s="220">
        <v>0.1076844573909755</v>
      </c>
      <c r="H58" s="221">
        <v>5.1794604807765932E-2</v>
      </c>
      <c r="I58" s="222">
        <v>6.5540412117727764E-2</v>
      </c>
      <c r="J58" s="222">
        <v>0.23385448526650188</v>
      </c>
      <c r="K58" s="298">
        <v>7.2623500663345913E-2</v>
      </c>
      <c r="L58" s="299">
        <v>7.2623500663345913E-2</v>
      </c>
      <c r="M58" s="299">
        <v>6.0708504341557092E-2</v>
      </c>
      <c r="N58" s="299">
        <v>7.0066159135613676E-2</v>
      </c>
      <c r="O58" s="299">
        <v>9.2601614672589871E-2</v>
      </c>
      <c r="P58" s="299">
        <v>7.5960555257411452E-2</v>
      </c>
      <c r="Q58" s="299">
        <v>0.17081156285016796</v>
      </c>
      <c r="R58" s="299">
        <v>0.1358792501409935</v>
      </c>
      <c r="S58" s="300">
        <v>0.1010922918939125</v>
      </c>
      <c r="T58" s="82">
        <v>8.6362507136195699E-2</v>
      </c>
      <c r="U58" s="83">
        <v>6.1029400299191613E-2</v>
      </c>
      <c r="V58" s="83">
        <v>7.3571302954753254E-2</v>
      </c>
      <c r="W58" s="83">
        <v>9.0493159309478613E-2</v>
      </c>
      <c r="X58" s="83">
        <v>7.2623500663345913E-2</v>
      </c>
      <c r="Y58" s="83">
        <v>6.0708504341557092E-2</v>
      </c>
      <c r="Z58" s="84">
        <v>7.0066159135613676E-2</v>
      </c>
      <c r="AE58" s="332"/>
    </row>
    <row r="59" spans="1:31" outlineLevel="1" x14ac:dyDescent="0.2">
      <c r="A59" s="13" t="s">
        <v>48</v>
      </c>
      <c r="B59" s="217"/>
      <c r="C59" s="217"/>
      <c r="D59" s="182">
        <v>12.313619637996991</v>
      </c>
      <c r="E59" s="183">
        <v>12.313619637996991</v>
      </c>
      <c r="F59" s="183">
        <v>12.313619637996991</v>
      </c>
      <c r="G59" s="184">
        <v>12.313619637996991</v>
      </c>
      <c r="H59" s="185">
        <v>12.313619637996991</v>
      </c>
      <c r="I59" s="186">
        <v>12.313619637996991</v>
      </c>
      <c r="J59" s="186">
        <v>12.313619637996991</v>
      </c>
      <c r="K59" s="187">
        <v>12.313619637996991</v>
      </c>
      <c r="L59" s="188">
        <f t="shared" ref="L59:R59" si="14">L57*L58</f>
        <v>12.313619637996991</v>
      </c>
      <c r="M59" s="188">
        <f t="shared" si="14"/>
        <v>11.32327051792401</v>
      </c>
      <c r="N59" s="188">
        <f t="shared" si="14"/>
        <v>13.141807703223924</v>
      </c>
      <c r="O59" s="188">
        <f t="shared" si="14"/>
        <v>13.013231604404574</v>
      </c>
      <c r="P59" s="188">
        <f t="shared" si="14"/>
        <v>10.451748722381254</v>
      </c>
      <c r="Q59" s="188">
        <f t="shared" si="14"/>
        <v>7.8940364836799848</v>
      </c>
      <c r="R59" s="188">
        <f t="shared" si="14"/>
        <v>4.6547984617686931</v>
      </c>
      <c r="S59" s="189">
        <f t="shared" ref="S59:Z59" si="15">S57*S58</f>
        <v>3.8487603760758589</v>
      </c>
      <c r="T59" s="190">
        <f t="shared" si="15"/>
        <v>3.6910471924938681</v>
      </c>
      <c r="U59" s="191">
        <f t="shared" si="15"/>
        <v>2.2709863748233241</v>
      </c>
      <c r="V59" s="191">
        <f t="shared" si="15"/>
        <v>2.740611963497809</v>
      </c>
      <c r="W59" s="191">
        <f t="shared" si="15"/>
        <v>3.3678658113890036</v>
      </c>
      <c r="X59" s="191">
        <f t="shared" si="15"/>
        <v>2.7944470014495888</v>
      </c>
      <c r="Y59" s="191">
        <f t="shared" si="15"/>
        <v>2.3380362734542177</v>
      </c>
      <c r="Z59" s="192">
        <f t="shared" si="15"/>
        <v>2.5178064086905367</v>
      </c>
      <c r="AE59" s="332"/>
    </row>
    <row r="60" spans="1:31" outlineLevel="1" x14ac:dyDescent="0.2">
      <c r="A60" s="6" t="s">
        <v>47</v>
      </c>
      <c r="B60" s="8" t="s">
        <v>43</v>
      </c>
      <c r="C60" s="8" t="s">
        <v>44</v>
      </c>
      <c r="D60" s="182"/>
      <c r="E60" s="183"/>
      <c r="F60" s="183"/>
      <c r="G60" s="184"/>
      <c r="H60" s="185"/>
      <c r="I60" s="186"/>
      <c r="J60" s="186"/>
      <c r="K60" s="187"/>
      <c r="L60" s="188"/>
      <c r="M60" s="188"/>
      <c r="N60" s="188"/>
      <c r="O60" s="188"/>
      <c r="P60" s="188"/>
      <c r="Q60" s="188"/>
      <c r="R60" s="188"/>
      <c r="S60" s="189"/>
      <c r="T60" s="190"/>
      <c r="U60" s="191"/>
      <c r="V60" s="191"/>
      <c r="W60" s="191"/>
      <c r="X60" s="191"/>
      <c r="Y60" s="191"/>
      <c r="Z60" s="192"/>
      <c r="AE60" s="332"/>
    </row>
    <row r="61" spans="1:31" outlineLevel="1" x14ac:dyDescent="0.2">
      <c r="A61" s="3" t="s">
        <v>40</v>
      </c>
      <c r="B61" s="46">
        <v>0.03</v>
      </c>
      <c r="C61" s="47">
        <f>SCE!B27</f>
        <v>0.2</v>
      </c>
      <c r="D61" s="182">
        <f t="shared" ref="D61:M63" si="16">D$57*$B61*$C61</f>
        <v>0.93100830291264447</v>
      </c>
      <c r="E61" s="183">
        <f t="shared" si="16"/>
        <v>0.69146515238707096</v>
      </c>
      <c r="F61" s="183">
        <f t="shared" si="16"/>
        <v>1.0056827385492435</v>
      </c>
      <c r="G61" s="184">
        <f t="shared" si="16"/>
        <v>0.6571589308395247</v>
      </c>
      <c r="H61" s="185">
        <f t="shared" si="16"/>
        <v>0.5336410766209625</v>
      </c>
      <c r="I61" s="186">
        <f t="shared" si="16"/>
        <v>0.80657587566539901</v>
      </c>
      <c r="J61" s="186">
        <f t="shared" si="16"/>
        <v>1.3710215564653476</v>
      </c>
      <c r="K61" s="187">
        <f t="shared" si="16"/>
        <v>1.017325206760118</v>
      </c>
      <c r="L61" s="188">
        <f t="shared" si="16"/>
        <v>1.017325206760118</v>
      </c>
      <c r="M61" s="188">
        <f t="shared" si="16"/>
        <v>1.119112121842162</v>
      </c>
      <c r="N61" s="188">
        <f t="shared" ref="N61:Z63" si="17">N$57*$B61*$C61</f>
        <v>1.1253770321094243</v>
      </c>
      <c r="O61" s="188">
        <f t="shared" si="17"/>
        <v>0.8431752502641725</v>
      </c>
      <c r="P61" s="188">
        <f t="shared" si="17"/>
        <v>0.82556653412784087</v>
      </c>
      <c r="Q61" s="188">
        <f t="shared" si="17"/>
        <v>0.27728930121450113</v>
      </c>
      <c r="R61" s="188">
        <f t="shared" si="17"/>
        <v>0.20554124887819281</v>
      </c>
      <c r="S61" s="189">
        <f t="shared" si="17"/>
        <v>0.22843049478677144</v>
      </c>
      <c r="T61" s="190">
        <f t="shared" si="17"/>
        <v>0.256434</v>
      </c>
      <c r="U61" s="191">
        <f t="shared" si="17"/>
        <v>0.2232681</v>
      </c>
      <c r="V61" s="191">
        <f t="shared" si="17"/>
        <v>0.2235066</v>
      </c>
      <c r="W61" s="191">
        <f t="shared" si="17"/>
        <v>0.22330079999999999</v>
      </c>
      <c r="X61" s="191">
        <f t="shared" si="17"/>
        <v>0.2308713</v>
      </c>
      <c r="Y61" s="191">
        <f t="shared" si="17"/>
        <v>0.23107500000000003</v>
      </c>
      <c r="Z61" s="192">
        <f t="shared" si="17"/>
        <v>0.21560820000000003</v>
      </c>
      <c r="AE61" s="332"/>
    </row>
    <row r="62" spans="1:31" outlineLevel="1" x14ac:dyDescent="0.2">
      <c r="A62" s="3" t="s">
        <v>41</v>
      </c>
      <c r="B62" s="46">
        <v>0.06</v>
      </c>
      <c r="C62" s="47">
        <f>SCE!B28</f>
        <v>0.65</v>
      </c>
      <c r="D62" s="182">
        <f t="shared" si="16"/>
        <v>6.0515539689321889</v>
      </c>
      <c r="E62" s="183">
        <f t="shared" si="16"/>
        <v>4.4945234905159612</v>
      </c>
      <c r="F62" s="183">
        <f t="shared" si="16"/>
        <v>6.5369378005700831</v>
      </c>
      <c r="G62" s="184">
        <f t="shared" si="16"/>
        <v>4.2715330504569105</v>
      </c>
      <c r="H62" s="185">
        <f t="shared" si="16"/>
        <v>3.4686669980362561</v>
      </c>
      <c r="I62" s="186">
        <f t="shared" si="16"/>
        <v>5.2427431918250935</v>
      </c>
      <c r="J62" s="186">
        <f t="shared" si="16"/>
        <v>8.9116401170247599</v>
      </c>
      <c r="K62" s="187">
        <f t="shared" si="16"/>
        <v>6.6126138439407667</v>
      </c>
      <c r="L62" s="188">
        <f t="shared" si="16"/>
        <v>6.6126138439407667</v>
      </c>
      <c r="M62" s="188">
        <f t="shared" si="16"/>
        <v>7.2742287919740525</v>
      </c>
      <c r="N62" s="188">
        <f t="shared" si="17"/>
        <v>7.3149507087112573</v>
      </c>
      <c r="O62" s="188">
        <f t="shared" si="17"/>
        <v>5.4806391267171213</v>
      </c>
      <c r="P62" s="188">
        <f t="shared" si="17"/>
        <v>5.3661824718309656</v>
      </c>
      <c r="Q62" s="188">
        <f t="shared" si="17"/>
        <v>1.8023804578942573</v>
      </c>
      <c r="R62" s="188">
        <f t="shared" si="17"/>
        <v>1.3360181177082531</v>
      </c>
      <c r="S62" s="189">
        <f t="shared" si="17"/>
        <v>1.4847982161140143</v>
      </c>
      <c r="T62" s="190">
        <f t="shared" si="17"/>
        <v>1.6668210000000001</v>
      </c>
      <c r="U62" s="191">
        <f t="shared" si="17"/>
        <v>1.45124265</v>
      </c>
      <c r="V62" s="191">
        <f t="shared" si="17"/>
        <v>1.4527928999999999</v>
      </c>
      <c r="W62" s="191">
        <f t="shared" si="17"/>
        <v>1.4514552000000001</v>
      </c>
      <c r="X62" s="191">
        <f t="shared" si="17"/>
        <v>1.50066345</v>
      </c>
      <c r="Y62" s="191">
        <f t="shared" si="17"/>
        <v>1.5019875</v>
      </c>
      <c r="Z62" s="192">
        <f t="shared" si="17"/>
        <v>1.4014533</v>
      </c>
      <c r="AE62" s="332"/>
    </row>
    <row r="63" spans="1:31" outlineLevel="1" x14ac:dyDescent="0.2">
      <c r="A63" s="3" t="s">
        <v>42</v>
      </c>
      <c r="B63" s="46">
        <v>0.01</v>
      </c>
      <c r="C63" s="47">
        <f>SCE!B29</f>
        <v>0.15</v>
      </c>
      <c r="D63" s="182">
        <f t="shared" si="16"/>
        <v>0.23275207572816112</v>
      </c>
      <c r="E63" s="183">
        <f t="shared" si="16"/>
        <v>0.17286628809676771</v>
      </c>
      <c r="F63" s="183">
        <f t="shared" si="16"/>
        <v>0.25142068463731088</v>
      </c>
      <c r="G63" s="184">
        <f t="shared" si="16"/>
        <v>0.16428973270988118</v>
      </c>
      <c r="H63" s="185">
        <f t="shared" si="16"/>
        <v>0.13341026915524062</v>
      </c>
      <c r="I63" s="186">
        <f t="shared" si="16"/>
        <v>0.20164396891634978</v>
      </c>
      <c r="J63" s="186">
        <f t="shared" si="16"/>
        <v>0.34275538911633691</v>
      </c>
      <c r="K63" s="187">
        <f t="shared" si="16"/>
        <v>0.25433130169002949</v>
      </c>
      <c r="L63" s="188">
        <f t="shared" si="16"/>
        <v>0.25433130169002949</v>
      </c>
      <c r="M63" s="188">
        <f t="shared" si="16"/>
        <v>0.27977803046054051</v>
      </c>
      <c r="N63" s="188">
        <f t="shared" si="17"/>
        <v>0.28134425802735608</v>
      </c>
      <c r="O63" s="188">
        <f t="shared" si="17"/>
        <v>0.21079381256604313</v>
      </c>
      <c r="P63" s="188">
        <f t="shared" si="17"/>
        <v>0.20639163353196024</v>
      </c>
      <c r="Q63" s="188">
        <f t="shared" si="17"/>
        <v>6.9322325303625268E-2</v>
      </c>
      <c r="R63" s="188">
        <f t="shared" si="17"/>
        <v>5.1385312219548201E-2</v>
      </c>
      <c r="S63" s="189">
        <f t="shared" si="17"/>
        <v>5.7107623696692852E-2</v>
      </c>
      <c r="T63" s="190">
        <f t="shared" si="17"/>
        <v>6.4108499999999999E-2</v>
      </c>
      <c r="U63" s="191">
        <f t="shared" si="17"/>
        <v>5.5817025000000006E-2</v>
      </c>
      <c r="V63" s="191">
        <f t="shared" si="17"/>
        <v>5.5876650000000007E-2</v>
      </c>
      <c r="W63" s="191">
        <f t="shared" si="17"/>
        <v>5.5825199999999998E-2</v>
      </c>
      <c r="X63" s="191">
        <f t="shared" si="17"/>
        <v>5.7717825E-2</v>
      </c>
      <c r="Y63" s="191">
        <f t="shared" si="17"/>
        <v>5.7768750000000008E-2</v>
      </c>
      <c r="Z63" s="192">
        <f t="shared" si="17"/>
        <v>5.390205E-2</v>
      </c>
      <c r="AE63" s="332"/>
    </row>
    <row r="64" spans="1:31" outlineLevel="1" x14ac:dyDescent="0.2">
      <c r="A64" s="3" t="s">
        <v>19</v>
      </c>
      <c r="D64" s="182">
        <v>0.5</v>
      </c>
      <c r="E64" s="183">
        <v>0.5</v>
      </c>
      <c r="F64" s="183">
        <v>0.5</v>
      </c>
      <c r="G64" s="184">
        <v>0.5</v>
      </c>
      <c r="H64" s="185">
        <v>0.5</v>
      </c>
      <c r="I64" s="186">
        <v>0.5</v>
      </c>
      <c r="J64" s="186">
        <v>0.5</v>
      </c>
      <c r="K64" s="187">
        <v>0.5</v>
      </c>
      <c r="L64" s="188">
        <v>0.5</v>
      </c>
      <c r="M64" s="188">
        <v>0.5</v>
      </c>
      <c r="N64" s="188">
        <v>0.5</v>
      </c>
      <c r="O64" s="188">
        <v>0.5</v>
      </c>
      <c r="P64" s="188">
        <v>0.5</v>
      </c>
      <c r="Q64" s="188">
        <v>0.5</v>
      </c>
      <c r="R64" s="188">
        <v>0.5</v>
      </c>
      <c r="S64" s="189">
        <v>0.5</v>
      </c>
      <c r="T64" s="190">
        <v>0.5</v>
      </c>
      <c r="U64" s="191">
        <v>0.5</v>
      </c>
      <c r="V64" s="191">
        <v>0.5</v>
      </c>
      <c r="W64" s="191">
        <v>0.5</v>
      </c>
      <c r="X64" s="191">
        <v>0.5</v>
      </c>
      <c r="Y64" s="191">
        <v>0.5</v>
      </c>
      <c r="Z64" s="192">
        <v>0.5</v>
      </c>
      <c r="AE64" s="332"/>
    </row>
    <row r="65" spans="1:31" outlineLevel="1" x14ac:dyDescent="0.2">
      <c r="A65" s="3" t="s">
        <v>20</v>
      </c>
      <c r="D65" s="182">
        <v>2</v>
      </c>
      <c r="E65" s="183">
        <v>2</v>
      </c>
      <c r="F65" s="183">
        <v>2</v>
      </c>
      <c r="G65" s="184">
        <v>2</v>
      </c>
      <c r="H65" s="185">
        <v>2</v>
      </c>
      <c r="I65" s="186">
        <v>2</v>
      </c>
      <c r="J65" s="186">
        <v>2</v>
      </c>
      <c r="K65" s="187">
        <v>2</v>
      </c>
      <c r="L65" s="188">
        <v>2</v>
      </c>
      <c r="M65" s="188">
        <v>2</v>
      </c>
      <c r="N65" s="188">
        <v>2</v>
      </c>
      <c r="O65" s="188">
        <v>2</v>
      </c>
      <c r="P65" s="188">
        <v>2</v>
      </c>
      <c r="Q65" s="188">
        <v>2</v>
      </c>
      <c r="R65" s="188">
        <v>2</v>
      </c>
      <c r="S65" s="189">
        <v>2</v>
      </c>
      <c r="T65" s="190">
        <v>2</v>
      </c>
      <c r="U65" s="191">
        <v>2</v>
      </c>
      <c r="V65" s="191">
        <v>2</v>
      </c>
      <c r="W65" s="191">
        <v>2</v>
      </c>
      <c r="X65" s="191">
        <v>2</v>
      </c>
      <c r="Y65" s="191">
        <v>2</v>
      </c>
      <c r="Z65" s="192">
        <v>2</v>
      </c>
      <c r="AE65" s="332"/>
    </row>
    <row r="66" spans="1:31" outlineLevel="1" x14ac:dyDescent="0.2">
      <c r="A66" s="3" t="s">
        <v>21</v>
      </c>
      <c r="D66" s="182">
        <v>1.5</v>
      </c>
      <c r="E66" s="183">
        <v>1.5</v>
      </c>
      <c r="F66" s="183">
        <v>1.5</v>
      </c>
      <c r="G66" s="184">
        <v>1.5</v>
      </c>
      <c r="H66" s="185">
        <v>1.5</v>
      </c>
      <c r="I66" s="186">
        <v>1.5</v>
      </c>
      <c r="J66" s="186">
        <v>1.5</v>
      </c>
      <c r="K66" s="187">
        <v>1.5</v>
      </c>
      <c r="L66" s="188">
        <v>1.5</v>
      </c>
      <c r="M66" s="188">
        <v>1.5</v>
      </c>
      <c r="N66" s="188">
        <v>1.5</v>
      </c>
      <c r="O66" s="188">
        <v>1.5</v>
      </c>
      <c r="P66" s="188">
        <v>1.5</v>
      </c>
      <c r="Q66" s="188">
        <v>1.5</v>
      </c>
      <c r="R66" s="188">
        <v>1.5</v>
      </c>
      <c r="S66" s="189">
        <v>1.5</v>
      </c>
      <c r="T66" s="190">
        <v>1.5</v>
      </c>
      <c r="U66" s="191">
        <v>1.5</v>
      </c>
      <c r="V66" s="191">
        <v>1.5</v>
      </c>
      <c r="W66" s="191">
        <v>1.5</v>
      </c>
      <c r="X66" s="191">
        <v>1.5</v>
      </c>
      <c r="Y66" s="191">
        <v>1.5</v>
      </c>
      <c r="Z66" s="192">
        <v>1.5</v>
      </c>
      <c r="AE66" s="332"/>
    </row>
    <row r="67" spans="1:31" outlineLevel="1" x14ac:dyDescent="0.2">
      <c r="A67" s="3" t="s">
        <v>22</v>
      </c>
      <c r="D67" s="182">
        <v>1.65</v>
      </c>
      <c r="E67" s="183">
        <v>1.65</v>
      </c>
      <c r="F67" s="183">
        <v>1.65</v>
      </c>
      <c r="G67" s="184">
        <v>1.65</v>
      </c>
      <c r="H67" s="185">
        <v>1.65</v>
      </c>
      <c r="I67" s="186">
        <v>1.65</v>
      </c>
      <c r="J67" s="186">
        <v>1.65</v>
      </c>
      <c r="K67" s="187">
        <v>1.65</v>
      </c>
      <c r="L67" s="188">
        <v>1.65</v>
      </c>
      <c r="M67" s="188">
        <v>1.65</v>
      </c>
      <c r="N67" s="188">
        <v>1.65</v>
      </c>
      <c r="O67" s="188">
        <v>1.65</v>
      </c>
      <c r="P67" s="188">
        <v>1.65</v>
      </c>
      <c r="Q67" s="188">
        <v>1.65</v>
      </c>
      <c r="R67" s="188">
        <v>1.65</v>
      </c>
      <c r="S67" s="189">
        <v>1.65</v>
      </c>
      <c r="T67" s="190">
        <v>1.65</v>
      </c>
      <c r="U67" s="191">
        <v>1.65</v>
      </c>
      <c r="V67" s="191">
        <v>1.65</v>
      </c>
      <c r="W67" s="191">
        <v>1.65</v>
      </c>
      <c r="X67" s="191">
        <v>1.65</v>
      </c>
      <c r="Y67" s="191">
        <v>1.65</v>
      </c>
      <c r="Z67" s="192">
        <v>1.65</v>
      </c>
      <c r="AE67" s="332"/>
    </row>
    <row r="68" spans="1:31" x14ac:dyDescent="0.2">
      <c r="A68" s="9" t="s">
        <v>49</v>
      </c>
      <c r="B68" s="193"/>
      <c r="C68" s="193"/>
      <c r="D68" s="194">
        <f t="shared" ref="D68:Z68" si="18">D57+SUM(D59:D67)</f>
        <v>180.34698447101073</v>
      </c>
      <c r="E68" s="195">
        <f t="shared" si="18"/>
        <v>138.56666663350862</v>
      </c>
      <c r="F68" s="195">
        <f t="shared" si="18"/>
        <v>193.37145061996088</v>
      </c>
      <c r="G68" s="196">
        <f t="shared" si="18"/>
        <v>132.58308982525742</v>
      </c>
      <c r="H68" s="197">
        <f t="shared" si="18"/>
        <v>111.03951741863654</v>
      </c>
      <c r="I68" s="198">
        <f t="shared" si="18"/>
        <v>158.64389528530367</v>
      </c>
      <c r="J68" s="198">
        <f t="shared" si="18"/>
        <v>257.09262944482805</v>
      </c>
      <c r="K68" s="199">
        <f t="shared" si="18"/>
        <v>195.40209111707424</v>
      </c>
      <c r="L68" s="200">
        <f t="shared" si="18"/>
        <v>195.40209111707424</v>
      </c>
      <c r="M68" s="200">
        <f t="shared" si="18"/>
        <v>212.16507643589443</v>
      </c>
      <c r="N68" s="200">
        <f t="shared" si="18"/>
        <v>215.07631838697603</v>
      </c>
      <c r="O68" s="200">
        <f t="shared" si="18"/>
        <v>165.72704817131401</v>
      </c>
      <c r="P68" s="200">
        <f t="shared" si="18"/>
        <v>160.09431171651218</v>
      </c>
      <c r="Q68" s="200">
        <f t="shared" si="18"/>
        <v>61.907912103842548</v>
      </c>
      <c r="R68" s="200">
        <f t="shared" si="18"/>
        <v>46.154617953606824</v>
      </c>
      <c r="S68" s="201">
        <f t="shared" si="18"/>
        <v>49.340845841801908</v>
      </c>
      <c r="T68" s="202">
        <f t="shared" si="18"/>
        <v>54.067410692493873</v>
      </c>
      <c r="U68" s="203">
        <f t="shared" si="18"/>
        <v>46.862664149823324</v>
      </c>
      <c r="V68" s="203">
        <f t="shared" si="18"/>
        <v>47.373888113497813</v>
      </c>
      <c r="W68" s="203">
        <f t="shared" si="18"/>
        <v>47.965247011389003</v>
      </c>
      <c r="X68" s="203">
        <f t="shared" si="18"/>
        <v>48.712249576449587</v>
      </c>
      <c r="Y68" s="203">
        <f t="shared" si="18"/>
        <v>48.29136752345422</v>
      </c>
      <c r="Z68" s="204">
        <f t="shared" si="18"/>
        <v>45.773469958690534</v>
      </c>
      <c r="AB68" s="332">
        <f t="shared" ref="AB68:AB131" si="19">K68</f>
        <v>195.40209111707424</v>
      </c>
      <c r="AC68" s="332">
        <f t="shared" ref="AC68:AC131" si="20">SUMPRODUCT(L68:S68,$L$26:$S$26)/SUM($L$26:$S$26)</f>
        <v>160.42647408015051</v>
      </c>
      <c r="AD68" s="332">
        <f t="shared" ref="AD68:AD131" si="21">SUMPRODUCT(T68:Z68,$T$26:$Z$26)/SUM($T$26:$Z$26)</f>
        <v>48.369903642208307</v>
      </c>
      <c r="AE68" s="332">
        <f t="shared" ref="AE68:AE131" si="22">SUMPRODUCT(L68:Z68,$L$26:$Z$26)/SUM($L$26:$Z$26)</f>
        <v>80.271575325730353</v>
      </c>
    </row>
    <row r="69" spans="1:31" x14ac:dyDescent="0.2">
      <c r="D69" s="227"/>
      <c r="E69" s="228"/>
      <c r="F69" s="228"/>
      <c r="G69" s="229"/>
      <c r="H69" s="230"/>
      <c r="I69" s="231"/>
      <c r="J69" s="231"/>
      <c r="K69" s="232"/>
      <c r="L69" s="233"/>
      <c r="M69" s="233"/>
      <c r="N69" s="233"/>
      <c r="O69" s="233"/>
      <c r="P69" s="233"/>
      <c r="Q69" s="233"/>
      <c r="R69" s="233"/>
      <c r="S69" s="234"/>
      <c r="T69" s="235"/>
      <c r="U69" s="236"/>
      <c r="V69" s="236"/>
      <c r="W69" s="236"/>
      <c r="X69" s="236"/>
      <c r="Y69" s="236"/>
      <c r="Z69" s="237"/>
      <c r="AB69" s="332">
        <f t="shared" si="19"/>
        <v>0</v>
      </c>
      <c r="AC69" s="332">
        <f t="shared" si="20"/>
        <v>0</v>
      </c>
      <c r="AD69" s="332">
        <f t="shared" si="21"/>
        <v>0</v>
      </c>
      <c r="AE69" s="332">
        <f t="shared" si="22"/>
        <v>0</v>
      </c>
    </row>
    <row r="70" spans="1:31" x14ac:dyDescent="0.2">
      <c r="A70" s="135" t="s">
        <v>91</v>
      </c>
      <c r="D70" s="227"/>
      <c r="E70" s="228"/>
      <c r="F70" s="228"/>
      <c r="G70" s="229"/>
      <c r="H70" s="230"/>
      <c r="I70" s="231"/>
      <c r="J70" s="231"/>
      <c r="K70" s="232"/>
      <c r="L70" s="233"/>
      <c r="M70" s="233"/>
      <c r="N70" s="233"/>
      <c r="O70" s="233"/>
      <c r="P70" s="233"/>
      <c r="Q70" s="233"/>
      <c r="R70" s="233"/>
      <c r="S70" s="234"/>
      <c r="T70" s="235"/>
      <c r="U70" s="236"/>
      <c r="V70" s="236"/>
      <c r="W70" s="236"/>
      <c r="X70" s="236"/>
      <c r="Y70" s="236"/>
      <c r="Z70" s="237"/>
      <c r="AB70" s="332">
        <f t="shared" si="19"/>
        <v>0</v>
      </c>
      <c r="AC70" s="332">
        <f t="shared" si="20"/>
        <v>0</v>
      </c>
      <c r="AD70" s="332">
        <f t="shared" si="21"/>
        <v>0</v>
      </c>
      <c r="AE70" s="332">
        <f t="shared" si="22"/>
        <v>0</v>
      </c>
    </row>
    <row r="71" spans="1:31" outlineLevel="1" x14ac:dyDescent="0.2">
      <c r="A71" s="2" t="s">
        <v>52</v>
      </c>
      <c r="D71" s="16"/>
      <c r="E71" s="17"/>
      <c r="F71" s="17"/>
      <c r="G71" s="18"/>
      <c r="H71" s="19"/>
      <c r="I71" s="20"/>
      <c r="J71" s="20"/>
      <c r="K71" s="73"/>
      <c r="L71" s="233"/>
      <c r="M71" s="233"/>
      <c r="N71" s="233"/>
      <c r="O71" s="233"/>
      <c r="P71" s="233"/>
      <c r="Q71" s="233"/>
      <c r="R71" s="233"/>
      <c r="S71" s="234"/>
      <c r="T71" s="235"/>
      <c r="U71" s="236"/>
      <c r="V71" s="236"/>
      <c r="W71" s="236"/>
      <c r="X71" s="236"/>
      <c r="Y71" s="236"/>
      <c r="Z71" s="237"/>
      <c r="AB71" s="332">
        <f t="shared" si="19"/>
        <v>0</v>
      </c>
      <c r="AC71" s="332">
        <f t="shared" si="20"/>
        <v>0</v>
      </c>
      <c r="AD71" s="332">
        <f t="shared" si="21"/>
        <v>0</v>
      </c>
      <c r="AE71" s="332">
        <f t="shared" si="22"/>
        <v>0</v>
      </c>
    </row>
    <row r="72" spans="1:31" outlineLevel="1" x14ac:dyDescent="0.2">
      <c r="A72" s="3" t="s">
        <v>54</v>
      </c>
      <c r="D72" s="21" t="s">
        <v>60</v>
      </c>
      <c r="E72" s="22" t="s">
        <v>60</v>
      </c>
      <c r="F72" s="22" t="s">
        <v>60</v>
      </c>
      <c r="G72" s="23" t="s">
        <v>60</v>
      </c>
      <c r="H72" s="24" t="s">
        <v>60</v>
      </c>
      <c r="I72" s="25" t="s">
        <v>60</v>
      </c>
      <c r="J72" s="25" t="s">
        <v>60</v>
      </c>
      <c r="K72" s="76">
        <f t="shared" ref="K72:K78" si="23">L72</f>
        <v>0.23632812849990559</v>
      </c>
      <c r="L72" s="296">
        <v>0.23632812849990559</v>
      </c>
      <c r="M72" s="296">
        <v>0.23666932519113909</v>
      </c>
      <c r="N72" s="296">
        <v>0.21835200043600531</v>
      </c>
      <c r="O72" s="296">
        <v>0.1979229155690102</v>
      </c>
      <c r="P72" s="296">
        <v>0.25257496121520667</v>
      </c>
      <c r="Q72" s="296">
        <v>0.25700885007585006</v>
      </c>
      <c r="R72" s="296">
        <v>0.2525467612569714</v>
      </c>
      <c r="S72" s="85">
        <v>0.25195318255700566</v>
      </c>
      <c r="T72" s="86">
        <v>0.24932622448604255</v>
      </c>
      <c r="U72" s="87">
        <v>0.24614201951032116</v>
      </c>
      <c r="V72" s="87">
        <v>0.24287646741263258</v>
      </c>
      <c r="W72" s="87">
        <v>0.24296246168450028</v>
      </c>
      <c r="X72" s="87">
        <v>0.24759978572009875</v>
      </c>
      <c r="Y72" s="87">
        <v>0.25133629730095869</v>
      </c>
      <c r="Z72" s="88">
        <v>0.25323220094298515</v>
      </c>
      <c r="AB72" s="332">
        <f t="shared" si="19"/>
        <v>0.23632812849990559</v>
      </c>
      <c r="AC72" s="332">
        <f t="shared" si="20"/>
        <v>0.24010777805609443</v>
      </c>
      <c r="AD72" s="332">
        <f t="shared" si="21"/>
        <v>0.24749814805473802</v>
      </c>
      <c r="AE72" s="332">
        <f t="shared" si="22"/>
        <v>0.24539416471493869</v>
      </c>
    </row>
    <row r="73" spans="1:31" outlineLevel="1" x14ac:dyDescent="0.2">
      <c r="A73" s="3" t="s">
        <v>55</v>
      </c>
      <c r="D73" s="31" t="s">
        <v>60</v>
      </c>
      <c r="E73" s="32" t="s">
        <v>60</v>
      </c>
      <c r="F73" s="32" t="s">
        <v>60</v>
      </c>
      <c r="G73" s="33" t="s">
        <v>60</v>
      </c>
      <c r="H73" s="34" t="s">
        <v>60</v>
      </c>
      <c r="I73" s="35" t="s">
        <v>60</v>
      </c>
      <c r="J73" s="35" t="s">
        <v>60</v>
      </c>
      <c r="K73" s="77">
        <f t="shared" si="23"/>
        <v>59.841658055354941</v>
      </c>
      <c r="L73" s="188">
        <v>59.841658055354941</v>
      </c>
      <c r="M73" s="188">
        <v>57.760724495626228</v>
      </c>
      <c r="N73" s="188">
        <v>55.678950551960007</v>
      </c>
      <c r="O73" s="188">
        <v>53.78977782876067</v>
      </c>
      <c r="P73" s="188">
        <v>51.830151663530458</v>
      </c>
      <c r="Q73" s="188">
        <v>49.190360474307163</v>
      </c>
      <c r="R73" s="188">
        <v>47.575708359818059</v>
      </c>
      <c r="S73" s="189">
        <v>47.542226490651728</v>
      </c>
      <c r="T73" s="190">
        <v>47.378080133568425</v>
      </c>
      <c r="U73" s="191">
        <v>47.013054296206811</v>
      </c>
      <c r="V73" s="191">
        <v>46.373838892848362</v>
      </c>
      <c r="W73" s="191">
        <v>46.314254879840028</v>
      </c>
      <c r="X73" s="191">
        <v>46.278397494023942</v>
      </c>
      <c r="Y73" s="191">
        <v>46.096863119333413</v>
      </c>
      <c r="Z73" s="192">
        <v>45.95242976203248</v>
      </c>
      <c r="AB73" s="332">
        <f t="shared" si="19"/>
        <v>59.841658055354941</v>
      </c>
      <c r="AC73" s="332">
        <f t="shared" si="20"/>
        <v>55.116795921421982</v>
      </c>
      <c r="AD73" s="332">
        <f t="shared" si="21"/>
        <v>46.501853921997991</v>
      </c>
      <c r="AE73" s="332">
        <f t="shared" si="22"/>
        <v>48.954463797207517</v>
      </c>
    </row>
    <row r="74" spans="1:31" outlineLevel="1" x14ac:dyDescent="0.2">
      <c r="A74" s="2" t="s">
        <v>53</v>
      </c>
      <c r="D74" s="16" t="s">
        <v>60</v>
      </c>
      <c r="E74" s="17" t="s">
        <v>60</v>
      </c>
      <c r="F74" s="17" t="s">
        <v>60</v>
      </c>
      <c r="G74" s="18" t="s">
        <v>60</v>
      </c>
      <c r="H74" s="19" t="s">
        <v>60</v>
      </c>
      <c r="I74" s="20" t="s">
        <v>60</v>
      </c>
      <c r="J74" s="20" t="s">
        <v>60</v>
      </c>
      <c r="K74" s="78"/>
      <c r="L74" s="233"/>
      <c r="M74" s="233"/>
      <c r="N74" s="233"/>
      <c r="O74" s="233"/>
      <c r="P74" s="233"/>
      <c r="Q74" s="233"/>
      <c r="R74" s="233"/>
      <c r="S74" s="234"/>
      <c r="T74" s="235"/>
      <c r="U74" s="236"/>
      <c r="V74" s="236"/>
      <c r="W74" s="236"/>
      <c r="X74" s="236"/>
      <c r="Y74" s="236"/>
      <c r="Z74" s="237"/>
      <c r="AB74" s="332">
        <f t="shared" si="19"/>
        <v>0</v>
      </c>
      <c r="AC74" s="332">
        <f t="shared" si="20"/>
        <v>0</v>
      </c>
      <c r="AD74" s="332">
        <f t="shared" si="21"/>
        <v>0</v>
      </c>
      <c r="AE74" s="332">
        <f t="shared" si="22"/>
        <v>0</v>
      </c>
    </row>
    <row r="75" spans="1:31" outlineLevel="1" x14ac:dyDescent="0.2">
      <c r="A75" s="3" t="s">
        <v>54</v>
      </c>
      <c r="D75" s="21" t="s">
        <v>60</v>
      </c>
      <c r="E75" s="22" t="s">
        <v>60</v>
      </c>
      <c r="F75" s="22" t="s">
        <v>60</v>
      </c>
      <c r="G75" s="23" t="s">
        <v>60</v>
      </c>
      <c r="H75" s="24" t="s">
        <v>60</v>
      </c>
      <c r="I75" s="25" t="s">
        <v>60</v>
      </c>
      <c r="J75" s="25" t="s">
        <v>60</v>
      </c>
      <c r="K75" s="76">
        <f t="shared" si="23"/>
        <v>0.13353189557430056</v>
      </c>
      <c r="L75" s="296">
        <v>0.13353189557430056</v>
      </c>
      <c r="M75" s="296">
        <v>0.13335910262264863</v>
      </c>
      <c r="N75" s="296">
        <v>0.14263558358547362</v>
      </c>
      <c r="O75" s="296">
        <v>0.15298152762424511</v>
      </c>
      <c r="P75" s="296">
        <v>0.26690555826531276</v>
      </c>
      <c r="Q75" s="296">
        <v>0.26247166940466943</v>
      </c>
      <c r="R75" s="296">
        <v>0.26693375822354809</v>
      </c>
      <c r="S75" s="85">
        <v>0.26752733692351377</v>
      </c>
      <c r="T75" s="86">
        <v>0.27015429499447691</v>
      </c>
      <c r="U75" s="87">
        <v>0.27333849997019827</v>
      </c>
      <c r="V75" s="87">
        <v>0.27660405206788691</v>
      </c>
      <c r="W75" s="87">
        <v>0.27651805779601923</v>
      </c>
      <c r="X75" s="87">
        <v>0.27188073376042077</v>
      </c>
      <c r="Y75" s="87">
        <v>0.26814422217956085</v>
      </c>
      <c r="Z75" s="88">
        <v>0.26624831853753433</v>
      </c>
      <c r="AB75" s="332">
        <f t="shared" si="19"/>
        <v>0.13353189557430056</v>
      </c>
      <c r="AC75" s="332">
        <f t="shared" si="20"/>
        <v>0.17399530801711349</v>
      </c>
      <c r="AD75" s="332">
        <f t="shared" si="21"/>
        <v>0.27198237142578152</v>
      </c>
      <c r="AE75" s="332">
        <f t="shared" si="22"/>
        <v>0.24408618368882981</v>
      </c>
    </row>
    <row r="76" spans="1:31" outlineLevel="1" x14ac:dyDescent="0.2">
      <c r="A76" s="3" t="s">
        <v>55</v>
      </c>
      <c r="D76" s="31" t="s">
        <v>60</v>
      </c>
      <c r="E76" s="32" t="s">
        <v>60</v>
      </c>
      <c r="F76" s="32" t="s">
        <v>60</v>
      </c>
      <c r="G76" s="33" t="s">
        <v>60</v>
      </c>
      <c r="H76" s="34" t="s">
        <v>60</v>
      </c>
      <c r="I76" s="35" t="s">
        <v>60</v>
      </c>
      <c r="J76" s="35" t="s">
        <v>60</v>
      </c>
      <c r="K76" s="385">
        <v>130.69999999999999</v>
      </c>
      <c r="L76" s="375">
        <v>130.69999999999999</v>
      </c>
      <c r="M76" s="375">
        <v>69</v>
      </c>
      <c r="N76" s="375">
        <v>69</v>
      </c>
      <c r="O76" s="375">
        <v>69</v>
      </c>
      <c r="P76" s="375">
        <v>81</v>
      </c>
      <c r="Q76" s="375">
        <v>58</v>
      </c>
      <c r="R76" s="375">
        <v>57</v>
      </c>
      <c r="S76" s="376">
        <v>55</v>
      </c>
      <c r="T76" s="386">
        <v>65</v>
      </c>
      <c r="U76" s="375">
        <v>65</v>
      </c>
      <c r="V76" s="375">
        <v>65</v>
      </c>
      <c r="W76" s="375">
        <v>65</v>
      </c>
      <c r="X76" s="375">
        <v>65</v>
      </c>
      <c r="Y76" s="375">
        <v>65</v>
      </c>
      <c r="Z76" s="376">
        <v>65</v>
      </c>
      <c r="AB76" s="332">
        <f t="shared" si="19"/>
        <v>130.69999999999999</v>
      </c>
      <c r="AC76" s="332">
        <f t="shared" si="20"/>
        <v>79.378421366116555</v>
      </c>
      <c r="AD76" s="332">
        <f t="shared" si="21"/>
        <v>65</v>
      </c>
      <c r="AE76" s="332">
        <f t="shared" si="22"/>
        <v>69.093429559342241</v>
      </c>
    </row>
    <row r="77" spans="1:31" outlineLevel="1" x14ac:dyDescent="0.2">
      <c r="A77" s="2" t="s">
        <v>58</v>
      </c>
      <c r="D77" s="16" t="s">
        <v>60</v>
      </c>
      <c r="E77" s="17" t="s">
        <v>60</v>
      </c>
      <c r="F77" s="17" t="s">
        <v>60</v>
      </c>
      <c r="G77" s="18" t="s">
        <v>60</v>
      </c>
      <c r="H77" s="19" t="s">
        <v>60</v>
      </c>
      <c r="I77" s="20" t="s">
        <v>60</v>
      </c>
      <c r="J77" s="20" t="s">
        <v>60</v>
      </c>
      <c r="K77" s="78"/>
      <c r="L77" s="233"/>
      <c r="M77" s="233"/>
      <c r="N77" s="233"/>
      <c r="O77" s="233"/>
      <c r="P77" s="233"/>
      <c r="Q77" s="233"/>
      <c r="R77" s="233"/>
      <c r="S77" s="234"/>
      <c r="T77" s="235"/>
      <c r="U77" s="236"/>
      <c r="V77" s="236"/>
      <c r="W77" s="236"/>
      <c r="X77" s="236"/>
      <c r="Y77" s="236"/>
      <c r="Z77" s="237"/>
      <c r="AB77" s="332">
        <f t="shared" si="19"/>
        <v>0</v>
      </c>
      <c r="AC77" s="332">
        <f t="shared" si="20"/>
        <v>0</v>
      </c>
      <c r="AD77" s="332">
        <f t="shared" si="21"/>
        <v>0</v>
      </c>
      <c r="AE77" s="332">
        <f t="shared" si="22"/>
        <v>0</v>
      </c>
    </row>
    <row r="78" spans="1:31" outlineLevel="1" x14ac:dyDescent="0.2">
      <c r="A78" s="3" t="s">
        <v>54</v>
      </c>
      <c r="D78" s="21" t="s">
        <v>60</v>
      </c>
      <c r="E78" s="22" t="s">
        <v>60</v>
      </c>
      <c r="F78" s="22" t="s">
        <v>60</v>
      </c>
      <c r="G78" s="23" t="s">
        <v>60</v>
      </c>
      <c r="H78" s="24" t="s">
        <v>60</v>
      </c>
      <c r="I78" s="25" t="s">
        <v>60</v>
      </c>
      <c r="J78" s="25" t="s">
        <v>60</v>
      </c>
      <c r="K78" s="76">
        <f t="shared" si="23"/>
        <v>0.63013997592579385</v>
      </c>
      <c r="L78" s="296">
        <v>0.63013997592579385</v>
      </c>
      <c r="M78" s="296">
        <v>0.62997157218621225</v>
      </c>
      <c r="N78" s="296">
        <v>0.63901241597852099</v>
      </c>
      <c r="O78" s="296">
        <v>0.64909555680674469</v>
      </c>
      <c r="P78" s="296">
        <v>0.48051948051948051</v>
      </c>
      <c r="Q78" s="296">
        <v>0.48051948051948051</v>
      </c>
      <c r="R78" s="296">
        <v>0.48051948051948057</v>
      </c>
      <c r="S78" s="85">
        <v>0.48051948051948057</v>
      </c>
      <c r="T78" s="86">
        <v>0.48051948051948051</v>
      </c>
      <c r="U78" s="87">
        <v>0.48051948051948057</v>
      </c>
      <c r="V78" s="87">
        <v>0.48051948051948057</v>
      </c>
      <c r="W78" s="87">
        <v>0.48051948051948051</v>
      </c>
      <c r="X78" s="87">
        <v>0.48051948051948057</v>
      </c>
      <c r="Y78" s="87">
        <v>0.48051948051948057</v>
      </c>
      <c r="Z78" s="88">
        <v>0.48051948051948057</v>
      </c>
      <c r="AB78" s="332">
        <f t="shared" si="19"/>
        <v>0.63013997592579385</v>
      </c>
      <c r="AC78" s="332">
        <f t="shared" si="20"/>
        <v>0.58589691392679211</v>
      </c>
      <c r="AD78" s="332">
        <f t="shared" si="21"/>
        <v>0.48051948051948062</v>
      </c>
      <c r="AE78" s="332">
        <f t="shared" si="22"/>
        <v>0.51051965159623147</v>
      </c>
    </row>
    <row r="79" spans="1:31" outlineLevel="1" x14ac:dyDescent="0.2">
      <c r="A79" s="309" t="s">
        <v>56</v>
      </c>
      <c r="D79" s="31" t="s">
        <v>60</v>
      </c>
      <c r="E79" s="32" t="s">
        <v>60</v>
      </c>
      <c r="F79" s="32" t="s">
        <v>60</v>
      </c>
      <c r="G79" s="33" t="s">
        <v>60</v>
      </c>
      <c r="H79" s="34" t="s">
        <v>60</v>
      </c>
      <c r="I79" s="35" t="s">
        <v>60</v>
      </c>
      <c r="J79" s="35" t="s">
        <v>60</v>
      </c>
      <c r="K79" s="385">
        <v>62.77</v>
      </c>
      <c r="L79" s="375">
        <v>62.77</v>
      </c>
      <c r="M79" s="375">
        <v>62.77</v>
      </c>
      <c r="N79" s="375">
        <v>62.77</v>
      </c>
      <c r="O79" s="375">
        <v>62.77</v>
      </c>
      <c r="P79" s="375">
        <v>62.77</v>
      </c>
      <c r="Q79" s="375">
        <v>62.77</v>
      </c>
      <c r="R79" s="375">
        <v>62.77</v>
      </c>
      <c r="S79" s="376">
        <v>62.77</v>
      </c>
      <c r="T79" s="386">
        <v>62.77</v>
      </c>
      <c r="U79" s="375">
        <v>62.77</v>
      </c>
      <c r="V79" s="375">
        <v>62.77</v>
      </c>
      <c r="W79" s="375">
        <v>62.77</v>
      </c>
      <c r="X79" s="375">
        <v>62.77</v>
      </c>
      <c r="Y79" s="375">
        <v>62.77</v>
      </c>
      <c r="Z79" s="376">
        <v>62.77</v>
      </c>
      <c r="AB79" s="332">
        <f t="shared" si="19"/>
        <v>62.77</v>
      </c>
      <c r="AC79" s="332">
        <f t="shared" si="20"/>
        <v>62.77</v>
      </c>
      <c r="AD79" s="332">
        <f t="shared" si="21"/>
        <v>62.769999999999996</v>
      </c>
      <c r="AE79" s="332">
        <f t="shared" si="22"/>
        <v>62.77</v>
      </c>
    </row>
    <row r="80" spans="1:31" x14ac:dyDescent="0.2">
      <c r="A80" s="14" t="s">
        <v>57</v>
      </c>
      <c r="B80" s="238"/>
      <c r="C80" s="238"/>
      <c r="D80" s="36"/>
      <c r="E80" s="37"/>
      <c r="F80" s="37"/>
      <c r="G80" s="38"/>
      <c r="H80" s="39"/>
      <c r="I80" s="40"/>
      <c r="J80" s="40"/>
      <c r="K80" s="79"/>
      <c r="L80" s="239"/>
      <c r="M80" s="239"/>
      <c r="N80" s="239"/>
      <c r="O80" s="239"/>
      <c r="P80" s="239"/>
      <c r="Q80" s="239"/>
      <c r="R80" s="239"/>
      <c r="S80" s="240"/>
      <c r="T80" s="241"/>
      <c r="U80" s="242"/>
      <c r="V80" s="242"/>
      <c r="W80" s="242"/>
      <c r="X80" s="242"/>
      <c r="Y80" s="242"/>
      <c r="Z80" s="243"/>
      <c r="AB80" s="332">
        <f t="shared" si="19"/>
        <v>0</v>
      </c>
      <c r="AC80" s="332">
        <f t="shared" si="20"/>
        <v>0</v>
      </c>
      <c r="AD80" s="332">
        <f t="shared" si="21"/>
        <v>0</v>
      </c>
      <c r="AE80" s="332">
        <f t="shared" si="22"/>
        <v>0</v>
      </c>
    </row>
    <row r="81" spans="1:31" x14ac:dyDescent="0.2">
      <c r="A81" s="309" t="s">
        <v>59</v>
      </c>
      <c r="D81" s="31" t="s">
        <v>60</v>
      </c>
      <c r="E81" s="32" t="s">
        <v>60</v>
      </c>
      <c r="F81" s="32" t="s">
        <v>60</v>
      </c>
      <c r="G81" s="33" t="s">
        <v>60</v>
      </c>
      <c r="H81" s="34" t="s">
        <v>60</v>
      </c>
      <c r="I81" s="35" t="s">
        <v>60</v>
      </c>
      <c r="J81" s="35" t="s">
        <v>60</v>
      </c>
      <c r="K81" s="77">
        <f>K72*K73+K75*K76+K78*K79</f>
        <v>71.148772094976493</v>
      </c>
      <c r="L81" s="188">
        <f t="shared" ref="L81:Z81" si="24">L72*L73+L75*L76+L78*L79</f>
        <v>71.148772094976493</v>
      </c>
      <c r="M81" s="188">
        <f t="shared" si="24"/>
        <v>62.415285356022451</v>
      </c>
      <c r="N81" s="188">
        <f t="shared" si="24"/>
        <v>62.110274853567333</v>
      </c>
      <c r="O81" s="188">
        <f t="shared" si="24"/>
        <v>61.945683162509894</v>
      </c>
      <c r="P81" s="188">
        <f t="shared" si="24"/>
        <v>64.872556557892608</v>
      </c>
      <c r="Q81" s="188">
        <f t="shared" si="24"/>
        <v>58.027922597996849</v>
      </c>
      <c r="R81" s="188">
        <f t="shared" si="24"/>
        <v>57.392523071728306</v>
      </c>
      <c r="S81" s="189">
        <f t="shared" si="24"/>
        <v>56.854626593166742</v>
      </c>
      <c r="T81" s="190">
        <f t="shared" si="24"/>
        <v>59.534834809948592</v>
      </c>
      <c r="U81" s="191">
        <f t="shared" si="24"/>
        <v>59.501098418087409</v>
      </c>
      <c r="V81" s="191">
        <f t="shared" si="24"/>
        <v>59.404585347278008</v>
      </c>
      <c r="W81" s="191">
        <f t="shared" si="24"/>
        <v>59.388506925638353</v>
      </c>
      <c r="X81" s="191">
        <f t="shared" si="24"/>
        <v>59.29297678962503</v>
      </c>
      <c r="Y81" s="191">
        <f t="shared" si="24"/>
        <v>59.17739712748164</v>
      </c>
      <c r="Z81" s="192">
        <f t="shared" si="24"/>
        <v>59.104983424464947</v>
      </c>
      <c r="AB81" s="332">
        <f t="shared" si="19"/>
        <v>71.148772094976493</v>
      </c>
      <c r="AC81" s="332">
        <f t="shared" si="20"/>
        <v>62.884997267586392</v>
      </c>
      <c r="AD81" s="332">
        <f t="shared" si="21"/>
        <v>59.349855608704097</v>
      </c>
      <c r="AE81" s="332">
        <f t="shared" si="22"/>
        <v>60.356284130616267</v>
      </c>
    </row>
    <row r="82" spans="1:31" x14ac:dyDescent="0.2">
      <c r="D82" s="227"/>
      <c r="E82" s="228"/>
      <c r="F82" s="228"/>
      <c r="G82" s="229"/>
      <c r="H82" s="230"/>
      <c r="I82" s="231"/>
      <c r="J82" s="231"/>
      <c r="K82" s="232"/>
      <c r="L82" s="233"/>
      <c r="M82" s="233"/>
      <c r="N82" s="233"/>
      <c r="O82" s="233"/>
      <c r="P82" s="233"/>
      <c r="Q82" s="233"/>
      <c r="R82" s="233"/>
      <c r="S82" s="234"/>
      <c r="T82" s="235"/>
      <c r="U82" s="236"/>
      <c r="V82" s="236"/>
      <c r="W82" s="236"/>
      <c r="X82" s="236"/>
      <c r="Y82" s="236"/>
      <c r="Z82" s="237"/>
      <c r="AB82" s="332">
        <f t="shared" si="19"/>
        <v>0</v>
      </c>
      <c r="AC82" s="332">
        <f t="shared" si="20"/>
        <v>0</v>
      </c>
      <c r="AD82" s="332">
        <f t="shared" si="21"/>
        <v>0</v>
      </c>
      <c r="AE82" s="332">
        <f t="shared" si="22"/>
        <v>0</v>
      </c>
    </row>
    <row r="83" spans="1:31" x14ac:dyDescent="0.2">
      <c r="A83" s="135" t="s">
        <v>61</v>
      </c>
      <c r="D83" s="227"/>
      <c r="E83" s="228"/>
      <c r="F83" s="228"/>
      <c r="G83" s="229"/>
      <c r="H83" s="230"/>
      <c r="I83" s="231"/>
      <c r="J83" s="231"/>
      <c r="K83" s="232"/>
      <c r="L83" s="233"/>
      <c r="M83" s="233"/>
      <c r="N83" s="233"/>
      <c r="O83" s="233"/>
      <c r="P83" s="233"/>
      <c r="Q83" s="233"/>
      <c r="R83" s="233"/>
      <c r="S83" s="234"/>
      <c r="T83" s="235"/>
      <c r="U83" s="236"/>
      <c r="V83" s="236"/>
      <c r="W83" s="236"/>
      <c r="X83" s="236"/>
      <c r="Y83" s="236"/>
      <c r="Z83" s="237"/>
      <c r="AB83" s="332">
        <f t="shared" si="19"/>
        <v>0</v>
      </c>
      <c r="AC83" s="332">
        <f t="shared" si="20"/>
        <v>0</v>
      </c>
      <c r="AD83" s="332">
        <f t="shared" si="21"/>
        <v>0</v>
      </c>
      <c r="AE83" s="332">
        <f t="shared" si="22"/>
        <v>0</v>
      </c>
    </row>
    <row r="84" spans="1:31" x14ac:dyDescent="0.2">
      <c r="A84" s="68" t="s">
        <v>62</v>
      </c>
      <c r="B84" s="245"/>
      <c r="C84" s="245"/>
      <c r="D84" s="246"/>
      <c r="E84" s="247"/>
      <c r="F84" s="228"/>
      <c r="G84" s="229"/>
      <c r="H84" s="230"/>
      <c r="I84" s="231"/>
      <c r="J84" s="231"/>
      <c r="K84" s="232"/>
      <c r="L84" s="233"/>
      <c r="M84" s="233"/>
      <c r="N84" s="233"/>
      <c r="O84" s="233"/>
      <c r="P84" s="233"/>
      <c r="Q84" s="233"/>
      <c r="R84" s="233"/>
      <c r="S84" s="234"/>
      <c r="T84" s="235"/>
      <c r="U84" s="236"/>
      <c r="V84" s="236"/>
      <c r="W84" s="236"/>
      <c r="X84" s="236"/>
      <c r="Y84" s="236"/>
      <c r="Z84" s="237"/>
      <c r="AB84" s="332">
        <f t="shared" si="19"/>
        <v>0</v>
      </c>
      <c r="AC84" s="332">
        <f t="shared" si="20"/>
        <v>0</v>
      </c>
      <c r="AD84" s="332">
        <f t="shared" si="21"/>
        <v>0</v>
      </c>
      <c r="AE84" s="332">
        <f t="shared" si="22"/>
        <v>0</v>
      </c>
    </row>
    <row r="85" spans="1:31" x14ac:dyDescent="0.2">
      <c r="A85" s="52" t="s">
        <v>76</v>
      </c>
      <c r="D85" s="182">
        <f t="shared" ref="D85:Z85" si="25">D53</f>
        <v>105.44640045629505</v>
      </c>
      <c r="E85" s="183">
        <f t="shared" si="25"/>
        <v>104.12152157715312</v>
      </c>
      <c r="F85" s="183">
        <f t="shared" si="25"/>
        <v>105.92398253266541</v>
      </c>
      <c r="G85" s="184">
        <f t="shared" si="25"/>
        <v>104.94885221172005</v>
      </c>
      <c r="H85" s="185">
        <f t="shared" si="25"/>
        <v>67.358544314383607</v>
      </c>
      <c r="I85" s="186">
        <f t="shared" si="25"/>
        <v>66.789471269060613</v>
      </c>
      <c r="J85" s="186">
        <f t="shared" si="25"/>
        <v>66.66927515662799</v>
      </c>
      <c r="K85" s="187">
        <f t="shared" si="25"/>
        <v>66.301126674014824</v>
      </c>
      <c r="L85" s="188">
        <f t="shared" si="25"/>
        <v>66.301126674014839</v>
      </c>
      <c r="M85" s="188">
        <f t="shared" si="25"/>
        <v>66.697513884066268</v>
      </c>
      <c r="N85" s="188">
        <f t="shared" si="25"/>
        <v>67.19844579792705</v>
      </c>
      <c r="O85" s="188">
        <f t="shared" si="25"/>
        <v>67.587474370290721</v>
      </c>
      <c r="P85" s="188">
        <f t="shared" si="25"/>
        <v>67.986671359281189</v>
      </c>
      <c r="Q85" s="188">
        <f t="shared" si="25"/>
        <v>105.44640045629502</v>
      </c>
      <c r="R85" s="188">
        <f t="shared" si="25"/>
        <v>104.12152157715313</v>
      </c>
      <c r="S85" s="189">
        <f t="shared" si="25"/>
        <v>92.899959630663346</v>
      </c>
      <c r="T85" s="190">
        <f t="shared" si="25"/>
        <v>98.455541129300698</v>
      </c>
      <c r="U85" s="191">
        <f t="shared" si="25"/>
        <v>67.121542915683193</v>
      </c>
      <c r="V85" s="191">
        <f t="shared" si="25"/>
        <v>66.43288370403944</v>
      </c>
      <c r="W85" s="191">
        <f t="shared" si="25"/>
        <v>65.824425378227758</v>
      </c>
      <c r="X85" s="191">
        <f t="shared" si="25"/>
        <v>62.818117191170181</v>
      </c>
      <c r="Y85" s="191">
        <f t="shared" si="25"/>
        <v>63.169440888869509</v>
      </c>
      <c r="Z85" s="192">
        <f t="shared" si="25"/>
        <v>63.227855952325847</v>
      </c>
      <c r="AB85" s="332">
        <f t="shared" si="19"/>
        <v>66.301126674014824</v>
      </c>
      <c r="AC85" s="332">
        <f t="shared" si="20"/>
        <v>75.598164602746152</v>
      </c>
      <c r="AD85" s="332">
        <f t="shared" si="21"/>
        <v>69.522646424162048</v>
      </c>
      <c r="AE85" s="332">
        <f t="shared" si="22"/>
        <v>71.252301235860926</v>
      </c>
    </row>
    <row r="86" spans="1:31" x14ac:dyDescent="0.2">
      <c r="A86" s="52" t="s">
        <v>74</v>
      </c>
      <c r="D86" s="182">
        <f t="shared" ref="D86:Z87" si="26">(D36*$B$27+D43*$B$28+D50*$B$29)</f>
        <v>0</v>
      </c>
      <c r="E86" s="183">
        <f t="shared" si="26"/>
        <v>0</v>
      </c>
      <c r="F86" s="183">
        <f t="shared" si="26"/>
        <v>0</v>
      </c>
      <c r="G86" s="184">
        <f t="shared" si="26"/>
        <v>0</v>
      </c>
      <c r="H86" s="185">
        <f t="shared" si="26"/>
        <v>0</v>
      </c>
      <c r="I86" s="186">
        <f t="shared" si="26"/>
        <v>0</v>
      </c>
      <c r="J86" s="186">
        <f t="shared" si="26"/>
        <v>0</v>
      </c>
      <c r="K86" s="187">
        <f t="shared" si="26"/>
        <v>10</v>
      </c>
      <c r="L86" s="188">
        <f t="shared" si="26"/>
        <v>10</v>
      </c>
      <c r="M86" s="188">
        <f t="shared" si="26"/>
        <v>10</v>
      </c>
      <c r="N86" s="188">
        <f t="shared" si="26"/>
        <v>10</v>
      </c>
      <c r="O86" s="188">
        <f t="shared" si="26"/>
        <v>10</v>
      </c>
      <c r="P86" s="188">
        <f t="shared" si="26"/>
        <v>10</v>
      </c>
      <c r="Q86" s="188">
        <f t="shared" si="26"/>
        <v>10</v>
      </c>
      <c r="R86" s="188">
        <f t="shared" si="26"/>
        <v>10</v>
      </c>
      <c r="S86" s="189">
        <f t="shared" si="26"/>
        <v>10</v>
      </c>
      <c r="T86" s="190">
        <f t="shared" si="26"/>
        <v>10</v>
      </c>
      <c r="U86" s="191">
        <f t="shared" si="26"/>
        <v>10</v>
      </c>
      <c r="V86" s="191">
        <f t="shared" si="26"/>
        <v>10</v>
      </c>
      <c r="W86" s="191">
        <f t="shared" si="26"/>
        <v>10</v>
      </c>
      <c r="X86" s="191">
        <f t="shared" si="26"/>
        <v>10</v>
      </c>
      <c r="Y86" s="191">
        <f t="shared" si="26"/>
        <v>10</v>
      </c>
      <c r="Z86" s="192">
        <f t="shared" si="26"/>
        <v>10</v>
      </c>
      <c r="AB86" s="332">
        <f t="shared" si="19"/>
        <v>10</v>
      </c>
      <c r="AC86" s="332">
        <f t="shared" si="20"/>
        <v>9.9999999999999982</v>
      </c>
      <c r="AD86" s="332">
        <f t="shared" si="21"/>
        <v>10</v>
      </c>
      <c r="AE86" s="332">
        <f t="shared" si="22"/>
        <v>10</v>
      </c>
    </row>
    <row r="87" spans="1:31" x14ac:dyDescent="0.2">
      <c r="A87" s="52" t="s">
        <v>75</v>
      </c>
      <c r="D87" s="182"/>
      <c r="E87" s="183"/>
      <c r="F87" s="183"/>
      <c r="G87" s="184"/>
      <c r="H87" s="185"/>
      <c r="I87" s="186"/>
      <c r="J87" s="186"/>
      <c r="K87" s="74">
        <f t="shared" si="26"/>
        <v>0</v>
      </c>
      <c r="L87" s="59">
        <f t="shared" si="26"/>
        <v>0</v>
      </c>
      <c r="M87" s="59">
        <f t="shared" si="26"/>
        <v>0</v>
      </c>
      <c r="N87" s="59">
        <f t="shared" si="26"/>
        <v>0</v>
      </c>
      <c r="O87" s="59">
        <f t="shared" si="26"/>
        <v>37.086117530636301</v>
      </c>
      <c r="P87" s="59">
        <f t="shared" si="26"/>
        <v>39.268590452387144</v>
      </c>
      <c r="Q87" s="59">
        <f t="shared" si="26"/>
        <v>47.87677449518462</v>
      </c>
      <c r="R87" s="59">
        <f t="shared" si="26"/>
        <v>47.208434396324037</v>
      </c>
      <c r="S87" s="60">
        <f t="shared" si="26"/>
        <v>48.855870667563167</v>
      </c>
      <c r="T87" s="61">
        <f t="shared" si="26"/>
        <v>47.152394399982342</v>
      </c>
      <c r="U87" s="62">
        <f t="shared" si="26"/>
        <v>39.24953425356054</v>
      </c>
      <c r="V87" s="62">
        <f t="shared" si="26"/>
        <v>37.09025758278117</v>
      </c>
      <c r="W87" s="62">
        <f t="shared" si="26"/>
        <v>37.150647633802777</v>
      </c>
      <c r="X87" s="62">
        <f t="shared" si="26"/>
        <v>37.096371519653921</v>
      </c>
      <c r="Y87" s="62">
        <f t="shared" si="26"/>
        <v>37.097368726823433</v>
      </c>
      <c r="Z87" s="63">
        <f t="shared" si="26"/>
        <v>37.117117941653675</v>
      </c>
      <c r="AB87" s="332">
        <f t="shared" si="19"/>
        <v>0</v>
      </c>
      <c r="AC87" s="332">
        <f t="shared" si="20"/>
        <v>14.644384985713527</v>
      </c>
      <c r="AD87" s="332">
        <f t="shared" si="21"/>
        <v>38.84996680582902</v>
      </c>
      <c r="AE87" s="332">
        <f t="shared" si="22"/>
        <v>31.958817798537172</v>
      </c>
    </row>
    <row r="88" spans="1:31" x14ac:dyDescent="0.2">
      <c r="A88" s="65" t="s">
        <v>78</v>
      </c>
      <c r="B88" s="238"/>
      <c r="C88" s="248"/>
      <c r="D88" s="249">
        <f t="shared" ref="D88:J88" si="27">D54</f>
        <v>105.44640045629505</v>
      </c>
      <c r="E88" s="250">
        <f t="shared" si="27"/>
        <v>104.12152157715312</v>
      </c>
      <c r="F88" s="250">
        <f t="shared" si="27"/>
        <v>105.92398253266541</v>
      </c>
      <c r="G88" s="251">
        <f t="shared" si="27"/>
        <v>104.94885221172005</v>
      </c>
      <c r="H88" s="252">
        <f t="shared" si="27"/>
        <v>67.358544314383607</v>
      </c>
      <c r="I88" s="253">
        <f t="shared" si="27"/>
        <v>66.789471269060613</v>
      </c>
      <c r="J88" s="253">
        <f t="shared" si="27"/>
        <v>66.66927515662799</v>
      </c>
      <c r="K88" s="254">
        <f>SUM(K85:K87)</f>
        <v>76.301126674014824</v>
      </c>
      <c r="L88" s="54">
        <f t="shared" ref="L88:Z88" si="28">SUM(L85:L87)</f>
        <v>76.301126674014839</v>
      </c>
      <c r="M88" s="54">
        <f t="shared" si="28"/>
        <v>76.697513884066268</v>
      </c>
      <c r="N88" s="54">
        <f t="shared" si="28"/>
        <v>77.19844579792705</v>
      </c>
      <c r="O88" s="54">
        <f t="shared" si="28"/>
        <v>114.67359190092702</v>
      </c>
      <c r="P88" s="54">
        <f t="shared" si="28"/>
        <v>117.25526181166833</v>
      </c>
      <c r="Q88" s="54">
        <f t="shared" si="28"/>
        <v>163.32317495147964</v>
      </c>
      <c r="R88" s="54">
        <f t="shared" si="28"/>
        <v>161.32995597347718</v>
      </c>
      <c r="S88" s="55">
        <f t="shared" si="28"/>
        <v>151.7558302982265</v>
      </c>
      <c r="T88" s="56">
        <f t="shared" si="28"/>
        <v>155.60793552928305</v>
      </c>
      <c r="U88" s="57">
        <f t="shared" si="28"/>
        <v>116.37107716924373</v>
      </c>
      <c r="V88" s="57">
        <f t="shared" si="28"/>
        <v>113.52314128682062</v>
      </c>
      <c r="W88" s="57">
        <f t="shared" si="28"/>
        <v>112.97507301203053</v>
      </c>
      <c r="X88" s="57">
        <f t="shared" si="28"/>
        <v>109.91448871082412</v>
      </c>
      <c r="Y88" s="57">
        <f t="shared" si="28"/>
        <v>110.26680961569294</v>
      </c>
      <c r="Z88" s="58">
        <f t="shared" si="28"/>
        <v>110.34497389397953</v>
      </c>
      <c r="AB88" s="332">
        <f t="shared" si="19"/>
        <v>76.301126674014824</v>
      </c>
      <c r="AC88" s="332">
        <f t="shared" si="20"/>
        <v>100.24254958845967</v>
      </c>
      <c r="AD88" s="332">
        <f t="shared" si="21"/>
        <v>118.37261322999106</v>
      </c>
      <c r="AE88" s="332">
        <f t="shared" si="22"/>
        <v>113.2111190343981</v>
      </c>
    </row>
    <row r="89" spans="1:31" x14ac:dyDescent="0.2">
      <c r="A89" s="331"/>
      <c r="B89" s="217"/>
      <c r="C89" s="217"/>
      <c r="D89" s="160"/>
      <c r="E89" s="161"/>
      <c r="F89" s="161"/>
      <c r="G89" s="162"/>
      <c r="H89" s="163"/>
      <c r="I89" s="164"/>
      <c r="J89" s="164"/>
      <c r="K89" s="165"/>
      <c r="L89" s="59"/>
      <c r="M89" s="59"/>
      <c r="N89" s="59"/>
      <c r="O89" s="59"/>
      <c r="P89" s="59"/>
      <c r="Q89" s="59"/>
      <c r="R89" s="59"/>
      <c r="S89" s="60"/>
      <c r="T89" s="61"/>
      <c r="U89" s="62"/>
      <c r="V89" s="62"/>
      <c r="W89" s="62"/>
      <c r="X89" s="62"/>
      <c r="Y89" s="62"/>
      <c r="Z89" s="63"/>
      <c r="AB89" s="332">
        <f t="shared" si="19"/>
        <v>0</v>
      </c>
      <c r="AC89" s="332">
        <f t="shared" si="20"/>
        <v>0</v>
      </c>
      <c r="AD89" s="332">
        <f t="shared" si="21"/>
        <v>0</v>
      </c>
      <c r="AE89" s="332">
        <f t="shared" si="22"/>
        <v>0</v>
      </c>
    </row>
    <row r="90" spans="1:31" x14ac:dyDescent="0.2">
      <c r="A90" s="51" t="s">
        <v>72</v>
      </c>
      <c r="D90" s="182">
        <f t="shared" ref="D90:Z90" si="29">D88-D91</f>
        <v>93.422607240336504</v>
      </c>
      <c r="E90" s="183">
        <f t="shared" si="29"/>
        <v>92.097728361194584</v>
      </c>
      <c r="F90" s="183">
        <f t="shared" si="29"/>
        <v>93.900189316706872</v>
      </c>
      <c r="G90" s="184">
        <f t="shared" si="29"/>
        <v>92.925058995761503</v>
      </c>
      <c r="H90" s="185">
        <f t="shared" si="29"/>
        <v>55.334751098425073</v>
      </c>
      <c r="I90" s="186">
        <f t="shared" si="29"/>
        <v>54.765678053102071</v>
      </c>
      <c r="J90" s="186">
        <f t="shared" si="29"/>
        <v>54.645481940669448</v>
      </c>
      <c r="K90" s="187">
        <f t="shared" si="29"/>
        <v>51.548661788302653</v>
      </c>
      <c r="L90" s="188">
        <f t="shared" si="29"/>
        <v>51.548661788302667</v>
      </c>
      <c r="M90" s="188">
        <f t="shared" si="29"/>
        <v>51.945048998354096</v>
      </c>
      <c r="N90" s="188">
        <f t="shared" si="29"/>
        <v>52.445980912214878</v>
      </c>
      <c r="O90" s="188">
        <f t="shared" si="29"/>
        <v>89.92112701521485</v>
      </c>
      <c r="P90" s="188">
        <f t="shared" si="29"/>
        <v>92.502796925956162</v>
      </c>
      <c r="Q90" s="188">
        <f t="shared" si="29"/>
        <v>138.57071006576746</v>
      </c>
      <c r="R90" s="188">
        <f t="shared" si="29"/>
        <v>136.577491087765</v>
      </c>
      <c r="S90" s="189">
        <f t="shared" si="29"/>
        <v>127.23854154541812</v>
      </c>
      <c r="T90" s="190">
        <f t="shared" si="29"/>
        <v>130.96759143245652</v>
      </c>
      <c r="U90" s="191">
        <f t="shared" si="29"/>
        <v>91.707141302505221</v>
      </c>
      <c r="V90" s="191">
        <f t="shared" si="29"/>
        <v>88.860355136012728</v>
      </c>
      <c r="W90" s="191">
        <f t="shared" si="29"/>
        <v>88.31262178503647</v>
      </c>
      <c r="X90" s="191">
        <f t="shared" si="29"/>
        <v>88.608996286875424</v>
      </c>
      <c r="Y90" s="191">
        <f t="shared" si="29"/>
        <v>88.978773779620695</v>
      </c>
      <c r="Z90" s="192">
        <f t="shared" si="29"/>
        <v>89.03680353289036</v>
      </c>
      <c r="AB90" s="332">
        <f t="shared" si="19"/>
        <v>51.548661788302653</v>
      </c>
      <c r="AC90" s="332">
        <f t="shared" si="20"/>
        <v>75.527863531887974</v>
      </c>
      <c r="AD90" s="332">
        <f t="shared" si="21"/>
        <v>95.072027298949763</v>
      </c>
      <c r="AE90" s="332">
        <f t="shared" si="22"/>
        <v>89.507949321290383</v>
      </c>
    </row>
    <row r="91" spans="1:31" x14ac:dyDescent="0.2">
      <c r="A91" s="64" t="s">
        <v>73</v>
      </c>
      <c r="B91" s="238"/>
      <c r="C91" s="248"/>
      <c r="D91" s="255">
        <f t="shared" ref="D91:J91" si="30">(D34*D27+D41*D28+D48*D29)/D$26</f>
        <v>12.023793215958541</v>
      </c>
      <c r="E91" s="256">
        <f t="shared" si="30"/>
        <v>12.023793215958539</v>
      </c>
      <c r="F91" s="256">
        <f t="shared" si="30"/>
        <v>12.023793215958541</v>
      </c>
      <c r="G91" s="257">
        <f t="shared" si="30"/>
        <v>12.023793215958541</v>
      </c>
      <c r="H91" s="258">
        <f t="shared" si="30"/>
        <v>12.023793215958538</v>
      </c>
      <c r="I91" s="259">
        <f t="shared" si="30"/>
        <v>12.023793215958541</v>
      </c>
      <c r="J91" s="259">
        <f t="shared" si="30"/>
        <v>12.023793215958539</v>
      </c>
      <c r="K91" s="260">
        <f>K52</f>
        <v>24.752464885712175</v>
      </c>
      <c r="L91" s="239">
        <f t="shared" ref="L91:Z91" si="31">L52</f>
        <v>24.752464885712175</v>
      </c>
      <c r="M91" s="239">
        <f t="shared" si="31"/>
        <v>24.752464885712172</v>
      </c>
      <c r="N91" s="239">
        <f t="shared" si="31"/>
        <v>24.752464885712175</v>
      </c>
      <c r="O91" s="239">
        <f t="shared" si="31"/>
        <v>24.752464885712175</v>
      </c>
      <c r="P91" s="239">
        <f t="shared" si="31"/>
        <v>24.752464885712172</v>
      </c>
      <c r="Q91" s="239">
        <f t="shared" si="31"/>
        <v>24.752464885712175</v>
      </c>
      <c r="R91" s="239">
        <f t="shared" si="31"/>
        <v>24.752464885712172</v>
      </c>
      <c r="S91" s="240">
        <f t="shared" si="31"/>
        <v>24.517288752808383</v>
      </c>
      <c r="T91" s="241">
        <f t="shared" si="31"/>
        <v>24.640344096826535</v>
      </c>
      <c r="U91" s="242">
        <f t="shared" si="31"/>
        <v>24.66393586673852</v>
      </c>
      <c r="V91" s="242">
        <f t="shared" si="31"/>
        <v>24.662786150807893</v>
      </c>
      <c r="W91" s="242">
        <f t="shared" si="31"/>
        <v>24.662451226994058</v>
      </c>
      <c r="X91" s="242">
        <f t="shared" si="31"/>
        <v>21.305492423948692</v>
      </c>
      <c r="Y91" s="242">
        <f t="shared" si="31"/>
        <v>21.288035836072243</v>
      </c>
      <c r="Z91" s="243">
        <f t="shared" si="31"/>
        <v>21.308170361089175</v>
      </c>
      <c r="AB91" s="332">
        <f t="shared" si="19"/>
        <v>24.752464885712175</v>
      </c>
      <c r="AC91" s="332">
        <f t="shared" si="20"/>
        <v>24.714686056571708</v>
      </c>
      <c r="AD91" s="332">
        <f t="shared" si="21"/>
        <v>23.300585931041308</v>
      </c>
      <c r="AE91" s="332">
        <f t="shared" si="22"/>
        <v>23.703169713107727</v>
      </c>
    </row>
    <row r="92" spans="1:31" x14ac:dyDescent="0.2">
      <c r="A92" s="51" t="s">
        <v>79</v>
      </c>
      <c r="D92" s="261">
        <f>(D$26)</f>
        <v>138992.70324665844</v>
      </c>
      <c r="E92" s="262">
        <f t="shared" ref="E92:Z92" si="32">(E$26)</f>
        <v>154222.19301250842</v>
      </c>
      <c r="F92" s="262">
        <f t="shared" si="32"/>
        <v>162086.26483715844</v>
      </c>
      <c r="G92" s="263">
        <f t="shared" si="32"/>
        <v>152376.72562550844</v>
      </c>
      <c r="H92" s="264">
        <f t="shared" si="32"/>
        <v>152708.88135550843</v>
      </c>
      <c r="I92" s="265">
        <f t="shared" si="32"/>
        <v>144481.75591550849</v>
      </c>
      <c r="J92" s="265">
        <f t="shared" si="32"/>
        <v>146545.69236350848</v>
      </c>
      <c r="K92" s="266">
        <f t="shared" si="32"/>
        <v>146825.85977249747</v>
      </c>
      <c r="L92" s="267">
        <f t="shared" si="32"/>
        <v>106040.89872458152</v>
      </c>
      <c r="M92" s="267">
        <f t="shared" si="32"/>
        <v>196850.71151575807</v>
      </c>
      <c r="N92" s="267">
        <f t="shared" si="32"/>
        <v>20496.733372697301</v>
      </c>
      <c r="O92" s="267">
        <f t="shared" si="32"/>
        <v>4462.9223853410313</v>
      </c>
      <c r="P92" s="267">
        <f t="shared" si="32"/>
        <v>5680.8772422253232</v>
      </c>
      <c r="Q92" s="267">
        <f t="shared" si="32"/>
        <v>3704.2332883122981</v>
      </c>
      <c r="R92" s="267">
        <f t="shared" si="32"/>
        <v>55344.342287911568</v>
      </c>
      <c r="S92" s="268">
        <f t="shared" si="32"/>
        <v>75133.953794024172</v>
      </c>
      <c r="T92" s="269">
        <f t="shared" si="32"/>
        <v>162251.05626144004</v>
      </c>
      <c r="U92" s="270">
        <f t="shared" si="32"/>
        <v>193954.42678973026</v>
      </c>
      <c r="V92" s="270">
        <f t="shared" si="32"/>
        <v>177383.9652501017</v>
      </c>
      <c r="W92" s="270">
        <f t="shared" si="32"/>
        <v>166436.45089805571</v>
      </c>
      <c r="X92" s="270">
        <f t="shared" si="32"/>
        <v>159846.25754179552</v>
      </c>
      <c r="Y92" s="270">
        <f t="shared" si="32"/>
        <v>149268.05229711573</v>
      </c>
      <c r="Z92" s="271">
        <f t="shared" si="32"/>
        <v>166021.47530834703</v>
      </c>
      <c r="AB92" s="332">
        <f t="shared" si="19"/>
        <v>146825.85977249747</v>
      </c>
      <c r="AC92" s="332">
        <f t="shared" si="20"/>
        <v>126549.39644686382</v>
      </c>
      <c r="AD92" s="332">
        <f t="shared" si="21"/>
        <v>168917.00830537319</v>
      </c>
      <c r="AE92" s="332">
        <f t="shared" si="22"/>
        <v>156855.26450719417</v>
      </c>
    </row>
    <row r="93" spans="1:31" ht="13.5" thickBot="1" x14ac:dyDescent="0.25">
      <c r="A93" s="66" t="s">
        <v>63</v>
      </c>
      <c r="B93" s="272"/>
      <c r="C93" s="273"/>
      <c r="D93" s="274">
        <f t="shared" ref="D93:J93" si="33">D$26*D91</f>
        <v>1671219.5223649105</v>
      </c>
      <c r="E93" s="275">
        <f t="shared" si="33"/>
        <v>1854335.7580940472</v>
      </c>
      <c r="F93" s="275">
        <f t="shared" si="33"/>
        <v>1948891.7315490851</v>
      </c>
      <c r="G93" s="276">
        <f t="shared" si="33"/>
        <v>1832146.2398459644</v>
      </c>
      <c r="H93" s="277">
        <f t="shared" si="33"/>
        <v>1836140.0116589796</v>
      </c>
      <c r="I93" s="278">
        <f t="shared" si="33"/>
        <v>1737218.7566066687</v>
      </c>
      <c r="J93" s="278">
        <f t="shared" si="33"/>
        <v>1762035.1016683003</v>
      </c>
      <c r="K93" s="279">
        <f>K133</f>
        <v>17487101.504085846</v>
      </c>
      <c r="L93" s="280">
        <f t="shared" ref="L93:Z93" si="34">L92*-L91</f>
        <v>-2624773.6221295651</v>
      </c>
      <c r="M93" s="280">
        <f t="shared" si="34"/>
        <v>-4872540.3245212585</v>
      </c>
      <c r="N93" s="280">
        <f t="shared" si="34"/>
        <v>-507344.67307949485</v>
      </c>
      <c r="O93" s="280">
        <f t="shared" si="34"/>
        <v>-110468.3296308127</v>
      </c>
      <c r="P93" s="280">
        <f t="shared" si="34"/>
        <v>-140615.71445822372</v>
      </c>
      <c r="Q93" s="280">
        <f t="shared" si="34"/>
        <v>-91688.904397436301</v>
      </c>
      <c r="R93" s="280">
        <f t="shared" si="34"/>
        <v>-1369908.8891043663</v>
      </c>
      <c r="S93" s="281">
        <f t="shared" si="34"/>
        <v>-1842080.8403082537</v>
      </c>
      <c r="T93" s="282">
        <f t="shared" si="34"/>
        <v>-3997921.8563554441</v>
      </c>
      <c r="U93" s="283">
        <f t="shared" si="34"/>
        <v>-4783679.5434119385</v>
      </c>
      <c r="V93" s="283">
        <f t="shared" si="34"/>
        <v>-4374782.8015455967</v>
      </c>
      <c r="W93" s="283">
        <f t="shared" si="34"/>
        <v>-4104730.8526672903</v>
      </c>
      <c r="X93" s="283">
        <f t="shared" si="34"/>
        <v>-3405603.2290532761</v>
      </c>
      <c r="Y93" s="283">
        <f t="shared" si="34"/>
        <v>-3177623.6464817054</v>
      </c>
      <c r="Z93" s="284">
        <f t="shared" si="34"/>
        <v>-3537613.8794696187</v>
      </c>
      <c r="AB93" s="332">
        <f t="shared" si="19"/>
        <v>17487101.504085846</v>
      </c>
      <c r="AC93" s="332">
        <f t="shared" si="20"/>
        <v>-3129571.0190560343</v>
      </c>
      <c r="AD93" s="332">
        <f t="shared" si="21"/>
        <v>-3949827.9972343519</v>
      </c>
      <c r="AE93" s="332">
        <f t="shared" si="22"/>
        <v>-3716306.9398640096</v>
      </c>
    </row>
    <row r="94" spans="1:31" ht="13.5" thickTop="1" x14ac:dyDescent="0.2">
      <c r="A94" s="15"/>
      <c r="B94" s="135" t="s">
        <v>95</v>
      </c>
      <c r="C94" s="318">
        <f>SUM(K93:Z93)</f>
        <v>-21454275.602528431</v>
      </c>
      <c r="D94" s="227"/>
      <c r="E94" s="228"/>
      <c r="F94" s="228"/>
      <c r="G94" s="229">
        <f>SUM(D93:G93)</f>
        <v>7306593.2518540071</v>
      </c>
      <c r="H94" s="230"/>
      <c r="I94" s="231"/>
      <c r="J94" s="231"/>
      <c r="K94" s="232">
        <f>K93</f>
        <v>17487101.504085846</v>
      </c>
      <c r="L94" s="233"/>
      <c r="M94" s="233"/>
      <c r="N94" s="233"/>
      <c r="O94" s="233"/>
      <c r="P94" s="233"/>
      <c r="Q94" s="233"/>
      <c r="R94" s="233"/>
      <c r="S94" s="234">
        <f>SUM(L93:S93)</f>
        <v>-11559421.297629409</v>
      </c>
      <c r="T94" s="235"/>
      <c r="U94" s="236"/>
      <c r="V94" s="236"/>
      <c r="W94" s="236"/>
      <c r="X94" s="236"/>
      <c r="Y94" s="236"/>
      <c r="Z94" s="237">
        <f>SUM(T93:Z93)</f>
        <v>-27381955.808984868</v>
      </c>
      <c r="AB94" s="332">
        <f t="shared" si="19"/>
        <v>17487101.504085846</v>
      </c>
      <c r="AC94" s="332">
        <f t="shared" si="20"/>
        <v>-1856912.0802082724</v>
      </c>
      <c r="AD94" s="332">
        <f t="shared" si="21"/>
        <v>-3868397.6518203928</v>
      </c>
      <c r="AE94" s="332">
        <f t="shared" si="22"/>
        <v>-3295742.678971217</v>
      </c>
    </row>
    <row r="95" spans="1:31" x14ac:dyDescent="0.2">
      <c r="D95" s="227"/>
      <c r="E95" s="228"/>
      <c r="F95" s="228"/>
      <c r="G95" s="229">
        <f>SUM(D93:G93)</f>
        <v>7306593.2518540071</v>
      </c>
      <c r="H95" s="105"/>
      <c r="I95" s="106"/>
      <c r="J95" s="231">
        <f>SUM(H93:J93)</f>
        <v>5335393.8699339489</v>
      </c>
      <c r="K95" s="232"/>
      <c r="L95" s="233"/>
      <c r="M95" s="233"/>
      <c r="N95" s="233"/>
      <c r="O95" s="233"/>
      <c r="P95" s="233"/>
      <c r="Q95" s="233"/>
      <c r="R95" s="233"/>
      <c r="S95" s="234"/>
      <c r="T95" s="109"/>
      <c r="U95" s="110"/>
      <c r="V95" s="110"/>
      <c r="W95" s="110"/>
      <c r="X95" s="110"/>
      <c r="Y95" s="110"/>
      <c r="Z95" s="237"/>
      <c r="AB95" s="332">
        <f t="shared" si="19"/>
        <v>0</v>
      </c>
      <c r="AC95" s="332">
        <f t="shared" si="20"/>
        <v>0</v>
      </c>
      <c r="AD95" s="332">
        <f t="shared" si="21"/>
        <v>0</v>
      </c>
      <c r="AE95" s="332">
        <f t="shared" si="22"/>
        <v>0</v>
      </c>
    </row>
    <row r="96" spans="1:31" x14ac:dyDescent="0.2">
      <c r="D96" s="227"/>
      <c r="E96" s="228"/>
      <c r="F96" s="228"/>
      <c r="G96" s="229"/>
      <c r="H96" s="105"/>
      <c r="I96" s="106"/>
      <c r="J96" s="231"/>
      <c r="K96" s="232"/>
      <c r="L96" s="233"/>
      <c r="M96" s="233"/>
      <c r="N96" s="233"/>
      <c r="O96" s="233"/>
      <c r="P96" s="233"/>
      <c r="Q96" s="233"/>
      <c r="R96" s="233"/>
      <c r="S96" s="234"/>
      <c r="T96" s="109"/>
      <c r="U96" s="110"/>
      <c r="V96" s="110"/>
      <c r="W96" s="110"/>
      <c r="X96" s="110"/>
      <c r="Y96" s="110"/>
      <c r="Z96" s="237"/>
      <c r="AB96" s="332">
        <f t="shared" si="19"/>
        <v>0</v>
      </c>
      <c r="AC96" s="332">
        <f t="shared" si="20"/>
        <v>0</v>
      </c>
      <c r="AD96" s="332">
        <f t="shared" si="21"/>
        <v>0</v>
      </c>
      <c r="AE96" s="332">
        <f t="shared" si="22"/>
        <v>0</v>
      </c>
    </row>
    <row r="97" spans="1:31" x14ac:dyDescent="0.2">
      <c r="D97" s="227"/>
      <c r="E97" s="228"/>
      <c r="F97" s="228"/>
      <c r="G97" s="229"/>
      <c r="H97" s="105"/>
      <c r="I97" s="106"/>
      <c r="J97" s="231"/>
      <c r="K97" s="232"/>
      <c r="L97" s="233"/>
      <c r="M97" s="233"/>
      <c r="N97" s="233"/>
      <c r="O97" s="233"/>
      <c r="P97" s="233"/>
      <c r="Q97" s="233"/>
      <c r="R97" s="233"/>
      <c r="S97" s="234"/>
      <c r="T97" s="109"/>
      <c r="U97" s="110"/>
      <c r="V97" s="110"/>
      <c r="W97" s="110"/>
      <c r="X97" s="110"/>
      <c r="Y97" s="110"/>
      <c r="Z97" s="237"/>
      <c r="AB97" s="332">
        <f t="shared" si="19"/>
        <v>0</v>
      </c>
      <c r="AC97" s="332">
        <f t="shared" si="20"/>
        <v>0</v>
      </c>
      <c r="AD97" s="332">
        <f t="shared" si="21"/>
        <v>0</v>
      </c>
      <c r="AE97" s="332">
        <f t="shared" si="22"/>
        <v>0</v>
      </c>
    </row>
    <row r="98" spans="1:31" x14ac:dyDescent="0.2">
      <c r="A98" s="68" t="s">
        <v>93</v>
      </c>
      <c r="B98" s="245"/>
      <c r="C98" s="245"/>
      <c r="D98" s="246"/>
      <c r="E98" s="247"/>
      <c r="F98" s="228"/>
      <c r="G98" s="229"/>
      <c r="H98" s="230"/>
      <c r="I98" s="231"/>
      <c r="J98" s="231"/>
      <c r="K98" s="90"/>
      <c r="L98" s="233"/>
      <c r="M98" s="233"/>
      <c r="N98" s="233"/>
      <c r="O98" s="233"/>
      <c r="P98" s="233"/>
      <c r="Q98" s="233"/>
      <c r="R98" s="233"/>
      <c r="S98" s="234"/>
      <c r="T98" s="235"/>
      <c r="U98" s="236"/>
      <c r="V98" s="236"/>
      <c r="W98" s="236"/>
      <c r="X98" s="236"/>
      <c r="Y98" s="236"/>
      <c r="Z98" s="237"/>
      <c r="AB98" s="332">
        <f t="shared" si="19"/>
        <v>0</v>
      </c>
      <c r="AC98" s="332">
        <f t="shared" si="20"/>
        <v>0</v>
      </c>
      <c r="AD98" s="332">
        <f t="shared" si="21"/>
        <v>0</v>
      </c>
      <c r="AE98" s="332">
        <f t="shared" si="22"/>
        <v>0</v>
      </c>
    </row>
    <row r="99" spans="1:31" x14ac:dyDescent="0.2">
      <c r="A99" s="52" t="s">
        <v>76</v>
      </c>
      <c r="D99" s="182">
        <f t="shared" ref="D99:Z99" si="35">D53</f>
        <v>105.44640045629505</v>
      </c>
      <c r="E99" s="183">
        <f t="shared" si="35"/>
        <v>104.12152157715312</v>
      </c>
      <c r="F99" s="183">
        <f t="shared" si="35"/>
        <v>105.92398253266541</v>
      </c>
      <c r="G99" s="184">
        <f t="shared" si="35"/>
        <v>104.94885221172005</v>
      </c>
      <c r="H99" s="185">
        <f t="shared" si="35"/>
        <v>67.358544314383607</v>
      </c>
      <c r="I99" s="186">
        <f t="shared" si="35"/>
        <v>66.789471269060613</v>
      </c>
      <c r="J99" s="186">
        <f t="shared" si="35"/>
        <v>66.66927515662799</v>
      </c>
      <c r="K99" s="187">
        <f t="shared" si="35"/>
        <v>66.301126674014824</v>
      </c>
      <c r="L99" s="188">
        <f t="shared" si="35"/>
        <v>66.301126674014839</v>
      </c>
      <c r="M99" s="188">
        <f t="shared" si="35"/>
        <v>66.697513884066268</v>
      </c>
      <c r="N99" s="188">
        <f t="shared" si="35"/>
        <v>67.19844579792705</v>
      </c>
      <c r="O99" s="188">
        <f t="shared" si="35"/>
        <v>67.587474370290721</v>
      </c>
      <c r="P99" s="188">
        <f t="shared" si="35"/>
        <v>67.986671359281189</v>
      </c>
      <c r="Q99" s="188">
        <f t="shared" si="35"/>
        <v>105.44640045629502</v>
      </c>
      <c r="R99" s="188">
        <f t="shared" si="35"/>
        <v>104.12152157715313</v>
      </c>
      <c r="S99" s="189">
        <f t="shared" si="35"/>
        <v>92.899959630663346</v>
      </c>
      <c r="T99" s="190">
        <f t="shared" si="35"/>
        <v>98.455541129300698</v>
      </c>
      <c r="U99" s="191">
        <f t="shared" si="35"/>
        <v>67.121542915683193</v>
      </c>
      <c r="V99" s="191">
        <f t="shared" si="35"/>
        <v>66.43288370403944</v>
      </c>
      <c r="W99" s="191">
        <f t="shared" si="35"/>
        <v>65.824425378227758</v>
      </c>
      <c r="X99" s="191">
        <f t="shared" si="35"/>
        <v>62.818117191170181</v>
      </c>
      <c r="Y99" s="191">
        <f t="shared" si="35"/>
        <v>63.169440888869509</v>
      </c>
      <c r="Z99" s="192">
        <f t="shared" si="35"/>
        <v>63.227855952325847</v>
      </c>
      <c r="AB99" s="332">
        <f t="shared" si="19"/>
        <v>66.301126674014824</v>
      </c>
      <c r="AC99" s="332">
        <f t="shared" si="20"/>
        <v>75.598164602746152</v>
      </c>
      <c r="AD99" s="332">
        <f t="shared" si="21"/>
        <v>69.522646424162048</v>
      </c>
      <c r="AE99" s="332">
        <f t="shared" si="22"/>
        <v>71.252301235860926</v>
      </c>
    </row>
    <row r="100" spans="1:31" x14ac:dyDescent="0.2">
      <c r="A100" s="52" t="s">
        <v>74</v>
      </c>
      <c r="D100" s="182">
        <f t="shared" ref="D100:K100" si="36">(D36*$B$27+D43*$B$28+D50*$B$29)</f>
        <v>0</v>
      </c>
      <c r="E100" s="183">
        <f t="shared" si="36"/>
        <v>0</v>
      </c>
      <c r="F100" s="183">
        <f t="shared" si="36"/>
        <v>0</v>
      </c>
      <c r="G100" s="184">
        <f t="shared" si="36"/>
        <v>0</v>
      </c>
      <c r="H100" s="185">
        <f t="shared" si="36"/>
        <v>0</v>
      </c>
      <c r="I100" s="186">
        <f t="shared" si="36"/>
        <v>0</v>
      </c>
      <c r="J100" s="186">
        <f t="shared" si="36"/>
        <v>0</v>
      </c>
      <c r="K100" s="187">
        <f t="shared" si="36"/>
        <v>10</v>
      </c>
      <c r="L100" s="188">
        <f t="shared" ref="L100:Z100" si="37">(L36*$B$27+L43*$B$28+L50*$B$29)</f>
        <v>10</v>
      </c>
      <c r="M100" s="188">
        <f t="shared" si="37"/>
        <v>10</v>
      </c>
      <c r="N100" s="188">
        <f t="shared" si="37"/>
        <v>10</v>
      </c>
      <c r="O100" s="188">
        <f t="shared" si="37"/>
        <v>10</v>
      </c>
      <c r="P100" s="188">
        <f t="shared" si="37"/>
        <v>10</v>
      </c>
      <c r="Q100" s="188">
        <f t="shared" si="37"/>
        <v>10</v>
      </c>
      <c r="R100" s="188">
        <f t="shared" si="37"/>
        <v>10</v>
      </c>
      <c r="S100" s="189">
        <f t="shared" si="37"/>
        <v>10</v>
      </c>
      <c r="T100" s="190">
        <f t="shared" si="37"/>
        <v>10</v>
      </c>
      <c r="U100" s="191">
        <f t="shared" si="37"/>
        <v>10</v>
      </c>
      <c r="V100" s="191">
        <f t="shared" si="37"/>
        <v>10</v>
      </c>
      <c r="W100" s="191">
        <f t="shared" si="37"/>
        <v>10</v>
      </c>
      <c r="X100" s="191">
        <f t="shared" si="37"/>
        <v>10</v>
      </c>
      <c r="Y100" s="191">
        <f t="shared" si="37"/>
        <v>10</v>
      </c>
      <c r="Z100" s="192">
        <f t="shared" si="37"/>
        <v>10</v>
      </c>
      <c r="AB100" s="332">
        <f t="shared" si="19"/>
        <v>10</v>
      </c>
      <c r="AC100" s="332">
        <f t="shared" si="20"/>
        <v>9.9999999999999982</v>
      </c>
      <c r="AD100" s="332">
        <f t="shared" si="21"/>
        <v>10</v>
      </c>
      <c r="AE100" s="332">
        <f t="shared" si="22"/>
        <v>10</v>
      </c>
    </row>
    <row r="101" spans="1:31" x14ac:dyDescent="0.2">
      <c r="A101" s="67" t="s">
        <v>75</v>
      </c>
      <c r="B101" s="244"/>
      <c r="C101" s="244"/>
      <c r="D101" s="285">
        <f t="shared" ref="D101:J101" si="38">D102-D100-D99</f>
        <v>0</v>
      </c>
      <c r="E101" s="286">
        <f t="shared" si="38"/>
        <v>0</v>
      </c>
      <c r="F101" s="286">
        <f t="shared" si="38"/>
        <v>0</v>
      </c>
      <c r="G101" s="287">
        <f t="shared" si="38"/>
        <v>0</v>
      </c>
      <c r="H101" s="288">
        <f t="shared" si="38"/>
        <v>0</v>
      </c>
      <c r="I101" s="289">
        <f t="shared" si="38"/>
        <v>0</v>
      </c>
      <c r="J101" s="289">
        <f t="shared" si="38"/>
        <v>0</v>
      </c>
      <c r="K101" s="310" t="s">
        <v>66</v>
      </c>
      <c r="L101" s="311" t="s">
        <v>66</v>
      </c>
      <c r="M101" s="311" t="s">
        <v>66</v>
      </c>
      <c r="N101" s="311" t="s">
        <v>66</v>
      </c>
      <c r="O101" s="311" t="s">
        <v>66</v>
      </c>
      <c r="P101" s="311" t="s">
        <v>66</v>
      </c>
      <c r="Q101" s="311" t="s">
        <v>66</v>
      </c>
      <c r="R101" s="311" t="s">
        <v>66</v>
      </c>
      <c r="S101" s="312" t="s">
        <v>66</v>
      </c>
      <c r="T101" s="313" t="s">
        <v>66</v>
      </c>
      <c r="U101" s="314" t="s">
        <v>66</v>
      </c>
      <c r="V101" s="314" t="s">
        <v>66</v>
      </c>
      <c r="W101" s="314" t="s">
        <v>66</v>
      </c>
      <c r="X101" s="314" t="s">
        <v>66</v>
      </c>
      <c r="Y101" s="314" t="s">
        <v>66</v>
      </c>
      <c r="Z101" s="315" t="s">
        <v>66</v>
      </c>
      <c r="AB101" s="332" t="str">
        <f t="shared" si="19"/>
        <v>none</v>
      </c>
      <c r="AC101" s="332">
        <f t="shared" si="20"/>
        <v>0</v>
      </c>
      <c r="AD101" s="332">
        <f t="shared" si="21"/>
        <v>0</v>
      </c>
      <c r="AE101" s="332">
        <f t="shared" si="22"/>
        <v>0</v>
      </c>
    </row>
    <row r="102" spans="1:31" x14ac:dyDescent="0.2">
      <c r="A102" s="65" t="s">
        <v>78</v>
      </c>
      <c r="B102" s="238"/>
      <c r="C102" s="248"/>
      <c r="D102" s="249">
        <f t="shared" ref="D102:J102" si="39">D54</f>
        <v>105.44640045629505</v>
      </c>
      <c r="E102" s="250">
        <f t="shared" si="39"/>
        <v>104.12152157715312</v>
      </c>
      <c r="F102" s="250">
        <f t="shared" si="39"/>
        <v>105.92398253266541</v>
      </c>
      <c r="G102" s="251">
        <f t="shared" si="39"/>
        <v>104.94885221172005</v>
      </c>
      <c r="H102" s="252">
        <f t="shared" si="39"/>
        <v>67.358544314383607</v>
      </c>
      <c r="I102" s="253">
        <f t="shared" si="39"/>
        <v>66.789471269060613</v>
      </c>
      <c r="J102" s="253">
        <f t="shared" si="39"/>
        <v>66.66927515662799</v>
      </c>
      <c r="K102" s="254">
        <f>SUM(K99:K101)</f>
        <v>76.301126674014824</v>
      </c>
      <c r="L102" s="54">
        <f t="shared" ref="L102:Z102" si="40">SUM(L99:L101)</f>
        <v>76.301126674014839</v>
      </c>
      <c r="M102" s="54">
        <f t="shared" si="40"/>
        <v>76.697513884066268</v>
      </c>
      <c r="N102" s="54">
        <f t="shared" si="40"/>
        <v>77.19844579792705</v>
      </c>
      <c r="O102" s="54">
        <f t="shared" si="40"/>
        <v>77.587474370290721</v>
      </c>
      <c r="P102" s="54">
        <f t="shared" si="40"/>
        <v>77.986671359281189</v>
      </c>
      <c r="Q102" s="54">
        <f t="shared" si="40"/>
        <v>115.44640045629502</v>
      </c>
      <c r="R102" s="54">
        <f t="shared" si="40"/>
        <v>114.12152157715313</v>
      </c>
      <c r="S102" s="55">
        <f t="shared" si="40"/>
        <v>102.89995963066335</v>
      </c>
      <c r="T102" s="56">
        <f t="shared" si="40"/>
        <v>108.4555411293007</v>
      </c>
      <c r="U102" s="57">
        <f t="shared" si="40"/>
        <v>77.121542915683193</v>
      </c>
      <c r="V102" s="57">
        <f t="shared" si="40"/>
        <v>76.43288370403944</v>
      </c>
      <c r="W102" s="57">
        <f t="shared" si="40"/>
        <v>75.824425378227758</v>
      </c>
      <c r="X102" s="57">
        <f t="shared" si="40"/>
        <v>72.818117191170188</v>
      </c>
      <c r="Y102" s="57">
        <f t="shared" si="40"/>
        <v>73.169440888869502</v>
      </c>
      <c r="Z102" s="58">
        <f t="shared" si="40"/>
        <v>73.227855952325854</v>
      </c>
      <c r="AB102" s="332">
        <f t="shared" si="19"/>
        <v>76.301126674014824</v>
      </c>
      <c r="AC102" s="332">
        <f t="shared" si="20"/>
        <v>85.598164602746152</v>
      </c>
      <c r="AD102" s="332">
        <f t="shared" si="21"/>
        <v>79.522646424162048</v>
      </c>
      <c r="AE102" s="332">
        <f t="shared" si="22"/>
        <v>81.252301235860912</v>
      </c>
    </row>
    <row r="103" spans="1:31" x14ac:dyDescent="0.2">
      <c r="A103" s="331"/>
      <c r="B103" s="217"/>
      <c r="C103" s="217"/>
      <c r="D103" s="160"/>
      <c r="E103" s="161"/>
      <c r="F103" s="161"/>
      <c r="G103" s="162"/>
      <c r="H103" s="163"/>
      <c r="I103" s="164"/>
      <c r="J103" s="164"/>
      <c r="K103" s="165"/>
      <c r="L103" s="59"/>
      <c r="M103" s="59"/>
      <c r="N103" s="59"/>
      <c r="O103" s="59"/>
      <c r="P103" s="59"/>
      <c r="Q103" s="59"/>
      <c r="R103" s="59"/>
      <c r="S103" s="60"/>
      <c r="T103" s="61"/>
      <c r="U103" s="62"/>
      <c r="V103" s="62"/>
      <c r="W103" s="62"/>
      <c r="X103" s="62"/>
      <c r="Y103" s="62"/>
      <c r="Z103" s="63"/>
      <c r="AB103" s="332">
        <f t="shared" si="19"/>
        <v>0</v>
      </c>
      <c r="AC103" s="332">
        <f t="shared" si="20"/>
        <v>0</v>
      </c>
      <c r="AD103" s="332">
        <f t="shared" si="21"/>
        <v>0</v>
      </c>
      <c r="AE103" s="332">
        <f t="shared" si="22"/>
        <v>0</v>
      </c>
    </row>
    <row r="104" spans="1:31" ht="12.75" customHeight="1" x14ac:dyDescent="0.2">
      <c r="A104" s="51" t="s">
        <v>72</v>
      </c>
      <c r="D104" s="182" t="e">
        <f>#REF!</f>
        <v>#REF!</v>
      </c>
      <c r="E104" s="183" t="e">
        <f>#REF!</f>
        <v>#REF!</v>
      </c>
      <c r="F104" s="183" t="e">
        <f>#REF!</f>
        <v>#REF!</v>
      </c>
      <c r="G104" s="184" t="e">
        <f>#REF!</f>
        <v>#REF!</v>
      </c>
      <c r="H104" s="185" t="e">
        <f>#REF!</f>
        <v>#REF!</v>
      </c>
      <c r="I104" s="186" t="e">
        <f>#REF!</f>
        <v>#REF!</v>
      </c>
      <c r="J104" s="186" t="e">
        <f>#REF!</f>
        <v>#REF!</v>
      </c>
      <c r="K104" s="187">
        <f>K81</f>
        <v>71.148772094976493</v>
      </c>
      <c r="L104" s="188">
        <f t="shared" ref="L104:Z104" si="41">L81</f>
        <v>71.148772094976493</v>
      </c>
      <c r="M104" s="188">
        <f t="shared" si="41"/>
        <v>62.415285356022451</v>
      </c>
      <c r="N104" s="188">
        <f t="shared" si="41"/>
        <v>62.110274853567333</v>
      </c>
      <c r="O104" s="188">
        <f t="shared" si="41"/>
        <v>61.945683162509894</v>
      </c>
      <c r="P104" s="188">
        <f t="shared" si="41"/>
        <v>64.872556557892608</v>
      </c>
      <c r="Q104" s="188">
        <f t="shared" si="41"/>
        <v>58.027922597996849</v>
      </c>
      <c r="R104" s="188">
        <f t="shared" si="41"/>
        <v>57.392523071728306</v>
      </c>
      <c r="S104" s="189">
        <f t="shared" si="41"/>
        <v>56.854626593166742</v>
      </c>
      <c r="T104" s="190">
        <f t="shared" si="41"/>
        <v>59.534834809948592</v>
      </c>
      <c r="U104" s="191">
        <f t="shared" si="41"/>
        <v>59.501098418087409</v>
      </c>
      <c r="V104" s="191">
        <f t="shared" si="41"/>
        <v>59.404585347278008</v>
      </c>
      <c r="W104" s="191">
        <f t="shared" si="41"/>
        <v>59.388506925638353</v>
      </c>
      <c r="X104" s="191">
        <f t="shared" si="41"/>
        <v>59.29297678962503</v>
      </c>
      <c r="Y104" s="191">
        <f t="shared" si="41"/>
        <v>59.17739712748164</v>
      </c>
      <c r="Z104" s="192">
        <f t="shared" si="41"/>
        <v>59.104983424464947</v>
      </c>
      <c r="AB104" s="332">
        <f t="shared" si="19"/>
        <v>71.148772094976493</v>
      </c>
      <c r="AC104" s="332">
        <f t="shared" si="20"/>
        <v>62.884997267586392</v>
      </c>
      <c r="AD104" s="332">
        <f t="shared" si="21"/>
        <v>59.349855608704097</v>
      </c>
      <c r="AE104" s="332">
        <f t="shared" si="22"/>
        <v>60.356284130616267</v>
      </c>
    </row>
    <row r="105" spans="1:31" ht="12.75" customHeight="1" x14ac:dyDescent="0.2">
      <c r="A105" s="64" t="s">
        <v>80</v>
      </c>
      <c r="B105" s="238"/>
      <c r="C105" s="248"/>
      <c r="D105" s="255" t="e">
        <f t="shared" ref="D105:Z105" si="42">D102-D104</f>
        <v>#REF!</v>
      </c>
      <c r="E105" s="256" t="e">
        <f t="shared" si="42"/>
        <v>#REF!</v>
      </c>
      <c r="F105" s="256" t="e">
        <f t="shared" si="42"/>
        <v>#REF!</v>
      </c>
      <c r="G105" s="257" t="e">
        <f t="shared" si="42"/>
        <v>#REF!</v>
      </c>
      <c r="H105" s="258" t="e">
        <f t="shared" si="42"/>
        <v>#REF!</v>
      </c>
      <c r="I105" s="259" t="e">
        <f t="shared" si="42"/>
        <v>#REF!</v>
      </c>
      <c r="J105" s="259" t="e">
        <f t="shared" si="42"/>
        <v>#REF!</v>
      </c>
      <c r="K105" s="260">
        <f t="shared" si="42"/>
        <v>5.1523545790383309</v>
      </c>
      <c r="L105" s="239">
        <f t="shared" si="42"/>
        <v>5.1523545790383452</v>
      </c>
      <c r="M105" s="239">
        <f t="shared" si="42"/>
        <v>14.282228528043817</v>
      </c>
      <c r="N105" s="239">
        <f t="shared" si="42"/>
        <v>15.088170944359717</v>
      </c>
      <c r="O105" s="239">
        <f t="shared" si="42"/>
        <v>15.641791207780827</v>
      </c>
      <c r="P105" s="239">
        <f t="shared" si="42"/>
        <v>13.114114801388581</v>
      </c>
      <c r="Q105" s="239">
        <f t="shared" si="42"/>
        <v>57.418477858298175</v>
      </c>
      <c r="R105" s="239">
        <f t="shared" si="42"/>
        <v>56.728998505424826</v>
      </c>
      <c r="S105" s="240">
        <f t="shared" si="42"/>
        <v>46.045333037496604</v>
      </c>
      <c r="T105" s="241">
        <f t="shared" si="42"/>
        <v>48.920706319352107</v>
      </c>
      <c r="U105" s="242">
        <f t="shared" si="42"/>
        <v>17.620444497595784</v>
      </c>
      <c r="V105" s="242">
        <f t="shared" si="42"/>
        <v>17.028298356761432</v>
      </c>
      <c r="W105" s="242">
        <f t="shared" si="42"/>
        <v>16.435918452589405</v>
      </c>
      <c r="X105" s="242">
        <f t="shared" si="42"/>
        <v>13.525140401545158</v>
      </c>
      <c r="Y105" s="242">
        <f t="shared" si="42"/>
        <v>13.992043761387862</v>
      </c>
      <c r="Z105" s="243">
        <f t="shared" si="42"/>
        <v>14.122872527860906</v>
      </c>
      <c r="AB105" s="332">
        <f t="shared" si="19"/>
        <v>5.1523545790383309</v>
      </c>
      <c r="AC105" s="332">
        <f t="shared" si="20"/>
        <v>22.713167335159753</v>
      </c>
      <c r="AD105" s="332">
        <f t="shared" si="21"/>
        <v>20.172790815457951</v>
      </c>
      <c r="AE105" s="332">
        <f t="shared" si="22"/>
        <v>20.896017105244653</v>
      </c>
    </row>
    <row r="106" spans="1:31" x14ac:dyDescent="0.2">
      <c r="A106" s="51" t="s">
        <v>79</v>
      </c>
      <c r="D106" s="261">
        <f t="shared" ref="D106:Z106" si="43">(D$26)</f>
        <v>138992.70324665844</v>
      </c>
      <c r="E106" s="262">
        <f t="shared" si="43"/>
        <v>154222.19301250842</v>
      </c>
      <c r="F106" s="262">
        <f t="shared" si="43"/>
        <v>162086.26483715844</v>
      </c>
      <c r="G106" s="263">
        <f t="shared" si="43"/>
        <v>152376.72562550844</v>
      </c>
      <c r="H106" s="264">
        <f t="shared" si="43"/>
        <v>152708.88135550843</v>
      </c>
      <c r="I106" s="265">
        <f t="shared" si="43"/>
        <v>144481.75591550849</v>
      </c>
      <c r="J106" s="265">
        <f t="shared" si="43"/>
        <v>146545.69236350848</v>
      </c>
      <c r="K106" s="266">
        <f t="shared" si="43"/>
        <v>146825.85977249747</v>
      </c>
      <c r="L106" s="267">
        <f t="shared" si="43"/>
        <v>106040.89872458152</v>
      </c>
      <c r="M106" s="267">
        <f t="shared" si="43"/>
        <v>196850.71151575807</v>
      </c>
      <c r="N106" s="267">
        <f t="shared" si="43"/>
        <v>20496.733372697301</v>
      </c>
      <c r="O106" s="267">
        <f t="shared" si="43"/>
        <v>4462.9223853410313</v>
      </c>
      <c r="P106" s="267">
        <f t="shared" si="43"/>
        <v>5680.8772422253232</v>
      </c>
      <c r="Q106" s="267">
        <f t="shared" si="43"/>
        <v>3704.2332883122981</v>
      </c>
      <c r="R106" s="267">
        <f t="shared" si="43"/>
        <v>55344.342287911568</v>
      </c>
      <c r="S106" s="268">
        <f t="shared" si="43"/>
        <v>75133.953794024172</v>
      </c>
      <c r="T106" s="269">
        <f t="shared" si="43"/>
        <v>162251.05626144004</v>
      </c>
      <c r="U106" s="270">
        <f t="shared" si="43"/>
        <v>193954.42678973026</v>
      </c>
      <c r="V106" s="270">
        <f t="shared" si="43"/>
        <v>177383.9652501017</v>
      </c>
      <c r="W106" s="270">
        <f t="shared" si="43"/>
        <v>166436.45089805571</v>
      </c>
      <c r="X106" s="270">
        <f t="shared" si="43"/>
        <v>159846.25754179552</v>
      </c>
      <c r="Y106" s="270">
        <f t="shared" si="43"/>
        <v>149268.05229711573</v>
      </c>
      <c r="Z106" s="271">
        <f t="shared" si="43"/>
        <v>166021.47530834703</v>
      </c>
      <c r="AB106" s="332">
        <f t="shared" si="19"/>
        <v>146825.85977249747</v>
      </c>
      <c r="AC106" s="332">
        <f t="shared" si="20"/>
        <v>126549.39644686382</v>
      </c>
      <c r="AD106" s="332">
        <f t="shared" si="21"/>
        <v>168917.00830537319</v>
      </c>
      <c r="AE106" s="332">
        <f t="shared" si="22"/>
        <v>156855.26450719417</v>
      </c>
    </row>
    <row r="107" spans="1:31" ht="13.5" thickBot="1" x14ac:dyDescent="0.25">
      <c r="A107" s="66" t="s">
        <v>63</v>
      </c>
      <c r="B107" s="272"/>
      <c r="C107" s="273"/>
      <c r="D107" s="274" t="e">
        <f t="shared" ref="D107:J107" si="44">D106*D105</f>
        <v>#REF!</v>
      </c>
      <c r="E107" s="275" t="e">
        <f t="shared" si="44"/>
        <v>#REF!</v>
      </c>
      <c r="F107" s="275" t="e">
        <f t="shared" si="44"/>
        <v>#REF!</v>
      </c>
      <c r="G107" s="276" t="e">
        <f t="shared" si="44"/>
        <v>#REF!</v>
      </c>
      <c r="H107" s="277" t="e">
        <f t="shared" si="44"/>
        <v>#REF!</v>
      </c>
      <c r="I107" s="278" t="e">
        <f t="shared" si="44"/>
        <v>#REF!</v>
      </c>
      <c r="J107" s="278" t="e">
        <f t="shared" si="44"/>
        <v>#REF!</v>
      </c>
      <c r="K107" s="279">
        <f t="shared" ref="K107:Z107" si="45">K106*-K105</f>
        <v>-756498.89092006721</v>
      </c>
      <c r="L107" s="280">
        <f t="shared" si="45"/>
        <v>-546360.31010893907</v>
      </c>
      <c r="M107" s="280">
        <f t="shared" si="45"/>
        <v>-2811466.8477760833</v>
      </c>
      <c r="N107" s="280">
        <f t="shared" si="45"/>
        <v>-309258.2169282196</v>
      </c>
      <c r="O107" s="280">
        <f t="shared" si="45"/>
        <v>-69808.100128035585</v>
      </c>
      <c r="P107" s="280">
        <f t="shared" si="45"/>
        <v>-74499.676327138659</v>
      </c>
      <c r="Q107" s="280">
        <f t="shared" si="45"/>
        <v>-212691.43704693072</v>
      </c>
      <c r="R107" s="280">
        <f t="shared" si="45"/>
        <v>-3139629.1109346552</v>
      </c>
      <c r="S107" s="281">
        <f t="shared" si="45"/>
        <v>-3459567.9248697245</v>
      </c>
      <c r="T107" s="282">
        <f t="shared" si="45"/>
        <v>-7937436.2733705835</v>
      </c>
      <c r="U107" s="283">
        <f t="shared" si="45"/>
        <v>-3417563.2123114471</v>
      </c>
      <c r="V107" s="283">
        <f t="shared" si="45"/>
        <v>-3020547.0839841338</v>
      </c>
      <c r="W107" s="283">
        <f t="shared" si="45"/>
        <v>-2735535.9344988442</v>
      </c>
      <c r="X107" s="283">
        <f t="shared" si="45"/>
        <v>-2161943.0759143312</v>
      </c>
      <c r="Y107" s="283">
        <f t="shared" si="45"/>
        <v>-2088565.1199183753</v>
      </c>
      <c r="Z107" s="284">
        <f t="shared" si="45"/>
        <v>-2344700.1326671918</v>
      </c>
      <c r="AB107" s="332">
        <f t="shared" si="19"/>
        <v>-756498.89092006721</v>
      </c>
      <c r="AC107" s="332">
        <f t="shared" si="20"/>
        <v>-2251220.6430772599</v>
      </c>
      <c r="AD107" s="332">
        <f t="shared" si="21"/>
        <v>-3393919.0070645753</v>
      </c>
      <c r="AE107" s="332">
        <f t="shared" si="22"/>
        <v>-3068601.2867492847</v>
      </c>
    </row>
    <row r="108" spans="1:31" ht="13.5" thickTop="1" x14ac:dyDescent="0.2">
      <c r="A108" s="316"/>
      <c r="B108" s="135" t="s">
        <v>95</v>
      </c>
      <c r="C108" s="318">
        <f>SUM(K107:Z107)</f>
        <v>-35086071.347704701</v>
      </c>
      <c r="D108" s="102"/>
      <c r="E108" s="103"/>
      <c r="F108" s="103"/>
      <c r="G108" s="229" t="e">
        <f>SUM(D107:G107)</f>
        <v>#REF!</v>
      </c>
      <c r="H108" s="105"/>
      <c r="I108" s="106"/>
      <c r="J108" s="231" t="e">
        <f>SUM(H107:J107)</f>
        <v>#REF!</v>
      </c>
      <c r="K108" s="232">
        <f>SUM(K107)</f>
        <v>-756498.89092006721</v>
      </c>
      <c r="L108" s="233"/>
      <c r="M108" s="233"/>
      <c r="N108" s="233"/>
      <c r="O108" s="233"/>
      <c r="P108" s="233"/>
      <c r="Q108" s="233"/>
      <c r="R108" s="233"/>
      <c r="S108" s="234">
        <f>SUM(L107:S107)</f>
        <v>-10623281.624119725</v>
      </c>
      <c r="T108" s="235"/>
      <c r="U108" s="236"/>
      <c r="V108" s="236"/>
      <c r="W108" s="236"/>
      <c r="X108" s="236"/>
      <c r="Y108" s="236"/>
      <c r="Z108" s="237">
        <f>SUM(T107:Z107)</f>
        <v>-23706290.832664907</v>
      </c>
      <c r="AB108" s="332">
        <f t="shared" si="19"/>
        <v>-756498.89092006721</v>
      </c>
      <c r="AC108" s="332">
        <f t="shared" si="20"/>
        <v>-1706530.065075832</v>
      </c>
      <c r="AD108" s="332">
        <f t="shared" si="21"/>
        <v>-3349116.4922690024</v>
      </c>
      <c r="AE108" s="332">
        <f t="shared" si="22"/>
        <v>-2881484.360504393</v>
      </c>
    </row>
    <row r="109" spans="1:31" x14ac:dyDescent="0.2">
      <c r="A109" s="316"/>
      <c r="B109" s="317"/>
      <c r="C109" s="317"/>
      <c r="D109" s="227"/>
      <c r="E109" s="228"/>
      <c r="F109" s="228"/>
      <c r="G109" s="229"/>
      <c r="H109" s="230"/>
      <c r="I109" s="231"/>
      <c r="J109" s="231"/>
      <c r="K109" s="232"/>
      <c r="L109" s="233"/>
      <c r="M109" s="233"/>
      <c r="N109" s="233"/>
      <c r="O109" s="233"/>
      <c r="P109" s="233"/>
      <c r="Q109" s="233"/>
      <c r="R109" s="233"/>
      <c r="S109" s="234"/>
      <c r="T109" s="235"/>
      <c r="U109" s="236"/>
      <c r="V109" s="236"/>
      <c r="W109" s="236"/>
      <c r="X109" s="236"/>
      <c r="Y109" s="236"/>
      <c r="Z109" s="237"/>
      <c r="AB109" s="332">
        <f t="shared" si="19"/>
        <v>0</v>
      </c>
      <c r="AC109" s="332">
        <f t="shared" si="20"/>
        <v>0</v>
      </c>
      <c r="AD109" s="332">
        <f t="shared" si="21"/>
        <v>0</v>
      </c>
      <c r="AE109" s="332">
        <f t="shared" si="22"/>
        <v>0</v>
      </c>
    </row>
    <row r="110" spans="1:31" x14ac:dyDescent="0.2">
      <c r="A110" s="316"/>
      <c r="B110" s="317"/>
      <c r="C110" s="317"/>
      <c r="D110" s="227"/>
      <c r="E110" s="228"/>
      <c r="F110" s="228"/>
      <c r="G110" s="229"/>
      <c r="H110" s="230"/>
      <c r="I110" s="231"/>
      <c r="J110" s="231"/>
      <c r="K110" s="232"/>
      <c r="L110" s="233"/>
      <c r="M110" s="233"/>
      <c r="N110" s="233"/>
      <c r="O110" s="233"/>
      <c r="P110" s="233"/>
      <c r="Q110" s="233"/>
      <c r="R110" s="233"/>
      <c r="S110" s="234"/>
      <c r="T110" s="235"/>
      <c r="U110" s="236"/>
      <c r="V110" s="236"/>
      <c r="W110" s="236"/>
      <c r="X110" s="236"/>
      <c r="Y110" s="236"/>
      <c r="Z110" s="237"/>
      <c r="AB110" s="332">
        <f t="shared" si="19"/>
        <v>0</v>
      </c>
      <c r="AC110" s="332">
        <f t="shared" si="20"/>
        <v>0</v>
      </c>
      <c r="AD110" s="332">
        <f t="shared" si="21"/>
        <v>0</v>
      </c>
      <c r="AE110" s="332">
        <f t="shared" si="22"/>
        <v>0</v>
      </c>
    </row>
    <row r="111" spans="1:31" x14ac:dyDescent="0.2">
      <c r="A111" s="68" t="s">
        <v>94</v>
      </c>
      <c r="B111" s="245"/>
      <c r="C111" s="245"/>
      <c r="D111" s="246"/>
      <c r="E111" s="247"/>
      <c r="F111" s="228"/>
      <c r="G111" s="229"/>
      <c r="H111" s="230"/>
      <c r="I111" s="231"/>
      <c r="J111" s="231"/>
      <c r="K111" s="90"/>
      <c r="L111" s="233"/>
      <c r="M111" s="233"/>
      <c r="N111" s="233"/>
      <c r="O111" s="233"/>
      <c r="P111" s="233"/>
      <c r="Q111" s="233"/>
      <c r="R111" s="233"/>
      <c r="S111" s="234"/>
      <c r="T111" s="235"/>
      <c r="U111" s="236"/>
      <c r="V111" s="236"/>
      <c r="W111" s="236"/>
      <c r="X111" s="236"/>
      <c r="Y111" s="236"/>
      <c r="Z111" s="237"/>
      <c r="AB111" s="332">
        <f t="shared" si="19"/>
        <v>0</v>
      </c>
      <c r="AC111" s="332">
        <f t="shared" si="20"/>
        <v>0</v>
      </c>
      <c r="AD111" s="332">
        <f t="shared" si="21"/>
        <v>0</v>
      </c>
      <c r="AE111" s="332">
        <f t="shared" si="22"/>
        <v>0</v>
      </c>
    </row>
    <row r="112" spans="1:31" x14ac:dyDescent="0.2">
      <c r="A112" s="52" t="s">
        <v>76</v>
      </c>
      <c r="D112" s="182">
        <f t="shared" ref="D112:J112" si="46">D108</f>
        <v>0</v>
      </c>
      <c r="E112" s="183">
        <f t="shared" si="46"/>
        <v>0</v>
      </c>
      <c r="F112" s="183">
        <f t="shared" si="46"/>
        <v>0</v>
      </c>
      <c r="G112" s="184" t="e">
        <f t="shared" si="46"/>
        <v>#REF!</v>
      </c>
      <c r="H112" s="185">
        <f t="shared" si="46"/>
        <v>0</v>
      </c>
      <c r="I112" s="186">
        <f t="shared" si="46"/>
        <v>0</v>
      </c>
      <c r="J112" s="186" t="e">
        <f t="shared" si="46"/>
        <v>#REF!</v>
      </c>
      <c r="K112" s="187">
        <f t="shared" ref="K112:Z112" si="47">K53</f>
        <v>66.301126674014824</v>
      </c>
      <c r="L112" s="188">
        <f t="shared" si="47"/>
        <v>66.301126674014839</v>
      </c>
      <c r="M112" s="188">
        <f t="shared" si="47"/>
        <v>66.697513884066268</v>
      </c>
      <c r="N112" s="188">
        <f t="shared" si="47"/>
        <v>67.19844579792705</v>
      </c>
      <c r="O112" s="188">
        <f t="shared" si="47"/>
        <v>67.587474370290721</v>
      </c>
      <c r="P112" s="188">
        <f t="shared" si="47"/>
        <v>67.986671359281189</v>
      </c>
      <c r="Q112" s="188">
        <f t="shared" si="47"/>
        <v>105.44640045629502</v>
      </c>
      <c r="R112" s="188">
        <f t="shared" si="47"/>
        <v>104.12152157715313</v>
      </c>
      <c r="S112" s="189">
        <f t="shared" si="47"/>
        <v>92.899959630663346</v>
      </c>
      <c r="T112" s="190">
        <f t="shared" si="47"/>
        <v>98.455541129300698</v>
      </c>
      <c r="U112" s="191">
        <f t="shared" si="47"/>
        <v>67.121542915683193</v>
      </c>
      <c r="V112" s="191">
        <f t="shared" si="47"/>
        <v>66.43288370403944</v>
      </c>
      <c r="W112" s="191">
        <f t="shared" si="47"/>
        <v>65.824425378227758</v>
      </c>
      <c r="X112" s="191">
        <f t="shared" si="47"/>
        <v>62.818117191170181</v>
      </c>
      <c r="Y112" s="191">
        <f t="shared" si="47"/>
        <v>63.169440888869509</v>
      </c>
      <c r="Z112" s="192">
        <f t="shared" si="47"/>
        <v>63.227855952325847</v>
      </c>
      <c r="AB112" s="332">
        <f t="shared" si="19"/>
        <v>66.301126674014824</v>
      </c>
      <c r="AC112" s="332">
        <f t="shared" si="20"/>
        <v>75.598164602746152</v>
      </c>
      <c r="AD112" s="332">
        <f t="shared" si="21"/>
        <v>69.522646424162048</v>
      </c>
      <c r="AE112" s="332">
        <f t="shared" si="22"/>
        <v>71.252301235860926</v>
      </c>
    </row>
    <row r="113" spans="1:31" x14ac:dyDescent="0.2">
      <c r="A113" s="52" t="s">
        <v>74</v>
      </c>
      <c r="D113" s="182" t="e">
        <f>(#REF!*$B$27+#REF!*$B$28+#REF!*$B$29)</f>
        <v>#REF!</v>
      </c>
      <c r="E113" s="183" t="e">
        <f>(#REF!*$B$27+#REF!*$B$28+#REF!*$B$29)</f>
        <v>#REF!</v>
      </c>
      <c r="F113" s="183" t="e">
        <f>(#REF!*$B$27+#REF!*$B$28+#REF!*$B$29)</f>
        <v>#REF!</v>
      </c>
      <c r="G113" s="184" t="e">
        <f>(#REF!*$B$27+#REF!*$B$28+#REF!*$B$29)</f>
        <v>#REF!</v>
      </c>
      <c r="H113" s="185" t="e">
        <f>(#REF!*$B$27+#REF!*$B$28+#REF!*$B$29)</f>
        <v>#REF!</v>
      </c>
      <c r="I113" s="186" t="e">
        <f>(#REF!*$B$27+#REF!*$B$28+#REF!*$B$29)</f>
        <v>#REF!</v>
      </c>
      <c r="J113" s="186" t="e">
        <f>(#REF!*$B$27+#REF!*$B$28+#REF!*$B$29)</f>
        <v>#REF!</v>
      </c>
      <c r="K113" s="187">
        <f t="shared" ref="K113:Z113" si="48">(K36*$B$27+K43*$B$28+K50*$B$29)</f>
        <v>10</v>
      </c>
      <c r="L113" s="188">
        <f t="shared" si="48"/>
        <v>10</v>
      </c>
      <c r="M113" s="188">
        <f t="shared" si="48"/>
        <v>10</v>
      </c>
      <c r="N113" s="188">
        <f t="shared" si="48"/>
        <v>10</v>
      </c>
      <c r="O113" s="188">
        <f t="shared" si="48"/>
        <v>10</v>
      </c>
      <c r="P113" s="188">
        <f t="shared" si="48"/>
        <v>10</v>
      </c>
      <c r="Q113" s="188">
        <f t="shared" si="48"/>
        <v>10</v>
      </c>
      <c r="R113" s="188">
        <f t="shared" si="48"/>
        <v>10</v>
      </c>
      <c r="S113" s="189">
        <f t="shared" si="48"/>
        <v>10</v>
      </c>
      <c r="T113" s="190">
        <f t="shared" si="48"/>
        <v>10</v>
      </c>
      <c r="U113" s="191">
        <f t="shared" si="48"/>
        <v>10</v>
      </c>
      <c r="V113" s="191">
        <f t="shared" si="48"/>
        <v>10</v>
      </c>
      <c r="W113" s="191">
        <f t="shared" si="48"/>
        <v>10</v>
      </c>
      <c r="X113" s="191">
        <f t="shared" si="48"/>
        <v>10</v>
      </c>
      <c r="Y113" s="191">
        <f t="shared" si="48"/>
        <v>10</v>
      </c>
      <c r="Z113" s="192">
        <f t="shared" si="48"/>
        <v>10</v>
      </c>
      <c r="AB113" s="332">
        <f t="shared" si="19"/>
        <v>10</v>
      </c>
      <c r="AC113" s="332">
        <f t="shared" si="20"/>
        <v>9.9999999999999982</v>
      </c>
      <c r="AD113" s="332">
        <f t="shared" si="21"/>
        <v>10</v>
      </c>
      <c r="AE113" s="332">
        <f t="shared" si="22"/>
        <v>10</v>
      </c>
    </row>
    <row r="114" spans="1:31" x14ac:dyDescent="0.2">
      <c r="A114" s="67" t="s">
        <v>75</v>
      </c>
      <c r="B114" s="244"/>
      <c r="C114" s="244"/>
      <c r="D114" s="285" t="e">
        <f t="shared" ref="D114:J114" si="49">D115-D113-D112</f>
        <v>#REF!</v>
      </c>
      <c r="E114" s="286" t="e">
        <f t="shared" si="49"/>
        <v>#REF!</v>
      </c>
      <c r="F114" s="286" t="e">
        <f t="shared" si="49"/>
        <v>#REF!</v>
      </c>
      <c r="G114" s="287" t="e">
        <f t="shared" si="49"/>
        <v>#REF!</v>
      </c>
      <c r="H114" s="288" t="e">
        <f t="shared" si="49"/>
        <v>#REF!</v>
      </c>
      <c r="I114" s="289" t="e">
        <f t="shared" si="49"/>
        <v>#REF!</v>
      </c>
      <c r="J114" s="289" t="e">
        <f t="shared" si="49"/>
        <v>#REF!</v>
      </c>
      <c r="K114" s="310" t="s">
        <v>66</v>
      </c>
      <c r="L114" s="311" t="s">
        <v>66</v>
      </c>
      <c r="M114" s="311" t="s">
        <v>66</v>
      </c>
      <c r="N114" s="311" t="s">
        <v>66</v>
      </c>
      <c r="O114" s="311" t="s">
        <v>66</v>
      </c>
      <c r="P114" s="311" t="s">
        <v>66</v>
      </c>
      <c r="Q114" s="311" t="s">
        <v>66</v>
      </c>
      <c r="R114" s="311" t="s">
        <v>66</v>
      </c>
      <c r="S114" s="312" t="s">
        <v>66</v>
      </c>
      <c r="T114" s="313" t="s">
        <v>66</v>
      </c>
      <c r="U114" s="314" t="s">
        <v>66</v>
      </c>
      <c r="V114" s="314" t="s">
        <v>66</v>
      </c>
      <c r="W114" s="314" t="s">
        <v>66</v>
      </c>
      <c r="X114" s="314" t="s">
        <v>66</v>
      </c>
      <c r="Y114" s="314" t="s">
        <v>66</v>
      </c>
      <c r="Z114" s="315" t="s">
        <v>66</v>
      </c>
      <c r="AB114" s="332" t="str">
        <f t="shared" si="19"/>
        <v>none</v>
      </c>
      <c r="AC114" s="332">
        <f t="shared" si="20"/>
        <v>0</v>
      </c>
      <c r="AD114" s="332">
        <f t="shared" si="21"/>
        <v>0</v>
      </c>
      <c r="AE114" s="332">
        <f t="shared" si="22"/>
        <v>0</v>
      </c>
    </row>
    <row r="115" spans="1:31" x14ac:dyDescent="0.2">
      <c r="A115" s="65" t="s">
        <v>78</v>
      </c>
      <c r="B115" s="238"/>
      <c r="C115" s="248"/>
      <c r="D115" s="249" t="e">
        <f>#REF!</f>
        <v>#REF!</v>
      </c>
      <c r="E115" s="250" t="e">
        <f>#REF!</f>
        <v>#REF!</v>
      </c>
      <c r="F115" s="250" t="e">
        <f>#REF!</f>
        <v>#REF!</v>
      </c>
      <c r="G115" s="251" t="e">
        <f>#REF!</f>
        <v>#REF!</v>
      </c>
      <c r="H115" s="252" t="e">
        <f>#REF!</f>
        <v>#REF!</v>
      </c>
      <c r="I115" s="253" t="e">
        <f>#REF!</f>
        <v>#REF!</v>
      </c>
      <c r="J115" s="253" t="e">
        <f>#REF!</f>
        <v>#REF!</v>
      </c>
      <c r="K115" s="254">
        <f t="shared" ref="K115:Z115" si="50">SUM(K112:K114)</f>
        <v>76.301126674014824</v>
      </c>
      <c r="L115" s="54">
        <f t="shared" si="50"/>
        <v>76.301126674014839</v>
      </c>
      <c r="M115" s="54">
        <f t="shared" si="50"/>
        <v>76.697513884066268</v>
      </c>
      <c r="N115" s="54">
        <f t="shared" si="50"/>
        <v>77.19844579792705</v>
      </c>
      <c r="O115" s="54">
        <f t="shared" si="50"/>
        <v>77.587474370290721</v>
      </c>
      <c r="P115" s="54">
        <f t="shared" si="50"/>
        <v>77.986671359281189</v>
      </c>
      <c r="Q115" s="54">
        <f t="shared" si="50"/>
        <v>115.44640045629502</v>
      </c>
      <c r="R115" s="54">
        <f t="shared" si="50"/>
        <v>114.12152157715313</v>
      </c>
      <c r="S115" s="55">
        <f t="shared" si="50"/>
        <v>102.89995963066335</v>
      </c>
      <c r="T115" s="56">
        <f t="shared" si="50"/>
        <v>108.4555411293007</v>
      </c>
      <c r="U115" s="57">
        <f t="shared" si="50"/>
        <v>77.121542915683193</v>
      </c>
      <c r="V115" s="57">
        <f t="shared" si="50"/>
        <v>76.43288370403944</v>
      </c>
      <c r="W115" s="57">
        <f t="shared" si="50"/>
        <v>75.824425378227758</v>
      </c>
      <c r="X115" s="57">
        <f t="shared" si="50"/>
        <v>72.818117191170188</v>
      </c>
      <c r="Y115" s="57">
        <f t="shared" si="50"/>
        <v>73.169440888869502</v>
      </c>
      <c r="Z115" s="58">
        <f t="shared" si="50"/>
        <v>73.227855952325854</v>
      </c>
      <c r="AB115" s="332">
        <f t="shared" si="19"/>
        <v>76.301126674014824</v>
      </c>
      <c r="AC115" s="332">
        <f t="shared" si="20"/>
        <v>85.598164602746152</v>
      </c>
      <c r="AD115" s="332">
        <f t="shared" si="21"/>
        <v>79.522646424162048</v>
      </c>
      <c r="AE115" s="332">
        <f t="shared" si="22"/>
        <v>81.252301235860912</v>
      </c>
    </row>
    <row r="116" spans="1:31" x14ac:dyDescent="0.2">
      <c r="A116" s="53"/>
      <c r="D116" s="160"/>
      <c r="E116" s="161"/>
      <c r="F116" s="161"/>
      <c r="G116" s="162"/>
      <c r="H116" s="163"/>
      <c r="I116" s="164"/>
      <c r="J116" s="164"/>
      <c r="K116" s="165"/>
      <c r="L116" s="59"/>
      <c r="M116" s="59"/>
      <c r="N116" s="59"/>
      <c r="O116" s="59"/>
      <c r="P116" s="59"/>
      <c r="Q116" s="59"/>
      <c r="R116" s="59"/>
      <c r="S116" s="60"/>
      <c r="T116" s="61"/>
      <c r="U116" s="62"/>
      <c r="V116" s="62"/>
      <c r="W116" s="62"/>
      <c r="X116" s="62"/>
      <c r="Y116" s="62"/>
      <c r="Z116" s="63"/>
      <c r="AB116" s="332">
        <f t="shared" si="19"/>
        <v>0</v>
      </c>
      <c r="AC116" s="332">
        <f t="shared" si="20"/>
        <v>0</v>
      </c>
      <c r="AD116" s="332">
        <f t="shared" si="21"/>
        <v>0</v>
      </c>
      <c r="AE116" s="332">
        <f t="shared" si="22"/>
        <v>0</v>
      </c>
    </row>
    <row r="117" spans="1:31" x14ac:dyDescent="0.2">
      <c r="A117" s="51" t="s">
        <v>72</v>
      </c>
      <c r="D117" s="182" t="e">
        <f>#REF!</f>
        <v>#REF!</v>
      </c>
      <c r="E117" s="183" t="e">
        <f>#REF!</f>
        <v>#REF!</v>
      </c>
      <c r="F117" s="183" t="e">
        <f>#REF!</f>
        <v>#REF!</v>
      </c>
      <c r="G117" s="184" t="e">
        <f>#REF!</f>
        <v>#REF!</v>
      </c>
      <c r="H117" s="185" t="e">
        <f>#REF!</f>
        <v>#REF!</v>
      </c>
      <c r="I117" s="186" t="e">
        <f>#REF!</f>
        <v>#REF!</v>
      </c>
      <c r="J117" s="186" t="e">
        <f>#REF!</f>
        <v>#REF!</v>
      </c>
      <c r="K117" s="187">
        <f>K68</f>
        <v>195.40209111707424</v>
      </c>
      <c r="L117" s="375">
        <v>213</v>
      </c>
      <c r="M117" s="375">
        <v>196</v>
      </c>
      <c r="N117" s="375">
        <v>159</v>
      </c>
      <c r="O117" s="375">
        <v>102</v>
      </c>
      <c r="P117" s="375">
        <v>40</v>
      </c>
      <c r="Q117" s="375">
        <v>38</v>
      </c>
      <c r="R117" s="375">
        <v>35</v>
      </c>
      <c r="S117" s="376">
        <v>35</v>
      </c>
      <c r="T117" s="386">
        <v>35</v>
      </c>
      <c r="U117" s="191">
        <f t="shared" ref="U117:Z117" si="51">U81</f>
        <v>59.501098418087409</v>
      </c>
      <c r="V117" s="191">
        <f t="shared" si="51"/>
        <v>59.404585347278008</v>
      </c>
      <c r="W117" s="191">
        <f t="shared" si="51"/>
        <v>59.388506925638353</v>
      </c>
      <c r="X117" s="191">
        <f t="shared" si="51"/>
        <v>59.29297678962503</v>
      </c>
      <c r="Y117" s="191">
        <f t="shared" si="51"/>
        <v>59.17739712748164</v>
      </c>
      <c r="Z117" s="192">
        <f t="shared" si="51"/>
        <v>59.104983424464947</v>
      </c>
      <c r="AB117" s="332">
        <f t="shared" si="19"/>
        <v>195.40209111707424</v>
      </c>
      <c r="AC117" s="332">
        <f t="shared" si="20"/>
        <v>149.27559467562642</v>
      </c>
      <c r="AD117" s="332">
        <f t="shared" si="21"/>
        <v>55.962404404210886</v>
      </c>
      <c r="AE117" s="332">
        <f t="shared" si="22"/>
        <v>82.527975241748905</v>
      </c>
    </row>
    <row r="118" spans="1:31" x14ac:dyDescent="0.2">
      <c r="A118" s="64" t="s">
        <v>80</v>
      </c>
      <c r="B118" s="238"/>
      <c r="C118" s="248"/>
      <c r="D118" s="255" t="e">
        <f t="shared" ref="D118:Z118" si="52">D115-D117</f>
        <v>#REF!</v>
      </c>
      <c r="E118" s="256" t="e">
        <f t="shared" si="52"/>
        <v>#REF!</v>
      </c>
      <c r="F118" s="256" t="e">
        <f t="shared" si="52"/>
        <v>#REF!</v>
      </c>
      <c r="G118" s="257" t="e">
        <f t="shared" si="52"/>
        <v>#REF!</v>
      </c>
      <c r="H118" s="258" t="e">
        <f t="shared" si="52"/>
        <v>#REF!</v>
      </c>
      <c r="I118" s="259" t="e">
        <f t="shared" si="52"/>
        <v>#REF!</v>
      </c>
      <c r="J118" s="259" t="e">
        <f t="shared" si="52"/>
        <v>#REF!</v>
      </c>
      <c r="K118" s="260">
        <f t="shared" si="52"/>
        <v>-119.10096444305941</v>
      </c>
      <c r="L118" s="239">
        <f t="shared" si="52"/>
        <v>-136.69887332598518</v>
      </c>
      <c r="M118" s="239">
        <f t="shared" si="52"/>
        <v>-119.30248611593373</v>
      </c>
      <c r="N118" s="239">
        <f t="shared" si="52"/>
        <v>-81.80155420207295</v>
      </c>
      <c r="O118" s="239">
        <f t="shared" si="52"/>
        <v>-24.412525629709279</v>
      </c>
      <c r="P118" s="239">
        <f t="shared" si="52"/>
        <v>37.986671359281189</v>
      </c>
      <c r="Q118" s="239">
        <f t="shared" si="52"/>
        <v>77.446400456295024</v>
      </c>
      <c r="R118" s="239">
        <f t="shared" si="52"/>
        <v>79.121521577153132</v>
      </c>
      <c r="S118" s="240">
        <f t="shared" si="52"/>
        <v>67.899959630663346</v>
      </c>
      <c r="T118" s="241">
        <f t="shared" si="52"/>
        <v>73.455541129300698</v>
      </c>
      <c r="U118" s="242">
        <f t="shared" si="52"/>
        <v>17.620444497595784</v>
      </c>
      <c r="V118" s="242">
        <f t="shared" si="52"/>
        <v>17.028298356761432</v>
      </c>
      <c r="W118" s="242">
        <f t="shared" si="52"/>
        <v>16.435918452589405</v>
      </c>
      <c r="X118" s="242">
        <f t="shared" si="52"/>
        <v>13.525140401545158</v>
      </c>
      <c r="Y118" s="242">
        <f t="shared" si="52"/>
        <v>13.992043761387862</v>
      </c>
      <c r="Z118" s="243">
        <f t="shared" si="52"/>
        <v>14.122872527860906</v>
      </c>
      <c r="AB118" s="332">
        <f t="shared" si="19"/>
        <v>-119.10096444305941</v>
      </c>
      <c r="AC118" s="332">
        <f t="shared" si="20"/>
        <v>-63.677430072880234</v>
      </c>
      <c r="AD118" s="332">
        <f t="shared" si="21"/>
        <v>23.560242019951154</v>
      </c>
      <c r="AE118" s="332">
        <f t="shared" si="22"/>
        <v>-1.275674005887979</v>
      </c>
    </row>
    <row r="119" spans="1:31" x14ac:dyDescent="0.2">
      <c r="A119" s="51" t="s">
        <v>79</v>
      </c>
      <c r="D119" s="261">
        <f t="shared" ref="D119:Z119" si="53">(D$26)</f>
        <v>138992.70324665844</v>
      </c>
      <c r="E119" s="262">
        <f t="shared" si="53"/>
        <v>154222.19301250842</v>
      </c>
      <c r="F119" s="262">
        <f t="shared" si="53"/>
        <v>162086.26483715844</v>
      </c>
      <c r="G119" s="263">
        <f t="shared" si="53"/>
        <v>152376.72562550844</v>
      </c>
      <c r="H119" s="264">
        <f t="shared" si="53"/>
        <v>152708.88135550843</v>
      </c>
      <c r="I119" s="265">
        <f t="shared" si="53"/>
        <v>144481.75591550849</v>
      </c>
      <c r="J119" s="265">
        <f t="shared" si="53"/>
        <v>146545.69236350848</v>
      </c>
      <c r="K119" s="266">
        <f t="shared" si="53"/>
        <v>146825.85977249747</v>
      </c>
      <c r="L119" s="267">
        <f t="shared" si="53"/>
        <v>106040.89872458152</v>
      </c>
      <c r="M119" s="267">
        <f t="shared" si="53"/>
        <v>196850.71151575807</v>
      </c>
      <c r="N119" s="267">
        <f t="shared" si="53"/>
        <v>20496.733372697301</v>
      </c>
      <c r="O119" s="267">
        <f t="shared" si="53"/>
        <v>4462.9223853410313</v>
      </c>
      <c r="P119" s="267">
        <f t="shared" si="53"/>
        <v>5680.8772422253232</v>
      </c>
      <c r="Q119" s="267">
        <f t="shared" si="53"/>
        <v>3704.2332883122981</v>
      </c>
      <c r="R119" s="267">
        <f t="shared" si="53"/>
        <v>55344.342287911568</v>
      </c>
      <c r="S119" s="268">
        <f t="shared" si="53"/>
        <v>75133.953794024172</v>
      </c>
      <c r="T119" s="269">
        <f t="shared" si="53"/>
        <v>162251.05626144004</v>
      </c>
      <c r="U119" s="270">
        <f t="shared" si="53"/>
        <v>193954.42678973026</v>
      </c>
      <c r="V119" s="270">
        <f t="shared" si="53"/>
        <v>177383.9652501017</v>
      </c>
      <c r="W119" s="270">
        <f t="shared" si="53"/>
        <v>166436.45089805571</v>
      </c>
      <c r="X119" s="270">
        <f t="shared" si="53"/>
        <v>159846.25754179552</v>
      </c>
      <c r="Y119" s="270">
        <f t="shared" si="53"/>
        <v>149268.05229711573</v>
      </c>
      <c r="Z119" s="271">
        <f t="shared" si="53"/>
        <v>166021.47530834703</v>
      </c>
      <c r="AB119" s="332">
        <f t="shared" si="19"/>
        <v>146825.85977249747</v>
      </c>
      <c r="AC119" s="332">
        <f t="shared" si="20"/>
        <v>126549.39644686382</v>
      </c>
      <c r="AD119" s="332">
        <f t="shared" si="21"/>
        <v>168917.00830537319</v>
      </c>
      <c r="AE119" s="332">
        <f t="shared" si="22"/>
        <v>156855.26450719417</v>
      </c>
    </row>
    <row r="120" spans="1:31" ht="13.5" thickBot="1" x14ac:dyDescent="0.25">
      <c r="A120" s="66" t="s">
        <v>63</v>
      </c>
      <c r="B120" s="272"/>
      <c r="C120" s="273"/>
      <c r="D120" s="274" t="e">
        <f t="shared" ref="D120:J120" si="54">D119*D118</f>
        <v>#REF!</v>
      </c>
      <c r="E120" s="275" t="e">
        <f t="shared" si="54"/>
        <v>#REF!</v>
      </c>
      <c r="F120" s="275" t="e">
        <f t="shared" si="54"/>
        <v>#REF!</v>
      </c>
      <c r="G120" s="276" t="e">
        <f t="shared" si="54"/>
        <v>#REF!</v>
      </c>
      <c r="H120" s="277" t="e">
        <f t="shared" si="54"/>
        <v>#REF!</v>
      </c>
      <c r="I120" s="278" t="e">
        <f t="shared" si="54"/>
        <v>#REF!</v>
      </c>
      <c r="J120" s="278" t="e">
        <f t="shared" si="54"/>
        <v>#REF!</v>
      </c>
      <c r="K120" s="279">
        <f t="shared" ref="K120:Z120" si="55">K119*-K118</f>
        <v>17487101.504085846</v>
      </c>
      <c r="L120" s="280">
        <f t="shared" si="55"/>
        <v>14495671.382125193</v>
      </c>
      <c r="M120" s="280">
        <f t="shared" si="55"/>
        <v>23484779.277520403</v>
      </c>
      <c r="N120" s="280">
        <f t="shared" si="55"/>
        <v>1676664.6459521358</v>
      </c>
      <c r="O120" s="280">
        <f t="shared" si="55"/>
        <v>108951.2071155412</v>
      </c>
      <c r="P120" s="280">
        <f t="shared" si="55"/>
        <v>-215797.61683283298</v>
      </c>
      <c r="Q120" s="280">
        <f t="shared" si="55"/>
        <v>-286879.53463017277</v>
      </c>
      <c r="R120" s="280">
        <f t="shared" si="55"/>
        <v>-4378928.5725063439</v>
      </c>
      <c r="S120" s="281">
        <f t="shared" si="55"/>
        <v>-5101592.4295063661</v>
      </c>
      <c r="T120" s="282">
        <f t="shared" si="55"/>
        <v>-11918239.13648469</v>
      </c>
      <c r="U120" s="283">
        <f t="shared" si="55"/>
        <v>-3417563.2123114471</v>
      </c>
      <c r="V120" s="283">
        <f t="shared" si="55"/>
        <v>-3020547.0839841338</v>
      </c>
      <c r="W120" s="283">
        <f t="shared" si="55"/>
        <v>-2735535.9344988442</v>
      </c>
      <c r="X120" s="283">
        <f t="shared" si="55"/>
        <v>-2161943.0759143312</v>
      </c>
      <c r="Y120" s="283">
        <f t="shared" si="55"/>
        <v>-2088565.1199183753</v>
      </c>
      <c r="Z120" s="284">
        <f t="shared" si="55"/>
        <v>-2344700.1326671918</v>
      </c>
      <c r="AB120" s="332">
        <f t="shared" si="19"/>
        <v>17487101.504085846</v>
      </c>
      <c r="AC120" s="332">
        <f t="shared" si="20"/>
        <v>11902644.766985618</v>
      </c>
      <c r="AD120" s="332">
        <f t="shared" si="21"/>
        <v>-3943536.543027685</v>
      </c>
      <c r="AE120" s="332">
        <f t="shared" si="22"/>
        <v>567753.34933581844</v>
      </c>
    </row>
    <row r="121" spans="1:31" ht="13.5" thickTop="1" x14ac:dyDescent="0.2">
      <c r="B121" s="135" t="s">
        <v>95</v>
      </c>
      <c r="C121" s="318">
        <f>SUM(K120:Z120)</f>
        <v>19582876.167544387</v>
      </c>
      <c r="K121" s="187">
        <f>K120</f>
        <v>17487101.504085846</v>
      </c>
      <c r="S121" s="234">
        <f>SUM(L120:S120)</f>
        <v>29782868.359237555</v>
      </c>
      <c r="Z121" s="237">
        <f>SUM(T120:Z120)</f>
        <v>-27687093.695779011</v>
      </c>
      <c r="AB121" s="332">
        <f t="shared" si="19"/>
        <v>17487101.504085846</v>
      </c>
      <c r="AC121" s="332">
        <f t="shared" si="20"/>
        <v>4784337.0888179885</v>
      </c>
      <c r="AD121" s="332">
        <f t="shared" si="21"/>
        <v>-3911506.138774001</v>
      </c>
      <c r="AE121" s="332">
        <f t="shared" si="22"/>
        <v>-1435864.2859684913</v>
      </c>
    </row>
    <row r="122" spans="1:31" x14ac:dyDescent="0.2">
      <c r="A122" s="316"/>
      <c r="B122" s="317"/>
      <c r="C122" s="317"/>
      <c r="D122" s="227"/>
      <c r="E122" s="228"/>
      <c r="F122" s="228"/>
      <c r="G122" s="229"/>
      <c r="H122" s="230"/>
      <c r="I122" s="231"/>
      <c r="J122" s="231"/>
      <c r="K122" s="187"/>
      <c r="L122" s="233"/>
      <c r="M122" s="233"/>
      <c r="N122" s="233"/>
      <c r="O122" s="233"/>
      <c r="P122" s="233"/>
      <c r="Q122" s="233"/>
      <c r="R122" s="233"/>
      <c r="S122" s="234"/>
      <c r="T122" s="235"/>
      <c r="U122" s="236"/>
      <c r="V122" s="236"/>
      <c r="W122" s="236"/>
      <c r="X122" s="236"/>
      <c r="Y122" s="236"/>
      <c r="Z122" s="237"/>
      <c r="AB122" s="332">
        <f t="shared" si="19"/>
        <v>0</v>
      </c>
      <c r="AC122" s="332">
        <f t="shared" si="20"/>
        <v>0</v>
      </c>
      <c r="AD122" s="332">
        <f t="shared" si="21"/>
        <v>0</v>
      </c>
      <c r="AE122" s="332">
        <f t="shared" si="22"/>
        <v>0</v>
      </c>
    </row>
    <row r="123" spans="1:31" x14ac:dyDescent="0.2">
      <c r="D123" s="102"/>
      <c r="E123" s="103"/>
      <c r="F123" s="103"/>
      <c r="G123" s="104"/>
      <c r="H123" s="105"/>
      <c r="I123" s="106"/>
      <c r="J123" s="106"/>
      <c r="K123" s="159"/>
      <c r="L123" s="107"/>
      <c r="M123" s="107"/>
      <c r="N123" s="107"/>
      <c r="O123" s="107"/>
      <c r="P123" s="107"/>
      <c r="Q123" s="107"/>
      <c r="R123" s="107"/>
      <c r="S123" s="108"/>
      <c r="T123" s="109"/>
      <c r="U123" s="110"/>
      <c r="V123" s="110"/>
      <c r="W123" s="110"/>
      <c r="X123" s="110"/>
      <c r="Y123" s="110"/>
      <c r="Z123" s="111"/>
      <c r="AB123" s="332">
        <f t="shared" si="19"/>
        <v>0</v>
      </c>
      <c r="AC123" s="332">
        <f t="shared" si="20"/>
        <v>0</v>
      </c>
      <c r="AD123" s="332">
        <f t="shared" si="21"/>
        <v>0</v>
      </c>
      <c r="AE123" s="332">
        <f t="shared" si="22"/>
        <v>0</v>
      </c>
    </row>
    <row r="124" spans="1:31" x14ac:dyDescent="0.2">
      <c r="A124" s="68" t="s">
        <v>81</v>
      </c>
      <c r="B124" s="245"/>
      <c r="C124" s="245"/>
      <c r="D124" s="246"/>
      <c r="E124" s="247"/>
      <c r="F124" s="228"/>
      <c r="G124" s="229"/>
      <c r="H124" s="230"/>
      <c r="I124" s="231"/>
      <c r="J124" s="231"/>
      <c r="K124" s="232"/>
      <c r="L124" s="233"/>
      <c r="M124" s="233"/>
      <c r="N124" s="233"/>
      <c r="O124" s="233"/>
      <c r="P124" s="233"/>
      <c r="Q124" s="233"/>
      <c r="R124" s="233"/>
      <c r="S124" s="234"/>
      <c r="T124" s="235"/>
      <c r="U124" s="236"/>
      <c r="V124" s="236"/>
      <c r="W124" s="236"/>
      <c r="X124" s="236"/>
      <c r="Y124" s="236"/>
      <c r="Z124" s="237"/>
      <c r="AB124" s="332">
        <f t="shared" si="19"/>
        <v>0</v>
      </c>
      <c r="AC124" s="332">
        <f t="shared" si="20"/>
        <v>0</v>
      </c>
      <c r="AD124" s="332">
        <f t="shared" si="21"/>
        <v>0</v>
      </c>
      <c r="AE124" s="332">
        <f t="shared" si="22"/>
        <v>0</v>
      </c>
    </row>
    <row r="125" spans="1:31" x14ac:dyDescent="0.2">
      <c r="A125" s="52" t="s">
        <v>76</v>
      </c>
      <c r="D125" s="182">
        <f t="shared" ref="D125:Z125" si="56">D53</f>
        <v>105.44640045629505</v>
      </c>
      <c r="E125" s="183">
        <f t="shared" si="56"/>
        <v>104.12152157715312</v>
      </c>
      <c r="F125" s="183">
        <f t="shared" si="56"/>
        <v>105.92398253266541</v>
      </c>
      <c r="G125" s="184">
        <f t="shared" si="56"/>
        <v>104.94885221172005</v>
      </c>
      <c r="H125" s="185">
        <f t="shared" si="56"/>
        <v>67.358544314383607</v>
      </c>
      <c r="I125" s="186">
        <f t="shared" si="56"/>
        <v>66.789471269060613</v>
      </c>
      <c r="J125" s="186">
        <f t="shared" si="56"/>
        <v>66.66927515662799</v>
      </c>
      <c r="K125" s="187">
        <f t="shared" si="56"/>
        <v>66.301126674014824</v>
      </c>
      <c r="L125" s="188">
        <f t="shared" si="56"/>
        <v>66.301126674014839</v>
      </c>
      <c r="M125" s="188">
        <f t="shared" si="56"/>
        <v>66.697513884066268</v>
      </c>
      <c r="N125" s="188">
        <f t="shared" si="56"/>
        <v>67.19844579792705</v>
      </c>
      <c r="O125" s="188">
        <f t="shared" si="56"/>
        <v>67.587474370290721</v>
      </c>
      <c r="P125" s="188">
        <f t="shared" si="56"/>
        <v>67.986671359281189</v>
      </c>
      <c r="Q125" s="188">
        <f t="shared" si="56"/>
        <v>105.44640045629502</v>
      </c>
      <c r="R125" s="188">
        <f t="shared" si="56"/>
        <v>104.12152157715313</v>
      </c>
      <c r="S125" s="189">
        <f t="shared" si="56"/>
        <v>92.899959630663346</v>
      </c>
      <c r="T125" s="190">
        <f t="shared" si="56"/>
        <v>98.455541129300698</v>
      </c>
      <c r="U125" s="191">
        <f t="shared" si="56"/>
        <v>67.121542915683193</v>
      </c>
      <c r="V125" s="191">
        <f t="shared" si="56"/>
        <v>66.43288370403944</v>
      </c>
      <c r="W125" s="191">
        <f t="shared" si="56"/>
        <v>65.824425378227758</v>
      </c>
      <c r="X125" s="191">
        <f t="shared" si="56"/>
        <v>62.818117191170181</v>
      </c>
      <c r="Y125" s="191">
        <f t="shared" si="56"/>
        <v>63.169440888869509</v>
      </c>
      <c r="Z125" s="192">
        <f t="shared" si="56"/>
        <v>63.227855952325847</v>
      </c>
      <c r="AB125" s="332">
        <f t="shared" si="19"/>
        <v>66.301126674014824</v>
      </c>
      <c r="AC125" s="332">
        <f t="shared" si="20"/>
        <v>75.598164602746152</v>
      </c>
      <c r="AD125" s="332">
        <f t="shared" si="21"/>
        <v>69.522646424162048</v>
      </c>
      <c r="AE125" s="332">
        <f t="shared" si="22"/>
        <v>71.252301235860926</v>
      </c>
    </row>
    <row r="126" spans="1:31" x14ac:dyDescent="0.2">
      <c r="A126" s="52" t="s">
        <v>74</v>
      </c>
      <c r="D126" s="182">
        <f t="shared" ref="D126:Z126" si="57">(D36*$B$27+D43*$B$28+D50*$B$29)</f>
        <v>0</v>
      </c>
      <c r="E126" s="183">
        <f t="shared" si="57"/>
        <v>0</v>
      </c>
      <c r="F126" s="183">
        <f t="shared" si="57"/>
        <v>0</v>
      </c>
      <c r="G126" s="184">
        <f t="shared" si="57"/>
        <v>0</v>
      </c>
      <c r="H126" s="185">
        <f t="shared" si="57"/>
        <v>0</v>
      </c>
      <c r="I126" s="186">
        <f t="shared" si="57"/>
        <v>0</v>
      </c>
      <c r="J126" s="186">
        <f t="shared" si="57"/>
        <v>0</v>
      </c>
      <c r="K126" s="187">
        <f>(K36*$B$27+K43*$B$28+K50*$B$29)</f>
        <v>10</v>
      </c>
      <c r="L126" s="188">
        <f t="shared" si="57"/>
        <v>10</v>
      </c>
      <c r="M126" s="188">
        <f t="shared" si="57"/>
        <v>10</v>
      </c>
      <c r="N126" s="188">
        <f t="shared" si="57"/>
        <v>10</v>
      </c>
      <c r="O126" s="188">
        <f t="shared" si="57"/>
        <v>10</v>
      </c>
      <c r="P126" s="188">
        <f t="shared" si="57"/>
        <v>10</v>
      </c>
      <c r="Q126" s="188">
        <f t="shared" si="57"/>
        <v>10</v>
      </c>
      <c r="R126" s="188">
        <f t="shared" si="57"/>
        <v>10</v>
      </c>
      <c r="S126" s="189">
        <f t="shared" si="57"/>
        <v>10</v>
      </c>
      <c r="T126" s="190">
        <f t="shared" si="57"/>
        <v>10</v>
      </c>
      <c r="U126" s="191">
        <f t="shared" si="57"/>
        <v>10</v>
      </c>
      <c r="V126" s="191">
        <f t="shared" si="57"/>
        <v>10</v>
      </c>
      <c r="W126" s="191">
        <f t="shared" si="57"/>
        <v>10</v>
      </c>
      <c r="X126" s="191">
        <f t="shared" si="57"/>
        <v>10</v>
      </c>
      <c r="Y126" s="191">
        <f t="shared" si="57"/>
        <v>10</v>
      </c>
      <c r="Z126" s="192">
        <f t="shared" si="57"/>
        <v>10</v>
      </c>
      <c r="AB126" s="332">
        <f t="shared" si="19"/>
        <v>10</v>
      </c>
      <c r="AC126" s="332">
        <f t="shared" si="20"/>
        <v>9.9999999999999982</v>
      </c>
      <c r="AD126" s="332">
        <f t="shared" si="21"/>
        <v>10</v>
      </c>
      <c r="AE126" s="332">
        <f t="shared" si="22"/>
        <v>10</v>
      </c>
    </row>
    <row r="127" spans="1:31" x14ac:dyDescent="0.2">
      <c r="A127" s="67" t="s">
        <v>75</v>
      </c>
      <c r="B127" s="244"/>
      <c r="C127" s="244"/>
      <c r="D127" s="182"/>
      <c r="E127" s="183"/>
      <c r="F127" s="183"/>
      <c r="G127" s="184"/>
      <c r="H127" s="185"/>
      <c r="I127" s="186"/>
      <c r="J127" s="186"/>
      <c r="K127" s="187"/>
      <c r="L127" s="41" t="s">
        <v>66</v>
      </c>
      <c r="M127" s="41" t="s">
        <v>66</v>
      </c>
      <c r="N127" s="41" t="s">
        <v>66</v>
      </c>
      <c r="O127" s="41" t="s">
        <v>66</v>
      </c>
      <c r="P127" s="41" t="s">
        <v>66</v>
      </c>
      <c r="Q127" s="41" t="s">
        <v>66</v>
      </c>
      <c r="R127" s="41" t="s">
        <v>66</v>
      </c>
      <c r="S127" s="42" t="s">
        <v>66</v>
      </c>
      <c r="T127" s="43" t="s">
        <v>66</v>
      </c>
      <c r="U127" s="44" t="s">
        <v>66</v>
      </c>
      <c r="V127" s="44" t="s">
        <v>66</v>
      </c>
      <c r="W127" s="44" t="s">
        <v>66</v>
      </c>
      <c r="X127" s="44" t="s">
        <v>66</v>
      </c>
      <c r="Y127" s="44" t="s">
        <v>66</v>
      </c>
      <c r="Z127" s="45" t="s">
        <v>66</v>
      </c>
      <c r="AB127" s="332">
        <f t="shared" si="19"/>
        <v>0</v>
      </c>
      <c r="AC127" s="332">
        <f t="shared" si="20"/>
        <v>0</v>
      </c>
      <c r="AD127" s="332">
        <f t="shared" si="21"/>
        <v>0</v>
      </c>
      <c r="AE127" s="332">
        <f t="shared" si="22"/>
        <v>0</v>
      </c>
    </row>
    <row r="128" spans="1:31" x14ac:dyDescent="0.2">
      <c r="A128" s="65" t="s">
        <v>78</v>
      </c>
      <c r="B128" s="238"/>
      <c r="C128" s="248"/>
      <c r="D128" s="249">
        <f t="shared" ref="D128:J128" si="58">D54</f>
        <v>105.44640045629505</v>
      </c>
      <c r="E128" s="250">
        <f t="shared" si="58"/>
        <v>104.12152157715312</v>
      </c>
      <c r="F128" s="250">
        <f t="shared" si="58"/>
        <v>105.92398253266541</v>
      </c>
      <c r="G128" s="251">
        <f t="shared" si="58"/>
        <v>104.94885221172005</v>
      </c>
      <c r="H128" s="252">
        <f t="shared" si="58"/>
        <v>67.358544314383607</v>
      </c>
      <c r="I128" s="253">
        <f t="shared" si="58"/>
        <v>66.789471269060613</v>
      </c>
      <c r="J128" s="253">
        <f t="shared" si="58"/>
        <v>66.66927515662799</v>
      </c>
      <c r="K128" s="254">
        <f>SUM(K125:K127)</f>
        <v>76.301126674014824</v>
      </c>
      <c r="L128" s="54">
        <f t="shared" ref="L128:Z128" si="59">SUM(L125:L127)</f>
        <v>76.301126674014839</v>
      </c>
      <c r="M128" s="54">
        <f t="shared" si="59"/>
        <v>76.697513884066268</v>
      </c>
      <c r="N128" s="54">
        <f t="shared" si="59"/>
        <v>77.19844579792705</v>
      </c>
      <c r="O128" s="54">
        <f t="shared" si="59"/>
        <v>77.587474370290721</v>
      </c>
      <c r="P128" s="54">
        <f t="shared" si="59"/>
        <v>77.986671359281189</v>
      </c>
      <c r="Q128" s="54">
        <f t="shared" si="59"/>
        <v>115.44640045629502</v>
      </c>
      <c r="R128" s="54">
        <f t="shared" si="59"/>
        <v>114.12152157715313</v>
      </c>
      <c r="S128" s="55">
        <f t="shared" si="59"/>
        <v>102.89995963066335</v>
      </c>
      <c r="T128" s="56">
        <f t="shared" si="59"/>
        <v>108.4555411293007</v>
      </c>
      <c r="U128" s="57">
        <f t="shared" si="59"/>
        <v>77.121542915683193</v>
      </c>
      <c r="V128" s="57">
        <f t="shared" si="59"/>
        <v>76.43288370403944</v>
      </c>
      <c r="W128" s="57">
        <f t="shared" si="59"/>
        <v>75.824425378227758</v>
      </c>
      <c r="X128" s="57">
        <f t="shared" si="59"/>
        <v>72.818117191170188</v>
      </c>
      <c r="Y128" s="57">
        <f t="shared" si="59"/>
        <v>73.169440888869502</v>
      </c>
      <c r="Z128" s="58">
        <f t="shared" si="59"/>
        <v>73.227855952325854</v>
      </c>
      <c r="AB128" s="332">
        <f t="shared" si="19"/>
        <v>76.301126674014824</v>
      </c>
      <c r="AC128" s="332">
        <f t="shared" si="20"/>
        <v>85.598164602746152</v>
      </c>
      <c r="AD128" s="332">
        <f t="shared" si="21"/>
        <v>79.522646424162048</v>
      </c>
      <c r="AE128" s="332">
        <f t="shared" si="22"/>
        <v>81.252301235860912</v>
      </c>
    </row>
    <row r="129" spans="1:31" x14ac:dyDescent="0.2">
      <c r="A129" s="331"/>
      <c r="B129" s="217"/>
      <c r="C129" s="217"/>
      <c r="D129" s="160"/>
      <c r="E129" s="161"/>
      <c r="F129" s="161"/>
      <c r="G129" s="162"/>
      <c r="H129" s="163"/>
      <c r="I129" s="164"/>
      <c r="J129" s="164"/>
      <c r="K129" s="165"/>
      <c r="L129" s="59"/>
      <c r="M129" s="59"/>
      <c r="N129" s="59"/>
      <c r="O129" s="59"/>
      <c r="P129" s="59"/>
      <c r="Q129" s="59"/>
      <c r="R129" s="59"/>
      <c r="S129" s="60"/>
      <c r="T129" s="61"/>
      <c r="U129" s="62"/>
      <c r="V129" s="62"/>
      <c r="W129" s="62"/>
      <c r="X129" s="62"/>
      <c r="Y129" s="62"/>
      <c r="Z129" s="63"/>
      <c r="AB129" s="332">
        <f t="shared" si="19"/>
        <v>0</v>
      </c>
      <c r="AC129" s="332">
        <f t="shared" si="20"/>
        <v>0</v>
      </c>
      <c r="AD129" s="332">
        <f t="shared" si="21"/>
        <v>0</v>
      </c>
      <c r="AE129" s="332">
        <f t="shared" si="22"/>
        <v>0</v>
      </c>
    </row>
    <row r="130" spans="1:31" ht="12.75" customHeight="1" x14ac:dyDescent="0.2">
      <c r="A130" s="51" t="s">
        <v>72</v>
      </c>
      <c r="D130" s="182">
        <f t="shared" ref="D130:Z130" si="60">D68</f>
        <v>180.34698447101073</v>
      </c>
      <c r="E130" s="183">
        <f t="shared" si="60"/>
        <v>138.56666663350862</v>
      </c>
      <c r="F130" s="183">
        <f t="shared" si="60"/>
        <v>193.37145061996088</v>
      </c>
      <c r="G130" s="184">
        <f t="shared" si="60"/>
        <v>132.58308982525742</v>
      </c>
      <c r="H130" s="185">
        <f t="shared" si="60"/>
        <v>111.03951741863654</v>
      </c>
      <c r="I130" s="186">
        <f t="shared" si="60"/>
        <v>158.64389528530367</v>
      </c>
      <c r="J130" s="186">
        <f t="shared" si="60"/>
        <v>257.09262944482805</v>
      </c>
      <c r="K130" s="187">
        <f t="shared" si="60"/>
        <v>195.40209111707424</v>
      </c>
      <c r="L130" s="188">
        <f t="shared" si="60"/>
        <v>195.40209111707424</v>
      </c>
      <c r="M130" s="188">
        <f t="shared" si="60"/>
        <v>212.16507643589443</v>
      </c>
      <c r="N130" s="188">
        <f t="shared" si="60"/>
        <v>215.07631838697603</v>
      </c>
      <c r="O130" s="188">
        <f t="shared" si="60"/>
        <v>165.72704817131401</v>
      </c>
      <c r="P130" s="188">
        <f t="shared" si="60"/>
        <v>160.09431171651218</v>
      </c>
      <c r="Q130" s="188">
        <f t="shared" si="60"/>
        <v>61.907912103842548</v>
      </c>
      <c r="R130" s="188">
        <f t="shared" si="60"/>
        <v>46.154617953606824</v>
      </c>
      <c r="S130" s="189">
        <f t="shared" si="60"/>
        <v>49.340845841801908</v>
      </c>
      <c r="T130" s="190">
        <f t="shared" si="60"/>
        <v>54.067410692493873</v>
      </c>
      <c r="U130" s="191">
        <f t="shared" si="60"/>
        <v>46.862664149823324</v>
      </c>
      <c r="V130" s="191">
        <f t="shared" si="60"/>
        <v>47.373888113497813</v>
      </c>
      <c r="W130" s="191">
        <f t="shared" si="60"/>
        <v>47.965247011389003</v>
      </c>
      <c r="X130" s="191">
        <f t="shared" si="60"/>
        <v>48.712249576449587</v>
      </c>
      <c r="Y130" s="191">
        <f t="shared" si="60"/>
        <v>48.29136752345422</v>
      </c>
      <c r="Z130" s="192">
        <f t="shared" si="60"/>
        <v>45.773469958690534</v>
      </c>
      <c r="AB130" s="332">
        <f t="shared" si="19"/>
        <v>195.40209111707424</v>
      </c>
      <c r="AC130" s="332">
        <f t="shared" si="20"/>
        <v>160.42647408015051</v>
      </c>
      <c r="AD130" s="332">
        <f t="shared" si="21"/>
        <v>48.369903642208307</v>
      </c>
      <c r="AE130" s="332">
        <f t="shared" si="22"/>
        <v>80.271575325730353</v>
      </c>
    </row>
    <row r="131" spans="1:31" ht="12.75" customHeight="1" x14ac:dyDescent="0.2">
      <c r="A131" s="64" t="s">
        <v>80</v>
      </c>
      <c r="B131" s="238"/>
      <c r="C131" s="248"/>
      <c r="D131" s="255">
        <f t="shared" ref="D131:Z131" si="61">D128-D130</f>
        <v>-74.900584014715676</v>
      </c>
      <c r="E131" s="256">
        <f t="shared" si="61"/>
        <v>-34.4451450563555</v>
      </c>
      <c r="F131" s="256">
        <f t="shared" si="61"/>
        <v>-87.447468087295476</v>
      </c>
      <c r="G131" s="257">
        <f t="shared" si="61"/>
        <v>-27.634237613537366</v>
      </c>
      <c r="H131" s="258">
        <f t="shared" si="61"/>
        <v>-43.680973104252928</v>
      </c>
      <c r="I131" s="259">
        <f t="shared" si="61"/>
        <v>-91.854424016243058</v>
      </c>
      <c r="J131" s="259">
        <f t="shared" si="61"/>
        <v>-190.42335428820007</v>
      </c>
      <c r="K131" s="260">
        <f t="shared" si="61"/>
        <v>-119.10096444305941</v>
      </c>
      <c r="L131" s="239">
        <f t="shared" si="61"/>
        <v>-119.1009644430594</v>
      </c>
      <c r="M131" s="239">
        <f t="shared" si="61"/>
        <v>-135.46756255182817</v>
      </c>
      <c r="N131" s="239">
        <f t="shared" si="61"/>
        <v>-137.87787258904899</v>
      </c>
      <c r="O131" s="239">
        <f t="shared" si="61"/>
        <v>-88.139573801023289</v>
      </c>
      <c r="P131" s="239">
        <f t="shared" si="61"/>
        <v>-82.107640357230991</v>
      </c>
      <c r="Q131" s="239">
        <f t="shared" si="61"/>
        <v>53.538488352452475</v>
      </c>
      <c r="R131" s="239">
        <f t="shared" si="61"/>
        <v>67.966903623546301</v>
      </c>
      <c r="S131" s="240">
        <f t="shared" si="61"/>
        <v>53.559113788861438</v>
      </c>
      <c r="T131" s="241">
        <f t="shared" si="61"/>
        <v>54.388130436806826</v>
      </c>
      <c r="U131" s="242">
        <f t="shared" si="61"/>
        <v>30.258878765859869</v>
      </c>
      <c r="V131" s="242">
        <f t="shared" si="61"/>
        <v>29.058995590541628</v>
      </c>
      <c r="W131" s="242">
        <f t="shared" si="61"/>
        <v>27.859178366838755</v>
      </c>
      <c r="X131" s="242">
        <f t="shared" si="61"/>
        <v>24.105867614720601</v>
      </c>
      <c r="Y131" s="242">
        <f t="shared" si="61"/>
        <v>24.878073365415283</v>
      </c>
      <c r="Z131" s="243">
        <f t="shared" si="61"/>
        <v>27.45438599363532</v>
      </c>
      <c r="AB131" s="332">
        <f t="shared" si="19"/>
        <v>-119.10096444305941</v>
      </c>
      <c r="AC131" s="332">
        <f t="shared" si="20"/>
        <v>-74.828309477404375</v>
      </c>
      <c r="AD131" s="332">
        <f t="shared" si="21"/>
        <v>31.152742781953741</v>
      </c>
      <c r="AE131" s="332">
        <f t="shared" si="22"/>
        <v>0.98072591013055621</v>
      </c>
    </row>
    <row r="132" spans="1:31" x14ac:dyDescent="0.2">
      <c r="A132" s="51" t="s">
        <v>79</v>
      </c>
      <c r="D132" s="261">
        <f t="shared" ref="D132:Z132" si="62">(D$26)</f>
        <v>138992.70324665844</v>
      </c>
      <c r="E132" s="262">
        <f t="shared" si="62"/>
        <v>154222.19301250842</v>
      </c>
      <c r="F132" s="262">
        <f t="shared" si="62"/>
        <v>162086.26483715844</v>
      </c>
      <c r="G132" s="263">
        <f t="shared" si="62"/>
        <v>152376.72562550844</v>
      </c>
      <c r="H132" s="264">
        <f t="shared" si="62"/>
        <v>152708.88135550843</v>
      </c>
      <c r="I132" s="265">
        <f t="shared" si="62"/>
        <v>144481.75591550849</v>
      </c>
      <c r="J132" s="265">
        <f t="shared" si="62"/>
        <v>146545.69236350848</v>
      </c>
      <c r="K132" s="266">
        <f t="shared" si="62"/>
        <v>146825.85977249747</v>
      </c>
      <c r="L132" s="267">
        <f t="shared" si="62"/>
        <v>106040.89872458152</v>
      </c>
      <c r="M132" s="267">
        <f t="shared" si="62"/>
        <v>196850.71151575807</v>
      </c>
      <c r="N132" s="267">
        <f t="shared" si="62"/>
        <v>20496.733372697301</v>
      </c>
      <c r="O132" s="267">
        <f t="shared" si="62"/>
        <v>4462.9223853410313</v>
      </c>
      <c r="P132" s="267">
        <f t="shared" si="62"/>
        <v>5680.8772422253232</v>
      </c>
      <c r="Q132" s="267">
        <f t="shared" si="62"/>
        <v>3704.2332883122981</v>
      </c>
      <c r="R132" s="267">
        <f t="shared" si="62"/>
        <v>55344.342287911568</v>
      </c>
      <c r="S132" s="268">
        <f t="shared" si="62"/>
        <v>75133.953794024172</v>
      </c>
      <c r="T132" s="269">
        <f t="shared" si="62"/>
        <v>162251.05626144004</v>
      </c>
      <c r="U132" s="270">
        <f t="shared" si="62"/>
        <v>193954.42678973026</v>
      </c>
      <c r="V132" s="270">
        <f t="shared" si="62"/>
        <v>177383.9652501017</v>
      </c>
      <c r="W132" s="270">
        <f t="shared" si="62"/>
        <v>166436.45089805571</v>
      </c>
      <c r="X132" s="270">
        <f t="shared" si="62"/>
        <v>159846.25754179552</v>
      </c>
      <c r="Y132" s="270">
        <f t="shared" si="62"/>
        <v>149268.05229711573</v>
      </c>
      <c r="Z132" s="271">
        <f t="shared" si="62"/>
        <v>166021.47530834703</v>
      </c>
      <c r="AB132" s="332">
        <f t="shared" ref="AB132:AB169" si="63">K132</f>
        <v>146825.85977249747</v>
      </c>
      <c r="AC132" s="332">
        <f t="shared" ref="AC132:AC169" si="64">SUMPRODUCT(L132:S132,$L$26:$S$26)/SUM($L$26:$S$26)</f>
        <v>126549.39644686382</v>
      </c>
      <c r="AD132" s="332">
        <f t="shared" ref="AD132:AD169" si="65">SUMPRODUCT(T132:Z132,$T$26:$Z$26)/SUM($T$26:$Z$26)</f>
        <v>168917.00830537319</v>
      </c>
      <c r="AE132" s="332">
        <f t="shared" ref="AE132:AE177" si="66">SUMPRODUCT(L132:Z132,$L$26:$Z$26)/SUM($L$26:$Z$26)</f>
        <v>156855.26450719417</v>
      </c>
    </row>
    <row r="133" spans="1:31" ht="13.5" collapsed="1" thickBot="1" x14ac:dyDescent="0.25">
      <c r="A133" s="66" t="s">
        <v>63</v>
      </c>
      <c r="B133" s="272"/>
      <c r="C133" s="273"/>
      <c r="D133" s="274">
        <f t="shared" ref="D133:J133" si="67">D132*D131</f>
        <v>-10410634.646958785</v>
      </c>
      <c r="E133" s="275">
        <f t="shared" si="67"/>
        <v>-5312205.8092251085</v>
      </c>
      <c r="F133" s="275">
        <f t="shared" si="67"/>
        <v>-14174033.471736336</v>
      </c>
      <c r="G133" s="276">
        <f t="shared" si="67"/>
        <v>-4210814.6427080883</v>
      </c>
      <c r="H133" s="277">
        <f t="shared" si="67"/>
        <v>-6670472.5392705156</v>
      </c>
      <c r="I133" s="278">
        <f t="shared" si="67"/>
        <v>-13271288.47047445</v>
      </c>
      <c r="J133" s="278">
        <f t="shared" si="67"/>
        <v>-27905722.296345953</v>
      </c>
      <c r="K133" s="279">
        <f t="shared" ref="K133:Z133" si="68">K132*-K131</f>
        <v>17487101.504085846</v>
      </c>
      <c r="L133" s="280">
        <f t="shared" si="68"/>
        <v>12629573.308506446</v>
      </c>
      <c r="M133" s="280">
        <f t="shared" si="68"/>
        <v>26666886.075632837</v>
      </c>
      <c r="N133" s="280">
        <f t="shared" si="68"/>
        <v>2826045.9924524669</v>
      </c>
      <c r="O133" s="280">
        <f t="shared" si="68"/>
        <v>393360.07695100474</v>
      </c>
      <c r="P133" s="280">
        <f t="shared" si="68"/>
        <v>466443.42551821505</v>
      </c>
      <c r="Q133" s="280">
        <f t="shared" si="68"/>
        <v>-198319.0507610747</v>
      </c>
      <c r="R133" s="280">
        <f t="shared" si="68"/>
        <v>-3761583.5783910435</v>
      </c>
      <c r="S133" s="281">
        <f t="shared" si="68"/>
        <v>-4024107.980661198</v>
      </c>
      <c r="T133" s="282">
        <f t="shared" si="68"/>
        <v>-8824531.6114568841</v>
      </c>
      <c r="U133" s="283">
        <f t="shared" si="68"/>
        <v>-5868843.4863322917</v>
      </c>
      <c r="V133" s="283">
        <f t="shared" si="68"/>
        <v>-5154599.8640354946</v>
      </c>
      <c r="W133" s="283">
        <f t="shared" si="68"/>
        <v>-4636782.772312534</v>
      </c>
      <c r="X133" s="283">
        <f t="shared" si="68"/>
        <v>-3853232.7230110574</v>
      </c>
      <c r="Y133" s="283">
        <f t="shared" si="68"/>
        <v>-3713501.5561602903</v>
      </c>
      <c r="Z133" s="284">
        <f t="shared" si="68"/>
        <v>-4558017.6663481547</v>
      </c>
      <c r="AB133" s="332">
        <f t="shared" si="63"/>
        <v>17487101.504085846</v>
      </c>
      <c r="AC133" s="332">
        <f t="shared" si="64"/>
        <v>13127047.50118161</v>
      </c>
      <c r="AD133" s="332">
        <f t="shared" si="65"/>
        <v>-5261498.6134768222</v>
      </c>
      <c r="AE133" s="332">
        <f t="shared" si="66"/>
        <v>-26416.381399981034</v>
      </c>
    </row>
    <row r="134" spans="1:31" ht="13.5" thickTop="1" x14ac:dyDescent="0.2">
      <c r="B134" s="135" t="s">
        <v>95</v>
      </c>
      <c r="C134" s="318">
        <f>SUM(K133:Z133)</f>
        <v>15875890.093676783</v>
      </c>
      <c r="D134" s="102"/>
      <c r="E134" s="103"/>
      <c r="F134" s="103"/>
      <c r="G134" s="229">
        <f>SUM(D133:G133)</f>
        <v>-34107688.570628315</v>
      </c>
      <c r="H134" s="105"/>
      <c r="I134" s="106"/>
      <c r="J134" s="231">
        <f>SUM(H133:J133)</f>
        <v>-47847483.306090921</v>
      </c>
      <c r="K134" s="89">
        <f>K133</f>
        <v>17487101.504085846</v>
      </c>
      <c r="L134" s="107"/>
      <c r="M134" s="107"/>
      <c r="N134" s="107"/>
      <c r="O134" s="107"/>
      <c r="P134" s="107"/>
      <c r="Q134" s="107"/>
      <c r="R134" s="107"/>
      <c r="S134" s="234">
        <f>SUM(L133:S133)</f>
        <v>34998298.269247651</v>
      </c>
      <c r="T134" s="109"/>
      <c r="U134" s="110"/>
      <c r="V134" s="110"/>
      <c r="W134" s="110"/>
      <c r="X134" s="110"/>
      <c r="Y134" s="110"/>
      <c r="Z134" s="237">
        <f>SUM(T133:Z133)</f>
        <v>-36609509.679656707</v>
      </c>
      <c r="AB134" s="332">
        <f t="shared" si="63"/>
        <v>17487101.504085846</v>
      </c>
      <c r="AC134" s="332">
        <f t="shared" si="64"/>
        <v>5622146.7467602426</v>
      </c>
      <c r="AD134" s="332">
        <f t="shared" si="65"/>
        <v>-5172024.3165614186</v>
      </c>
      <c r="AE134" s="332">
        <f t="shared" si="66"/>
        <v>-2099004.1445888476</v>
      </c>
    </row>
    <row r="135" spans="1:31" x14ac:dyDescent="0.2">
      <c r="C135" s="294"/>
      <c r="D135" s="102"/>
      <c r="E135" s="103"/>
      <c r="F135" s="103"/>
      <c r="G135" s="229"/>
      <c r="H135" s="105"/>
      <c r="I135" s="106"/>
      <c r="J135" s="231"/>
      <c r="K135" s="232"/>
      <c r="L135" s="107"/>
      <c r="M135" s="107"/>
      <c r="N135" s="107"/>
      <c r="O135" s="107"/>
      <c r="P135" s="107"/>
      <c r="Q135" s="107"/>
      <c r="R135" s="107"/>
      <c r="S135" s="234"/>
      <c r="T135" s="109"/>
      <c r="U135" s="110"/>
      <c r="V135" s="110"/>
      <c r="W135" s="110"/>
      <c r="X135" s="110"/>
      <c r="Y135" s="110"/>
      <c r="Z135" s="237"/>
      <c r="AB135" s="332">
        <f t="shared" si="63"/>
        <v>0</v>
      </c>
      <c r="AC135" s="332">
        <f t="shared" si="64"/>
        <v>0</v>
      </c>
      <c r="AD135" s="332">
        <f t="shared" si="65"/>
        <v>0</v>
      </c>
      <c r="AE135" s="332">
        <f t="shared" si="66"/>
        <v>0</v>
      </c>
    </row>
    <row r="136" spans="1:31" x14ac:dyDescent="0.2">
      <c r="C136" s="294"/>
      <c r="D136" s="102"/>
      <c r="E136" s="103"/>
      <c r="F136" s="103"/>
      <c r="G136" s="229"/>
      <c r="H136" s="105"/>
      <c r="I136" s="106"/>
      <c r="J136" s="231"/>
      <c r="K136" s="232"/>
      <c r="L136" s="107"/>
      <c r="M136" s="107"/>
      <c r="N136" s="107"/>
      <c r="O136" s="107"/>
      <c r="P136" s="107"/>
      <c r="Q136" s="107"/>
      <c r="R136" s="107"/>
      <c r="S136" s="234"/>
      <c r="T136" s="109"/>
      <c r="U136" s="110"/>
      <c r="V136" s="110"/>
      <c r="W136" s="110"/>
      <c r="X136" s="110"/>
      <c r="Y136" s="110"/>
      <c r="Z136" s="237"/>
      <c r="AB136" s="332">
        <f t="shared" si="63"/>
        <v>0</v>
      </c>
      <c r="AC136" s="332">
        <f t="shared" si="64"/>
        <v>0</v>
      </c>
      <c r="AD136" s="332">
        <f t="shared" si="65"/>
        <v>0</v>
      </c>
      <c r="AE136" s="332">
        <f t="shared" si="66"/>
        <v>0</v>
      </c>
    </row>
    <row r="137" spans="1:31" x14ac:dyDescent="0.2">
      <c r="A137" s="68" t="s">
        <v>92</v>
      </c>
      <c r="B137" s="245"/>
      <c r="C137" s="245"/>
      <c r="D137" s="246"/>
      <c r="E137" s="247"/>
      <c r="F137" s="228"/>
      <c r="G137" s="229"/>
      <c r="H137" s="230"/>
      <c r="I137" s="231"/>
      <c r="J137" s="231"/>
      <c r="K137" s="232"/>
      <c r="L137" s="233"/>
      <c r="M137" s="233"/>
      <c r="N137" s="233"/>
      <c r="O137" s="233"/>
      <c r="P137" s="233"/>
      <c r="Q137" s="233"/>
      <c r="R137" s="233"/>
      <c r="S137" s="234"/>
      <c r="T137" s="235"/>
      <c r="U137" s="236"/>
      <c r="V137" s="236"/>
      <c r="W137" s="236"/>
      <c r="X137" s="236"/>
      <c r="Y137" s="236"/>
      <c r="Z137" s="237"/>
      <c r="AB137" s="332">
        <f t="shared" si="63"/>
        <v>0</v>
      </c>
      <c r="AC137" s="332">
        <f t="shared" si="64"/>
        <v>0</v>
      </c>
      <c r="AD137" s="332">
        <f t="shared" si="65"/>
        <v>0</v>
      </c>
      <c r="AE137" s="332">
        <f t="shared" si="66"/>
        <v>0</v>
      </c>
    </row>
    <row r="138" spans="1:31" ht="13.5" collapsed="1" thickBot="1" x14ac:dyDescent="0.25">
      <c r="A138" s="66" t="s">
        <v>63</v>
      </c>
      <c r="B138" s="272"/>
      <c r="C138" s="273"/>
      <c r="D138" s="274" t="e">
        <f>#REF!*#REF!</f>
        <v>#REF!</v>
      </c>
      <c r="E138" s="275" t="e">
        <f>#REF!*#REF!</f>
        <v>#REF!</v>
      </c>
      <c r="F138" s="275" t="e">
        <f>#REF!*#REF!</f>
        <v>#REF!</v>
      </c>
      <c r="G138" s="276" t="e">
        <f>#REF!*#REF!</f>
        <v>#REF!</v>
      </c>
      <c r="H138" s="277" t="e">
        <f>#REF!*#REF!</f>
        <v>#REF!</v>
      </c>
      <c r="I138" s="278" t="e">
        <f>#REF!*#REF!</f>
        <v>#REF!</v>
      </c>
      <c r="J138" s="278" t="e">
        <f>#REF!*#REF!</f>
        <v>#REF!</v>
      </c>
      <c r="K138" s="279">
        <f>K133</f>
        <v>17487101.504085846</v>
      </c>
      <c r="L138" s="280">
        <f>L120</f>
        <v>14495671.382125193</v>
      </c>
      <c r="M138" s="280">
        <f t="shared" ref="M138:S138" si="69">M120</f>
        <v>23484779.277520403</v>
      </c>
      <c r="N138" s="280">
        <f t="shared" si="69"/>
        <v>1676664.6459521358</v>
      </c>
      <c r="O138" s="280">
        <f t="shared" si="69"/>
        <v>108951.2071155412</v>
      </c>
      <c r="P138" s="280">
        <f t="shared" si="69"/>
        <v>-215797.61683283298</v>
      </c>
      <c r="Q138" s="280">
        <f t="shared" si="69"/>
        <v>-286879.53463017277</v>
      </c>
      <c r="R138" s="280">
        <f t="shared" si="69"/>
        <v>-4378928.5725063439</v>
      </c>
      <c r="S138" s="281">
        <f t="shared" si="69"/>
        <v>-5101592.4295063661</v>
      </c>
      <c r="T138" s="282">
        <f>T93</f>
        <v>-3997921.8563554441</v>
      </c>
      <c r="U138" s="283">
        <f t="shared" ref="U138:Z138" si="70">U93</f>
        <v>-4783679.5434119385</v>
      </c>
      <c r="V138" s="283">
        <f t="shared" si="70"/>
        <v>-4374782.8015455967</v>
      </c>
      <c r="W138" s="283">
        <f t="shared" si="70"/>
        <v>-4104730.8526672903</v>
      </c>
      <c r="X138" s="283">
        <f t="shared" si="70"/>
        <v>-3405603.2290532761</v>
      </c>
      <c r="Y138" s="283">
        <f t="shared" si="70"/>
        <v>-3177623.6464817054</v>
      </c>
      <c r="Z138" s="284">
        <f t="shared" si="70"/>
        <v>-3537613.8794696187</v>
      </c>
      <c r="AB138" s="332">
        <f t="shared" si="63"/>
        <v>17487101.504085846</v>
      </c>
      <c r="AC138" s="332">
        <f t="shared" si="64"/>
        <v>11902644.766985618</v>
      </c>
      <c r="AD138" s="332">
        <f t="shared" si="65"/>
        <v>-3949827.9972343519</v>
      </c>
      <c r="AE138" s="332">
        <f t="shared" si="66"/>
        <v>563253.0253210587</v>
      </c>
    </row>
    <row r="139" spans="1:31" ht="13.5" thickTop="1" x14ac:dyDescent="0.2">
      <c r="B139" s="135" t="s">
        <v>95</v>
      </c>
      <c r="C139" s="318">
        <f>SUM(K138:Z138)</f>
        <v>19888014.054338526</v>
      </c>
      <c r="D139" s="102"/>
      <c r="E139" s="103"/>
      <c r="F139" s="103"/>
      <c r="G139" s="229" t="e">
        <f>SUM(D138:G138)</f>
        <v>#REF!</v>
      </c>
      <c r="H139" s="105"/>
      <c r="I139" s="106"/>
      <c r="J139" s="106"/>
      <c r="K139" s="89">
        <f>K138</f>
        <v>17487101.504085846</v>
      </c>
      <c r="L139" s="107"/>
      <c r="M139" s="107"/>
      <c r="N139" s="107"/>
      <c r="O139" s="107"/>
      <c r="P139" s="107"/>
      <c r="Q139" s="107"/>
      <c r="R139" s="107"/>
      <c r="S139" s="234">
        <f>SUM(L138:S138)</f>
        <v>29782868.359237555</v>
      </c>
      <c r="T139" s="109"/>
      <c r="U139" s="110"/>
      <c r="V139" s="110"/>
      <c r="W139" s="110"/>
      <c r="X139" s="110"/>
      <c r="Y139" s="110"/>
      <c r="Z139" s="237">
        <f>SUM(T138:Z138)</f>
        <v>-27381955.808984868</v>
      </c>
      <c r="AB139" s="332">
        <f t="shared" si="63"/>
        <v>17487101.504085846</v>
      </c>
      <c r="AC139" s="332">
        <f t="shared" si="64"/>
        <v>4784337.0888179885</v>
      </c>
      <c r="AD139" s="332">
        <f t="shared" si="65"/>
        <v>-3868397.6518203928</v>
      </c>
      <c r="AE139" s="332">
        <f t="shared" si="66"/>
        <v>-1405028.4644390764</v>
      </c>
    </row>
    <row r="140" spans="1:31" x14ac:dyDescent="0.2">
      <c r="K140" s="232"/>
      <c r="AB140" s="332">
        <f t="shared" si="63"/>
        <v>0</v>
      </c>
      <c r="AC140" s="332">
        <f t="shared" si="64"/>
        <v>0</v>
      </c>
      <c r="AD140" s="332">
        <f t="shared" si="65"/>
        <v>0</v>
      </c>
      <c r="AE140" s="332">
        <f t="shared" si="66"/>
        <v>0</v>
      </c>
    </row>
    <row r="141" spans="1:31" x14ac:dyDescent="0.2">
      <c r="A141" s="65" t="s">
        <v>78</v>
      </c>
      <c r="K141" s="343">
        <f>K128</f>
        <v>76.301126674014824</v>
      </c>
      <c r="L141" s="344">
        <f>L115</f>
        <v>76.301126674014839</v>
      </c>
      <c r="M141" s="344">
        <f t="shared" ref="M141:S141" si="71">M115</f>
        <v>76.697513884066268</v>
      </c>
      <c r="N141" s="344">
        <f t="shared" si="71"/>
        <v>77.19844579792705</v>
      </c>
      <c r="O141" s="344">
        <f t="shared" si="71"/>
        <v>77.587474370290721</v>
      </c>
      <c r="P141" s="344">
        <f t="shared" si="71"/>
        <v>77.986671359281189</v>
      </c>
      <c r="Q141" s="344">
        <f t="shared" si="71"/>
        <v>115.44640045629502</v>
      </c>
      <c r="R141" s="344">
        <f t="shared" si="71"/>
        <v>114.12152157715313</v>
      </c>
      <c r="S141" s="344">
        <f t="shared" si="71"/>
        <v>102.89995963066335</v>
      </c>
      <c r="T141" s="345">
        <f>T88</f>
        <v>155.60793552928305</v>
      </c>
      <c r="U141" s="345">
        <f t="shared" ref="U141:Z141" si="72">U88</f>
        <v>116.37107716924373</v>
      </c>
      <c r="V141" s="345">
        <f t="shared" si="72"/>
        <v>113.52314128682062</v>
      </c>
      <c r="W141" s="345">
        <f t="shared" si="72"/>
        <v>112.97507301203053</v>
      </c>
      <c r="X141" s="345">
        <f t="shared" si="72"/>
        <v>109.91448871082412</v>
      </c>
      <c r="Y141" s="345">
        <f t="shared" si="72"/>
        <v>110.26680961569294</v>
      </c>
      <c r="Z141" s="345">
        <f t="shared" si="72"/>
        <v>110.34497389397953</v>
      </c>
      <c r="AB141" s="332">
        <f t="shared" si="63"/>
        <v>76.301126674014824</v>
      </c>
      <c r="AC141" s="332">
        <f t="shared" si="64"/>
        <v>85.598164602746152</v>
      </c>
      <c r="AD141" s="332">
        <f t="shared" si="65"/>
        <v>118.37261322999106</v>
      </c>
      <c r="AE141" s="332">
        <f t="shared" si="66"/>
        <v>109.04197161184638</v>
      </c>
    </row>
    <row r="142" spans="1:31" x14ac:dyDescent="0.2">
      <c r="A142" s="51" t="s">
        <v>72</v>
      </c>
      <c r="K142" s="343">
        <f>K130</f>
        <v>195.40209111707424</v>
      </c>
      <c r="L142" s="344">
        <f>L117</f>
        <v>213</v>
      </c>
      <c r="M142" s="344">
        <f t="shared" ref="M142:S143" si="73">M117</f>
        <v>196</v>
      </c>
      <c r="N142" s="344">
        <f t="shared" si="73"/>
        <v>159</v>
      </c>
      <c r="O142" s="344">
        <f t="shared" si="73"/>
        <v>102</v>
      </c>
      <c r="P142" s="344">
        <f t="shared" si="73"/>
        <v>40</v>
      </c>
      <c r="Q142" s="344">
        <f t="shared" si="73"/>
        <v>38</v>
      </c>
      <c r="R142" s="344">
        <f t="shared" si="73"/>
        <v>35</v>
      </c>
      <c r="S142" s="344">
        <f t="shared" si="73"/>
        <v>35</v>
      </c>
      <c r="T142" s="345">
        <f>T90</f>
        <v>130.96759143245652</v>
      </c>
      <c r="U142" s="345">
        <f t="shared" ref="U142:Z143" si="74">U90</f>
        <v>91.707141302505221</v>
      </c>
      <c r="V142" s="345">
        <f t="shared" si="74"/>
        <v>88.860355136012728</v>
      </c>
      <c r="W142" s="345">
        <f t="shared" si="74"/>
        <v>88.31262178503647</v>
      </c>
      <c r="X142" s="345">
        <f t="shared" si="74"/>
        <v>88.608996286875424</v>
      </c>
      <c r="Y142" s="345">
        <f t="shared" si="74"/>
        <v>88.978773779620695</v>
      </c>
      <c r="Z142" s="345">
        <f t="shared" si="74"/>
        <v>89.03680353289036</v>
      </c>
      <c r="AB142" s="332">
        <f t="shared" si="63"/>
        <v>195.40209111707424</v>
      </c>
      <c r="AC142" s="332">
        <f t="shared" si="64"/>
        <v>149.27559467562642</v>
      </c>
      <c r="AD142" s="332">
        <f t="shared" si="65"/>
        <v>95.072027298949763</v>
      </c>
      <c r="AE142" s="332">
        <f t="shared" si="66"/>
        <v>110.50337955048097</v>
      </c>
    </row>
    <row r="143" spans="1:31" x14ac:dyDescent="0.2">
      <c r="A143" s="64" t="s">
        <v>80</v>
      </c>
      <c r="K143" s="343">
        <f>K131</f>
        <v>-119.10096444305941</v>
      </c>
      <c r="L143" s="344">
        <f>L118</f>
        <v>-136.69887332598518</v>
      </c>
      <c r="M143" s="344">
        <f t="shared" si="73"/>
        <v>-119.30248611593373</v>
      </c>
      <c r="N143" s="344">
        <f t="shared" si="73"/>
        <v>-81.80155420207295</v>
      </c>
      <c r="O143" s="344">
        <f t="shared" si="73"/>
        <v>-24.412525629709279</v>
      </c>
      <c r="P143" s="344">
        <f t="shared" si="73"/>
        <v>37.986671359281189</v>
      </c>
      <c r="Q143" s="344">
        <f t="shared" si="73"/>
        <v>77.446400456295024</v>
      </c>
      <c r="R143" s="344">
        <f t="shared" si="73"/>
        <v>79.121521577153132</v>
      </c>
      <c r="S143" s="344">
        <f t="shared" si="73"/>
        <v>67.899959630663346</v>
      </c>
      <c r="T143" s="345">
        <f>T91</f>
        <v>24.640344096826535</v>
      </c>
      <c r="U143" s="345">
        <f t="shared" si="74"/>
        <v>24.66393586673852</v>
      </c>
      <c r="V143" s="345">
        <f t="shared" si="74"/>
        <v>24.662786150807893</v>
      </c>
      <c r="W143" s="345">
        <f t="shared" si="74"/>
        <v>24.662451226994058</v>
      </c>
      <c r="X143" s="345">
        <f t="shared" si="74"/>
        <v>21.305492423948692</v>
      </c>
      <c r="Y143" s="345">
        <f t="shared" si="74"/>
        <v>21.288035836072243</v>
      </c>
      <c r="Z143" s="345">
        <f t="shared" si="74"/>
        <v>21.308170361089175</v>
      </c>
      <c r="AB143" s="332">
        <f t="shared" si="63"/>
        <v>-119.10096444305941</v>
      </c>
      <c r="AC143" s="332">
        <f t="shared" si="64"/>
        <v>-63.677430072880234</v>
      </c>
      <c r="AD143" s="332">
        <f t="shared" si="65"/>
        <v>23.300585931041308</v>
      </c>
      <c r="AE143" s="332">
        <f t="shared" si="66"/>
        <v>-1.4614079386345982</v>
      </c>
    </row>
    <row r="144" spans="1:31" x14ac:dyDescent="0.2">
      <c r="AB144" s="332">
        <f t="shared" si="63"/>
        <v>0</v>
      </c>
      <c r="AC144" s="332">
        <f t="shared" si="64"/>
        <v>0</v>
      </c>
      <c r="AD144" s="332">
        <f t="shared" si="65"/>
        <v>0</v>
      </c>
      <c r="AE144" s="332">
        <f t="shared" si="66"/>
        <v>0</v>
      </c>
    </row>
    <row r="145" spans="11:31" x14ac:dyDescent="0.2">
      <c r="AB145" s="332">
        <f t="shared" si="63"/>
        <v>0</v>
      </c>
      <c r="AC145" s="332">
        <f t="shared" si="64"/>
        <v>0</v>
      </c>
      <c r="AD145" s="332">
        <f t="shared" si="65"/>
        <v>0</v>
      </c>
      <c r="AE145" s="332">
        <f t="shared" si="66"/>
        <v>0</v>
      </c>
    </row>
    <row r="146" spans="11:31" x14ac:dyDescent="0.2">
      <c r="AB146" s="332">
        <f t="shared" si="63"/>
        <v>0</v>
      </c>
      <c r="AC146" s="332">
        <f t="shared" si="64"/>
        <v>0</v>
      </c>
      <c r="AD146" s="332">
        <f t="shared" si="65"/>
        <v>0</v>
      </c>
      <c r="AE146" s="332">
        <f t="shared" si="66"/>
        <v>0</v>
      </c>
    </row>
    <row r="147" spans="11:31" x14ac:dyDescent="0.2">
      <c r="AB147" s="332">
        <f t="shared" si="63"/>
        <v>0</v>
      </c>
      <c r="AC147" s="332">
        <f t="shared" si="64"/>
        <v>0</v>
      </c>
      <c r="AD147" s="332">
        <f t="shared" si="65"/>
        <v>0</v>
      </c>
      <c r="AE147" s="332">
        <f t="shared" si="66"/>
        <v>0</v>
      </c>
    </row>
    <row r="148" spans="11:31" x14ac:dyDescent="0.2">
      <c r="K148" s="377">
        <v>146825.85977249747</v>
      </c>
      <c r="L148" s="378">
        <f>252866.758497079-K148</f>
        <v>106040.89872458152</v>
      </c>
      <c r="M148" s="378">
        <v>196850.71151575807</v>
      </c>
      <c r="N148" s="378">
        <v>20496.733372697301</v>
      </c>
      <c r="O148" s="378">
        <v>4462.9223853410313</v>
      </c>
      <c r="P148" s="378">
        <v>5680.8772422253232</v>
      </c>
      <c r="Q148" s="378">
        <v>3704.2332883122981</v>
      </c>
      <c r="R148" s="378">
        <v>55344.342287911568</v>
      </c>
      <c r="S148" s="379">
        <v>167970.35976619099</v>
      </c>
      <c r="T148" s="380">
        <v>257011.17422430692</v>
      </c>
      <c r="U148" s="378">
        <v>284926.73999384267</v>
      </c>
      <c r="V148" s="378">
        <v>263621.28805141646</v>
      </c>
      <c r="W148" s="378">
        <v>250121.04431107515</v>
      </c>
      <c r="X148" s="378">
        <v>239454.82988741688</v>
      </c>
      <c r="Y148" s="378">
        <v>227804.98293482763</v>
      </c>
      <c r="Z148" s="379">
        <v>246980.22118074313</v>
      </c>
      <c r="AB148" s="332">
        <f t="shared" si="63"/>
        <v>146825.85977249747</v>
      </c>
      <c r="AC148" s="332">
        <f t="shared" si="64"/>
        <v>141462.69005336895</v>
      </c>
      <c r="AD148" s="332">
        <f t="shared" si="65"/>
        <v>254125.5169521099</v>
      </c>
      <c r="AE148" s="332">
        <f t="shared" si="66"/>
        <v>222051.24856593282</v>
      </c>
    </row>
    <row r="149" spans="11:31" x14ac:dyDescent="0.2">
      <c r="K149" s="141">
        <f>$B$27*K$148</f>
        <v>29365.171954499496</v>
      </c>
      <c r="L149" s="142">
        <f t="shared" ref="L149:Z149" si="75">$B$27*L$148</f>
        <v>21208.179744916306</v>
      </c>
      <c r="M149" s="142">
        <f t="shared" si="75"/>
        <v>39370.142303151617</v>
      </c>
      <c r="N149" s="142">
        <f t="shared" si="75"/>
        <v>4099.3466745394608</v>
      </c>
      <c r="O149" s="142">
        <f t="shared" si="75"/>
        <v>892.5844770682063</v>
      </c>
      <c r="P149" s="142">
        <f t="shared" si="75"/>
        <v>1136.1754484450646</v>
      </c>
      <c r="Q149" s="142">
        <f t="shared" si="75"/>
        <v>740.84665766245962</v>
      </c>
      <c r="R149" s="142">
        <f t="shared" si="75"/>
        <v>11068.868457582314</v>
      </c>
      <c r="S149" s="143">
        <f t="shared" si="75"/>
        <v>33594.071953238199</v>
      </c>
      <c r="T149" s="144">
        <f t="shared" si="75"/>
        <v>51402.234844861385</v>
      </c>
      <c r="U149" s="145">
        <f t="shared" si="75"/>
        <v>56985.347998768535</v>
      </c>
      <c r="V149" s="145">
        <f t="shared" si="75"/>
        <v>52724.257610283297</v>
      </c>
      <c r="W149" s="145">
        <f t="shared" si="75"/>
        <v>50024.208862215033</v>
      </c>
      <c r="X149" s="145">
        <f t="shared" si="75"/>
        <v>47890.965977483378</v>
      </c>
      <c r="Y149" s="145">
        <f t="shared" si="75"/>
        <v>45560.996586965528</v>
      </c>
      <c r="Z149" s="146">
        <f t="shared" si="75"/>
        <v>49396.044236148628</v>
      </c>
      <c r="AB149" s="332">
        <f t="shared" si="63"/>
        <v>29365.171954499496</v>
      </c>
      <c r="AC149" s="332">
        <f t="shared" si="64"/>
        <v>28292.53801067379</v>
      </c>
      <c r="AD149" s="332">
        <f t="shared" si="65"/>
        <v>50825.10339042198</v>
      </c>
      <c r="AE149" s="332">
        <f t="shared" si="66"/>
        <v>44410.249713186568</v>
      </c>
    </row>
    <row r="150" spans="11:31" x14ac:dyDescent="0.2">
      <c r="K150" s="141">
        <f>$B$28*K$148</f>
        <v>95436.808852123359</v>
      </c>
      <c r="L150" s="142">
        <f t="shared" ref="L150:Z150" si="76">$B$28*L$148</f>
        <v>68926.584170977992</v>
      </c>
      <c r="M150" s="142">
        <f t="shared" si="76"/>
        <v>127952.96248524275</v>
      </c>
      <c r="N150" s="142">
        <f t="shared" si="76"/>
        <v>13322.876692253247</v>
      </c>
      <c r="O150" s="142">
        <f t="shared" si="76"/>
        <v>2900.8995504716704</v>
      </c>
      <c r="P150" s="142">
        <f t="shared" si="76"/>
        <v>3692.5702074464602</v>
      </c>
      <c r="Q150" s="142">
        <f t="shared" si="76"/>
        <v>2407.7516374029938</v>
      </c>
      <c r="R150" s="142">
        <f t="shared" si="76"/>
        <v>35973.822487142519</v>
      </c>
      <c r="S150" s="143">
        <f t="shared" si="76"/>
        <v>109180.73384802415</v>
      </c>
      <c r="T150" s="144">
        <f t="shared" si="76"/>
        <v>167057.26324579949</v>
      </c>
      <c r="U150" s="145">
        <f t="shared" si="76"/>
        <v>185202.38099599775</v>
      </c>
      <c r="V150" s="145">
        <f t="shared" si="76"/>
        <v>171353.83723342069</v>
      </c>
      <c r="W150" s="145">
        <f t="shared" si="76"/>
        <v>162578.67880219885</v>
      </c>
      <c r="X150" s="145">
        <f t="shared" si="76"/>
        <v>155645.63942682097</v>
      </c>
      <c r="Y150" s="145">
        <f t="shared" si="76"/>
        <v>148073.23890763795</v>
      </c>
      <c r="Z150" s="146">
        <f t="shared" si="76"/>
        <v>160537.14376748304</v>
      </c>
      <c r="AB150" s="332">
        <f t="shared" si="63"/>
        <v>95436.808852123359</v>
      </c>
      <c r="AC150" s="332">
        <f t="shared" si="64"/>
        <v>91950.748534689803</v>
      </c>
      <c r="AD150" s="332">
        <f t="shared" si="65"/>
        <v>165181.58601887143</v>
      </c>
      <c r="AE150" s="332">
        <f t="shared" si="66"/>
        <v>144333.31156785635</v>
      </c>
    </row>
    <row r="151" spans="11:31" x14ac:dyDescent="0.2">
      <c r="K151" s="141">
        <f>$B$29*K$148</f>
        <v>22023.878965874621</v>
      </c>
      <c r="L151" s="142">
        <f t="shared" ref="L151:Z151" si="77">$B$29*L$148</f>
        <v>15906.134808687228</v>
      </c>
      <c r="M151" s="142">
        <f t="shared" si="77"/>
        <v>29527.606727363709</v>
      </c>
      <c r="N151" s="142">
        <f t="shared" si="77"/>
        <v>3074.5100059045949</v>
      </c>
      <c r="O151" s="142">
        <f t="shared" si="77"/>
        <v>669.43835780115467</v>
      </c>
      <c r="P151" s="142">
        <f t="shared" si="77"/>
        <v>852.13158633379851</v>
      </c>
      <c r="Q151" s="142">
        <f t="shared" si="77"/>
        <v>555.63499324684472</v>
      </c>
      <c r="R151" s="142">
        <f t="shared" si="77"/>
        <v>8301.6513431867352</v>
      </c>
      <c r="S151" s="143">
        <f t="shared" si="77"/>
        <v>25195.553964928647</v>
      </c>
      <c r="T151" s="144">
        <f t="shared" si="77"/>
        <v>38551.676133646033</v>
      </c>
      <c r="U151" s="145">
        <f t="shared" si="77"/>
        <v>42739.010999076396</v>
      </c>
      <c r="V151" s="145">
        <f t="shared" si="77"/>
        <v>39543.193207712466</v>
      </c>
      <c r="W151" s="145">
        <f t="shared" si="77"/>
        <v>37518.156646661271</v>
      </c>
      <c r="X151" s="145">
        <f t="shared" si="77"/>
        <v>35918.224483112528</v>
      </c>
      <c r="Y151" s="145">
        <f t="shared" si="77"/>
        <v>34170.747440224142</v>
      </c>
      <c r="Z151" s="146">
        <f t="shared" si="77"/>
        <v>37047.033177111465</v>
      </c>
      <c r="AB151" s="332">
        <f t="shared" si="63"/>
        <v>22023.878965874621</v>
      </c>
      <c r="AC151" s="332">
        <f t="shared" si="64"/>
        <v>21219.40350800534</v>
      </c>
      <c r="AD151" s="332">
        <f t="shared" si="65"/>
        <v>38118.827542816478</v>
      </c>
      <c r="AE151" s="332">
        <f t="shared" si="66"/>
        <v>33307.687284889922</v>
      </c>
    </row>
    <row r="152" spans="11:31" x14ac:dyDescent="0.2">
      <c r="AB152" s="332">
        <f t="shared" si="63"/>
        <v>0</v>
      </c>
      <c r="AC152" s="332">
        <f t="shared" si="64"/>
        <v>0</v>
      </c>
      <c r="AD152" s="332">
        <f t="shared" si="65"/>
        <v>0</v>
      </c>
      <c r="AE152" s="332">
        <f t="shared" si="66"/>
        <v>0</v>
      </c>
    </row>
    <row r="153" spans="11:31" x14ac:dyDescent="0.2">
      <c r="AB153" s="332">
        <f t="shared" si="63"/>
        <v>0</v>
      </c>
      <c r="AC153" s="332">
        <f t="shared" si="64"/>
        <v>0</v>
      </c>
      <c r="AD153" s="332">
        <f t="shared" si="65"/>
        <v>0</v>
      </c>
      <c r="AE153" s="332">
        <f t="shared" si="66"/>
        <v>0</v>
      </c>
    </row>
    <row r="154" spans="11:31" x14ac:dyDescent="0.2">
      <c r="AB154" s="332">
        <f t="shared" si="63"/>
        <v>0</v>
      </c>
      <c r="AC154" s="332">
        <f t="shared" si="64"/>
        <v>0</v>
      </c>
      <c r="AD154" s="332">
        <f t="shared" si="65"/>
        <v>0</v>
      </c>
      <c r="AE154" s="332">
        <f t="shared" si="66"/>
        <v>0</v>
      </c>
    </row>
    <row r="155" spans="11:31" x14ac:dyDescent="0.2">
      <c r="AB155" s="332">
        <f t="shared" si="63"/>
        <v>0</v>
      </c>
      <c r="AC155" s="332">
        <f t="shared" si="64"/>
        <v>0</v>
      </c>
      <c r="AD155" s="332">
        <f t="shared" si="65"/>
        <v>0</v>
      </c>
      <c r="AE155" s="332">
        <f t="shared" si="66"/>
        <v>0</v>
      </c>
    </row>
    <row r="156" spans="11:31" x14ac:dyDescent="0.2">
      <c r="AB156" s="332">
        <f t="shared" si="63"/>
        <v>0</v>
      </c>
      <c r="AC156" s="332">
        <f t="shared" si="64"/>
        <v>0</v>
      </c>
      <c r="AD156" s="332">
        <f t="shared" si="65"/>
        <v>0</v>
      </c>
      <c r="AE156" s="332">
        <f t="shared" si="66"/>
        <v>0</v>
      </c>
    </row>
    <row r="157" spans="11:31" x14ac:dyDescent="0.2">
      <c r="AB157" s="332">
        <f t="shared" si="63"/>
        <v>0</v>
      </c>
      <c r="AC157" s="332">
        <f t="shared" si="64"/>
        <v>0</v>
      </c>
      <c r="AD157" s="332">
        <f t="shared" si="65"/>
        <v>0</v>
      </c>
      <c r="AE157" s="332">
        <f t="shared" si="66"/>
        <v>0</v>
      </c>
    </row>
    <row r="158" spans="11:31" x14ac:dyDescent="0.2">
      <c r="AB158" s="332">
        <f t="shared" si="63"/>
        <v>0</v>
      </c>
      <c r="AC158" s="332">
        <f t="shared" si="64"/>
        <v>0</v>
      </c>
      <c r="AD158" s="332">
        <f t="shared" si="65"/>
        <v>0</v>
      </c>
      <c r="AE158" s="332">
        <f t="shared" si="66"/>
        <v>0</v>
      </c>
    </row>
    <row r="159" spans="11:31" x14ac:dyDescent="0.2">
      <c r="AB159" s="332">
        <f t="shared" si="63"/>
        <v>0</v>
      </c>
      <c r="AC159" s="332">
        <f t="shared" si="64"/>
        <v>0</v>
      </c>
      <c r="AD159" s="332">
        <f t="shared" si="65"/>
        <v>0</v>
      </c>
      <c r="AE159" s="332">
        <f t="shared" si="66"/>
        <v>0</v>
      </c>
    </row>
    <row r="160" spans="11:31" x14ac:dyDescent="0.2">
      <c r="AB160" s="332">
        <f t="shared" si="63"/>
        <v>0</v>
      </c>
      <c r="AC160" s="332">
        <f t="shared" si="64"/>
        <v>0</v>
      </c>
      <c r="AD160" s="332">
        <f t="shared" si="65"/>
        <v>0</v>
      </c>
      <c r="AE160" s="332">
        <f t="shared" si="66"/>
        <v>0</v>
      </c>
    </row>
    <row r="161" spans="28:31" x14ac:dyDescent="0.2">
      <c r="AB161" s="332">
        <f t="shared" si="63"/>
        <v>0</v>
      </c>
      <c r="AC161" s="332">
        <f t="shared" si="64"/>
        <v>0</v>
      </c>
      <c r="AD161" s="332">
        <f t="shared" si="65"/>
        <v>0</v>
      </c>
      <c r="AE161" s="332">
        <f t="shared" si="66"/>
        <v>0</v>
      </c>
    </row>
    <row r="162" spans="28:31" x14ac:dyDescent="0.2">
      <c r="AB162" s="332">
        <f t="shared" si="63"/>
        <v>0</v>
      </c>
      <c r="AC162" s="332">
        <f t="shared" si="64"/>
        <v>0</v>
      </c>
      <c r="AD162" s="332">
        <f t="shared" si="65"/>
        <v>0</v>
      </c>
      <c r="AE162" s="332">
        <f t="shared" si="66"/>
        <v>0</v>
      </c>
    </row>
    <row r="163" spans="28:31" x14ac:dyDescent="0.2">
      <c r="AB163" s="332">
        <f t="shared" si="63"/>
        <v>0</v>
      </c>
      <c r="AC163" s="332">
        <f t="shared" si="64"/>
        <v>0</v>
      </c>
      <c r="AD163" s="332">
        <f t="shared" si="65"/>
        <v>0</v>
      </c>
      <c r="AE163" s="332">
        <f t="shared" si="66"/>
        <v>0</v>
      </c>
    </row>
    <row r="164" spans="28:31" x14ac:dyDescent="0.2">
      <c r="AB164" s="332">
        <f t="shared" si="63"/>
        <v>0</v>
      </c>
      <c r="AC164" s="332">
        <f t="shared" si="64"/>
        <v>0</v>
      </c>
      <c r="AD164" s="332">
        <f t="shared" si="65"/>
        <v>0</v>
      </c>
      <c r="AE164" s="332">
        <f t="shared" si="66"/>
        <v>0</v>
      </c>
    </row>
    <row r="165" spans="28:31" x14ac:dyDescent="0.2">
      <c r="AB165" s="332">
        <f t="shared" si="63"/>
        <v>0</v>
      </c>
      <c r="AC165" s="332">
        <f t="shared" si="64"/>
        <v>0</v>
      </c>
      <c r="AD165" s="332">
        <f t="shared" si="65"/>
        <v>0</v>
      </c>
      <c r="AE165" s="332">
        <f t="shared" si="66"/>
        <v>0</v>
      </c>
    </row>
    <row r="166" spans="28:31" x14ac:dyDescent="0.2">
      <c r="AB166" s="332">
        <f t="shared" si="63"/>
        <v>0</v>
      </c>
      <c r="AC166" s="332">
        <f t="shared" si="64"/>
        <v>0</v>
      </c>
      <c r="AD166" s="332">
        <f t="shared" si="65"/>
        <v>0</v>
      </c>
      <c r="AE166" s="332">
        <f t="shared" si="66"/>
        <v>0</v>
      </c>
    </row>
    <row r="167" spans="28:31" x14ac:dyDescent="0.2">
      <c r="AB167" s="332">
        <f t="shared" si="63"/>
        <v>0</v>
      </c>
      <c r="AC167" s="332">
        <f t="shared" si="64"/>
        <v>0</v>
      </c>
      <c r="AD167" s="332">
        <f t="shared" si="65"/>
        <v>0</v>
      </c>
      <c r="AE167" s="332">
        <f t="shared" si="66"/>
        <v>0</v>
      </c>
    </row>
    <row r="168" spans="28:31" x14ac:dyDescent="0.2">
      <c r="AB168" s="332">
        <f t="shared" si="63"/>
        <v>0</v>
      </c>
      <c r="AC168" s="332">
        <f t="shared" si="64"/>
        <v>0</v>
      </c>
      <c r="AD168" s="332">
        <f t="shared" si="65"/>
        <v>0</v>
      </c>
      <c r="AE168" s="332">
        <f t="shared" si="66"/>
        <v>0</v>
      </c>
    </row>
    <row r="169" spans="28:31" x14ac:dyDescent="0.2">
      <c r="AB169" s="332">
        <f t="shared" si="63"/>
        <v>0</v>
      </c>
      <c r="AC169" s="332">
        <f t="shared" si="64"/>
        <v>0</v>
      </c>
      <c r="AD169" s="332">
        <f t="shared" si="65"/>
        <v>0</v>
      </c>
      <c r="AE169" s="332">
        <f t="shared" si="66"/>
        <v>0</v>
      </c>
    </row>
    <row r="170" spans="28:31" x14ac:dyDescent="0.2">
      <c r="AE170" s="332">
        <f t="shared" si="66"/>
        <v>0</v>
      </c>
    </row>
    <row r="171" spans="28:31" x14ac:dyDescent="0.2">
      <c r="AE171" s="332">
        <f t="shared" si="66"/>
        <v>0</v>
      </c>
    </row>
    <row r="172" spans="28:31" x14ac:dyDescent="0.2">
      <c r="AE172" s="332">
        <f t="shared" si="66"/>
        <v>0</v>
      </c>
    </row>
    <row r="173" spans="28:31" x14ac:dyDescent="0.2">
      <c r="AE173" s="332">
        <f t="shared" si="66"/>
        <v>0</v>
      </c>
    </row>
    <row r="174" spans="28:31" x14ac:dyDescent="0.2">
      <c r="AE174" s="332">
        <f t="shared" si="66"/>
        <v>0</v>
      </c>
    </row>
    <row r="175" spans="28:31" x14ac:dyDescent="0.2">
      <c r="AE175" s="332">
        <f t="shared" si="66"/>
        <v>0</v>
      </c>
    </row>
    <row r="176" spans="28:31" x14ac:dyDescent="0.2">
      <c r="AE176" s="332">
        <f t="shared" si="66"/>
        <v>0</v>
      </c>
    </row>
    <row r="177" spans="31:31" x14ac:dyDescent="0.2">
      <c r="AE177" s="332">
        <f t="shared" si="66"/>
        <v>0</v>
      </c>
    </row>
  </sheetData>
  <phoneticPr fontId="0" type="noConversion"/>
  <dataValidations count="1">
    <dataValidation type="list" allowBlank="1" showInputMessage="1" showErrorMessage="1" sqref="B7">
      <formula1>$AM$4:$AM$6</formula1>
    </dataValidation>
  </dataValidations>
  <pageMargins left="0" right="0" top="0" bottom="0" header="0" footer="0"/>
  <pageSetup paperSize="5" scale="31" orientation="landscape" verticalDpi="300" r:id="rId1"/>
  <headerFooter alignWithMargins="0">
    <oddFooter>&amp;LDate:  &amp;D
Time:  &amp;T&amp;CPage &amp;P of &amp;N&amp;RFilename:  &amp;F
  Tab:  &amp;A</oddFooter>
  </headerFooter>
  <rowBreaks count="1" manualBreakCount="1">
    <brk id="82" max="2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A18" sqref="A18"/>
      <selection pane="topRight" activeCell="A18" sqref="A18"/>
      <selection pane="bottomLeft" activeCell="A18" sqref="A18"/>
      <selection pane="bottomRight" activeCell="F3" sqref="F3"/>
    </sheetView>
  </sheetViews>
  <sheetFormatPr defaultRowHeight="12.75" outlineLevelCol="1" x14ac:dyDescent="0.2"/>
  <cols>
    <col min="1" max="1" width="35.5703125" customWidth="1"/>
    <col min="2" max="2" width="11.5703125" customWidth="1"/>
    <col min="3" max="3" width="5.5703125" customWidth="1" collapsed="1"/>
    <col min="4" max="5" width="10.85546875" hidden="1" customWidth="1" outlineLevel="1"/>
    <col min="6" max="22" width="10.85546875" customWidth="1"/>
  </cols>
  <sheetData>
    <row r="1" spans="1:22" x14ac:dyDescent="0.2">
      <c r="D1" s="374" t="s">
        <v>125</v>
      </c>
      <c r="E1" s="374" t="s">
        <v>126</v>
      </c>
    </row>
    <row r="2" spans="1:22" x14ac:dyDescent="0.2">
      <c r="A2" s="403" t="s">
        <v>67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'PG&amp;E'!K26*(14/18)</f>
        <v>198582.68756673831</v>
      </c>
      <c r="G3" s="336">
        <f>'PG&amp;E'!L26</f>
        <v>184398.20988339986</v>
      </c>
      <c r="H3" s="336">
        <f>'PG&amp;E'!M26</f>
        <v>37746.091556999992</v>
      </c>
      <c r="I3" s="336">
        <f>'PG&amp;E'!N26</f>
        <v>41566.255477999985</v>
      </c>
      <c r="J3" s="336">
        <f>'PG&amp;E'!O26</f>
        <v>40028.657883433298</v>
      </c>
      <c r="K3" s="336">
        <f>'PG&amp;E'!P26</f>
        <v>42423.914276301912</v>
      </c>
      <c r="L3" s="336">
        <f>'PG&amp;E'!Q26</f>
        <v>34869.173660256696</v>
      </c>
      <c r="M3" s="336">
        <f>'PG&amp;E'!R26</f>
        <v>62822.929046965553</v>
      </c>
      <c r="N3" s="336">
        <f>'PG&amp;E'!S26</f>
        <v>239313.87607793562</v>
      </c>
      <c r="O3" s="336">
        <f>'PG&amp;E'!T26</f>
        <v>356895.06408334803</v>
      </c>
      <c r="P3" s="336">
        <f>'PG&amp;E'!U26</f>
        <v>413008.86206752714</v>
      </c>
      <c r="Q3" s="336">
        <f>'PG&amp;E'!V26</f>
        <v>376420.62725233915</v>
      </c>
      <c r="R3" s="336">
        <f>'PG&amp;E'!W26</f>
        <v>364678.48612877249</v>
      </c>
      <c r="S3" s="336">
        <f>'PG&amp;E'!X26</f>
        <v>335139.35304020351</v>
      </c>
      <c r="T3" s="336">
        <f>'PG&amp;E'!Y26</f>
        <v>309101.54227139545</v>
      </c>
      <c r="U3" s="336">
        <f>'PG&amp;E'!Z26</f>
        <v>337141.67393511254</v>
      </c>
      <c r="V3" s="336">
        <f>9208260.64774183-2177163</f>
        <v>7031097.64774183</v>
      </c>
    </row>
    <row r="4" spans="1:22" ht="6.75" customHeight="1" x14ac:dyDescent="0.2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'PG&amp;E'!K53</f>
        <v>49.872722389050331</v>
      </c>
      <c r="G5" s="346">
        <f>'PG&amp;E'!L53</f>
        <v>49.872722389050331</v>
      </c>
      <c r="H5" s="346">
        <f>'PG&amp;E'!M53</f>
        <v>50.24747213052845</v>
      </c>
      <c r="I5" s="346">
        <f>'PG&amp;E'!N53</f>
        <v>53.007958679217644</v>
      </c>
      <c r="J5" s="346">
        <f>'PG&amp;E'!O53</f>
        <v>53.170072070395165</v>
      </c>
      <c r="K5" s="346">
        <f>'PG&amp;E'!P53</f>
        <v>83.114407997463303</v>
      </c>
      <c r="L5" s="346">
        <f>'PG&amp;E'!Q53</f>
        <v>82.537529228685514</v>
      </c>
      <c r="M5" s="346">
        <f>'PG&amp;E'!R53</f>
        <v>81.817336826627368</v>
      </c>
      <c r="N5" s="346">
        <f>'PG&amp;E'!S53</f>
        <v>77.758459498905395</v>
      </c>
      <c r="O5" s="346">
        <f>'PG&amp;E'!T53</f>
        <v>79.162696188216742</v>
      </c>
      <c r="P5" s="346">
        <f>'PG&amp;E'!U53</f>
        <v>68.995713787113118</v>
      </c>
      <c r="Q5" s="346">
        <f>'PG&amp;E'!V53</f>
        <v>51.769113074110159</v>
      </c>
      <c r="R5" s="346">
        <f>'PG&amp;E'!W53</f>
        <v>51.845918642176343</v>
      </c>
      <c r="S5" s="346">
        <f>'PG&amp;E'!X53</f>
        <v>48.484898859867862</v>
      </c>
      <c r="T5" s="346">
        <f>'PG&amp;E'!Y53</f>
        <v>48.778064569197518</v>
      </c>
      <c r="U5" s="346">
        <f>'PG&amp;E'!Z53</f>
        <v>51.341681942292212</v>
      </c>
      <c r="V5" s="346"/>
    </row>
    <row r="6" spans="1:22" x14ac:dyDescent="0.2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'PG&amp;E'!K52</f>
        <v>21.409758203049506</v>
      </c>
      <c r="G6" s="346">
        <f>'PG&amp;E'!L52</f>
        <v>21.409758203049506</v>
      </c>
      <c r="H6" s="346">
        <f>'PG&amp;E'!M52</f>
        <v>21.40975820304951</v>
      </c>
      <c r="I6" s="346">
        <f>'PG&amp;E'!N52</f>
        <v>21.409758203049513</v>
      </c>
      <c r="J6" s="346">
        <f>'PG&amp;E'!O52</f>
        <v>21.409758203049506</v>
      </c>
      <c r="K6" s="346">
        <f>'PG&amp;E'!P52</f>
        <v>21.40975820304951</v>
      </c>
      <c r="L6" s="346">
        <f>'PG&amp;E'!Q52</f>
        <v>21.409758203049513</v>
      </c>
      <c r="M6" s="346">
        <f>'PG&amp;E'!R52</f>
        <v>21.40975820304951</v>
      </c>
      <c r="N6" s="346">
        <f>'PG&amp;E'!S52</f>
        <v>18.965333669956944</v>
      </c>
      <c r="O6" s="346">
        <f>'PG&amp;E'!T52</f>
        <v>19.730128711132615</v>
      </c>
      <c r="P6" s="346">
        <f>'PG&amp;E'!U52</f>
        <v>20.027058514571333</v>
      </c>
      <c r="Q6" s="346">
        <f>'PG&amp;E'!V52</f>
        <v>19.986384145663358</v>
      </c>
      <c r="R6" s="346">
        <f>'PG&amp;E'!W52</f>
        <v>20.002821009472921</v>
      </c>
      <c r="S6" s="346">
        <f>'PG&amp;E'!X52</f>
        <v>19.258805467015833</v>
      </c>
      <c r="T6" s="346">
        <f>'PG&amp;E'!Y52</f>
        <v>19.132210493551529</v>
      </c>
      <c r="U6" s="346">
        <f>'PG&amp;E'!Z52</f>
        <v>19.227953443400104</v>
      </c>
      <c r="V6" s="346"/>
    </row>
    <row r="7" spans="1:22" x14ac:dyDescent="0.2">
      <c r="A7" s="3" t="s">
        <v>127</v>
      </c>
      <c r="D7" s="346">
        <f>D5-D6</f>
        <v>86.009476246071841</v>
      </c>
      <c r="E7" s="346">
        <f>E5-E6</f>
        <v>53.824225731390662</v>
      </c>
      <c r="F7" s="346">
        <f>F5-F6</f>
        <v>28.462964186000825</v>
      </c>
      <c r="G7" s="346">
        <f t="shared" ref="G7:U7" si="0">G5-G6</f>
        <v>28.462964186000825</v>
      </c>
      <c r="H7" s="346">
        <f t="shared" si="0"/>
        <v>28.837713927478941</v>
      </c>
      <c r="I7" s="346">
        <f t="shared" si="0"/>
        <v>31.598200476168131</v>
      </c>
      <c r="J7" s="346">
        <f t="shared" si="0"/>
        <v>31.760313867345658</v>
      </c>
      <c r="K7" s="346">
        <f t="shared" si="0"/>
        <v>61.704649794413797</v>
      </c>
      <c r="L7" s="346">
        <f t="shared" si="0"/>
        <v>61.127771025636001</v>
      </c>
      <c r="M7" s="346">
        <f t="shared" si="0"/>
        <v>60.407578623577862</v>
      </c>
      <c r="N7" s="346">
        <f t="shared" si="0"/>
        <v>58.793125828948448</v>
      </c>
      <c r="O7" s="346">
        <f t="shared" si="0"/>
        <v>59.432567477084127</v>
      </c>
      <c r="P7" s="346">
        <f t="shared" si="0"/>
        <v>48.968655272541781</v>
      </c>
      <c r="Q7" s="346">
        <f t="shared" si="0"/>
        <v>31.782728928446801</v>
      </c>
      <c r="R7" s="346">
        <f t="shared" si="0"/>
        <v>31.843097632703422</v>
      </c>
      <c r="S7" s="346">
        <f t="shared" si="0"/>
        <v>29.226093392852029</v>
      </c>
      <c r="T7" s="346">
        <f t="shared" si="0"/>
        <v>29.645854075645989</v>
      </c>
      <c r="U7" s="346">
        <f t="shared" si="0"/>
        <v>32.113728498892108</v>
      </c>
      <c r="V7" s="346"/>
    </row>
    <row r="8" spans="1:22" ht="6.75" customHeight="1" x14ac:dyDescent="0.2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">
      <c r="A9" s="2" t="s">
        <v>121</v>
      </c>
      <c r="D9" s="346">
        <v>0</v>
      </c>
      <c r="E9" s="346">
        <v>0</v>
      </c>
      <c r="F9" s="346">
        <f>'PG&amp;E'!K36</f>
        <v>10</v>
      </c>
      <c r="G9" s="346">
        <f>'PG&amp;E'!L36</f>
        <v>10</v>
      </c>
      <c r="H9" s="346">
        <f>'PG&amp;E'!M36</f>
        <v>10</v>
      </c>
      <c r="I9" s="346">
        <f>'PG&amp;E'!N36</f>
        <v>10</v>
      </c>
      <c r="J9" s="346">
        <f>'PG&amp;E'!O36</f>
        <v>10</v>
      </c>
      <c r="K9" s="346">
        <f>'PG&amp;E'!P36</f>
        <v>10</v>
      </c>
      <c r="L9" s="346">
        <f>'PG&amp;E'!Q36</f>
        <v>10</v>
      </c>
      <c r="M9" s="346">
        <f>'PG&amp;E'!R36</f>
        <v>10</v>
      </c>
      <c r="N9" s="346">
        <f>'PG&amp;E'!S36</f>
        <v>10</v>
      </c>
      <c r="O9" s="346">
        <f>'PG&amp;E'!T36</f>
        <v>10</v>
      </c>
      <c r="P9" s="346">
        <f>'PG&amp;E'!U36</f>
        <v>10</v>
      </c>
      <c r="Q9" s="346">
        <f>'PG&amp;E'!V36</f>
        <v>10</v>
      </c>
      <c r="R9" s="346">
        <f>'PG&amp;E'!W36</f>
        <v>10</v>
      </c>
      <c r="S9" s="346">
        <f>'PG&amp;E'!X36</f>
        <v>10</v>
      </c>
      <c r="T9" s="346">
        <f>'PG&amp;E'!Y36</f>
        <v>10</v>
      </c>
      <c r="U9" s="346">
        <f>'PG&amp;E'!Z36</f>
        <v>10</v>
      </c>
      <c r="V9" s="346">
        <v>10</v>
      </c>
    </row>
    <row r="10" spans="1:22" x14ac:dyDescent="0.2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'PG&amp;E'!Q54-'PG&amp;E'!Q53-L9</f>
        <v>45.583922400206319</v>
      </c>
      <c r="M10" s="346">
        <f>'PG&amp;E'!R54-'PG&amp;E'!R53-M9</f>
        <v>44.566002334620734</v>
      </c>
      <c r="N10" s="346">
        <f>'PG&amp;E'!S54-'PG&amp;E'!S53-N9</f>
        <v>46.942532671674726</v>
      </c>
      <c r="O10" s="346">
        <f>'PG&amp;E'!T54-'PG&amp;E'!T53-O9</f>
        <v>44.953343062385912</v>
      </c>
      <c r="P10" s="346">
        <f>'PG&amp;E'!U54-'PG&amp;E'!U53-P9</f>
        <v>46.613493136144868</v>
      </c>
      <c r="Q10" s="346">
        <f>'PG&amp;E'!V54-'PG&amp;E'!V53-Q9</f>
        <v>34.993875994648327</v>
      </c>
      <c r="R10" s="346">
        <f>'PG&amp;E'!W54-'PG&amp;E'!W53-R9</f>
        <v>34.819276796374041</v>
      </c>
      <c r="S10" s="346">
        <f>'PG&amp;E'!X54-'PG&amp;E'!X53-S9</f>
        <v>34.945515630831601</v>
      </c>
      <c r="T10" s="346">
        <f>'PG&amp;E'!Y54-'PG&amp;E'!Y53-T9</f>
        <v>34.943657634943143</v>
      </c>
      <c r="U10" s="346">
        <f>'PG&amp;E'!Z54-'PG&amp;E'!Z53-U9</f>
        <v>34.907802579420576</v>
      </c>
      <c r="V10" s="346"/>
    </row>
    <row r="11" spans="1:22" ht="6.75" customHeight="1" x14ac:dyDescent="0.2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'PG&amp;E'!K104</f>
        <v>56.708829924133646</v>
      </c>
      <c r="G12" s="346">
        <f>'PG&amp;E'!L104</f>
        <v>56.708829924133646</v>
      </c>
      <c r="H12" s="346">
        <f>'PG&amp;E'!M104</f>
        <v>51.725418766883124</v>
      </c>
      <c r="I12" s="346">
        <f>'PG&amp;E'!N104</f>
        <v>51.426429836073325</v>
      </c>
      <c r="J12" s="346">
        <f>'PG&amp;E'!O104</f>
        <v>51.577636582847816</v>
      </c>
      <c r="K12" s="346">
        <f>'PG&amp;E'!P104</f>
        <v>56.820490923388761</v>
      </c>
      <c r="L12" s="346">
        <f>'PG&amp;E'!Q104</f>
        <v>49.919235307165927</v>
      </c>
      <c r="M12" s="346">
        <f>'PG&amp;E'!R104</f>
        <v>49.563375517253647</v>
      </c>
      <c r="N12" s="346">
        <f>'PG&amp;E'!S104</f>
        <v>49.205817170393573</v>
      </c>
      <c r="O12" s="346">
        <f>'PG&amp;E'!T104</f>
        <v>51.438686246064428</v>
      </c>
      <c r="P12" s="346">
        <f>'PG&amp;E'!U104</f>
        <v>51.47159663754006</v>
      </c>
      <c r="Q12" s="346">
        <f>'PG&amp;E'!V104</f>
        <v>51.459351597208794</v>
      </c>
      <c r="R12" s="346">
        <f>'PG&amp;E'!W104</f>
        <v>51.412225452607956</v>
      </c>
      <c r="S12" s="346">
        <f>'PG&amp;E'!X104</f>
        <v>51.056025347279032</v>
      </c>
      <c r="T12" s="346">
        <f>'PG&amp;E'!Y104</f>
        <v>50.796837854946375</v>
      </c>
      <c r="U12" s="346">
        <f>'PG&amp;E'!Z104</f>
        <v>50.614679276314206</v>
      </c>
      <c r="V12" s="346"/>
    </row>
    <row r="13" spans="1:22" x14ac:dyDescent="0.2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'PG&amp;E'!K57</f>
        <v>200.21251858599652</v>
      </c>
      <c r="G13" s="346">
        <f>'PG&amp;E'!L117</f>
        <v>213</v>
      </c>
      <c r="H13" s="346">
        <f>'PG&amp;E'!M117</f>
        <v>196</v>
      </c>
      <c r="I13" s="346">
        <f>'PG&amp;E'!N117</f>
        <v>159</v>
      </c>
      <c r="J13" s="346">
        <f>'PG&amp;E'!O117</f>
        <v>102</v>
      </c>
      <c r="K13" s="346">
        <f>'PG&amp;E'!P117</f>
        <v>40</v>
      </c>
      <c r="L13" s="346">
        <f>'PG&amp;E'!Q117</f>
        <v>38</v>
      </c>
      <c r="M13" s="346">
        <f>'PG&amp;E'!R117</f>
        <v>35</v>
      </c>
      <c r="N13" s="346">
        <f>'PG&amp;E'!S117</f>
        <v>35</v>
      </c>
      <c r="O13" s="346">
        <f>'PG&amp;E'!T117</f>
        <v>35</v>
      </c>
      <c r="P13" s="346">
        <f>'PG&amp;E'!U117</f>
        <v>51.47159663754006</v>
      </c>
      <c r="Q13" s="346">
        <f>'PG&amp;E'!V117</f>
        <v>51.459351597208794</v>
      </c>
      <c r="R13" s="346">
        <f>'PG&amp;E'!W117</f>
        <v>51.412225452607956</v>
      </c>
      <c r="S13" s="346">
        <f>'PG&amp;E'!X117</f>
        <v>51.056025347279032</v>
      </c>
      <c r="T13" s="346">
        <f>'PG&amp;E'!Y117</f>
        <v>50.796837854946375</v>
      </c>
      <c r="U13" s="346">
        <f>'PG&amp;E'!Z117</f>
        <v>50.614679276314206</v>
      </c>
      <c r="V13" s="346"/>
    </row>
    <row r="14" spans="1:22" x14ac:dyDescent="0.2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'PG&amp;E'!K57</f>
        <v>200.21251858599652</v>
      </c>
      <c r="G14" s="346">
        <f>'PG&amp;E'!L57</f>
        <v>200.21251858599652</v>
      </c>
      <c r="H14" s="346">
        <f>'PG&amp;E'!M57</f>
        <v>231.08596361158956</v>
      </c>
      <c r="I14" s="346">
        <f>'PG&amp;E'!N57</f>
        <v>199.59436397390778</v>
      </c>
      <c r="J14" s="346">
        <f>'PG&amp;E'!O57</f>
        <v>219.35999159155665</v>
      </c>
      <c r="K14" s="346">
        <f>'PG&amp;E'!P57</f>
        <v>180.59624295839262</v>
      </c>
      <c r="L14" s="346">
        <f>'PG&amp;E'!Q57</f>
        <v>55.160180692346806</v>
      </c>
      <c r="M14" s="346">
        <f>'PG&amp;E'!R57</f>
        <v>43.469306298739042</v>
      </c>
      <c r="N14" s="346">
        <f>'PG&amp;E'!S57</f>
        <v>49.822580645161288</v>
      </c>
      <c r="O14" s="346">
        <f>'PG&amp;E'!T57</f>
        <v>45.993333333333332</v>
      </c>
      <c r="P14" s="346">
        <f>'PG&amp;E'!U57</f>
        <v>44.961290322580638</v>
      </c>
      <c r="Q14" s="346">
        <f>'PG&amp;E'!V57</f>
        <v>42.52</v>
      </c>
      <c r="R14" s="346">
        <f>'PG&amp;E'!W57</f>
        <v>51.046774193548394</v>
      </c>
      <c r="S14" s="346">
        <f>'PG&amp;E'!X57</f>
        <v>47.624408602150531</v>
      </c>
      <c r="T14" s="346">
        <f>'PG&amp;E'!Y57</f>
        <v>41.441428571428574</v>
      </c>
      <c r="U14" s="346">
        <f>'PG&amp;E'!Z57</f>
        <v>36.888279569892475</v>
      </c>
      <c r="V14" s="346"/>
    </row>
    <row r="15" spans="1:22" ht="6.75" customHeight="1" x14ac:dyDescent="0.2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">
      <c r="A16" s="2" t="s">
        <v>148</v>
      </c>
      <c r="D16" s="346">
        <f>D$7-D12</f>
        <v>-50.901248077579737</v>
      </c>
      <c r="E16" s="346">
        <f t="shared" ref="E16:U16" si="1">E$7-E12</f>
        <v>-96.018712986088303</v>
      </c>
      <c r="F16" s="346">
        <f t="shared" si="1"/>
        <v>-28.245865738132821</v>
      </c>
      <c r="G16" s="346">
        <f t="shared" si="1"/>
        <v>-28.245865738132821</v>
      </c>
      <c r="H16" s="346">
        <f t="shared" si="1"/>
        <v>-22.887704839404183</v>
      </c>
      <c r="I16" s="346">
        <f t="shared" si="1"/>
        <v>-19.828229359905194</v>
      </c>
      <c r="J16" s="346">
        <f t="shared" si="1"/>
        <v>-19.817322715502158</v>
      </c>
      <c r="K16" s="346">
        <f t="shared" si="1"/>
        <v>4.8841588710250363</v>
      </c>
      <c r="L16" s="346">
        <f t="shared" si="1"/>
        <v>11.208535718470074</v>
      </c>
      <c r="M16" s="346">
        <f t="shared" si="1"/>
        <v>10.844203106324215</v>
      </c>
      <c r="N16" s="346">
        <f t="shared" si="1"/>
        <v>9.5873086585548748</v>
      </c>
      <c r="O16" s="346">
        <f t="shared" si="1"/>
        <v>7.9938812310196994</v>
      </c>
      <c r="P16" s="346">
        <f t="shared" si="1"/>
        <v>-2.5029413649982786</v>
      </c>
      <c r="Q16" s="346">
        <f t="shared" si="1"/>
        <v>-19.676622668761993</v>
      </c>
      <c r="R16" s="346">
        <f t="shared" si="1"/>
        <v>-19.569127819904534</v>
      </c>
      <c r="S16" s="346">
        <f t="shared" si="1"/>
        <v>-21.829931954427003</v>
      </c>
      <c r="T16" s="346">
        <f t="shared" si="1"/>
        <v>-21.150983779300386</v>
      </c>
      <c r="U16" s="346">
        <f t="shared" si="1"/>
        <v>-18.500950777422098</v>
      </c>
      <c r="V16" s="346"/>
    </row>
    <row r="17" spans="1:22" x14ac:dyDescent="0.2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-171.7495543999957</v>
      </c>
      <c r="G17" s="346">
        <f t="shared" si="2"/>
        <v>-184.53703581399918</v>
      </c>
      <c r="H17" s="346">
        <f t="shared" si="2"/>
        <v>-167.16228607252106</v>
      </c>
      <c r="I17" s="346">
        <f t="shared" si="2"/>
        <v>-127.40179952383187</v>
      </c>
      <c r="J17" s="346">
        <f t="shared" si="2"/>
        <v>-70.239686132654342</v>
      </c>
      <c r="K17" s="346">
        <f t="shared" si="2"/>
        <v>21.704649794413797</v>
      </c>
      <c r="L17" s="346">
        <f t="shared" si="2"/>
        <v>23.127771025636001</v>
      </c>
      <c r="M17" s="346">
        <f t="shared" si="2"/>
        <v>25.407578623577862</v>
      </c>
      <c r="N17" s="346">
        <f t="shared" si="2"/>
        <v>23.793125828948448</v>
      </c>
      <c r="O17" s="346">
        <f t="shared" si="2"/>
        <v>24.432567477084127</v>
      </c>
      <c r="P17" s="346">
        <f t="shared" si="2"/>
        <v>-2.5029413649982786</v>
      </c>
      <c r="Q17" s="346">
        <f t="shared" si="2"/>
        <v>-19.676622668761993</v>
      </c>
      <c r="R17" s="346">
        <f t="shared" si="2"/>
        <v>-19.569127819904534</v>
      </c>
      <c r="S17" s="346">
        <f t="shared" si="2"/>
        <v>-21.829931954427003</v>
      </c>
      <c r="T17" s="346">
        <f t="shared" si="2"/>
        <v>-21.150983779300386</v>
      </c>
      <c r="U17" s="346">
        <f t="shared" si="2"/>
        <v>-18.500950777422098</v>
      </c>
      <c r="V17" s="346"/>
    </row>
    <row r="18" spans="1:22" x14ac:dyDescent="0.2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-171.7495543999957</v>
      </c>
      <c r="G18" s="346">
        <f t="shared" si="3"/>
        <v>-171.7495543999957</v>
      </c>
      <c r="H18" s="346">
        <f t="shared" si="3"/>
        <v>-202.24824968411062</v>
      </c>
      <c r="I18" s="346">
        <f t="shared" si="3"/>
        <v>-167.99616349773964</v>
      </c>
      <c r="J18" s="346">
        <f t="shared" si="3"/>
        <v>-187.59967772421101</v>
      </c>
      <c r="K18" s="346">
        <f t="shared" si="3"/>
        <v>-118.89159316397883</v>
      </c>
      <c r="L18" s="346">
        <f t="shared" si="3"/>
        <v>5.9675903332891949</v>
      </c>
      <c r="M18" s="346">
        <f t="shared" si="3"/>
        <v>16.93827232483882</v>
      </c>
      <c r="N18" s="346">
        <f t="shared" si="3"/>
        <v>8.9705451837871593</v>
      </c>
      <c r="O18" s="346">
        <f t="shared" si="3"/>
        <v>13.439234143750795</v>
      </c>
      <c r="P18" s="346">
        <f t="shared" si="3"/>
        <v>4.0073649499611435</v>
      </c>
      <c r="Q18" s="346">
        <f t="shared" si="3"/>
        <v>-10.737271071553202</v>
      </c>
      <c r="R18" s="346">
        <f t="shared" si="3"/>
        <v>-19.203676560844972</v>
      </c>
      <c r="S18" s="346">
        <f t="shared" si="3"/>
        <v>-18.398315209298502</v>
      </c>
      <c r="T18" s="346">
        <f t="shared" si="3"/>
        <v>-11.795574495782585</v>
      </c>
      <c r="U18" s="346">
        <f t="shared" si="3"/>
        <v>-4.7745510710003671</v>
      </c>
      <c r="V18" s="346"/>
    </row>
    <row r="19" spans="1:22" x14ac:dyDescent="0.2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5" thickBot="1" x14ac:dyDescent="0.25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28.462964186000825</v>
      </c>
      <c r="G23" s="346">
        <f t="shared" si="4"/>
        <v>28.462964186000825</v>
      </c>
      <c r="H23" s="346">
        <f t="shared" si="4"/>
        <v>28.837713927478941</v>
      </c>
      <c r="I23" s="346">
        <f t="shared" si="4"/>
        <v>31.598200476168131</v>
      </c>
      <c r="J23" s="346">
        <f t="shared" si="4"/>
        <v>31.760313867345658</v>
      </c>
      <c r="K23" s="346">
        <f t="shared" si="4"/>
        <v>61.704649794413797</v>
      </c>
      <c r="L23" s="346">
        <f t="shared" si="4"/>
        <v>61.127771025636001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">
      <c r="A24" s="390" t="s">
        <v>123</v>
      </c>
      <c r="D24" s="346">
        <f>D14</f>
        <v>136.91072432365158</v>
      </c>
      <c r="E24" s="346">
        <f t="shared" ref="E24:V24" si="5">E14</f>
        <v>149.84293871747897</v>
      </c>
      <c r="F24" s="346">
        <f t="shared" si="5"/>
        <v>200.21251858599652</v>
      </c>
      <c r="G24" s="346">
        <f t="shared" si="5"/>
        <v>200.21251858599652</v>
      </c>
      <c r="H24" s="346">
        <f t="shared" si="5"/>
        <v>231.08596361158956</v>
      </c>
      <c r="I24" s="346">
        <f t="shared" si="5"/>
        <v>199.59436397390778</v>
      </c>
      <c r="J24" s="346">
        <f t="shared" si="5"/>
        <v>219.35999159155665</v>
      </c>
      <c r="K24" s="346">
        <f t="shared" si="5"/>
        <v>180.59624295839262</v>
      </c>
      <c r="L24" s="346">
        <f t="shared" si="5"/>
        <v>55.160180692346806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">
      <c r="A25" s="396" t="s">
        <v>124</v>
      </c>
      <c r="B25" s="397"/>
      <c r="C25" s="397"/>
      <c r="D25" s="398">
        <f>D23-D24</f>
        <v>-50.901248077579737</v>
      </c>
      <c r="E25" s="398">
        <f t="shared" ref="E25:L25" si="6">E23-E24</f>
        <v>-96.018712986088303</v>
      </c>
      <c r="F25" s="398">
        <f t="shared" si="6"/>
        <v>-171.7495543999957</v>
      </c>
      <c r="G25" s="398">
        <f t="shared" si="6"/>
        <v>-171.7495543999957</v>
      </c>
      <c r="H25" s="398">
        <f t="shared" si="6"/>
        <v>-202.24824968411062</v>
      </c>
      <c r="I25" s="398">
        <f t="shared" si="6"/>
        <v>-167.99616349773964</v>
      </c>
      <c r="J25" s="398">
        <f t="shared" si="6"/>
        <v>-187.59967772421101</v>
      </c>
      <c r="K25" s="398">
        <f t="shared" si="6"/>
        <v>-118.89159316397883</v>
      </c>
      <c r="L25" s="398">
        <f t="shared" si="6"/>
        <v>5.9675903332891949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">
      <c r="A26" s="394" t="s">
        <v>130</v>
      </c>
      <c r="B26" s="12"/>
      <c r="C26" s="12"/>
      <c r="D26" s="395">
        <f>-D$3*D25/1000</f>
        <v>30931.562863287458</v>
      </c>
      <c r="E26" s="395">
        <f>-E$3*E25/1000</f>
        <v>42606.991276677771</v>
      </c>
      <c r="F26" s="395">
        <f t="shared" ref="F26:V26" si="7">-F$3*F25/1000</f>
        <v>34106.488101140872</v>
      </c>
      <c r="G26" s="395">
        <f t="shared" si="7"/>
        <v>31670.310379630806</v>
      </c>
      <c r="H26" s="395">
        <f t="shared" si="7"/>
        <v>7634.0809498194349</v>
      </c>
      <c r="I26" s="395">
        <f t="shared" si="7"/>
        <v>6982.9714512709015</v>
      </c>
      <c r="J26" s="395">
        <f t="shared" si="7"/>
        <v>7509.3633186647849</v>
      </c>
      <c r="K26" s="395">
        <f t="shared" si="7"/>
        <v>5043.8467565615992</v>
      </c>
      <c r="L26" s="395">
        <f t="shared" si="7"/>
        <v>-208.08494366473005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>
        <f t="shared" si="7"/>
        <v>0</v>
      </c>
    </row>
    <row r="27" spans="1:22" x14ac:dyDescent="0.2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-1985.8268756673831</v>
      </c>
      <c r="G30" s="395">
        <f t="shared" si="11"/>
        <v>-1843.9820988339986</v>
      </c>
      <c r="H30" s="395">
        <f t="shared" si="11"/>
        <v>-377.46091556999994</v>
      </c>
      <c r="I30" s="395">
        <f t="shared" si="11"/>
        <v>-415.66255477999982</v>
      </c>
      <c r="J30" s="395">
        <f t="shared" si="11"/>
        <v>-400.286578834333</v>
      </c>
      <c r="K30" s="395">
        <f t="shared" si="11"/>
        <v>-424.23914276301912</v>
      </c>
      <c r="L30" s="395">
        <f t="shared" si="10"/>
        <v>-348.69173660256695</v>
      </c>
      <c r="M30" s="395">
        <f t="shared" si="10"/>
        <v>-628.22929046965555</v>
      </c>
      <c r="N30" s="395">
        <f t="shared" si="10"/>
        <v>-2393.1387607793563</v>
      </c>
      <c r="O30" s="395">
        <f t="shared" si="10"/>
        <v>-3568.9506408334801</v>
      </c>
      <c r="P30" s="395">
        <f t="shared" si="10"/>
        <v>-4130.0886206752712</v>
      </c>
      <c r="Q30" s="395">
        <f t="shared" si="10"/>
        <v>-3764.2062725233914</v>
      </c>
      <c r="R30" s="395">
        <f t="shared" si="10"/>
        <v>-3646.7848612877251</v>
      </c>
      <c r="S30" s="395">
        <f t="shared" si="10"/>
        <v>-3351.3935304020351</v>
      </c>
      <c r="T30" s="395">
        <f t="shared" si="10"/>
        <v>-3091.0154227139546</v>
      </c>
      <c r="U30" s="395">
        <f t="shared" si="10"/>
        <v>-3371.4167393511252</v>
      </c>
      <c r="V30" s="395">
        <f t="shared" si="10"/>
        <v>-70310.976477418299</v>
      </c>
    </row>
    <row r="31" spans="1:22" x14ac:dyDescent="0.2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5" thickBot="1" x14ac:dyDescent="0.25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">
      <c r="A34" s="335" t="s">
        <v>137</v>
      </c>
      <c r="B34" s="402">
        <f>SUM(D34:V34)</f>
        <v>-92738.976013423671</v>
      </c>
      <c r="D34" s="346">
        <v>0</v>
      </c>
      <c r="E34" s="346">
        <v>0</v>
      </c>
      <c r="F34" s="346">
        <f>-F26</f>
        <v>-34106.488101140872</v>
      </c>
      <c r="G34" s="346">
        <f t="shared" ref="G34:V34" si="12">-G26</f>
        <v>-31670.310379630806</v>
      </c>
      <c r="H34" s="346">
        <f t="shared" si="12"/>
        <v>-7634.0809498194349</v>
      </c>
      <c r="I34" s="346">
        <f t="shared" si="12"/>
        <v>-6982.9714512709015</v>
      </c>
      <c r="J34" s="346">
        <f t="shared" si="12"/>
        <v>-7509.3633186647849</v>
      </c>
      <c r="K34" s="346">
        <f t="shared" si="12"/>
        <v>-5043.8467565615992</v>
      </c>
      <c r="L34" s="346">
        <f t="shared" si="12"/>
        <v>208.08494366473005</v>
      </c>
      <c r="M34" s="346">
        <f t="shared" si="12"/>
        <v>0</v>
      </c>
      <c r="N34" s="346">
        <f t="shared" si="12"/>
        <v>0</v>
      </c>
      <c r="O34" s="346">
        <f t="shared" si="12"/>
        <v>0</v>
      </c>
      <c r="P34" s="346">
        <f t="shared" si="12"/>
        <v>0</v>
      </c>
      <c r="Q34" s="346">
        <f t="shared" si="12"/>
        <v>0</v>
      </c>
      <c r="R34" s="346">
        <f t="shared" si="12"/>
        <v>0</v>
      </c>
      <c r="S34" s="346">
        <f t="shared" si="12"/>
        <v>0</v>
      </c>
      <c r="T34" s="346">
        <f t="shared" si="12"/>
        <v>0</v>
      </c>
      <c r="U34" s="346">
        <f t="shared" si="12"/>
        <v>0</v>
      </c>
      <c r="V34" s="346">
        <f t="shared" si="12"/>
        <v>0</v>
      </c>
    </row>
    <row r="35" spans="1:22" x14ac:dyDescent="0.2">
      <c r="A35" s="3" t="s">
        <v>135</v>
      </c>
      <c r="B35" s="392">
        <f>SUM(D35:V35)</f>
        <v>-58632.487912282799</v>
      </c>
      <c r="C35" s="346"/>
      <c r="D35" s="346">
        <v>0</v>
      </c>
      <c r="E35" s="346">
        <v>0</v>
      </c>
      <c r="F35" s="346">
        <v>0</v>
      </c>
      <c r="G35" s="346">
        <f>-G26</f>
        <v>-31670.310379630806</v>
      </c>
      <c r="H35" s="346">
        <f t="shared" ref="H35:V35" si="13">-H26</f>
        <v>-7634.0809498194349</v>
      </c>
      <c r="I35" s="346">
        <f t="shared" si="13"/>
        <v>-6982.9714512709015</v>
      </c>
      <c r="J35" s="346">
        <f t="shared" si="13"/>
        <v>-7509.3633186647849</v>
      </c>
      <c r="K35" s="346">
        <f t="shared" si="13"/>
        <v>-5043.8467565615992</v>
      </c>
      <c r="L35" s="346">
        <f t="shared" si="13"/>
        <v>208.08494366473005</v>
      </c>
      <c r="M35" s="346">
        <f t="shared" si="13"/>
        <v>0</v>
      </c>
      <c r="N35" s="346">
        <f t="shared" si="13"/>
        <v>0</v>
      </c>
      <c r="O35" s="346">
        <f t="shared" si="13"/>
        <v>0</v>
      </c>
      <c r="P35" s="346">
        <f t="shared" si="13"/>
        <v>0</v>
      </c>
      <c r="Q35" s="346">
        <f t="shared" si="13"/>
        <v>0</v>
      </c>
      <c r="R35" s="346">
        <f t="shared" si="13"/>
        <v>0</v>
      </c>
      <c r="S35" s="346">
        <f t="shared" si="13"/>
        <v>0</v>
      </c>
      <c r="T35" s="346">
        <f t="shared" si="13"/>
        <v>0</v>
      </c>
      <c r="U35" s="346">
        <f t="shared" si="13"/>
        <v>0</v>
      </c>
      <c r="V35" s="346">
        <f t="shared" si="13"/>
        <v>0</v>
      </c>
    </row>
    <row r="36" spans="1:22" x14ac:dyDescent="0.2">
      <c r="A36" s="3" t="s">
        <v>134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">
      <c r="A37" s="390" t="s">
        <v>140</v>
      </c>
      <c r="B37" s="392">
        <f>SUM(D37:V37)</f>
        <v>-63002.726863292235</v>
      </c>
      <c r="C37" s="346"/>
      <c r="D37" s="346">
        <v>0</v>
      </c>
      <c r="E37" s="346">
        <v>0</v>
      </c>
      <c r="F37" s="346">
        <f>(F18-F16)*F3/1000</f>
        <v>-28497.348170213209</v>
      </c>
      <c r="G37" s="346">
        <f t="shared" ref="G37:U37" si="14">(G18-G16)*G3/1000</f>
        <v>-26461.823300912263</v>
      </c>
      <c r="H37" s="346">
        <f t="shared" si="14"/>
        <v>-6770.159547421692</v>
      </c>
      <c r="I37" s="346">
        <f t="shared" si="14"/>
        <v>-6158.786204020701</v>
      </c>
      <c r="J37" s="346">
        <f t="shared" si="14"/>
        <v>-6716.1024875203584</v>
      </c>
      <c r="K37" s="346">
        <f t="shared" si="14"/>
        <v>-5251.0518938178056</v>
      </c>
      <c r="L37" s="346">
        <f t="shared" si="14"/>
        <v>-182.747434779793</v>
      </c>
      <c r="M37" s="346">
        <f t="shared" si="14"/>
        <v>382.84727812203988</v>
      </c>
      <c r="N37" s="346">
        <f t="shared" si="14"/>
        <v>-147.60005776995806</v>
      </c>
      <c r="O37" s="346">
        <f t="shared" si="14"/>
        <v>1943.4195767456101</v>
      </c>
      <c r="P37" s="346">
        <f t="shared" si="14"/>
        <v>2688.8142028524271</v>
      </c>
      <c r="Q37" s="346">
        <f t="shared" si="14"/>
        <v>3364.9563354505331</v>
      </c>
      <c r="R37" s="346">
        <f t="shared" si="14"/>
        <v>133.27221190769475</v>
      </c>
      <c r="S37" s="346">
        <f t="shared" si="14"/>
        <v>1150.0698158442949</v>
      </c>
      <c r="T37" s="346">
        <f t="shared" si="14"/>
        <v>2891.7714381154833</v>
      </c>
      <c r="U37" s="346">
        <f t="shared" si="14"/>
        <v>4627.7413741254595</v>
      </c>
      <c r="V37" s="346"/>
    </row>
    <row r="38" spans="1:22" x14ac:dyDescent="0.2">
      <c r="A38" s="390" t="s">
        <v>141</v>
      </c>
      <c r="B38" s="392">
        <f>SUM(D38:V38)</f>
        <v>-5060.6491317040791</v>
      </c>
      <c r="C38" s="346"/>
      <c r="D38" s="346">
        <v>0</v>
      </c>
      <c r="E38" s="346">
        <v>0</v>
      </c>
      <c r="F38" s="346">
        <f>(F18-F17)*F3/1000</f>
        <v>0</v>
      </c>
      <c r="G38" s="346">
        <f t="shared" ref="G38:U38" si="15">(G18-G17)*G3/1000</f>
        <v>2357.9886816594885</v>
      </c>
      <c r="H38" s="346">
        <f t="shared" si="15"/>
        <v>-1324.3579948486297</v>
      </c>
      <c r="I38" s="346">
        <f t="shared" si="15"/>
        <v>-1687.3557039063694</v>
      </c>
      <c r="J38" s="346">
        <f t="shared" si="15"/>
        <v>-4697.7629526210303</v>
      </c>
      <c r="K38" s="346">
        <f t="shared" si="15"/>
        <v>-5964.6429588369656</v>
      </c>
      <c r="L38" s="346">
        <f t="shared" si="15"/>
        <v>-598.36132060282478</v>
      </c>
      <c r="M38" s="346">
        <f t="shared" si="15"/>
        <v>-532.06662868270132</v>
      </c>
      <c r="N38" s="346">
        <f t="shared" si="15"/>
        <v>-3547.2492276713356</v>
      </c>
      <c r="O38" s="346">
        <f t="shared" si="15"/>
        <v>-3923.4664044896058</v>
      </c>
      <c r="P38" s="346">
        <f t="shared" si="15"/>
        <v>2688.8142028524271</v>
      </c>
      <c r="Q38" s="346">
        <f t="shared" si="15"/>
        <v>3364.9563354505331</v>
      </c>
      <c r="R38" s="346">
        <f t="shared" si="15"/>
        <v>133.27221190769475</v>
      </c>
      <c r="S38" s="346">
        <f t="shared" si="15"/>
        <v>1150.0698158442949</v>
      </c>
      <c r="T38" s="346">
        <f t="shared" si="15"/>
        <v>2891.7714381154833</v>
      </c>
      <c r="U38" s="346">
        <f t="shared" si="15"/>
        <v>4627.7413741254595</v>
      </c>
      <c r="V38" s="346"/>
    </row>
    <row r="39" spans="1:22" x14ac:dyDescent="0.2">
      <c r="A39" s="3" t="s">
        <v>142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">
      <c r="A40" s="390" t="s">
        <v>140</v>
      </c>
      <c r="B40" s="392">
        <f>SUM(D40:V40)</f>
        <v>-34505.37869307903</v>
      </c>
      <c r="C40" s="346"/>
      <c r="D40" s="346"/>
      <c r="E40" s="346"/>
      <c r="F40" s="346"/>
      <c r="G40" s="346">
        <f>G37</f>
        <v>-26461.823300912263</v>
      </c>
      <c r="H40" s="346">
        <f t="shared" ref="H40:U40" si="16">H37</f>
        <v>-6770.159547421692</v>
      </c>
      <c r="I40" s="346">
        <f t="shared" si="16"/>
        <v>-6158.786204020701</v>
      </c>
      <c r="J40" s="346">
        <f t="shared" si="16"/>
        <v>-6716.1024875203584</v>
      </c>
      <c r="K40" s="346">
        <f t="shared" si="16"/>
        <v>-5251.0518938178056</v>
      </c>
      <c r="L40" s="346">
        <f t="shared" si="16"/>
        <v>-182.747434779793</v>
      </c>
      <c r="M40" s="346">
        <f t="shared" si="16"/>
        <v>382.84727812203988</v>
      </c>
      <c r="N40" s="346">
        <f t="shared" si="16"/>
        <v>-147.60005776995806</v>
      </c>
      <c r="O40" s="346">
        <f t="shared" si="16"/>
        <v>1943.4195767456101</v>
      </c>
      <c r="P40" s="346">
        <f t="shared" si="16"/>
        <v>2688.8142028524271</v>
      </c>
      <c r="Q40" s="346">
        <f t="shared" si="16"/>
        <v>3364.9563354505331</v>
      </c>
      <c r="R40" s="346">
        <f t="shared" si="16"/>
        <v>133.27221190769475</v>
      </c>
      <c r="S40" s="346">
        <f t="shared" si="16"/>
        <v>1150.0698158442949</v>
      </c>
      <c r="T40" s="346">
        <f t="shared" si="16"/>
        <v>2891.7714381154833</v>
      </c>
      <c r="U40" s="346">
        <f t="shared" si="16"/>
        <v>4627.7413741254595</v>
      </c>
      <c r="V40" s="346"/>
    </row>
    <row r="41" spans="1:22" x14ac:dyDescent="0.2">
      <c r="A41" s="390" t="s">
        <v>141</v>
      </c>
      <c r="B41" s="392">
        <f>SUM(D41:V41)</f>
        <v>-5060.6491317040791</v>
      </c>
      <c r="C41" s="346"/>
      <c r="D41" s="346"/>
      <c r="E41" s="346"/>
      <c r="F41" s="346"/>
      <c r="G41" s="346">
        <f t="shared" ref="G41:U41" si="17">G38</f>
        <v>2357.9886816594885</v>
      </c>
      <c r="H41" s="346">
        <f t="shared" si="17"/>
        <v>-1324.3579948486297</v>
      </c>
      <c r="I41" s="346">
        <f t="shared" si="17"/>
        <v>-1687.3557039063694</v>
      </c>
      <c r="J41" s="346">
        <f t="shared" si="17"/>
        <v>-4697.7629526210303</v>
      </c>
      <c r="K41" s="346">
        <f t="shared" si="17"/>
        <v>-5964.6429588369656</v>
      </c>
      <c r="L41" s="346">
        <f t="shared" si="17"/>
        <v>-598.36132060282478</v>
      </c>
      <c r="M41" s="346">
        <f t="shared" si="17"/>
        <v>-532.06662868270132</v>
      </c>
      <c r="N41" s="346">
        <f t="shared" si="17"/>
        <v>-3547.2492276713356</v>
      </c>
      <c r="O41" s="346">
        <f t="shared" si="17"/>
        <v>-3923.4664044896058</v>
      </c>
      <c r="P41" s="346">
        <f t="shared" si="17"/>
        <v>2688.8142028524271</v>
      </c>
      <c r="Q41" s="346">
        <f t="shared" si="17"/>
        <v>3364.9563354505331</v>
      </c>
      <c r="R41" s="346">
        <f t="shared" si="17"/>
        <v>133.27221190769475</v>
      </c>
      <c r="S41" s="346">
        <f t="shared" si="17"/>
        <v>1150.0698158442949</v>
      </c>
      <c r="T41" s="346">
        <f t="shared" si="17"/>
        <v>2891.7714381154833</v>
      </c>
      <c r="U41" s="346">
        <f t="shared" si="17"/>
        <v>4627.7413741254595</v>
      </c>
      <c r="V41" s="346"/>
    </row>
    <row r="42" spans="1:22" x14ac:dyDescent="0.2">
      <c r="A42" s="3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">
      <c r="A43" s="3" t="s">
        <v>133</v>
      </c>
      <c r="B43" s="392">
        <f>SUM(D43:V43)</f>
        <v>104052.35051950559</v>
      </c>
      <c r="C43" s="346"/>
      <c r="D43" s="346">
        <f>-D30</f>
        <v>0</v>
      </c>
      <c r="E43" s="346">
        <f t="shared" ref="E43:V43" si="18">-E30</f>
        <v>0</v>
      </c>
      <c r="F43" s="346">
        <f t="shared" si="18"/>
        <v>1985.8268756673831</v>
      </c>
      <c r="G43" s="346">
        <f t="shared" si="18"/>
        <v>1843.9820988339986</v>
      </c>
      <c r="H43" s="346">
        <f t="shared" si="18"/>
        <v>377.46091556999994</v>
      </c>
      <c r="I43" s="346">
        <f t="shared" si="18"/>
        <v>415.66255477999982</v>
      </c>
      <c r="J43" s="346">
        <f t="shared" si="18"/>
        <v>400.286578834333</v>
      </c>
      <c r="K43" s="346">
        <f t="shared" si="18"/>
        <v>424.23914276301912</v>
      </c>
      <c r="L43" s="346">
        <f t="shared" si="18"/>
        <v>348.69173660256695</v>
      </c>
      <c r="M43" s="346">
        <f t="shared" si="18"/>
        <v>628.22929046965555</v>
      </c>
      <c r="N43" s="346">
        <f t="shared" si="18"/>
        <v>2393.1387607793563</v>
      </c>
      <c r="O43" s="346">
        <f t="shared" si="18"/>
        <v>3568.9506408334801</v>
      </c>
      <c r="P43" s="346">
        <f t="shared" si="18"/>
        <v>4130.0886206752712</v>
      </c>
      <c r="Q43" s="346">
        <f t="shared" si="18"/>
        <v>3764.2062725233914</v>
      </c>
      <c r="R43" s="346">
        <f t="shared" si="18"/>
        <v>3646.7848612877251</v>
      </c>
      <c r="S43" s="346">
        <f t="shared" si="18"/>
        <v>3351.3935304020351</v>
      </c>
      <c r="T43" s="346">
        <f t="shared" si="18"/>
        <v>3091.0154227139546</v>
      </c>
      <c r="U43" s="346">
        <f t="shared" si="18"/>
        <v>3371.4167393511252</v>
      </c>
      <c r="V43" s="346">
        <f t="shared" si="18"/>
        <v>70310.976477418299</v>
      </c>
    </row>
    <row r="44" spans="1:22" x14ac:dyDescent="0.2">
      <c r="A44" s="3" t="s">
        <v>146</v>
      </c>
      <c r="B44" s="392">
        <f>SUM(D44:V44)</f>
        <v>95234.832565205288</v>
      </c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3568.9506408334801</v>
      </c>
      <c r="P44" s="346">
        <f t="shared" ref="P44:V44" si="19">-P30</f>
        <v>4130.0886206752712</v>
      </c>
      <c r="Q44" s="346">
        <f t="shared" si="19"/>
        <v>3764.2062725233914</v>
      </c>
      <c r="R44" s="346">
        <f t="shared" si="19"/>
        <v>3646.7848612877251</v>
      </c>
      <c r="S44" s="346">
        <f t="shared" si="19"/>
        <v>3351.3935304020351</v>
      </c>
      <c r="T44" s="346">
        <f t="shared" si="19"/>
        <v>3091.0154227139546</v>
      </c>
      <c r="U44" s="346">
        <f t="shared" si="19"/>
        <v>3371.4167393511252</v>
      </c>
      <c r="V44" s="346">
        <f t="shared" si="19"/>
        <v>70310.976477418299</v>
      </c>
    </row>
    <row r="45" spans="1:22" x14ac:dyDescent="0.2">
      <c r="A45" s="3" t="s">
        <v>165</v>
      </c>
      <c r="B45" s="392">
        <f>SUM(D45:V45)</f>
        <v>-95447.30087501918</v>
      </c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>
        <f t="shared" ref="O45:U45" si="20">-O10*O3/1000</f>
        <v>-16043.626253010949</v>
      </c>
      <c r="P45" s="346">
        <f t="shared" si="20"/>
        <v>-19251.78575715168</v>
      </c>
      <c r="Q45" s="346">
        <f t="shared" si="20"/>
        <v>-13172.416751896097</v>
      </c>
      <c r="R45" s="346">
        <f t="shared" si="20"/>
        <v>-12697.84115020038</v>
      </c>
      <c r="S45" s="346">
        <f t="shared" si="20"/>
        <v>-11711.617500173223</v>
      </c>
      <c r="T45" s="346">
        <f t="shared" si="20"/>
        <v>-10801.138467564548</v>
      </c>
      <c r="U45" s="346">
        <f t="shared" si="20"/>
        <v>-11768.874995022294</v>
      </c>
      <c r="V45" s="346"/>
    </row>
    <row r="46" spans="1:22" x14ac:dyDescent="0.2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">
      <c r="D123" s="336"/>
    </row>
    <row r="124" spans="4:22" x14ac:dyDescent="0.2">
      <c r="D124" s="336"/>
    </row>
    <row r="125" spans="4:22" x14ac:dyDescent="0.2">
      <c r="D125" s="336"/>
    </row>
    <row r="126" spans="4:22" x14ac:dyDescent="0.2">
      <c r="D126" s="336"/>
    </row>
    <row r="127" spans="4:22" x14ac:dyDescent="0.2">
      <c r="D127" s="336"/>
    </row>
    <row r="128" spans="4:22" x14ac:dyDescent="0.2">
      <c r="D128" s="336"/>
    </row>
    <row r="129" spans="4:4" x14ac:dyDescent="0.2">
      <c r="D129" s="336"/>
    </row>
    <row r="130" spans="4:4" x14ac:dyDescent="0.2">
      <c r="D130" s="336"/>
    </row>
    <row r="131" spans="4:4" x14ac:dyDescent="0.2">
      <c r="D131" s="336"/>
    </row>
    <row r="132" spans="4:4" x14ac:dyDescent="0.2">
      <c r="D132" s="336"/>
    </row>
    <row r="133" spans="4:4" x14ac:dyDescent="0.2">
      <c r="D133" s="336"/>
    </row>
    <row r="134" spans="4:4" x14ac:dyDescent="0.2">
      <c r="D134" s="336"/>
    </row>
    <row r="135" spans="4:4" x14ac:dyDescent="0.2">
      <c r="D135" s="336"/>
    </row>
    <row r="136" spans="4:4" x14ac:dyDescent="0.2">
      <c r="D136" s="336"/>
    </row>
    <row r="137" spans="4:4" x14ac:dyDescent="0.2">
      <c r="D137" s="336"/>
    </row>
    <row r="138" spans="4:4" x14ac:dyDescent="0.2">
      <c r="D138" s="336"/>
    </row>
    <row r="139" spans="4:4" x14ac:dyDescent="0.2">
      <c r="D139" s="336"/>
    </row>
    <row r="140" spans="4:4" x14ac:dyDescent="0.2">
      <c r="D140" s="336"/>
    </row>
    <row r="141" spans="4:4" x14ac:dyDescent="0.2">
      <c r="D141" s="336"/>
    </row>
    <row r="142" spans="4:4" x14ac:dyDescent="0.2">
      <c r="D142" s="336"/>
    </row>
    <row r="143" spans="4:4" x14ac:dyDescent="0.2">
      <c r="D143" s="336"/>
    </row>
    <row r="144" spans="4:4" x14ac:dyDescent="0.2">
      <c r="D144" s="336"/>
    </row>
    <row r="145" spans="4:4" x14ac:dyDescent="0.2">
      <c r="D145" s="336"/>
    </row>
    <row r="146" spans="4:4" x14ac:dyDescent="0.2">
      <c r="D146" s="336"/>
    </row>
    <row r="147" spans="4:4" x14ac:dyDescent="0.2">
      <c r="D147" s="336"/>
    </row>
    <row r="148" spans="4:4" x14ac:dyDescent="0.2">
      <c r="D148" s="336"/>
    </row>
    <row r="149" spans="4:4" x14ac:dyDescent="0.2">
      <c r="D149" s="336"/>
    </row>
    <row r="150" spans="4:4" x14ac:dyDescent="0.2">
      <c r="D150" s="336"/>
    </row>
    <row r="151" spans="4:4" x14ac:dyDescent="0.2">
      <c r="D151" s="336"/>
    </row>
    <row r="152" spans="4:4" x14ac:dyDescent="0.2">
      <c r="D152" s="336"/>
    </row>
    <row r="153" spans="4:4" x14ac:dyDescent="0.2">
      <c r="D153" s="336"/>
    </row>
    <row r="154" spans="4:4" x14ac:dyDescent="0.2">
      <c r="D154" s="336"/>
    </row>
    <row r="155" spans="4:4" x14ac:dyDescent="0.2">
      <c r="D155" s="336"/>
    </row>
    <row r="156" spans="4:4" x14ac:dyDescent="0.2">
      <c r="D156" s="336"/>
    </row>
    <row r="157" spans="4:4" x14ac:dyDescent="0.2">
      <c r="D157" s="336"/>
    </row>
    <row r="158" spans="4:4" x14ac:dyDescent="0.2">
      <c r="D158" s="336"/>
    </row>
    <row r="159" spans="4:4" x14ac:dyDescent="0.2">
      <c r="D159" s="336"/>
    </row>
    <row r="160" spans="4:4" x14ac:dyDescent="0.2">
      <c r="D160" s="336"/>
    </row>
    <row r="161" spans="4:4" x14ac:dyDescent="0.2">
      <c r="D161" s="336"/>
    </row>
    <row r="162" spans="4:4" x14ac:dyDescent="0.2">
      <c r="D162" s="336"/>
    </row>
    <row r="163" spans="4:4" x14ac:dyDescent="0.2">
      <c r="D163" s="336"/>
    </row>
    <row r="164" spans="4:4" x14ac:dyDescent="0.2">
      <c r="D164" s="336"/>
    </row>
    <row r="165" spans="4:4" x14ac:dyDescent="0.2">
      <c r="D165" s="336"/>
    </row>
    <row r="166" spans="4:4" x14ac:dyDescent="0.2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485775</xdr:colOff>
                    <xdr:row>2</xdr:row>
                    <xdr:rowOff>0</xdr:rowOff>
                  </from>
                  <to>
                    <xdr:col>1</xdr:col>
                    <xdr:colOff>752475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F3" sqref="F3"/>
    </sheetView>
  </sheetViews>
  <sheetFormatPr defaultRowHeight="12.75" outlineLevelCol="1" x14ac:dyDescent="0.2"/>
  <cols>
    <col min="1" max="1" width="35.5703125" customWidth="1"/>
    <col min="2" max="2" width="11.5703125" customWidth="1"/>
    <col min="3" max="3" width="5.5703125" customWidth="1" collapsed="1"/>
    <col min="4" max="5" width="10.85546875" hidden="1" customWidth="1" outlineLevel="1"/>
    <col min="6" max="22" width="10.85546875" customWidth="1"/>
  </cols>
  <sheetData>
    <row r="1" spans="1:22" x14ac:dyDescent="0.2">
      <c r="D1" s="374" t="s">
        <v>125</v>
      </c>
      <c r="E1" s="374" t="s">
        <v>126</v>
      </c>
    </row>
    <row r="2" spans="1:22" x14ac:dyDescent="0.2">
      <c r="A2" s="403" t="s">
        <v>68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SCE!K26*(14/18)</f>
        <v>114197.89093416469</v>
      </c>
      <c r="G3" s="336">
        <f>SCE!L26</f>
        <v>106040.89872458152</v>
      </c>
      <c r="H3" s="336">
        <f>SCE!M26</f>
        <v>196850.71151575807</v>
      </c>
      <c r="I3" s="336">
        <f>SCE!N26</f>
        <v>20496.733372697301</v>
      </c>
      <c r="J3" s="336">
        <f>SCE!O26</f>
        <v>4462.9223853410313</v>
      </c>
      <c r="K3" s="336">
        <f>SCE!P26</f>
        <v>5680.8772422253232</v>
      </c>
      <c r="L3" s="336">
        <f>SCE!Q26</f>
        <v>3704.2332883122981</v>
      </c>
      <c r="M3" s="336">
        <f>SCE!R26</f>
        <v>55344.342287911568</v>
      </c>
      <c r="N3" s="336">
        <f>SCE!S26</f>
        <v>75133.953794024172</v>
      </c>
      <c r="O3" s="336">
        <f>SCE!T26</f>
        <v>162251.05626144004</v>
      </c>
      <c r="P3" s="336">
        <f>SCE!U26</f>
        <v>193954.42678973026</v>
      </c>
      <c r="Q3" s="336">
        <f>SCE!V26</f>
        <v>177383.9652501017</v>
      </c>
      <c r="R3" s="336">
        <f>SCE!W26</f>
        <v>166436.45089805571</v>
      </c>
      <c r="S3" s="336">
        <f>SCE!X26</f>
        <v>159846.25754179552</v>
      </c>
      <c r="T3" s="336">
        <f>SCE!Y26</f>
        <v>149268.05229711573</v>
      </c>
      <c r="U3" s="336">
        <f>SCE!Z26</f>
        <v>166021.47530834703</v>
      </c>
      <c r="V3" s="336">
        <f>4142064-2622627</f>
        <v>1519437</v>
      </c>
    </row>
    <row r="4" spans="1:22" ht="6.75" customHeight="1" x14ac:dyDescent="0.2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SCE!K53</f>
        <v>66.301126674014824</v>
      </c>
      <c r="G5" s="346">
        <f>SCE!L53</f>
        <v>66.301126674014839</v>
      </c>
      <c r="H5" s="346">
        <f>SCE!M53</f>
        <v>66.697513884066268</v>
      </c>
      <c r="I5" s="346">
        <f>SCE!N53</f>
        <v>67.19844579792705</v>
      </c>
      <c r="J5" s="346">
        <f>SCE!O53</f>
        <v>67.587474370290721</v>
      </c>
      <c r="K5" s="346">
        <f>SCE!P53</f>
        <v>67.986671359281189</v>
      </c>
      <c r="L5" s="346">
        <f>SCE!Q53</f>
        <v>105.44640045629502</v>
      </c>
      <c r="M5" s="346">
        <f>SCE!R53</f>
        <v>104.12152157715313</v>
      </c>
      <c r="N5" s="346">
        <f>SCE!S53</f>
        <v>92.899959630663346</v>
      </c>
      <c r="O5" s="346">
        <f>SCE!T53</f>
        <v>98.455541129300698</v>
      </c>
      <c r="P5" s="346">
        <f>SCE!U53</f>
        <v>67.121542915683193</v>
      </c>
      <c r="Q5" s="346">
        <f>SCE!V53</f>
        <v>66.43288370403944</v>
      </c>
      <c r="R5" s="346">
        <f>SCE!W53</f>
        <v>65.824425378227758</v>
      </c>
      <c r="S5" s="346">
        <f>SCE!X53</f>
        <v>62.818117191170181</v>
      </c>
      <c r="T5" s="346">
        <f>SCE!Y53</f>
        <v>63.169440888869509</v>
      </c>
      <c r="U5" s="346">
        <f>SCE!Z53</f>
        <v>63.227855952325847</v>
      </c>
      <c r="V5" s="346"/>
    </row>
    <row r="6" spans="1:22" x14ac:dyDescent="0.2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SCE!K52</f>
        <v>24.752464885712175</v>
      </c>
      <c r="G6" s="346">
        <f>SCE!L52</f>
        <v>24.752464885712175</v>
      </c>
      <c r="H6" s="346">
        <f>SCE!M52</f>
        <v>24.752464885712172</v>
      </c>
      <c r="I6" s="346">
        <f>SCE!N52</f>
        <v>24.752464885712175</v>
      </c>
      <c r="J6" s="346">
        <f>SCE!O52</f>
        <v>24.752464885712175</v>
      </c>
      <c r="K6" s="346">
        <f>SCE!P52</f>
        <v>24.752464885712172</v>
      </c>
      <c r="L6" s="346">
        <f>SCE!Q52</f>
        <v>24.752464885712175</v>
      </c>
      <c r="M6" s="346">
        <f>SCE!R52</f>
        <v>24.752464885712172</v>
      </c>
      <c r="N6" s="346">
        <f>SCE!S52</f>
        <v>24.517288752808383</v>
      </c>
      <c r="O6" s="346">
        <f>SCE!T52</f>
        <v>24.640344096826535</v>
      </c>
      <c r="P6" s="346">
        <f>SCE!U52</f>
        <v>24.66393586673852</v>
      </c>
      <c r="Q6" s="346">
        <f>SCE!V52</f>
        <v>24.662786150807893</v>
      </c>
      <c r="R6" s="346">
        <f>SCE!W52</f>
        <v>24.662451226994058</v>
      </c>
      <c r="S6" s="346">
        <f>SCE!X52</f>
        <v>21.305492423948692</v>
      </c>
      <c r="T6" s="346">
        <f>SCE!Y52</f>
        <v>21.288035836072243</v>
      </c>
      <c r="U6" s="346">
        <f>SCE!Z52</f>
        <v>21.308170361089175</v>
      </c>
      <c r="V6" s="346"/>
    </row>
    <row r="7" spans="1:22" x14ac:dyDescent="0.2">
      <c r="A7" s="3" t="s">
        <v>127</v>
      </c>
      <c r="D7" s="346">
        <f t="shared" ref="D7:U7" si="0">D5-D6</f>
        <v>86.009476246071841</v>
      </c>
      <c r="E7" s="346">
        <f t="shared" si="0"/>
        <v>53.824225731390662</v>
      </c>
      <c r="F7" s="346">
        <f t="shared" si="0"/>
        <v>41.548661788302653</v>
      </c>
      <c r="G7" s="346">
        <f t="shared" si="0"/>
        <v>41.548661788302667</v>
      </c>
      <c r="H7" s="346">
        <f t="shared" si="0"/>
        <v>41.945048998354096</v>
      </c>
      <c r="I7" s="346">
        <f t="shared" si="0"/>
        <v>42.445980912214878</v>
      </c>
      <c r="J7" s="346">
        <f t="shared" si="0"/>
        <v>42.835009484578549</v>
      </c>
      <c r="K7" s="346">
        <f t="shared" si="0"/>
        <v>43.234206473569017</v>
      </c>
      <c r="L7" s="346">
        <f t="shared" si="0"/>
        <v>80.693935570582852</v>
      </c>
      <c r="M7" s="346">
        <f t="shared" si="0"/>
        <v>79.36905669144096</v>
      </c>
      <c r="N7" s="346">
        <f t="shared" si="0"/>
        <v>68.382670877854963</v>
      </c>
      <c r="O7" s="346">
        <f t="shared" si="0"/>
        <v>73.81519703247416</v>
      </c>
      <c r="P7" s="346">
        <f t="shared" si="0"/>
        <v>42.457607048944674</v>
      </c>
      <c r="Q7" s="346">
        <f t="shared" si="0"/>
        <v>41.770097553231551</v>
      </c>
      <c r="R7" s="346">
        <f t="shared" si="0"/>
        <v>41.1619741512337</v>
      </c>
      <c r="S7" s="346">
        <f t="shared" si="0"/>
        <v>41.512624767221489</v>
      </c>
      <c r="T7" s="346">
        <f t="shared" si="0"/>
        <v>41.881405052797263</v>
      </c>
      <c r="U7" s="346">
        <f t="shared" si="0"/>
        <v>41.919685591236671</v>
      </c>
      <c r="V7" s="346"/>
    </row>
    <row r="8" spans="1:22" ht="6.75" customHeight="1" x14ac:dyDescent="0.2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">
      <c r="A9" s="2" t="s">
        <v>121</v>
      </c>
      <c r="D9" s="346">
        <v>0</v>
      </c>
      <c r="E9" s="346">
        <v>0</v>
      </c>
      <c r="F9" s="346">
        <f>SCE!K36</f>
        <v>10</v>
      </c>
      <c r="G9" s="346">
        <f>SCE!L36</f>
        <v>10</v>
      </c>
      <c r="H9" s="346">
        <f>SCE!M36</f>
        <v>10</v>
      </c>
      <c r="I9" s="346">
        <f>SCE!N36</f>
        <v>10</v>
      </c>
      <c r="J9" s="346">
        <f>SCE!O36</f>
        <v>10</v>
      </c>
      <c r="K9" s="346">
        <f>SCE!P36</f>
        <v>10</v>
      </c>
      <c r="L9" s="346">
        <f>SCE!Q36</f>
        <v>10</v>
      </c>
      <c r="M9" s="346">
        <f>SCE!R36</f>
        <v>10</v>
      </c>
      <c r="N9" s="346">
        <f>SCE!S36</f>
        <v>10</v>
      </c>
      <c r="O9" s="346">
        <f>SCE!T36</f>
        <v>10</v>
      </c>
      <c r="P9" s="346">
        <f>SCE!U36</f>
        <v>10</v>
      </c>
      <c r="Q9" s="346">
        <f>SCE!V36</f>
        <v>10</v>
      </c>
      <c r="R9" s="346">
        <f>SCE!W36</f>
        <v>10</v>
      </c>
      <c r="S9" s="346">
        <f>SCE!X36</f>
        <v>10</v>
      </c>
      <c r="T9" s="346">
        <f>SCE!Y36</f>
        <v>10</v>
      </c>
      <c r="U9" s="346">
        <f>SCE!Z36</f>
        <v>10</v>
      </c>
      <c r="V9" s="346">
        <v>10</v>
      </c>
    </row>
    <row r="10" spans="1:22" x14ac:dyDescent="0.2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SCE!Q54-SCE!Q53-L9</f>
        <v>46.791502439539684</v>
      </c>
      <c r="M10" s="346">
        <f>SCE!R54-SCE!R53-M9</f>
        <v>46.201560254166552</v>
      </c>
      <c r="N10" s="346">
        <f>SCE!S54-SCE!S53-N9</f>
        <v>45.335602626872515</v>
      </c>
      <c r="O10" s="346">
        <f>SCE!T54-SCE!T53-O9</f>
        <v>45.388060188284229</v>
      </c>
      <c r="P10" s="346">
        <f>SCE!U54-SCE!U53-P9</f>
        <v>38.304474591687864</v>
      </c>
      <c r="Q10" s="346">
        <f>SCE!V54-SCE!V53-Q9</f>
        <v>38.339424399408912</v>
      </c>
      <c r="R10" s="346">
        <f>SCE!W54-SCE!W53-R9</f>
        <v>38.393020581001451</v>
      </c>
      <c r="S10" s="346">
        <f>SCE!X54-SCE!X53-S9</f>
        <v>38.342631410433164</v>
      </c>
      <c r="T10" s="346">
        <f>SCE!Y54-SCE!Y53-T9</f>
        <v>38.370150564542008</v>
      </c>
      <c r="U10" s="346">
        <f>SCE!Z54-SCE!Z53-U9</f>
        <v>38.356226812942374</v>
      </c>
      <c r="V10" s="346"/>
    </row>
    <row r="11" spans="1:22" ht="6.75" customHeight="1" x14ac:dyDescent="0.2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SCE!K104</f>
        <v>71.148772094976493</v>
      </c>
      <c r="G12" s="346">
        <f>SCE!L104</f>
        <v>71.148772094976493</v>
      </c>
      <c r="H12" s="346">
        <f>SCE!M104</f>
        <v>62.415285356022451</v>
      </c>
      <c r="I12" s="346">
        <f>SCE!N104</f>
        <v>62.110274853567333</v>
      </c>
      <c r="J12" s="346">
        <f>SCE!O104</f>
        <v>61.945683162509894</v>
      </c>
      <c r="K12" s="346">
        <f>SCE!P104</f>
        <v>64.872556557892608</v>
      </c>
      <c r="L12" s="346">
        <f>SCE!Q104</f>
        <v>58.027922597996849</v>
      </c>
      <c r="M12" s="346">
        <f>SCE!R104</f>
        <v>57.392523071728306</v>
      </c>
      <c r="N12" s="346">
        <f>SCE!S104</f>
        <v>56.854626593166742</v>
      </c>
      <c r="O12" s="346">
        <f>SCE!T104</f>
        <v>59.534834809948592</v>
      </c>
      <c r="P12" s="346">
        <f>SCE!U104</f>
        <v>59.501098418087409</v>
      </c>
      <c r="Q12" s="346">
        <f>SCE!V104</f>
        <v>59.404585347278008</v>
      </c>
      <c r="R12" s="346">
        <f>SCE!W104</f>
        <v>59.388506925638353</v>
      </c>
      <c r="S12" s="346">
        <f>SCE!X104</f>
        <v>59.29297678962503</v>
      </c>
      <c r="T12" s="346">
        <f>SCE!Y104</f>
        <v>59.17739712748164</v>
      </c>
      <c r="U12" s="346">
        <f>SCE!Z104</f>
        <v>59.104983424464947</v>
      </c>
      <c r="V12" s="346"/>
    </row>
    <row r="13" spans="1:22" x14ac:dyDescent="0.2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SCE!K57</f>
        <v>169.55420112668634</v>
      </c>
      <c r="G13" s="346">
        <f>SCE!L117</f>
        <v>213</v>
      </c>
      <c r="H13" s="346">
        <f>SCE!M117</f>
        <v>196</v>
      </c>
      <c r="I13" s="346">
        <f>SCE!N117</f>
        <v>159</v>
      </c>
      <c r="J13" s="346">
        <f>SCE!O117</f>
        <v>102</v>
      </c>
      <c r="K13" s="346">
        <f>SCE!P117</f>
        <v>40</v>
      </c>
      <c r="L13" s="346">
        <f>SCE!Q117</f>
        <v>38</v>
      </c>
      <c r="M13" s="346">
        <f>SCE!R117</f>
        <v>35</v>
      </c>
      <c r="N13" s="346">
        <f>SCE!S117</f>
        <v>35</v>
      </c>
      <c r="O13" s="346">
        <f>SCE!T117</f>
        <v>35</v>
      </c>
      <c r="P13" s="346">
        <f>SCE!U117</f>
        <v>59.501098418087409</v>
      </c>
      <c r="Q13" s="346">
        <f>SCE!V117</f>
        <v>59.404585347278008</v>
      </c>
      <c r="R13" s="346">
        <f>SCE!W117</f>
        <v>59.388506925638353</v>
      </c>
      <c r="S13" s="346">
        <f>SCE!X117</f>
        <v>59.29297678962503</v>
      </c>
      <c r="T13" s="346">
        <f>SCE!Y117</f>
        <v>59.17739712748164</v>
      </c>
      <c r="U13" s="346">
        <f>SCE!Z117</f>
        <v>59.104983424464947</v>
      </c>
      <c r="V13" s="346"/>
    </row>
    <row r="14" spans="1:22" x14ac:dyDescent="0.2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SCE!K57</f>
        <v>169.55420112668634</v>
      </c>
      <c r="G14" s="346">
        <f>SCE!L57</f>
        <v>169.55420112668634</v>
      </c>
      <c r="H14" s="346">
        <f>SCE!M57</f>
        <v>186.51868697369366</v>
      </c>
      <c r="I14" s="346">
        <f>SCE!N57</f>
        <v>187.56283868490405</v>
      </c>
      <c r="J14" s="346">
        <f>SCE!O57</f>
        <v>140.5292083773621</v>
      </c>
      <c r="K14" s="346">
        <f>SCE!P57</f>
        <v>137.59442235464016</v>
      </c>
      <c r="L14" s="346">
        <f>SCE!Q57</f>
        <v>46.214883535750182</v>
      </c>
      <c r="M14" s="346">
        <f>SCE!R57</f>
        <v>34.256874813032134</v>
      </c>
      <c r="N14" s="346">
        <f>SCE!S57</f>
        <v>38.07174913112857</v>
      </c>
      <c r="O14" s="346">
        <f>SCE!T57</f>
        <v>42.739000000000004</v>
      </c>
      <c r="P14" s="346">
        <f>SCE!U57</f>
        <v>37.211350000000003</v>
      </c>
      <c r="Q14" s="346">
        <f>SCE!V57</f>
        <v>37.251100000000001</v>
      </c>
      <c r="R14" s="346">
        <f>SCE!W57</f>
        <v>37.216799999999999</v>
      </c>
      <c r="S14" s="346">
        <f>SCE!X57</f>
        <v>38.478549999999998</v>
      </c>
      <c r="T14" s="346">
        <f>SCE!Y57</f>
        <v>38.512500000000003</v>
      </c>
      <c r="U14" s="346">
        <f>SCE!Z57</f>
        <v>35.934699999999999</v>
      </c>
      <c r="V14" s="346"/>
    </row>
    <row r="15" spans="1:22" ht="6.75" customHeight="1" x14ac:dyDescent="0.2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">
      <c r="A16" s="2" t="s">
        <v>148</v>
      </c>
      <c r="D16" s="346">
        <f t="shared" ref="D16:U16" si="1">D$7-D12</f>
        <v>-50.901248077579737</v>
      </c>
      <c r="E16" s="346">
        <f t="shared" si="1"/>
        <v>-96.018712986088303</v>
      </c>
      <c r="F16" s="346">
        <f t="shared" si="1"/>
        <v>-29.600110306673841</v>
      </c>
      <c r="G16" s="346">
        <f t="shared" si="1"/>
        <v>-29.600110306673827</v>
      </c>
      <c r="H16" s="346">
        <f t="shared" si="1"/>
        <v>-20.470236357668355</v>
      </c>
      <c r="I16" s="346">
        <f t="shared" si="1"/>
        <v>-19.664293941352454</v>
      </c>
      <c r="J16" s="346">
        <f t="shared" si="1"/>
        <v>-19.110673677931345</v>
      </c>
      <c r="K16" s="346">
        <f t="shared" si="1"/>
        <v>-21.638350084323591</v>
      </c>
      <c r="L16" s="346">
        <f t="shared" si="1"/>
        <v>22.666012972586003</v>
      </c>
      <c r="M16" s="346">
        <f t="shared" si="1"/>
        <v>21.976533619712654</v>
      </c>
      <c r="N16" s="346">
        <f t="shared" si="1"/>
        <v>11.528044284688221</v>
      </c>
      <c r="O16" s="346">
        <f t="shared" si="1"/>
        <v>14.280362222525568</v>
      </c>
      <c r="P16" s="346">
        <f t="shared" si="1"/>
        <v>-17.043491369142735</v>
      </c>
      <c r="Q16" s="346">
        <f t="shared" si="1"/>
        <v>-17.634487794046457</v>
      </c>
      <c r="R16" s="346">
        <f t="shared" si="1"/>
        <v>-18.226532774404653</v>
      </c>
      <c r="S16" s="346">
        <f t="shared" si="1"/>
        <v>-17.780352022403541</v>
      </c>
      <c r="T16" s="346">
        <f t="shared" si="1"/>
        <v>-17.295992074684378</v>
      </c>
      <c r="U16" s="346">
        <f t="shared" si="1"/>
        <v>-17.185297833228276</v>
      </c>
      <c r="V16" s="346"/>
    </row>
    <row r="17" spans="1:22" x14ac:dyDescent="0.2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-128.0055393383837</v>
      </c>
      <c r="G17" s="346">
        <f t="shared" si="2"/>
        <v>-171.45133821169733</v>
      </c>
      <c r="H17" s="346">
        <f t="shared" si="2"/>
        <v>-154.05495100164592</v>
      </c>
      <c r="I17" s="346">
        <f t="shared" si="2"/>
        <v>-116.55401908778512</v>
      </c>
      <c r="J17" s="346">
        <f t="shared" si="2"/>
        <v>-59.164990515421451</v>
      </c>
      <c r="K17" s="346">
        <f t="shared" si="2"/>
        <v>3.2342064735690172</v>
      </c>
      <c r="L17" s="346">
        <f t="shared" si="2"/>
        <v>42.693935570582852</v>
      </c>
      <c r="M17" s="346">
        <f t="shared" si="2"/>
        <v>44.36905669144096</v>
      </c>
      <c r="N17" s="346">
        <f t="shared" si="2"/>
        <v>33.382670877854963</v>
      </c>
      <c r="O17" s="346">
        <f t="shared" si="2"/>
        <v>38.81519703247416</v>
      </c>
      <c r="P17" s="346">
        <f t="shared" si="2"/>
        <v>-17.043491369142735</v>
      </c>
      <c r="Q17" s="346">
        <f t="shared" si="2"/>
        <v>-17.634487794046457</v>
      </c>
      <c r="R17" s="346">
        <f t="shared" si="2"/>
        <v>-18.226532774404653</v>
      </c>
      <c r="S17" s="346">
        <f t="shared" si="2"/>
        <v>-17.780352022403541</v>
      </c>
      <c r="T17" s="346">
        <f t="shared" si="2"/>
        <v>-17.295992074684378</v>
      </c>
      <c r="U17" s="346">
        <f t="shared" si="2"/>
        <v>-17.185297833228276</v>
      </c>
      <c r="V17" s="346"/>
    </row>
    <row r="18" spans="1:22" x14ac:dyDescent="0.2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-128.0055393383837</v>
      </c>
      <c r="G18" s="346">
        <f t="shared" si="3"/>
        <v>-128.00553933838367</v>
      </c>
      <c r="H18" s="346">
        <f t="shared" si="3"/>
        <v>-144.57363797533958</v>
      </c>
      <c r="I18" s="346">
        <f t="shared" si="3"/>
        <v>-145.11685777268917</v>
      </c>
      <c r="J18" s="346">
        <f t="shared" si="3"/>
        <v>-97.694198892783547</v>
      </c>
      <c r="K18" s="346">
        <f t="shared" si="3"/>
        <v>-94.360215881071142</v>
      </c>
      <c r="L18" s="346">
        <f t="shared" si="3"/>
        <v>34.479052034832669</v>
      </c>
      <c r="M18" s="346">
        <f t="shared" si="3"/>
        <v>45.112181878408826</v>
      </c>
      <c r="N18" s="346">
        <f t="shared" si="3"/>
        <v>30.310921746726393</v>
      </c>
      <c r="O18" s="346">
        <f t="shared" si="3"/>
        <v>31.076197032474155</v>
      </c>
      <c r="P18" s="346">
        <f t="shared" si="3"/>
        <v>5.2462570489446705</v>
      </c>
      <c r="Q18" s="346">
        <f t="shared" si="3"/>
        <v>4.5189975532315501</v>
      </c>
      <c r="R18" s="346">
        <f t="shared" si="3"/>
        <v>3.9451741512337009</v>
      </c>
      <c r="S18" s="346">
        <f t="shared" si="3"/>
        <v>3.0340747672214903</v>
      </c>
      <c r="T18" s="346">
        <f t="shared" si="3"/>
        <v>3.3689050527972597</v>
      </c>
      <c r="U18" s="346">
        <f t="shared" si="3"/>
        <v>5.9849855912366721</v>
      </c>
      <c r="V18" s="346"/>
    </row>
    <row r="19" spans="1:22" x14ac:dyDescent="0.2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5" thickBot="1" x14ac:dyDescent="0.25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41.548661788302653</v>
      </c>
      <c r="G23" s="346">
        <f t="shared" si="4"/>
        <v>41.548661788302667</v>
      </c>
      <c r="H23" s="346">
        <f t="shared" si="4"/>
        <v>41.945048998354096</v>
      </c>
      <c r="I23" s="346">
        <f t="shared" si="4"/>
        <v>42.445980912214878</v>
      </c>
      <c r="J23" s="346">
        <f t="shared" si="4"/>
        <v>42.835009484578549</v>
      </c>
      <c r="K23" s="346">
        <f t="shared" si="4"/>
        <v>43.234206473569017</v>
      </c>
      <c r="L23" s="346">
        <f t="shared" si="4"/>
        <v>80.693935570582852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">
      <c r="A24" s="390" t="s">
        <v>123</v>
      </c>
      <c r="D24" s="346">
        <f t="shared" ref="D24:V24" si="5">D14</f>
        <v>136.91072432365158</v>
      </c>
      <c r="E24" s="346">
        <f t="shared" si="5"/>
        <v>149.84293871747897</v>
      </c>
      <c r="F24" s="346">
        <f t="shared" si="5"/>
        <v>169.55420112668634</v>
      </c>
      <c r="G24" s="346">
        <f t="shared" si="5"/>
        <v>169.55420112668634</v>
      </c>
      <c r="H24" s="346">
        <f t="shared" si="5"/>
        <v>186.51868697369366</v>
      </c>
      <c r="I24" s="346">
        <f t="shared" si="5"/>
        <v>187.56283868490405</v>
      </c>
      <c r="J24" s="346">
        <f t="shared" si="5"/>
        <v>140.5292083773621</v>
      </c>
      <c r="K24" s="346">
        <f t="shared" si="5"/>
        <v>137.59442235464016</v>
      </c>
      <c r="L24" s="346">
        <f t="shared" si="5"/>
        <v>46.214883535750182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">
      <c r="A25" s="396" t="s">
        <v>124</v>
      </c>
      <c r="B25" s="397"/>
      <c r="C25" s="397"/>
      <c r="D25" s="398">
        <f t="shared" ref="D25:L25" si="6">D23-D24</f>
        <v>-50.901248077579737</v>
      </c>
      <c r="E25" s="398">
        <f t="shared" si="6"/>
        <v>-96.018712986088303</v>
      </c>
      <c r="F25" s="398">
        <f t="shared" si="6"/>
        <v>-128.0055393383837</v>
      </c>
      <c r="G25" s="398">
        <f t="shared" si="6"/>
        <v>-128.00553933838367</v>
      </c>
      <c r="H25" s="398">
        <f t="shared" si="6"/>
        <v>-144.57363797533958</v>
      </c>
      <c r="I25" s="398">
        <f t="shared" si="6"/>
        <v>-145.11685777268917</v>
      </c>
      <c r="J25" s="398">
        <f t="shared" si="6"/>
        <v>-97.694198892783547</v>
      </c>
      <c r="K25" s="398">
        <f t="shared" si="6"/>
        <v>-94.360215881071142</v>
      </c>
      <c r="L25" s="398">
        <f t="shared" si="6"/>
        <v>34.479052034832669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">
      <c r="A26" s="394" t="s">
        <v>130</v>
      </c>
      <c r="B26" s="12"/>
      <c r="C26" s="12"/>
      <c r="D26" s="395">
        <f t="shared" ref="D26:V26" si="7">-D$3*D25/1000</f>
        <v>30931.562863287458</v>
      </c>
      <c r="E26" s="395">
        <f t="shared" si="7"/>
        <v>42606.991276677771</v>
      </c>
      <c r="F26" s="395">
        <f t="shared" si="7"/>
        <v>14617.96262033367</v>
      </c>
      <c r="G26" s="395">
        <f t="shared" si="7"/>
        <v>13573.822433166979</v>
      </c>
      <c r="H26" s="395">
        <f t="shared" si="7"/>
        <v>28459.423501867215</v>
      </c>
      <c r="I26" s="395">
        <f t="shared" si="7"/>
        <v>2974.4215416504458</v>
      </c>
      <c r="J26" s="395">
        <f t="shared" si="7"/>
        <v>436.00162715656268</v>
      </c>
      <c r="K26" s="395">
        <f t="shared" si="7"/>
        <v>536.04880297024556</v>
      </c>
      <c r="L26" s="395">
        <f t="shared" si="7"/>
        <v>-127.71845229687905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>
        <f t="shared" si="7"/>
        <v>0</v>
      </c>
    </row>
    <row r="27" spans="1:22" x14ac:dyDescent="0.2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-1141.9789093416468</v>
      </c>
      <c r="G30" s="395">
        <f t="shared" si="11"/>
        <v>-1060.4089872458153</v>
      </c>
      <c r="H30" s="395">
        <f t="shared" si="11"/>
        <v>-1968.5071151575808</v>
      </c>
      <c r="I30" s="395">
        <f t="shared" si="11"/>
        <v>-204.96733372697301</v>
      </c>
      <c r="J30" s="395">
        <f t="shared" si="11"/>
        <v>-44.629223853410309</v>
      </c>
      <c r="K30" s="395">
        <f t="shared" si="11"/>
        <v>-56.808772422253234</v>
      </c>
      <c r="L30" s="395">
        <f t="shared" si="10"/>
        <v>-37.042332883122981</v>
      </c>
      <c r="M30" s="395">
        <f t="shared" si="10"/>
        <v>-553.4434228791157</v>
      </c>
      <c r="N30" s="395">
        <f t="shared" si="10"/>
        <v>-751.33953794024171</v>
      </c>
      <c r="O30" s="395">
        <f t="shared" si="10"/>
        <v>-1622.5105626144004</v>
      </c>
      <c r="P30" s="395">
        <f t="shared" si="10"/>
        <v>-1939.5442678973027</v>
      </c>
      <c r="Q30" s="395">
        <f t="shared" si="10"/>
        <v>-1773.8396525010169</v>
      </c>
      <c r="R30" s="395">
        <f t="shared" si="10"/>
        <v>-1664.364508980557</v>
      </c>
      <c r="S30" s="395">
        <f t="shared" si="10"/>
        <v>-1598.4625754179551</v>
      </c>
      <c r="T30" s="395">
        <f t="shared" si="10"/>
        <v>-1492.6805229711574</v>
      </c>
      <c r="U30" s="395">
        <f t="shared" si="10"/>
        <v>-1660.2147530834702</v>
      </c>
      <c r="V30" s="395">
        <f t="shared" si="10"/>
        <v>-15194.37</v>
      </c>
    </row>
    <row r="31" spans="1:22" x14ac:dyDescent="0.2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5" thickBot="1" x14ac:dyDescent="0.25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">
      <c r="A34" s="335" t="s">
        <v>137</v>
      </c>
      <c r="B34" s="402">
        <f>SUM(D34:V34)</f>
        <v>-60469.962074848234</v>
      </c>
      <c r="D34" s="346">
        <v>0</v>
      </c>
      <c r="E34" s="346">
        <v>0</v>
      </c>
      <c r="F34" s="346">
        <f t="shared" ref="F34:V34" si="12">-F26</f>
        <v>-14617.96262033367</v>
      </c>
      <c r="G34" s="346">
        <f t="shared" si="12"/>
        <v>-13573.822433166979</v>
      </c>
      <c r="H34" s="346">
        <f t="shared" si="12"/>
        <v>-28459.423501867215</v>
      </c>
      <c r="I34" s="346">
        <f t="shared" si="12"/>
        <v>-2974.4215416504458</v>
      </c>
      <c r="J34" s="346">
        <f t="shared" si="12"/>
        <v>-436.00162715656268</v>
      </c>
      <c r="K34" s="346">
        <f t="shared" si="12"/>
        <v>-536.04880297024556</v>
      </c>
      <c r="L34" s="346">
        <f t="shared" si="12"/>
        <v>127.71845229687905</v>
      </c>
      <c r="M34" s="346">
        <f t="shared" si="12"/>
        <v>0</v>
      </c>
      <c r="N34" s="346">
        <f t="shared" si="12"/>
        <v>0</v>
      </c>
      <c r="O34" s="346">
        <f t="shared" si="12"/>
        <v>0</v>
      </c>
      <c r="P34" s="346">
        <f t="shared" si="12"/>
        <v>0</v>
      </c>
      <c r="Q34" s="346">
        <f t="shared" si="12"/>
        <v>0</v>
      </c>
      <c r="R34" s="346">
        <f t="shared" si="12"/>
        <v>0</v>
      </c>
      <c r="S34" s="346">
        <f t="shared" si="12"/>
        <v>0</v>
      </c>
      <c r="T34" s="346">
        <f t="shared" si="12"/>
        <v>0</v>
      </c>
      <c r="U34" s="346">
        <f t="shared" si="12"/>
        <v>0</v>
      </c>
      <c r="V34" s="346">
        <f t="shared" si="12"/>
        <v>0</v>
      </c>
    </row>
    <row r="35" spans="1:22" x14ac:dyDescent="0.2">
      <c r="A35" s="3" t="s">
        <v>135</v>
      </c>
      <c r="B35" s="392">
        <f>SUM(D35:V35)</f>
        <v>-45851.999454514567</v>
      </c>
      <c r="C35" s="346"/>
      <c r="D35" s="346">
        <v>0</v>
      </c>
      <c r="E35" s="346">
        <v>0</v>
      </c>
      <c r="F35" s="346">
        <v>0</v>
      </c>
      <c r="G35" s="346">
        <f t="shared" ref="G35:V35" si="13">-G26</f>
        <v>-13573.822433166979</v>
      </c>
      <c r="H35" s="346">
        <f t="shared" si="13"/>
        <v>-28459.423501867215</v>
      </c>
      <c r="I35" s="346">
        <f t="shared" si="13"/>
        <v>-2974.4215416504458</v>
      </c>
      <c r="J35" s="346">
        <f t="shared" si="13"/>
        <v>-436.00162715656268</v>
      </c>
      <c r="K35" s="346">
        <f t="shared" si="13"/>
        <v>-536.04880297024556</v>
      </c>
      <c r="L35" s="346">
        <f t="shared" si="13"/>
        <v>127.71845229687905</v>
      </c>
      <c r="M35" s="346">
        <f t="shared" si="13"/>
        <v>0</v>
      </c>
      <c r="N35" s="346">
        <f t="shared" si="13"/>
        <v>0</v>
      </c>
      <c r="O35" s="346">
        <f t="shared" si="13"/>
        <v>0</v>
      </c>
      <c r="P35" s="346">
        <f t="shared" si="13"/>
        <v>0</v>
      </c>
      <c r="Q35" s="346">
        <f t="shared" si="13"/>
        <v>0</v>
      </c>
      <c r="R35" s="346">
        <f t="shared" si="13"/>
        <v>0</v>
      </c>
      <c r="S35" s="346">
        <f t="shared" si="13"/>
        <v>0</v>
      </c>
      <c r="T35" s="346">
        <f t="shared" si="13"/>
        <v>0</v>
      </c>
      <c r="U35" s="346">
        <f t="shared" si="13"/>
        <v>0</v>
      </c>
      <c r="V35" s="346">
        <f t="shared" si="13"/>
        <v>0</v>
      </c>
    </row>
    <row r="36" spans="1:22" x14ac:dyDescent="0.2">
      <c r="A36" s="3" t="s">
        <v>134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">
      <c r="A37" s="390" t="s">
        <v>140</v>
      </c>
      <c r="B37" s="392">
        <f>SUM(D37:V37)</f>
        <v>-21775.649667312795</v>
      </c>
      <c r="C37" s="346"/>
      <c r="D37" s="346">
        <v>0</v>
      </c>
      <c r="E37" s="346">
        <v>0</v>
      </c>
      <c r="F37" s="346">
        <f t="shared" ref="F37:U37" si="14">(F18-F16)*F3/1000</f>
        <v>-11237.692451892886</v>
      </c>
      <c r="G37" s="346">
        <f t="shared" si="14"/>
        <v>-10435.000133900538</v>
      </c>
      <c r="H37" s="346">
        <f t="shared" si="14"/>
        <v>-24429.84290996446</v>
      </c>
      <c r="I37" s="346">
        <f t="shared" si="14"/>
        <v>-2571.3677517721981</v>
      </c>
      <c r="J37" s="346">
        <f t="shared" si="14"/>
        <v>-350.71217380037524</v>
      </c>
      <c r="K37" s="346">
        <f t="shared" si="14"/>
        <v>-413.1239924169073</v>
      </c>
      <c r="L37" s="346">
        <f t="shared" si="14"/>
        <v>43.758252530507598</v>
      </c>
      <c r="M37" s="346">
        <f t="shared" si="14"/>
        <v>1280.4272362820061</v>
      </c>
      <c r="N37" s="346">
        <f t="shared" si="14"/>
        <v>1411.2318473515941</v>
      </c>
      <c r="O37" s="346">
        <f t="shared" si="14"/>
        <v>2725.1419387068213</v>
      </c>
      <c r="P37" s="346">
        <f t="shared" si="14"/>
        <v>4323.1953777174404</v>
      </c>
      <c r="Q37" s="346">
        <f t="shared" si="14"/>
        <v>3929.6730750101992</v>
      </c>
      <c r="R37" s="346">
        <f t="shared" si="14"/>
        <v>3690.1802110550898</v>
      </c>
      <c r="S37" s="346">
        <f t="shared" si="14"/>
        <v>3327.1082251992511</v>
      </c>
      <c r="T37" s="346">
        <f t="shared" si="14"/>
        <v>3084.608945139446</v>
      </c>
      <c r="U37" s="346">
        <f t="shared" si="14"/>
        <v>3846.7646374422097</v>
      </c>
      <c r="V37" s="346"/>
    </row>
    <row r="38" spans="1:22" x14ac:dyDescent="0.2">
      <c r="A38" s="390" t="s">
        <v>141</v>
      </c>
      <c r="B38" s="392">
        <f>SUM(D38:V38)</f>
        <v>25887.389904823267</v>
      </c>
      <c r="C38" s="346"/>
      <c r="D38" s="346">
        <v>0</v>
      </c>
      <c r="E38" s="346">
        <v>0</v>
      </c>
      <c r="F38" s="346">
        <f t="shared" ref="F38:U38" si="15">(F18-F17)*F3/1000</f>
        <v>0</v>
      </c>
      <c r="G38" s="346">
        <f t="shared" si="15"/>
        <v>4607.0315583335923</v>
      </c>
      <c r="H38" s="346">
        <f t="shared" si="15"/>
        <v>1866.4032153320281</v>
      </c>
      <c r="I38" s="346">
        <f t="shared" si="15"/>
        <v>-585.44488889184231</v>
      </c>
      <c r="J38" s="346">
        <f t="shared" si="15"/>
        <v>-171.95286655679848</v>
      </c>
      <c r="K38" s="346">
        <f t="shared" si="15"/>
        <v>-554.42193292260163</v>
      </c>
      <c r="L38" s="346">
        <f t="shared" si="15"/>
        <v>-30.429845052734457</v>
      </c>
      <c r="M38" s="346">
        <f t="shared" si="15"/>
        <v>41.127774710317865</v>
      </c>
      <c r="N38" s="346">
        <f t="shared" si="15"/>
        <v>-230.79265728504788</v>
      </c>
      <c r="O38" s="346">
        <f t="shared" si="15"/>
        <v>-1255.6609244072852</v>
      </c>
      <c r="P38" s="346">
        <f t="shared" si="15"/>
        <v>4323.1953777174404</v>
      </c>
      <c r="Q38" s="346">
        <f t="shared" si="15"/>
        <v>3929.6730750101992</v>
      </c>
      <c r="R38" s="346">
        <f t="shared" si="15"/>
        <v>3690.1802110550898</v>
      </c>
      <c r="S38" s="346">
        <f t="shared" si="15"/>
        <v>3327.1082251992511</v>
      </c>
      <c r="T38" s="346">
        <f t="shared" si="15"/>
        <v>3084.608945139446</v>
      </c>
      <c r="U38" s="346">
        <f t="shared" si="15"/>
        <v>3846.7646374422097</v>
      </c>
      <c r="V38" s="346"/>
    </row>
    <row r="39" spans="1:22" x14ac:dyDescent="0.2">
      <c r="A39" s="3" t="s">
        <v>142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">
      <c r="A40" s="390" t="s">
        <v>140</v>
      </c>
      <c r="B40" s="392">
        <f>SUM(D40:V40)</f>
        <v>-10537.95721541992</v>
      </c>
      <c r="C40" s="346"/>
      <c r="D40" s="346"/>
      <c r="E40" s="346"/>
      <c r="F40" s="346"/>
      <c r="G40" s="346">
        <f t="shared" ref="G40:U40" si="16">G37</f>
        <v>-10435.000133900538</v>
      </c>
      <c r="H40" s="346">
        <f t="shared" si="16"/>
        <v>-24429.84290996446</v>
      </c>
      <c r="I40" s="346">
        <f t="shared" si="16"/>
        <v>-2571.3677517721981</v>
      </c>
      <c r="J40" s="346">
        <f t="shared" si="16"/>
        <v>-350.71217380037524</v>
      </c>
      <c r="K40" s="346">
        <f t="shared" si="16"/>
        <v>-413.1239924169073</v>
      </c>
      <c r="L40" s="346">
        <f t="shared" si="16"/>
        <v>43.758252530507598</v>
      </c>
      <c r="M40" s="346">
        <f t="shared" si="16"/>
        <v>1280.4272362820061</v>
      </c>
      <c r="N40" s="346">
        <f t="shared" si="16"/>
        <v>1411.2318473515941</v>
      </c>
      <c r="O40" s="346">
        <f t="shared" si="16"/>
        <v>2725.1419387068213</v>
      </c>
      <c r="P40" s="346">
        <f t="shared" si="16"/>
        <v>4323.1953777174404</v>
      </c>
      <c r="Q40" s="346">
        <f t="shared" si="16"/>
        <v>3929.6730750101992</v>
      </c>
      <c r="R40" s="346">
        <f t="shared" si="16"/>
        <v>3690.1802110550898</v>
      </c>
      <c r="S40" s="346">
        <f t="shared" si="16"/>
        <v>3327.1082251992511</v>
      </c>
      <c r="T40" s="346">
        <f t="shared" si="16"/>
        <v>3084.608945139446</v>
      </c>
      <c r="U40" s="346">
        <f t="shared" si="16"/>
        <v>3846.7646374422097</v>
      </c>
      <c r="V40" s="346"/>
    </row>
    <row r="41" spans="1:22" x14ac:dyDescent="0.2">
      <c r="A41" s="390" t="s">
        <v>141</v>
      </c>
      <c r="B41" s="392">
        <f>SUM(D41:V41)</f>
        <v>25887.389904823267</v>
      </c>
      <c r="C41" s="346"/>
      <c r="D41" s="346"/>
      <c r="E41" s="346"/>
      <c r="F41" s="346"/>
      <c r="G41" s="346">
        <f t="shared" ref="G41:U41" si="17">G38</f>
        <v>4607.0315583335923</v>
      </c>
      <c r="H41" s="346">
        <f t="shared" si="17"/>
        <v>1866.4032153320281</v>
      </c>
      <c r="I41" s="346">
        <f t="shared" si="17"/>
        <v>-585.44488889184231</v>
      </c>
      <c r="J41" s="346">
        <f t="shared" si="17"/>
        <v>-171.95286655679848</v>
      </c>
      <c r="K41" s="346">
        <f t="shared" si="17"/>
        <v>-554.42193292260163</v>
      </c>
      <c r="L41" s="346">
        <f t="shared" si="17"/>
        <v>-30.429845052734457</v>
      </c>
      <c r="M41" s="346">
        <f t="shared" si="17"/>
        <v>41.127774710317865</v>
      </c>
      <c r="N41" s="346">
        <f t="shared" si="17"/>
        <v>-230.79265728504788</v>
      </c>
      <c r="O41" s="346">
        <f t="shared" si="17"/>
        <v>-1255.6609244072852</v>
      </c>
      <c r="P41" s="346">
        <f t="shared" si="17"/>
        <v>4323.1953777174404</v>
      </c>
      <c r="Q41" s="346">
        <f t="shared" si="17"/>
        <v>3929.6730750101992</v>
      </c>
      <c r="R41" s="346">
        <f t="shared" si="17"/>
        <v>3690.1802110550898</v>
      </c>
      <c r="S41" s="346">
        <f t="shared" si="17"/>
        <v>3327.1082251992511</v>
      </c>
      <c r="T41" s="346">
        <f t="shared" si="17"/>
        <v>3084.608945139446</v>
      </c>
      <c r="U41" s="346">
        <f t="shared" si="17"/>
        <v>3846.7646374422097</v>
      </c>
      <c r="V41" s="346"/>
    </row>
    <row r="42" spans="1:22" x14ac:dyDescent="0.2">
      <c r="A42" s="3"/>
      <c r="B42" s="346"/>
      <c r="C42" s="346"/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">
      <c r="A43" s="3" t="s">
        <v>133</v>
      </c>
      <c r="B43" s="392">
        <f>SUM(D43:V43)</f>
        <v>32765.112478916024</v>
      </c>
      <c r="C43" s="346"/>
      <c r="D43" s="346">
        <f t="shared" ref="D43:V43" si="18">-D30</f>
        <v>0</v>
      </c>
      <c r="E43" s="346">
        <f t="shared" si="18"/>
        <v>0</v>
      </c>
      <c r="F43" s="346">
        <f t="shared" si="18"/>
        <v>1141.9789093416468</v>
      </c>
      <c r="G43" s="346">
        <f t="shared" si="18"/>
        <v>1060.4089872458153</v>
      </c>
      <c r="H43" s="346">
        <f t="shared" si="18"/>
        <v>1968.5071151575808</v>
      </c>
      <c r="I43" s="346">
        <f t="shared" si="18"/>
        <v>204.96733372697301</v>
      </c>
      <c r="J43" s="346">
        <f t="shared" si="18"/>
        <v>44.629223853410309</v>
      </c>
      <c r="K43" s="346">
        <f t="shared" si="18"/>
        <v>56.808772422253234</v>
      </c>
      <c r="L43" s="346">
        <f t="shared" si="18"/>
        <v>37.042332883122981</v>
      </c>
      <c r="M43" s="346">
        <f t="shared" si="18"/>
        <v>553.4434228791157</v>
      </c>
      <c r="N43" s="346">
        <f t="shared" si="18"/>
        <v>751.33953794024171</v>
      </c>
      <c r="O43" s="346">
        <f t="shared" si="18"/>
        <v>1622.5105626144004</v>
      </c>
      <c r="P43" s="346">
        <f t="shared" si="18"/>
        <v>1939.5442678973027</v>
      </c>
      <c r="Q43" s="346">
        <f t="shared" si="18"/>
        <v>1773.8396525010169</v>
      </c>
      <c r="R43" s="346">
        <f t="shared" si="18"/>
        <v>1664.364508980557</v>
      </c>
      <c r="S43" s="346">
        <f t="shared" si="18"/>
        <v>1598.4625754179551</v>
      </c>
      <c r="T43" s="346">
        <f t="shared" si="18"/>
        <v>1492.6805229711574</v>
      </c>
      <c r="U43" s="346">
        <f t="shared" si="18"/>
        <v>1660.2147530834702</v>
      </c>
      <c r="V43" s="346">
        <f t="shared" si="18"/>
        <v>15194.37</v>
      </c>
    </row>
    <row r="44" spans="1:22" x14ac:dyDescent="0.2">
      <c r="A44" s="3" t="s">
        <v>146</v>
      </c>
      <c r="B44" s="392">
        <f>SUM(D44:V44)</f>
        <v>26945.98684346586</v>
      </c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1622.5105626144004</v>
      </c>
      <c r="P44" s="346">
        <f t="shared" ref="P44:V44" si="19">-P30</f>
        <v>1939.5442678973027</v>
      </c>
      <c r="Q44" s="346">
        <f t="shared" si="19"/>
        <v>1773.8396525010169</v>
      </c>
      <c r="R44" s="346">
        <f t="shared" si="19"/>
        <v>1664.364508980557</v>
      </c>
      <c r="S44" s="346">
        <f t="shared" si="19"/>
        <v>1598.4625754179551</v>
      </c>
      <c r="T44" s="346">
        <f t="shared" si="19"/>
        <v>1492.6805229711574</v>
      </c>
      <c r="U44" s="346">
        <f t="shared" si="19"/>
        <v>1660.2147530834702</v>
      </c>
      <c r="V44" s="346">
        <f t="shared" si="19"/>
        <v>15194.37</v>
      </c>
    </row>
    <row r="45" spans="1:22" x14ac:dyDescent="0.2">
      <c r="A45" s="3" t="s">
        <v>165</v>
      </c>
      <c r="B45" s="392">
        <f>SUM(D45:V45)</f>
        <v>-46208.701469375854</v>
      </c>
      <c r="C45" s="346"/>
      <c r="D45" s="346"/>
      <c r="E45" s="346"/>
      <c r="F45" s="346">
        <f t="shared" ref="F45:U45" si="20">-F10*F3/1000</f>
        <v>0</v>
      </c>
      <c r="G45" s="346"/>
      <c r="H45" s="346"/>
      <c r="I45" s="346"/>
      <c r="J45" s="346"/>
      <c r="K45" s="346"/>
      <c r="L45" s="346"/>
      <c r="M45" s="346"/>
      <c r="N45" s="346"/>
      <c r="O45" s="346">
        <f t="shared" si="20"/>
        <v>-7364.2607072069313</v>
      </c>
      <c r="P45" s="346">
        <f t="shared" si="20"/>
        <v>-7429.3224129126074</v>
      </c>
      <c r="Q45" s="346">
        <f t="shared" si="20"/>
        <v>-6800.7991253736509</v>
      </c>
      <c r="R45" s="346">
        <f t="shared" si="20"/>
        <v>-6389.9980847578909</v>
      </c>
      <c r="S45" s="346">
        <f t="shared" si="20"/>
        <v>-6128.9261352622379</v>
      </c>
      <c r="T45" s="346">
        <f t="shared" si="20"/>
        <v>-5727.4376411162611</v>
      </c>
      <c r="U45" s="346">
        <f t="shared" si="20"/>
        <v>-6367.9573627462705</v>
      </c>
      <c r="V45" s="346"/>
    </row>
    <row r="46" spans="1:22" x14ac:dyDescent="0.2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">
      <c r="D123" s="336"/>
    </row>
    <row r="124" spans="4:22" x14ac:dyDescent="0.2">
      <c r="D124" s="336"/>
    </row>
    <row r="125" spans="4:22" x14ac:dyDescent="0.2">
      <c r="D125" s="336"/>
    </row>
    <row r="126" spans="4:22" x14ac:dyDescent="0.2">
      <c r="D126" s="336"/>
    </row>
    <row r="127" spans="4:22" x14ac:dyDescent="0.2">
      <c r="D127" s="336"/>
    </row>
    <row r="128" spans="4:22" x14ac:dyDescent="0.2">
      <c r="D128" s="336"/>
    </row>
    <row r="129" spans="4:4" x14ac:dyDescent="0.2">
      <c r="D129" s="336"/>
    </row>
    <row r="130" spans="4:4" x14ac:dyDescent="0.2">
      <c r="D130" s="336"/>
    </row>
    <row r="131" spans="4:4" x14ac:dyDescent="0.2">
      <c r="D131" s="336"/>
    </row>
    <row r="132" spans="4:4" x14ac:dyDescent="0.2">
      <c r="D132" s="336"/>
    </row>
    <row r="133" spans="4:4" x14ac:dyDescent="0.2">
      <c r="D133" s="336"/>
    </row>
    <row r="134" spans="4:4" x14ac:dyDescent="0.2">
      <c r="D134" s="336"/>
    </row>
    <row r="135" spans="4:4" x14ac:dyDescent="0.2">
      <c r="D135" s="336"/>
    </row>
    <row r="136" spans="4:4" x14ac:dyDescent="0.2">
      <c r="D136" s="336"/>
    </row>
    <row r="137" spans="4:4" x14ac:dyDescent="0.2">
      <c r="D137" s="336"/>
    </row>
    <row r="138" spans="4:4" x14ac:dyDescent="0.2">
      <c r="D138" s="336"/>
    </row>
    <row r="139" spans="4:4" x14ac:dyDescent="0.2">
      <c r="D139" s="336"/>
    </row>
    <row r="140" spans="4:4" x14ac:dyDescent="0.2">
      <c r="D140" s="336"/>
    </row>
    <row r="141" spans="4:4" x14ac:dyDescent="0.2">
      <c r="D141" s="336"/>
    </row>
    <row r="142" spans="4:4" x14ac:dyDescent="0.2">
      <c r="D142" s="336"/>
    </row>
    <row r="143" spans="4:4" x14ac:dyDescent="0.2">
      <c r="D143" s="336"/>
    </row>
    <row r="144" spans="4:4" x14ac:dyDescent="0.2">
      <c r="D144" s="336"/>
    </row>
    <row r="145" spans="4:4" x14ac:dyDescent="0.2">
      <c r="D145" s="336"/>
    </row>
    <row r="146" spans="4:4" x14ac:dyDescent="0.2">
      <c r="D146" s="336"/>
    </row>
    <row r="147" spans="4:4" x14ac:dyDescent="0.2">
      <c r="D147" s="336"/>
    </row>
    <row r="148" spans="4:4" x14ac:dyDescent="0.2">
      <c r="D148" s="336"/>
    </row>
    <row r="149" spans="4:4" x14ac:dyDescent="0.2">
      <c r="D149" s="336"/>
    </row>
    <row r="150" spans="4:4" x14ac:dyDescent="0.2">
      <c r="D150" s="336"/>
    </row>
    <row r="151" spans="4:4" x14ac:dyDescent="0.2">
      <c r="D151" s="336"/>
    </row>
    <row r="152" spans="4:4" x14ac:dyDescent="0.2">
      <c r="D152" s="336"/>
    </row>
    <row r="153" spans="4:4" x14ac:dyDescent="0.2">
      <c r="D153" s="336"/>
    </row>
    <row r="154" spans="4:4" x14ac:dyDescent="0.2">
      <c r="D154" s="336"/>
    </row>
    <row r="155" spans="4:4" x14ac:dyDescent="0.2">
      <c r="D155" s="336"/>
    </row>
    <row r="156" spans="4:4" x14ac:dyDescent="0.2">
      <c r="D156" s="336"/>
    </row>
    <row r="157" spans="4:4" x14ac:dyDescent="0.2">
      <c r="D157" s="336"/>
    </row>
    <row r="158" spans="4:4" x14ac:dyDescent="0.2">
      <c r="D158" s="336"/>
    </row>
    <row r="159" spans="4:4" x14ac:dyDescent="0.2">
      <c r="D159" s="336"/>
    </row>
    <row r="160" spans="4:4" x14ac:dyDescent="0.2">
      <c r="D160" s="336"/>
    </row>
    <row r="161" spans="4:4" x14ac:dyDescent="0.2">
      <c r="D161" s="336"/>
    </row>
    <row r="162" spans="4:4" x14ac:dyDescent="0.2">
      <c r="D162" s="336"/>
    </row>
    <row r="163" spans="4:4" x14ac:dyDescent="0.2">
      <c r="D163" s="336"/>
    </row>
    <row r="164" spans="4:4" x14ac:dyDescent="0.2">
      <c r="D164" s="336"/>
    </row>
    <row r="165" spans="4:4" x14ac:dyDescent="0.2">
      <c r="D165" s="336"/>
    </row>
    <row r="166" spans="4:4" x14ac:dyDescent="0.2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485775</xdr:colOff>
                    <xdr:row>2</xdr:row>
                    <xdr:rowOff>9525</xdr:rowOff>
                  </from>
                  <to>
                    <xdr:col>1</xdr:col>
                    <xdr:colOff>752475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66"/>
  <sheetViews>
    <sheetView zoomScale="75" workbookViewId="0">
      <pane xSplit="2" ySplit="2" topLeftCell="C3" activePane="bottomRight" state="frozen"/>
      <selection activeCell="F10" sqref="F10"/>
      <selection pane="topRight" activeCell="F10" sqref="F10"/>
      <selection pane="bottomLeft" activeCell="F10" sqref="F10"/>
      <selection pane="bottomRight" activeCell="F3" sqref="F3"/>
    </sheetView>
  </sheetViews>
  <sheetFormatPr defaultRowHeight="12.75" outlineLevelCol="1" x14ac:dyDescent="0.2"/>
  <cols>
    <col min="1" max="1" width="35.5703125" customWidth="1"/>
    <col min="2" max="2" width="11.5703125" customWidth="1"/>
    <col min="3" max="3" width="5.5703125" customWidth="1" collapsed="1"/>
    <col min="4" max="5" width="10.85546875" hidden="1" customWidth="1" outlineLevel="1"/>
    <col min="6" max="22" width="10.85546875" customWidth="1"/>
  </cols>
  <sheetData>
    <row r="1" spans="1:22" x14ac:dyDescent="0.2">
      <c r="D1" s="374" t="s">
        <v>125</v>
      </c>
      <c r="E1" s="374" t="s">
        <v>126</v>
      </c>
    </row>
    <row r="2" spans="1:22" x14ac:dyDescent="0.2">
      <c r="A2" s="403" t="s">
        <v>145</v>
      </c>
      <c r="B2" s="397"/>
      <c r="C2" s="397"/>
      <c r="D2" s="397"/>
      <c r="E2" s="397"/>
      <c r="F2" s="404" t="s">
        <v>178</v>
      </c>
      <c r="G2" s="404" t="s">
        <v>118</v>
      </c>
      <c r="H2" s="405">
        <v>36923</v>
      </c>
      <c r="I2" s="405">
        <v>36951</v>
      </c>
      <c r="J2" s="405">
        <v>36982</v>
      </c>
      <c r="K2" s="405">
        <v>37012</v>
      </c>
      <c r="L2" s="405">
        <v>37043</v>
      </c>
      <c r="M2" s="405">
        <v>37073</v>
      </c>
      <c r="N2" s="405">
        <v>37104</v>
      </c>
      <c r="O2" s="405">
        <v>37135</v>
      </c>
      <c r="P2" s="405">
        <v>37165</v>
      </c>
      <c r="Q2" s="405">
        <v>37196</v>
      </c>
      <c r="R2" s="405">
        <v>37226</v>
      </c>
      <c r="S2" s="405">
        <v>37257</v>
      </c>
      <c r="T2" s="405">
        <v>37288</v>
      </c>
      <c r="U2" s="405">
        <v>37316</v>
      </c>
      <c r="V2" s="404" t="s">
        <v>132</v>
      </c>
    </row>
    <row r="3" spans="1:22" x14ac:dyDescent="0.2">
      <c r="A3" s="2" t="s">
        <v>119</v>
      </c>
      <c r="D3" s="336">
        <f>SUM('PG&amp;E'!D26:G26)</f>
        <v>607677.88672183373</v>
      </c>
      <c r="E3" s="336">
        <f>SUM('PG&amp;E'!H26:J26)</f>
        <v>443736.32963452546</v>
      </c>
      <c r="F3" s="336">
        <f>'PG&amp;E_Summary'!F3+SCE_Summary!F3</f>
        <v>312780.57850090298</v>
      </c>
      <c r="G3" s="336">
        <f>'PG&amp;E_Summary'!G3+SCE_Summary!G3</f>
        <v>290439.10860798135</v>
      </c>
      <c r="H3" s="336">
        <f>'PG&amp;E_Summary'!H3+SCE_Summary!H3</f>
        <v>234596.80307275808</v>
      </c>
      <c r="I3" s="336">
        <f>'PG&amp;E_Summary'!I3+SCE_Summary!I3</f>
        <v>62062.988850697286</v>
      </c>
      <c r="J3" s="336">
        <f>'PG&amp;E_Summary'!J3+SCE_Summary!J3</f>
        <v>44491.580268774327</v>
      </c>
      <c r="K3" s="336">
        <f>'PG&amp;E_Summary'!K3+SCE_Summary!K3</f>
        <v>48104.791518527236</v>
      </c>
      <c r="L3" s="336">
        <f>'PG&amp;E_Summary'!L3+SCE_Summary!L3</f>
        <v>38573.406948568998</v>
      </c>
      <c r="M3" s="336">
        <f>'PG&amp;E_Summary'!M3+SCE_Summary!M3</f>
        <v>118167.27133487712</v>
      </c>
      <c r="N3" s="336">
        <f>'PG&amp;E_Summary'!N3+SCE_Summary!N3</f>
        <v>314447.82987195981</v>
      </c>
      <c r="O3" s="336">
        <f>'PG&amp;E_Summary'!O3+SCE_Summary!O3</f>
        <v>519146.12034478807</v>
      </c>
      <c r="P3" s="336">
        <f>'PG&amp;E_Summary'!P3+SCE_Summary!P3</f>
        <v>606963.28885725746</v>
      </c>
      <c r="Q3" s="336">
        <f>'PG&amp;E_Summary'!Q3+SCE_Summary!Q3</f>
        <v>553804.59250244079</v>
      </c>
      <c r="R3" s="336">
        <f>'PG&amp;E_Summary'!R3+SCE_Summary!R3</f>
        <v>531114.93702682818</v>
      </c>
      <c r="S3" s="336">
        <f>'PG&amp;E_Summary'!S3+SCE_Summary!S3</f>
        <v>494985.61058199906</v>
      </c>
      <c r="T3" s="336">
        <f>'PG&amp;E_Summary'!T3+SCE_Summary!T3</f>
        <v>458369.59456851118</v>
      </c>
      <c r="U3" s="336">
        <f>'PG&amp;E_Summary'!U3+SCE_Summary!U3</f>
        <v>503163.14924345957</v>
      </c>
      <c r="V3" s="336">
        <f>'PG&amp;E_Summary'!V3+SCE_Summary!V3</f>
        <v>8550534.64774183</v>
      </c>
    </row>
    <row r="4" spans="1:22" ht="6.75" customHeight="1" x14ac:dyDescent="0.2">
      <c r="A4" s="2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</row>
    <row r="5" spans="1:22" x14ac:dyDescent="0.2">
      <c r="A5" s="2" t="s">
        <v>120</v>
      </c>
      <c r="D5" s="346">
        <f>SUMPRODUCT('PG&amp;E'!D53:G53,'PG&amp;E'!$D$26:$G$26)/SUM('PG&amp;E'!$D$26:$G$26)</f>
        <v>97.657798525617252</v>
      </c>
      <c r="E5" s="346">
        <f>SUMPRODUCT('PG&amp;E'!H53:J53,'PG&amp;E'!$H$26:$J$26)/SUM('PG&amp;E'!$H$26:$J$26)</f>
        <v>65.472548010936066</v>
      </c>
      <c r="F5" s="346">
        <f>('PG&amp;E_Summary'!F$3*'PG&amp;E_Summary'!F5+SCE_Summary!F$3*SCE_Summary!F5)/F$3</f>
        <v>55.870822174364605</v>
      </c>
      <c r="G5" s="346">
        <f>('PG&amp;E_Summary'!G$3*'PG&amp;E_Summary'!G5+SCE_Summary!G$3*SCE_Summary!G5)/G$3</f>
        <v>55.870822174364612</v>
      </c>
      <c r="H5" s="346">
        <f>('PG&amp;E_Summary'!H$3*'PG&amp;E_Summary'!H5+SCE_Summary!H$3*SCE_Summary!H5)/H$3</f>
        <v>64.050739614286741</v>
      </c>
      <c r="I5" s="346">
        <f>('PG&amp;E_Summary'!I$3*'PG&amp;E_Summary'!I5+SCE_Summary!I$3*SCE_Summary!I5)/I$3</f>
        <v>57.694465666507455</v>
      </c>
      <c r="J5" s="346">
        <f>('PG&amp;E_Summary'!J$3*'PG&amp;E_Summary'!J5+SCE_Summary!J$3*SCE_Summary!J5)/J$3</f>
        <v>54.616272611575532</v>
      </c>
      <c r="K5" s="346">
        <f>('PG&amp;E_Summary'!K$3*'PG&amp;E_Summary'!K5+SCE_Summary!K$3*SCE_Summary!K5)/K$3</f>
        <v>81.327916213975826</v>
      </c>
      <c r="L5" s="346">
        <f>('PG&amp;E_Summary'!L$3*'PG&amp;E_Summary'!L5+SCE_Summary!L$3*SCE_Summary!L5)/L$3</f>
        <v>84.737485367175353</v>
      </c>
      <c r="M5" s="346">
        <f>('PG&amp;E_Summary'!M$3*'PG&amp;E_Summary'!M5+SCE_Summary!M$3*SCE_Summary!M5)/M$3</f>
        <v>92.263634023316371</v>
      </c>
      <c r="N5" s="346">
        <f>('PG&amp;E_Summary'!N$3*'PG&amp;E_Summary'!N5+SCE_Summary!N$3*SCE_Summary!N5)/N$3</f>
        <v>81.376359395797493</v>
      </c>
      <c r="O5" s="346">
        <f>('PG&amp;E_Summary'!O$3*'PG&amp;E_Summary'!O5+SCE_Summary!O$3*SCE_Summary!O5)/O$3</f>
        <v>85.192375207873269</v>
      </c>
      <c r="P5" s="346">
        <f>('PG&amp;E_Summary'!P$3*'PG&amp;E_Summary'!P5+SCE_Summary!P$3*SCE_Summary!P5)/P$3</f>
        <v>68.396824622401724</v>
      </c>
      <c r="Q5" s="346">
        <f>('PG&amp;E_Summary'!Q$3*'PG&amp;E_Summary'!Q5+SCE_Summary!Q$3*SCE_Summary!Q5)/Q$3</f>
        <v>56.465928187363993</v>
      </c>
      <c r="R5" s="346">
        <f>('PG&amp;E_Summary'!R$3*'PG&amp;E_Summary'!R5+SCE_Summary!R$3*SCE_Summary!R5)/R$3</f>
        <v>56.226388645574957</v>
      </c>
      <c r="S5" s="346">
        <f>('PG&amp;E_Summary'!S$3*'PG&amp;E_Summary'!S5+SCE_Summary!S$3*SCE_Summary!S5)/S$3</f>
        <v>53.113541106850093</v>
      </c>
      <c r="T5" s="346">
        <f>('PG&amp;E_Summary'!T$3*'PG&amp;E_Summary'!T5+SCE_Summary!T$3*SCE_Summary!T5)/T$3</f>
        <v>53.464616073850586</v>
      </c>
      <c r="U5" s="346">
        <f>('PG&amp;E_Summary'!U$3*'PG&amp;E_Summary'!U5+SCE_Summary!U$3*SCE_Summary!U5)/U$3</f>
        <v>55.263591064382325</v>
      </c>
      <c r="V5" s="346"/>
    </row>
    <row r="6" spans="1:22" x14ac:dyDescent="0.2">
      <c r="A6" s="3" t="s">
        <v>37</v>
      </c>
      <c r="D6" s="346">
        <f>SUMPRODUCT('PG&amp;E'!D52:G52,'PG&amp;E'!$D$26:$G$26)/SUM('PG&amp;E'!$D$26:$G$26)</f>
        <v>11.648322279545406</v>
      </c>
      <c r="E6" s="346">
        <f>SUMPRODUCT('PG&amp;E'!H52:J52,'PG&amp;E'!$H$26:$J$26)/SUM('PG&amp;E'!$H$26:$J$26)</f>
        <v>11.648322279545404</v>
      </c>
      <c r="F6" s="346">
        <f>('PG&amp;E_Summary'!F$3*'PG&amp;E_Summary'!F6+SCE_Summary!F$3*SCE_Summary!F6)/F$3</f>
        <v>22.630198599320831</v>
      </c>
      <c r="G6" s="346">
        <f>('PG&amp;E_Summary'!G$3*'PG&amp;E_Summary'!G6+SCE_Summary!G$3*SCE_Summary!G6)/G$3</f>
        <v>22.630198599320828</v>
      </c>
      <c r="H6" s="346">
        <f>('PG&amp;E_Summary'!H$3*'PG&amp;E_Summary'!H6+SCE_Summary!H$3*SCE_Summary!H6)/H$3</f>
        <v>24.214630990111946</v>
      </c>
      <c r="I6" s="346">
        <f>('PG&amp;E_Summary'!I$3*'PG&amp;E_Summary'!I6+SCE_Summary!I$3*SCE_Summary!I6)/I$3</f>
        <v>22.513710315031958</v>
      </c>
      <c r="J6" s="346">
        <f>('PG&amp;E_Summary'!J$3*'PG&amp;E_Summary'!J6+SCE_Summary!J$3*SCE_Summary!J6)/J$3</f>
        <v>21.745063004352652</v>
      </c>
      <c r="K6" s="346">
        <f>('PG&amp;E_Summary'!K$3*'PG&amp;E_Summary'!K6+SCE_Summary!K$3*SCE_Summary!K6)/K$3</f>
        <v>21.80451111064</v>
      </c>
      <c r="L6" s="346">
        <f>('PG&amp;E_Summary'!L$3*'PG&amp;E_Summary'!L6+SCE_Summary!L$3*SCE_Summary!L6)/L$3</f>
        <v>21.730760840526997</v>
      </c>
      <c r="M6" s="346">
        <f>('PG&amp;E_Summary'!M$3*'PG&amp;E_Summary'!M6+SCE_Summary!M$3*SCE_Summary!M6)/M$3</f>
        <v>22.975334700869251</v>
      </c>
      <c r="N6" s="346">
        <f>('PG&amp;E_Summary'!N$3*'PG&amp;E_Summary'!N6+SCE_Summary!N$3*SCE_Summary!N6)/N$3</f>
        <v>20.29191409772238</v>
      </c>
      <c r="O6" s="346">
        <f>('PG&amp;E_Summary'!O$3*'PG&amp;E_Summary'!O6+SCE_Summary!O$3*SCE_Summary!O6)/O$3</f>
        <v>21.264740261866919</v>
      </c>
      <c r="P6" s="346">
        <f>('PG&amp;E_Summary'!P$3*'PG&amp;E_Summary'!P6+SCE_Summary!P$3*SCE_Summary!P6)/P$3</f>
        <v>21.508767384686163</v>
      </c>
      <c r="Q6" s="346">
        <f>('PG&amp;E_Summary'!Q$3*'PG&amp;E_Summary'!Q6+SCE_Summary!Q$3*SCE_Summary!Q6)/Q$3</f>
        <v>21.484238699428925</v>
      </c>
      <c r="R6" s="346">
        <f>('PG&amp;E_Summary'!R$3*'PG&amp;E_Summary'!R6+SCE_Summary!R$3*SCE_Summary!R6)/R$3</f>
        <v>21.463017780143634</v>
      </c>
      <c r="S6" s="346">
        <f>('PG&amp;E_Summary'!S$3*'PG&amp;E_Summary'!S6+SCE_Summary!S$3*SCE_Summary!S6)/S$3</f>
        <v>19.91974437802914</v>
      </c>
      <c r="T6" s="346">
        <f>('PG&amp;E_Summary'!T$3*'PG&amp;E_Summary'!T6+SCE_Summary!T$3*SCE_Summary!T6)/T$3</f>
        <v>19.834254987304991</v>
      </c>
      <c r="U6" s="346">
        <f>('PG&amp;E_Summary'!U$3*'PG&amp;E_Summary'!U6+SCE_Summary!U$3*SCE_Summary!U6)/U$3</f>
        <v>19.914332567458363</v>
      </c>
      <c r="V6" s="346"/>
    </row>
    <row r="7" spans="1:22" x14ac:dyDescent="0.2">
      <c r="A7" s="3" t="s">
        <v>127</v>
      </c>
      <c r="D7" s="346">
        <f t="shared" ref="D7:U7" si="0">D5-D6</f>
        <v>86.009476246071841</v>
      </c>
      <c r="E7" s="346">
        <f t="shared" si="0"/>
        <v>53.824225731390662</v>
      </c>
      <c r="F7" s="346">
        <f t="shared" si="0"/>
        <v>33.24062357504377</v>
      </c>
      <c r="G7" s="346">
        <f t="shared" si="0"/>
        <v>33.240623575043784</v>
      </c>
      <c r="H7" s="346">
        <f t="shared" si="0"/>
        <v>39.836108624174798</v>
      </c>
      <c r="I7" s="346">
        <f t="shared" si="0"/>
        <v>35.180755351475497</v>
      </c>
      <c r="J7" s="346">
        <f t="shared" si="0"/>
        <v>32.87120960722288</v>
      </c>
      <c r="K7" s="346">
        <f t="shared" si="0"/>
        <v>59.523405103335826</v>
      </c>
      <c r="L7" s="346">
        <f t="shared" si="0"/>
        <v>63.006724526648355</v>
      </c>
      <c r="M7" s="346">
        <f t="shared" si="0"/>
        <v>69.288299322447116</v>
      </c>
      <c r="N7" s="346">
        <f t="shared" si="0"/>
        <v>61.08444529807511</v>
      </c>
      <c r="O7" s="346">
        <f t="shared" si="0"/>
        <v>63.92763494600635</v>
      </c>
      <c r="P7" s="346">
        <f t="shared" si="0"/>
        <v>46.888057237715557</v>
      </c>
      <c r="Q7" s="346">
        <f t="shared" si="0"/>
        <v>34.981689487935071</v>
      </c>
      <c r="R7" s="346">
        <f t="shared" si="0"/>
        <v>34.763370865431327</v>
      </c>
      <c r="S7" s="346">
        <f t="shared" si="0"/>
        <v>33.193796728820956</v>
      </c>
      <c r="T7" s="346">
        <f t="shared" si="0"/>
        <v>33.630361086545591</v>
      </c>
      <c r="U7" s="346">
        <f t="shared" si="0"/>
        <v>35.349258496923966</v>
      </c>
      <c r="V7" s="346"/>
    </row>
    <row r="8" spans="1:22" ht="6.75" customHeight="1" x14ac:dyDescent="0.2">
      <c r="A8" s="3"/>
      <c r="D8" s="346"/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</row>
    <row r="9" spans="1:22" x14ac:dyDescent="0.2">
      <c r="A9" s="2" t="s">
        <v>121</v>
      </c>
      <c r="D9" s="346">
        <v>0</v>
      </c>
      <c r="E9" s="346">
        <v>0</v>
      </c>
      <c r="F9" s="346">
        <f>SCE!K36</f>
        <v>10</v>
      </c>
      <c r="G9" s="346">
        <f>SCE!L36</f>
        <v>10</v>
      </c>
      <c r="H9" s="346">
        <f>SCE!M36</f>
        <v>10</v>
      </c>
      <c r="I9" s="346">
        <f>SCE!N36</f>
        <v>10</v>
      </c>
      <c r="J9" s="346">
        <f>SCE!O36</f>
        <v>10</v>
      </c>
      <c r="K9" s="346">
        <f>SCE!P36</f>
        <v>10</v>
      </c>
      <c r="L9" s="346">
        <f>SCE!Q36</f>
        <v>10</v>
      </c>
      <c r="M9" s="346">
        <f>SCE!R36</f>
        <v>10</v>
      </c>
      <c r="N9" s="346">
        <f>SCE!S36</f>
        <v>10</v>
      </c>
      <c r="O9" s="346">
        <f>SCE!T36</f>
        <v>10</v>
      </c>
      <c r="P9" s="346">
        <f>SCE!U36</f>
        <v>10</v>
      </c>
      <c r="Q9" s="346">
        <f>SCE!V36</f>
        <v>10</v>
      </c>
      <c r="R9" s="346">
        <f>SCE!W36</f>
        <v>10</v>
      </c>
      <c r="S9" s="346">
        <f>SCE!X36</f>
        <v>10</v>
      </c>
      <c r="T9" s="346">
        <f>SCE!Y36</f>
        <v>10</v>
      </c>
      <c r="U9" s="346">
        <f>SCE!Z36</f>
        <v>10</v>
      </c>
      <c r="V9" s="346">
        <v>10</v>
      </c>
    </row>
    <row r="10" spans="1:22" x14ac:dyDescent="0.2">
      <c r="A10" s="2" t="s">
        <v>122</v>
      </c>
      <c r="D10" s="346">
        <v>0</v>
      </c>
      <c r="E10" s="346">
        <v>0</v>
      </c>
      <c r="F10" s="346"/>
      <c r="G10" s="346"/>
      <c r="H10" s="346"/>
      <c r="I10" s="346"/>
      <c r="J10" s="346"/>
      <c r="K10" s="346"/>
      <c r="L10" s="346">
        <f>('PG&amp;E_Summary'!L$3*'PG&amp;E_Summary'!L10+SCE_Summary!L$3*SCE_Summary!L10)/L$3</f>
        <v>45.699887219854332</v>
      </c>
      <c r="M10" s="346">
        <f>('PG&amp;E_Summary'!M$3*'PG&amp;E_Summary'!M10+SCE_Summary!M$3*SCE_Summary!M10)/M$3</f>
        <v>45.332025585462539</v>
      </c>
      <c r="N10" s="346">
        <f>('PG&amp;E_Summary'!N$3*'PG&amp;E_Summary'!N10+SCE_Summary!N$3*SCE_Summary!N10)/N$3</f>
        <v>46.558573883389997</v>
      </c>
      <c r="O10" s="346">
        <f>('PG&amp;E_Summary'!O$3*'PG&amp;E_Summary'!O10+SCE_Summary!O$3*SCE_Summary!O10)/O$3</f>
        <v>45.089207147828937</v>
      </c>
      <c r="P10" s="346">
        <f>('PG&amp;E_Summary'!P$3*'PG&amp;E_Summary'!P10+SCE_Summary!P$3*SCE_Summary!P10)/P$3</f>
        <v>43.958355735644851</v>
      </c>
      <c r="Q10" s="346">
        <f>('PG&amp;E_Summary'!Q$3*'PG&amp;E_Summary'!Q10+SCE_Summary!Q$3*SCE_Summary!Q10)/Q$3</f>
        <v>36.06545728885721</v>
      </c>
      <c r="R10" s="346">
        <f>('PG&amp;E_Summary'!R$3*'PG&amp;E_Summary'!R10+SCE_Summary!R$3*SCE_Summary!R10)/R$3</f>
        <v>35.939187366507987</v>
      </c>
      <c r="S10" s="346">
        <f>('PG&amp;E_Summary'!S$3*'PG&amp;E_Summary'!S10+SCE_Summary!S$3*SCE_Summary!S10)/S$3</f>
        <v>36.042550033845899</v>
      </c>
      <c r="T10" s="346">
        <f>('PG&amp;E_Summary'!T$3*'PG&amp;E_Summary'!T10+SCE_Summary!T$3*SCE_Summary!T10)/T$3</f>
        <v>36.059495011313039</v>
      </c>
      <c r="U10" s="346">
        <f>('PG&amp;E_Summary'!U$3*'PG&amp;E_Summary'!U10+SCE_Summary!U$3*SCE_Summary!U10)/U$3</f>
        <v>36.045629305402315</v>
      </c>
      <c r="V10" s="346"/>
    </row>
    <row r="11" spans="1:22" ht="6.75" customHeight="1" x14ac:dyDescent="0.2">
      <c r="A11" s="2"/>
      <c r="D11" s="346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</row>
    <row r="12" spans="1:22" x14ac:dyDescent="0.2">
      <c r="A12" s="2" t="s">
        <v>147</v>
      </c>
      <c r="D12" s="346">
        <f>D14</f>
        <v>136.91072432365158</v>
      </c>
      <c r="E12" s="346">
        <f>E14</f>
        <v>149.84293871747897</v>
      </c>
      <c r="F12" s="346">
        <f>('PG&amp;E_Summary'!F$3*'PG&amp;E_Summary'!F12+SCE_Summary!F$3*SCE_Summary!F12)/F$3</f>
        <v>61.980931373094926</v>
      </c>
      <c r="G12" s="346">
        <f>('PG&amp;E_Summary'!G$3*'PG&amp;E_Summary'!G12+SCE_Summary!G$3*SCE_Summary!G12)/G$3</f>
        <v>61.980931373094926</v>
      </c>
      <c r="H12" s="346">
        <f>('PG&amp;E_Summary'!H$3*'PG&amp;E_Summary'!H12+SCE_Summary!H$3*SCE_Summary!H12)/H$3</f>
        <v>60.695310157210272</v>
      </c>
      <c r="I12" s="346">
        <f>('PG&amp;E_Summary'!I$3*'PG&amp;E_Summary'!I12+SCE_Summary!I$3*SCE_Summary!I12)/I$3</f>
        <v>54.954843900139707</v>
      </c>
      <c r="J12" s="346">
        <f>('PG&amp;E_Summary'!J$3*'PG&amp;E_Summary'!J12+SCE_Summary!J$3*SCE_Summary!J12)/J$3</f>
        <v>52.617648802982586</v>
      </c>
      <c r="K12" s="346">
        <f>('PG&amp;E_Summary'!K$3*'PG&amp;E_Summary'!K12+SCE_Summary!K$3*SCE_Summary!K12)/K$3</f>
        <v>57.771389887337904</v>
      </c>
      <c r="L12" s="346">
        <f>('PG&amp;E_Summary'!L$3*'PG&amp;E_Summary'!L12+SCE_Summary!L$3*SCE_Summary!L12)/L$3</f>
        <v>50.697918647926024</v>
      </c>
      <c r="M12" s="346">
        <f>('PG&amp;E_Summary'!M$3*'PG&amp;E_Summary'!M12+SCE_Summary!M$3*SCE_Summary!M12)/M$3</f>
        <v>53.230203202979546</v>
      </c>
      <c r="N12" s="346">
        <f>('PG&amp;E_Summary'!N$3*'PG&amp;E_Summary'!N12+SCE_Summary!N$3*SCE_Summary!N12)/N$3</f>
        <v>51.033418569277266</v>
      </c>
      <c r="O12" s="346">
        <f>('PG&amp;E_Summary'!O$3*'PG&amp;E_Summary'!O12+SCE_Summary!O$3*SCE_Summary!O12)/O$3</f>
        <v>53.969011726041671</v>
      </c>
      <c r="P12" s="346">
        <f>('PG&amp;E_Summary'!P$3*'PG&amp;E_Summary'!P12+SCE_Summary!P$3*SCE_Summary!P12)/P$3</f>
        <v>54.037414774886138</v>
      </c>
      <c r="Q12" s="346">
        <f>('PG&amp;E_Summary'!Q$3*'PG&amp;E_Summary'!Q12+SCE_Summary!Q$3*SCE_Summary!Q12)/Q$3</f>
        <v>54.004215049961772</v>
      </c>
      <c r="R12" s="346">
        <f>('PG&amp;E_Summary'!R$3*'PG&amp;E_Summary'!R12+SCE_Summary!R$3*SCE_Summary!R12)/R$3</f>
        <v>53.911767241371535</v>
      </c>
      <c r="S12" s="346">
        <f>('PG&amp;E_Summary'!S$3*'PG&amp;E_Summary'!S12+SCE_Summary!S$3*SCE_Summary!S12)/S$3</f>
        <v>53.715993300820962</v>
      </c>
      <c r="T12" s="346">
        <f>('PG&amp;E_Summary'!T$3*'PG&amp;E_Summary'!T12+SCE_Summary!T$3*SCE_Summary!T12)/T$3</f>
        <v>53.525966869163518</v>
      </c>
      <c r="U12" s="346">
        <f>('PG&amp;E_Summary'!U$3*'PG&amp;E_Summary'!U12+SCE_Summary!U$3*SCE_Summary!U12)/U$3</f>
        <v>53.416102279194995</v>
      </c>
      <c r="V12" s="346"/>
    </row>
    <row r="13" spans="1:22" x14ac:dyDescent="0.2">
      <c r="A13" s="2" t="s">
        <v>138</v>
      </c>
      <c r="D13" s="346">
        <f>D14</f>
        <v>136.91072432365158</v>
      </c>
      <c r="E13" s="346">
        <f>E14</f>
        <v>149.84293871747897</v>
      </c>
      <c r="F13" s="346">
        <f>('PG&amp;E_Summary'!F$3*'PG&amp;E_Summary'!F13+SCE_Summary!F$3*SCE_Summary!F13)/F$3</f>
        <v>189.01900008103223</v>
      </c>
      <c r="G13" s="346">
        <f>('PG&amp;E_Summary'!G$3*'PG&amp;E_Summary'!G13+SCE_Summary!G$3*SCE_Summary!G13)/G$3</f>
        <v>213.00000000000003</v>
      </c>
      <c r="H13" s="346">
        <f>('PG&amp;E_Summary'!H$3*'PG&amp;E_Summary'!H13+SCE_Summary!H$3*SCE_Summary!H13)/H$3</f>
        <v>195.99999999999997</v>
      </c>
      <c r="I13" s="346">
        <f>('PG&amp;E_Summary'!I$3*'PG&amp;E_Summary'!I13+SCE_Summary!I$3*SCE_Summary!I13)/I$3</f>
        <v>159</v>
      </c>
      <c r="J13" s="346">
        <f>('PG&amp;E_Summary'!J$3*'PG&amp;E_Summary'!J13+SCE_Summary!J$3*SCE_Summary!J13)/J$3</f>
        <v>102</v>
      </c>
      <c r="K13" s="346">
        <f>('PG&amp;E_Summary'!K$3*'PG&amp;E_Summary'!K13+SCE_Summary!K$3*SCE_Summary!K13)/K$3</f>
        <v>40</v>
      </c>
      <c r="L13" s="346">
        <f>('PG&amp;E_Summary'!L$3*'PG&amp;E_Summary'!L13+SCE_Summary!L$3*SCE_Summary!L13)/L$3</f>
        <v>38</v>
      </c>
      <c r="M13" s="346">
        <f>('PG&amp;E_Summary'!M$3*'PG&amp;E_Summary'!M13+SCE_Summary!M$3*SCE_Summary!M13)/M$3</f>
        <v>35</v>
      </c>
      <c r="N13" s="346">
        <f>('PG&amp;E_Summary'!N$3*'PG&amp;E_Summary'!N13+SCE_Summary!N$3*SCE_Summary!N13)/N$3</f>
        <v>34.999999999999993</v>
      </c>
      <c r="O13" s="346">
        <f>('PG&amp;E_Summary'!O$3*'PG&amp;E_Summary'!O13+SCE_Summary!O$3*SCE_Summary!O13)/O$3</f>
        <v>35</v>
      </c>
      <c r="P13" s="346">
        <f>('PG&amp;E_Summary'!P$3*'PG&amp;E_Summary'!P13+SCE_Summary!P$3*SCE_Summary!P13)/P$3</f>
        <v>54.037414774886138</v>
      </c>
      <c r="Q13" s="346">
        <f>('PG&amp;E_Summary'!Q$3*'PG&amp;E_Summary'!Q13+SCE_Summary!Q$3*SCE_Summary!Q13)/Q$3</f>
        <v>54.004215049961772</v>
      </c>
      <c r="R13" s="346">
        <f>('PG&amp;E_Summary'!R$3*'PG&amp;E_Summary'!R13+SCE_Summary!R$3*SCE_Summary!R13)/R$3</f>
        <v>53.911767241371535</v>
      </c>
      <c r="S13" s="346">
        <f>('PG&amp;E_Summary'!S$3*'PG&amp;E_Summary'!S13+SCE_Summary!S$3*SCE_Summary!S13)/S$3</f>
        <v>53.715993300820962</v>
      </c>
      <c r="T13" s="346">
        <f>('PG&amp;E_Summary'!T$3*'PG&amp;E_Summary'!T13+SCE_Summary!T$3*SCE_Summary!T13)/T$3</f>
        <v>53.525966869163518</v>
      </c>
      <c r="U13" s="346">
        <f>('PG&amp;E_Summary'!U$3*'PG&amp;E_Summary'!U13+SCE_Summary!U$3*SCE_Summary!U13)/U$3</f>
        <v>53.416102279194995</v>
      </c>
      <c r="V13" s="346"/>
    </row>
    <row r="14" spans="1:22" x14ac:dyDescent="0.2">
      <c r="A14" s="2" t="s">
        <v>139</v>
      </c>
      <c r="D14" s="346">
        <f>SUMPRODUCT('PG&amp;E'!D57:G57,'PG&amp;E'!$D$26:$G$26)/SUM('PG&amp;E'!$D$26:$G$26)</f>
        <v>136.91072432365158</v>
      </c>
      <c r="E14" s="346">
        <f>SUMPRODUCT('PG&amp;E'!H57:J57,'PG&amp;E'!$H$26:$J$26)/SUM('PG&amp;E'!$H$26:$J$26)</f>
        <v>149.84293871747897</v>
      </c>
      <c r="F14" s="346">
        <f>('PG&amp;E_Summary'!F$3*'PG&amp;E_Summary'!F14+SCE_Summary!F$3*SCE_Summary!F14)/F$3</f>
        <v>189.01900008103223</v>
      </c>
      <c r="G14" s="346">
        <f>('PG&amp;E_Summary'!G$3*'PG&amp;E_Summary'!G14+SCE_Summary!G$3*SCE_Summary!G14)/G$3</f>
        <v>189.01900008103223</v>
      </c>
      <c r="H14" s="346">
        <f>('PG&amp;E_Summary'!H$3*'PG&amp;E_Summary'!H14+SCE_Summary!H$3*SCE_Summary!H14)/H$3</f>
        <v>193.6894603277467</v>
      </c>
      <c r="I14" s="346">
        <f>('PG&amp;E_Summary'!I$3*'PG&amp;E_Summary'!I14+SCE_Summary!I$3*SCE_Summary!I14)/I$3</f>
        <v>195.62086913451441</v>
      </c>
      <c r="J14" s="346">
        <f>('PG&amp;E_Summary'!J$3*'PG&amp;E_Summary'!J14+SCE_Summary!J$3*SCE_Summary!J14)/J$3</f>
        <v>211.4525253937891</v>
      </c>
      <c r="K14" s="346">
        <f>('PG&amp;E_Summary'!K$3*'PG&amp;E_Summary'!K14+SCE_Summary!K$3*SCE_Summary!K14)/K$3</f>
        <v>175.51799490179252</v>
      </c>
      <c r="L14" s="346">
        <f>('PG&amp;E_Summary'!L$3*'PG&amp;E_Summary'!L14+SCE_Summary!L$3*SCE_Summary!L14)/L$3</f>
        <v>54.301157076789814</v>
      </c>
      <c r="M14" s="346">
        <f>('PG&amp;E_Summary'!M$3*'PG&amp;E_Summary'!M14+SCE_Summary!M$3*SCE_Summary!M14)/M$3</f>
        <v>39.154609380638902</v>
      </c>
      <c r="N14" s="346">
        <f>('PG&amp;E_Summary'!N$3*'PG&amp;E_Summary'!N14+SCE_Summary!N$3*SCE_Summary!N14)/N$3</f>
        <v>47.014844836088599</v>
      </c>
      <c r="O14" s="346">
        <f>('PG&amp;E_Summary'!O$3*'PG&amp;E_Summary'!O14+SCE_Summary!O$3*SCE_Summary!O14)/O$3</f>
        <v>44.976241998027838</v>
      </c>
      <c r="P14" s="346">
        <f>('PG&amp;E_Summary'!P$3*'PG&amp;E_Summary'!P14+SCE_Summary!P$3*SCE_Summary!P14)/P$3</f>
        <v>42.484805730323451</v>
      </c>
      <c r="Q14" s="346">
        <f>('PG&amp;E_Summary'!Q$3*'PG&amp;E_Summary'!Q14+SCE_Summary!Q$3*SCE_Summary!Q14)/Q$3</f>
        <v>40.832367959458303</v>
      </c>
      <c r="R14" s="346">
        <f>('PG&amp;E_Summary'!R$3*'PG&amp;E_Summary'!R14+SCE_Summary!R$3*SCE_Summary!R14)/R$3</f>
        <v>46.71285010233116</v>
      </c>
      <c r="S14" s="346">
        <f>('PG&amp;E_Summary'!S$3*'PG&amp;E_Summary'!S14+SCE_Summary!S$3*SCE_Summary!S14)/S$3</f>
        <v>44.670926241640544</v>
      </c>
      <c r="T14" s="346">
        <f>('PG&amp;E_Summary'!T$3*'PG&amp;E_Summary'!T14+SCE_Summary!T$3*SCE_Summary!T14)/T$3</f>
        <v>40.487623021594779</v>
      </c>
      <c r="U14" s="346">
        <f>('PG&amp;E_Summary'!U$3*'PG&amp;E_Summary'!U14+SCE_Summary!U$3*SCE_Summary!U14)/U$3</f>
        <v>36.573640695293882</v>
      </c>
      <c r="V14" s="346"/>
    </row>
    <row r="15" spans="1:22" ht="6.75" customHeight="1" x14ac:dyDescent="0.2">
      <c r="A15" s="2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6"/>
      <c r="T15" s="346"/>
      <c r="U15" s="346"/>
      <c r="V15" s="346"/>
    </row>
    <row r="16" spans="1:22" x14ac:dyDescent="0.2">
      <c r="A16" s="2" t="s">
        <v>148</v>
      </c>
      <c r="D16" s="346">
        <f t="shared" ref="D16:U16" si="1">D$7-D12</f>
        <v>-50.901248077579737</v>
      </c>
      <c r="E16" s="346">
        <f t="shared" si="1"/>
        <v>-96.018712986088303</v>
      </c>
      <c r="F16" s="346">
        <f t="shared" si="1"/>
        <v>-28.740307798051155</v>
      </c>
      <c r="G16" s="346">
        <f t="shared" si="1"/>
        <v>-28.740307798051141</v>
      </c>
      <c r="H16" s="346">
        <f t="shared" si="1"/>
        <v>-20.859201533035474</v>
      </c>
      <c r="I16" s="346">
        <f t="shared" si="1"/>
        <v>-19.77408854866421</v>
      </c>
      <c r="J16" s="346">
        <f t="shared" si="1"/>
        <v>-19.746439195759706</v>
      </c>
      <c r="K16" s="346">
        <f t="shared" si="1"/>
        <v>1.7520152159979219</v>
      </c>
      <c r="L16" s="346">
        <f t="shared" si="1"/>
        <v>12.308805878722332</v>
      </c>
      <c r="M16" s="346">
        <f t="shared" si="1"/>
        <v>16.058096119467571</v>
      </c>
      <c r="N16" s="346">
        <f t="shared" si="1"/>
        <v>10.051026728797844</v>
      </c>
      <c r="O16" s="346">
        <f t="shared" si="1"/>
        <v>9.9586232199646787</v>
      </c>
      <c r="P16" s="346">
        <f t="shared" si="1"/>
        <v>-7.1493575371705802</v>
      </c>
      <c r="Q16" s="346">
        <f t="shared" si="1"/>
        <v>-19.022525562026701</v>
      </c>
      <c r="R16" s="346">
        <f t="shared" si="1"/>
        <v>-19.148396375940209</v>
      </c>
      <c r="S16" s="346">
        <f t="shared" si="1"/>
        <v>-20.522196572000006</v>
      </c>
      <c r="T16" s="346">
        <f t="shared" si="1"/>
        <v>-19.895605782617928</v>
      </c>
      <c r="U16" s="346">
        <f t="shared" si="1"/>
        <v>-18.066843782271029</v>
      </c>
      <c r="V16" s="346"/>
    </row>
    <row r="17" spans="1:22" x14ac:dyDescent="0.2">
      <c r="A17" s="2" t="s">
        <v>143</v>
      </c>
      <c r="D17" s="346">
        <f t="shared" ref="D17:U17" si="2">D$7-D13</f>
        <v>-50.901248077579737</v>
      </c>
      <c r="E17" s="346">
        <f t="shared" si="2"/>
        <v>-96.018712986088303</v>
      </c>
      <c r="F17" s="346">
        <f t="shared" si="2"/>
        <v>-155.77837650598846</v>
      </c>
      <c r="G17" s="346">
        <f t="shared" si="2"/>
        <v>-179.75937642495626</v>
      </c>
      <c r="H17" s="346">
        <f t="shared" si="2"/>
        <v>-156.16389137582519</v>
      </c>
      <c r="I17" s="346">
        <f t="shared" si="2"/>
        <v>-123.8192446485245</v>
      </c>
      <c r="J17" s="346">
        <f t="shared" si="2"/>
        <v>-69.12879039277712</v>
      </c>
      <c r="K17" s="346">
        <f t="shared" si="2"/>
        <v>19.523405103335826</v>
      </c>
      <c r="L17" s="346">
        <f t="shared" si="2"/>
        <v>25.006724526648355</v>
      </c>
      <c r="M17" s="346">
        <f t="shared" si="2"/>
        <v>34.288299322447116</v>
      </c>
      <c r="N17" s="346">
        <f t="shared" si="2"/>
        <v>26.084445298075117</v>
      </c>
      <c r="O17" s="346">
        <f t="shared" si="2"/>
        <v>28.92763494600635</v>
      </c>
      <c r="P17" s="346">
        <f t="shared" si="2"/>
        <v>-7.1493575371705802</v>
      </c>
      <c r="Q17" s="346">
        <f t="shared" si="2"/>
        <v>-19.022525562026701</v>
      </c>
      <c r="R17" s="346">
        <f t="shared" si="2"/>
        <v>-19.148396375940209</v>
      </c>
      <c r="S17" s="346">
        <f t="shared" si="2"/>
        <v>-20.522196572000006</v>
      </c>
      <c r="T17" s="346">
        <f t="shared" si="2"/>
        <v>-19.895605782617928</v>
      </c>
      <c r="U17" s="346">
        <f t="shared" si="2"/>
        <v>-18.066843782271029</v>
      </c>
      <c r="V17" s="346"/>
    </row>
    <row r="18" spans="1:22" x14ac:dyDescent="0.2">
      <c r="A18" s="2" t="s">
        <v>144</v>
      </c>
      <c r="D18" s="346">
        <f t="shared" ref="D18:U18" si="3">D$7-D14</f>
        <v>-50.901248077579737</v>
      </c>
      <c r="E18" s="346">
        <f t="shared" si="3"/>
        <v>-96.018712986088303</v>
      </c>
      <c r="F18" s="346">
        <f t="shared" si="3"/>
        <v>-155.77837650598846</v>
      </c>
      <c r="G18" s="346">
        <f t="shared" si="3"/>
        <v>-155.77837650598843</v>
      </c>
      <c r="H18" s="346">
        <f t="shared" si="3"/>
        <v>-153.85335170357189</v>
      </c>
      <c r="I18" s="346">
        <f t="shared" si="3"/>
        <v>-160.4401137830389</v>
      </c>
      <c r="J18" s="346">
        <f t="shared" si="3"/>
        <v>-178.58131578656622</v>
      </c>
      <c r="K18" s="346">
        <f t="shared" si="3"/>
        <v>-115.9945897984567</v>
      </c>
      <c r="L18" s="346">
        <f t="shared" si="3"/>
        <v>8.7055674498585418</v>
      </c>
      <c r="M18" s="346">
        <f t="shared" si="3"/>
        <v>30.133689941808214</v>
      </c>
      <c r="N18" s="346">
        <f t="shared" si="3"/>
        <v>14.069600461986511</v>
      </c>
      <c r="O18" s="346">
        <f t="shared" si="3"/>
        <v>18.951392947978512</v>
      </c>
      <c r="P18" s="346">
        <f t="shared" si="3"/>
        <v>4.4032515073921061</v>
      </c>
      <c r="Q18" s="346">
        <f t="shared" si="3"/>
        <v>-5.8506784715232314</v>
      </c>
      <c r="R18" s="346">
        <f t="shared" si="3"/>
        <v>-11.949479236899833</v>
      </c>
      <c r="S18" s="346">
        <f t="shared" si="3"/>
        <v>-11.477129512819587</v>
      </c>
      <c r="T18" s="346">
        <f t="shared" si="3"/>
        <v>-6.8572619350491877</v>
      </c>
      <c r="U18" s="346">
        <f t="shared" si="3"/>
        <v>-1.2243821983699164</v>
      </c>
      <c r="V18" s="346"/>
    </row>
    <row r="19" spans="1:22" x14ac:dyDescent="0.2">
      <c r="A19" s="2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</row>
    <row r="20" spans="1:22" x14ac:dyDescent="0.2">
      <c r="A20" s="2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</row>
    <row r="21" spans="1:22" ht="13.5" thickBot="1" x14ac:dyDescent="0.25">
      <c r="A21" s="400" t="s">
        <v>149</v>
      </c>
      <c r="B21" s="50"/>
      <c r="C21" s="50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</row>
    <row r="22" spans="1:22" x14ac:dyDescent="0.2">
      <c r="A22" s="3" t="s">
        <v>124</v>
      </c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</row>
    <row r="23" spans="1:22" x14ac:dyDescent="0.2">
      <c r="A23" s="390" t="s">
        <v>128</v>
      </c>
      <c r="D23" s="346">
        <f t="shared" ref="D23:L23" si="4">D7</f>
        <v>86.009476246071841</v>
      </c>
      <c r="E23" s="346">
        <f t="shared" si="4"/>
        <v>53.824225731390662</v>
      </c>
      <c r="F23" s="346">
        <f t="shared" si="4"/>
        <v>33.24062357504377</v>
      </c>
      <c r="G23" s="346">
        <f t="shared" si="4"/>
        <v>33.240623575043784</v>
      </c>
      <c r="H23" s="346">
        <f t="shared" si="4"/>
        <v>39.836108624174798</v>
      </c>
      <c r="I23" s="346">
        <f t="shared" si="4"/>
        <v>35.180755351475497</v>
      </c>
      <c r="J23" s="346">
        <f t="shared" si="4"/>
        <v>32.87120960722288</v>
      </c>
      <c r="K23" s="346">
        <f t="shared" si="4"/>
        <v>59.523405103335826</v>
      </c>
      <c r="L23" s="346">
        <f t="shared" si="4"/>
        <v>63.006724526648355</v>
      </c>
      <c r="M23" s="346"/>
      <c r="N23" s="346"/>
      <c r="O23" s="346"/>
      <c r="P23" s="346"/>
      <c r="Q23" s="346"/>
      <c r="R23" s="346"/>
      <c r="S23" s="346"/>
      <c r="T23" s="346"/>
      <c r="U23" s="346"/>
      <c r="V23" s="346"/>
    </row>
    <row r="24" spans="1:22" x14ac:dyDescent="0.2">
      <c r="A24" s="390" t="s">
        <v>123</v>
      </c>
      <c r="D24" s="346">
        <f t="shared" ref="D24:V24" si="5">D14</f>
        <v>136.91072432365158</v>
      </c>
      <c r="E24" s="346">
        <f t="shared" si="5"/>
        <v>149.84293871747897</v>
      </c>
      <c r="F24" s="346">
        <f t="shared" si="5"/>
        <v>189.01900008103223</v>
      </c>
      <c r="G24" s="346">
        <f t="shared" si="5"/>
        <v>189.01900008103223</v>
      </c>
      <c r="H24" s="346">
        <f t="shared" si="5"/>
        <v>193.6894603277467</v>
      </c>
      <c r="I24" s="346">
        <f t="shared" si="5"/>
        <v>195.62086913451441</v>
      </c>
      <c r="J24" s="346">
        <f t="shared" si="5"/>
        <v>211.4525253937891</v>
      </c>
      <c r="K24" s="346">
        <f t="shared" si="5"/>
        <v>175.51799490179252</v>
      </c>
      <c r="L24" s="346">
        <f t="shared" si="5"/>
        <v>54.301157076789814</v>
      </c>
      <c r="M24" s="346"/>
      <c r="N24" s="346"/>
      <c r="O24" s="346"/>
      <c r="P24" s="346"/>
      <c r="Q24" s="346"/>
      <c r="R24" s="346"/>
      <c r="S24" s="346"/>
      <c r="T24" s="346"/>
      <c r="U24" s="346"/>
      <c r="V24" s="346">
        <f t="shared" si="5"/>
        <v>0</v>
      </c>
    </row>
    <row r="25" spans="1:22" x14ac:dyDescent="0.2">
      <c r="A25" s="396" t="s">
        <v>124</v>
      </c>
      <c r="B25" s="397"/>
      <c r="C25" s="397"/>
      <c r="D25" s="398">
        <f t="shared" ref="D25:L25" si="6">D23-D24</f>
        <v>-50.901248077579737</v>
      </c>
      <c r="E25" s="398">
        <f t="shared" si="6"/>
        <v>-96.018712986088303</v>
      </c>
      <c r="F25" s="398">
        <f t="shared" si="6"/>
        <v>-155.77837650598846</v>
      </c>
      <c r="G25" s="398">
        <f t="shared" si="6"/>
        <v>-155.77837650598843</v>
      </c>
      <c r="H25" s="398">
        <f t="shared" si="6"/>
        <v>-153.85335170357189</v>
      </c>
      <c r="I25" s="398">
        <f t="shared" si="6"/>
        <v>-160.4401137830389</v>
      </c>
      <c r="J25" s="398">
        <f t="shared" si="6"/>
        <v>-178.58131578656622</v>
      </c>
      <c r="K25" s="398">
        <f t="shared" si="6"/>
        <v>-115.9945897984567</v>
      </c>
      <c r="L25" s="398">
        <f t="shared" si="6"/>
        <v>8.7055674498585418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8"/>
    </row>
    <row r="26" spans="1:22" x14ac:dyDescent="0.2">
      <c r="A26" s="394" t="s">
        <v>130</v>
      </c>
      <c r="B26" s="12"/>
      <c r="C26" s="12"/>
      <c r="D26" s="395">
        <f t="shared" ref="D26:L26" si="7">-D$3*D25/1000</f>
        <v>30931.562863287458</v>
      </c>
      <c r="E26" s="395">
        <f t="shared" si="7"/>
        <v>42606.991276677771</v>
      </c>
      <c r="F26" s="395">
        <f t="shared" si="7"/>
        <v>48724.450721474546</v>
      </c>
      <c r="G26" s="395">
        <f t="shared" si="7"/>
        <v>45244.132812797783</v>
      </c>
      <c r="H26" s="395">
        <f t="shared" si="7"/>
        <v>36093.50445168664</v>
      </c>
      <c r="I26" s="395">
        <f t="shared" si="7"/>
        <v>9957.3929929213464</v>
      </c>
      <c r="J26" s="395">
        <f t="shared" si="7"/>
        <v>7945.3649458213467</v>
      </c>
      <c r="K26" s="395">
        <f t="shared" si="7"/>
        <v>5579.8955595318457</v>
      </c>
      <c r="L26" s="395">
        <f t="shared" si="7"/>
        <v>-335.80339596160957</v>
      </c>
      <c r="M26" s="395"/>
      <c r="N26" s="395"/>
      <c r="O26" s="395"/>
      <c r="P26" s="395"/>
      <c r="Q26" s="395"/>
      <c r="R26" s="395"/>
      <c r="S26" s="395"/>
      <c r="T26" s="395"/>
      <c r="U26" s="395"/>
      <c r="V26" s="395"/>
    </row>
    <row r="27" spans="1:22" x14ac:dyDescent="0.2">
      <c r="A27" s="3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</row>
    <row r="28" spans="1:22" x14ac:dyDescent="0.2">
      <c r="A28" s="3" t="s">
        <v>129</v>
      </c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46"/>
      <c r="T28" s="346"/>
      <c r="U28" s="346"/>
      <c r="V28" s="346"/>
    </row>
    <row r="29" spans="1:22" x14ac:dyDescent="0.2">
      <c r="A29" s="396" t="s">
        <v>131</v>
      </c>
      <c r="B29" s="397"/>
      <c r="C29" s="397"/>
      <c r="D29" s="398">
        <v>0</v>
      </c>
      <c r="E29" s="398">
        <v>0</v>
      </c>
      <c r="F29" s="398">
        <f t="shared" ref="F29:K29" si="8">F9</f>
        <v>10</v>
      </c>
      <c r="G29" s="398">
        <f t="shared" si="8"/>
        <v>10</v>
      </c>
      <c r="H29" s="398">
        <f t="shared" si="8"/>
        <v>10</v>
      </c>
      <c r="I29" s="398">
        <f t="shared" si="8"/>
        <v>10</v>
      </c>
      <c r="J29" s="398">
        <f t="shared" si="8"/>
        <v>10</v>
      </c>
      <c r="K29" s="398">
        <f t="shared" si="8"/>
        <v>10</v>
      </c>
      <c r="L29" s="398">
        <f t="shared" ref="L29:V29" si="9">L9</f>
        <v>10</v>
      </c>
      <c r="M29" s="398">
        <f t="shared" si="9"/>
        <v>10</v>
      </c>
      <c r="N29" s="398">
        <f t="shared" si="9"/>
        <v>10</v>
      </c>
      <c r="O29" s="398">
        <f t="shared" si="9"/>
        <v>10</v>
      </c>
      <c r="P29" s="398">
        <f t="shared" si="9"/>
        <v>10</v>
      </c>
      <c r="Q29" s="398">
        <f t="shared" si="9"/>
        <v>10</v>
      </c>
      <c r="R29" s="398">
        <f t="shared" si="9"/>
        <v>10</v>
      </c>
      <c r="S29" s="398">
        <f t="shared" si="9"/>
        <v>10</v>
      </c>
      <c r="T29" s="398">
        <f t="shared" si="9"/>
        <v>10</v>
      </c>
      <c r="U29" s="398">
        <f t="shared" si="9"/>
        <v>10</v>
      </c>
      <c r="V29" s="398">
        <f t="shared" si="9"/>
        <v>10</v>
      </c>
    </row>
    <row r="30" spans="1:22" x14ac:dyDescent="0.2">
      <c r="A30" s="394" t="s">
        <v>130</v>
      </c>
      <c r="B30" s="12"/>
      <c r="C30" s="12"/>
      <c r="D30" s="395">
        <f t="shared" ref="D30:V30" si="10">-D$3*D29/1000</f>
        <v>0</v>
      </c>
      <c r="E30" s="395">
        <f t="shared" si="10"/>
        <v>0</v>
      </c>
      <c r="F30" s="395">
        <f t="shared" ref="F30:K30" si="11">-F$3*F29/1000</f>
        <v>-3127.8057850090299</v>
      </c>
      <c r="G30" s="395">
        <f t="shared" si="11"/>
        <v>-2904.3910860798137</v>
      </c>
      <c r="H30" s="395">
        <f t="shared" si="11"/>
        <v>-2345.9680307275808</v>
      </c>
      <c r="I30" s="395">
        <f t="shared" si="11"/>
        <v>-620.62988850697286</v>
      </c>
      <c r="J30" s="395">
        <f t="shared" si="11"/>
        <v>-444.91580268774328</v>
      </c>
      <c r="K30" s="395">
        <f t="shared" si="11"/>
        <v>-481.04791518527236</v>
      </c>
      <c r="L30" s="395">
        <f t="shared" si="10"/>
        <v>-385.73406948568999</v>
      </c>
      <c r="M30" s="395">
        <f t="shared" si="10"/>
        <v>-1181.6727133487711</v>
      </c>
      <c r="N30" s="395">
        <f t="shared" si="10"/>
        <v>-3144.4782987195981</v>
      </c>
      <c r="O30" s="395">
        <f t="shared" si="10"/>
        <v>-5191.4612034478805</v>
      </c>
      <c r="P30" s="395">
        <f t="shared" si="10"/>
        <v>-6069.6328885725743</v>
      </c>
      <c r="Q30" s="395">
        <f t="shared" si="10"/>
        <v>-5538.0459250244076</v>
      </c>
      <c r="R30" s="395">
        <f t="shared" si="10"/>
        <v>-5311.1493702682819</v>
      </c>
      <c r="S30" s="395">
        <f t="shared" si="10"/>
        <v>-4949.8561058199912</v>
      </c>
      <c r="T30" s="395">
        <f t="shared" si="10"/>
        <v>-4583.6959456851118</v>
      </c>
      <c r="U30" s="395">
        <f t="shared" si="10"/>
        <v>-5031.6314924345961</v>
      </c>
      <c r="V30" s="395">
        <f t="shared" si="10"/>
        <v>-85505.346477418308</v>
      </c>
    </row>
    <row r="31" spans="1:22" x14ac:dyDescent="0.2">
      <c r="A31" s="2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6"/>
      <c r="R31" s="346"/>
      <c r="S31" s="346"/>
      <c r="T31" s="346"/>
      <c r="U31" s="346"/>
      <c r="V31" s="346"/>
    </row>
    <row r="32" spans="1:22" x14ac:dyDescent="0.2">
      <c r="A32" s="2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</row>
    <row r="33" spans="1:22" ht="13.5" thickBot="1" x14ac:dyDescent="0.25">
      <c r="A33" s="400" t="s">
        <v>136</v>
      </c>
      <c r="B33" s="50"/>
      <c r="C33" s="50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</row>
    <row r="34" spans="1:22" x14ac:dyDescent="0.2">
      <c r="A34" s="335" t="s">
        <v>137</v>
      </c>
      <c r="B34" s="402">
        <f>SUM(D34:V34)</f>
        <v>-153208.93808827188</v>
      </c>
      <c r="C34" s="346">
        <f>B34-'PG&amp;E_Summary'!B34-SCE_Summary!B34</f>
        <v>0</v>
      </c>
      <c r="D34" s="346">
        <v>0</v>
      </c>
      <c r="E34" s="346">
        <v>0</v>
      </c>
      <c r="F34" s="346">
        <f t="shared" ref="F34:L34" si="12">-F26</f>
        <v>-48724.450721474546</v>
      </c>
      <c r="G34" s="346">
        <f t="shared" si="12"/>
        <v>-45244.132812797783</v>
      </c>
      <c r="H34" s="346">
        <f t="shared" si="12"/>
        <v>-36093.50445168664</v>
      </c>
      <c r="I34" s="346">
        <f t="shared" si="12"/>
        <v>-9957.3929929213464</v>
      </c>
      <c r="J34" s="346">
        <f t="shared" si="12"/>
        <v>-7945.3649458213467</v>
      </c>
      <c r="K34" s="346">
        <f t="shared" si="12"/>
        <v>-5579.8955595318457</v>
      </c>
      <c r="L34" s="346">
        <f t="shared" si="12"/>
        <v>335.80339596160957</v>
      </c>
      <c r="M34" s="346"/>
      <c r="N34" s="346"/>
      <c r="O34" s="346"/>
      <c r="P34" s="346"/>
      <c r="Q34" s="346"/>
      <c r="R34" s="346"/>
      <c r="S34" s="346"/>
      <c r="T34" s="346"/>
      <c r="U34" s="346"/>
      <c r="V34" s="346"/>
    </row>
    <row r="35" spans="1:22" x14ac:dyDescent="0.2">
      <c r="A35" s="3" t="s">
        <v>135</v>
      </c>
      <c r="B35" s="392">
        <f>SUM(D35:V35)</f>
        <v>-104484.48736679734</v>
      </c>
      <c r="C35" s="346">
        <f>B35-'PG&amp;E_Summary'!B35-SCE_Summary!B35</f>
        <v>0</v>
      </c>
      <c r="D35" s="346">
        <v>0</v>
      </c>
      <c r="E35" s="346">
        <v>0</v>
      </c>
      <c r="F35" s="346"/>
      <c r="G35" s="346">
        <f t="shared" ref="G35:L35" si="13">-G26</f>
        <v>-45244.132812797783</v>
      </c>
      <c r="H35" s="346">
        <f t="shared" si="13"/>
        <v>-36093.50445168664</v>
      </c>
      <c r="I35" s="346">
        <f t="shared" si="13"/>
        <v>-9957.3929929213464</v>
      </c>
      <c r="J35" s="346">
        <f t="shared" si="13"/>
        <v>-7945.3649458213467</v>
      </c>
      <c r="K35" s="346">
        <f t="shared" si="13"/>
        <v>-5579.8955595318457</v>
      </c>
      <c r="L35" s="346">
        <f t="shared" si="13"/>
        <v>335.80339596160957</v>
      </c>
      <c r="M35" s="346"/>
      <c r="N35" s="346"/>
      <c r="O35" s="346"/>
      <c r="P35" s="346"/>
      <c r="Q35" s="346"/>
      <c r="R35" s="346"/>
      <c r="S35" s="346"/>
      <c r="T35" s="346"/>
      <c r="U35" s="346"/>
      <c r="V35" s="346"/>
    </row>
    <row r="36" spans="1:22" x14ac:dyDescent="0.2">
      <c r="A36" s="3" t="s">
        <v>134</v>
      </c>
      <c r="B36" s="346"/>
      <c r="C36" s="346">
        <f>B36-'PG&amp;E_Summary'!B36-SCE_Summary!B36</f>
        <v>0</v>
      </c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</row>
    <row r="37" spans="1:22" x14ac:dyDescent="0.2">
      <c r="A37" s="390" t="s">
        <v>140</v>
      </c>
      <c r="B37" s="392">
        <f>SUM(D37:V37)</f>
        <v>-84778.376530604975</v>
      </c>
      <c r="C37" s="346">
        <f>B37-'PG&amp;E_Summary'!B37-SCE_Summary!B37</f>
        <v>5.4569682106375694E-11</v>
      </c>
      <c r="D37" s="346">
        <v>0</v>
      </c>
      <c r="E37" s="346">
        <v>0</v>
      </c>
      <c r="F37" s="346">
        <f t="shared" ref="F37:U37" si="14">(F18-F16)*F3/1000</f>
        <v>-39735.040622106091</v>
      </c>
      <c r="G37" s="346">
        <f t="shared" si="14"/>
        <v>-36896.823434812803</v>
      </c>
      <c r="H37" s="346">
        <f t="shared" si="14"/>
        <v>-31200.002457386148</v>
      </c>
      <c r="I37" s="346">
        <f t="shared" si="14"/>
        <v>-8730.1539557928991</v>
      </c>
      <c r="J37" s="346">
        <f t="shared" si="14"/>
        <v>-7066.8146613207327</v>
      </c>
      <c r="K37" s="346">
        <f t="shared" si="14"/>
        <v>-5664.1758862347124</v>
      </c>
      <c r="L37" s="346">
        <f t="shared" si="14"/>
        <v>-138.98918224928536</v>
      </c>
      <c r="M37" s="346">
        <f t="shared" si="14"/>
        <v>1663.2745144040471</v>
      </c>
      <c r="N37" s="346">
        <f t="shared" si="14"/>
        <v>1263.6317895816364</v>
      </c>
      <c r="O37" s="346">
        <f t="shared" si="14"/>
        <v>4668.5615154524357</v>
      </c>
      <c r="P37" s="346">
        <f t="shared" si="14"/>
        <v>7012.0095805698675</v>
      </c>
      <c r="Q37" s="346">
        <f t="shared" si="14"/>
        <v>7294.6294104607341</v>
      </c>
      <c r="R37" s="346">
        <f t="shared" si="14"/>
        <v>3823.4524229627827</v>
      </c>
      <c r="S37" s="346">
        <f t="shared" si="14"/>
        <v>4477.1780410435458</v>
      </c>
      <c r="T37" s="346">
        <f t="shared" si="14"/>
        <v>5976.3803832549256</v>
      </c>
      <c r="U37" s="346">
        <f t="shared" si="14"/>
        <v>8474.5060115676715</v>
      </c>
      <c r="V37" s="346"/>
    </row>
    <row r="38" spans="1:22" x14ac:dyDescent="0.2">
      <c r="A38" s="390" t="s">
        <v>141</v>
      </c>
      <c r="B38" s="392">
        <f>SUM(D38:V38)</f>
        <v>20826.7407731192</v>
      </c>
      <c r="C38" s="346">
        <f>B38-'PG&amp;E_Summary'!B38-SCE_Summary!B38</f>
        <v>0</v>
      </c>
      <c r="D38" s="346">
        <v>0</v>
      </c>
      <c r="E38" s="346">
        <v>0</v>
      </c>
      <c r="F38" s="346"/>
      <c r="G38" s="346">
        <f t="shared" ref="G38:U38" si="15">(G18-G17)*G3/1000</f>
        <v>6965.0202399930877</v>
      </c>
      <c r="H38" s="346">
        <f t="shared" si="15"/>
        <v>542.04522048340209</v>
      </c>
      <c r="I38" s="346">
        <f t="shared" si="15"/>
        <v>-2272.8005927982113</v>
      </c>
      <c r="J38" s="346">
        <f t="shared" si="15"/>
        <v>-4869.7158191778281</v>
      </c>
      <c r="K38" s="346">
        <f t="shared" si="15"/>
        <v>-6519.0648917595663</v>
      </c>
      <c r="L38" s="346">
        <f t="shared" si="15"/>
        <v>-628.79116565555898</v>
      </c>
      <c r="M38" s="346">
        <f t="shared" si="15"/>
        <v>-490.93885397238296</v>
      </c>
      <c r="N38" s="346">
        <f t="shared" si="15"/>
        <v>-3778.0418849563848</v>
      </c>
      <c r="O38" s="346">
        <f t="shared" si="15"/>
        <v>-5179.1273288968887</v>
      </c>
      <c r="P38" s="346">
        <f t="shared" si="15"/>
        <v>7012.0095805698675</v>
      </c>
      <c r="Q38" s="346">
        <f t="shared" si="15"/>
        <v>7294.6294104607341</v>
      </c>
      <c r="R38" s="346">
        <f t="shared" si="15"/>
        <v>3823.4524229627827</v>
      </c>
      <c r="S38" s="346">
        <f t="shared" si="15"/>
        <v>4477.1780410435458</v>
      </c>
      <c r="T38" s="346">
        <f t="shared" si="15"/>
        <v>5976.3803832549256</v>
      </c>
      <c r="U38" s="346">
        <f t="shared" si="15"/>
        <v>8474.5060115676715</v>
      </c>
      <c r="V38" s="346"/>
    </row>
    <row r="39" spans="1:22" x14ac:dyDescent="0.2">
      <c r="A39" s="3" t="s">
        <v>142</v>
      </c>
      <c r="B39" s="346"/>
      <c r="C39" s="346">
        <f>B39-'PG&amp;E_Summary'!B39-SCE_Summary!B39</f>
        <v>0</v>
      </c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</row>
    <row r="40" spans="1:22" x14ac:dyDescent="0.2">
      <c r="A40" s="390" t="s">
        <v>140</v>
      </c>
      <c r="B40" s="392">
        <f>SUM(D40:V40)</f>
        <v>-45043.335908498906</v>
      </c>
      <c r="C40" s="346">
        <f>B40-'PG&amp;E_Summary'!B40-SCE_Summary!B40</f>
        <v>4.3655745685100555E-11</v>
      </c>
      <c r="D40" s="346"/>
      <c r="E40" s="346"/>
      <c r="F40" s="346"/>
      <c r="G40" s="346">
        <f t="shared" ref="G40:U40" si="16">G37</f>
        <v>-36896.823434812803</v>
      </c>
      <c r="H40" s="346">
        <f t="shared" si="16"/>
        <v>-31200.002457386148</v>
      </c>
      <c r="I40" s="346">
        <f t="shared" si="16"/>
        <v>-8730.1539557928991</v>
      </c>
      <c r="J40" s="346">
        <f t="shared" si="16"/>
        <v>-7066.8146613207327</v>
      </c>
      <c r="K40" s="346">
        <f t="shared" si="16"/>
        <v>-5664.1758862347124</v>
      </c>
      <c r="L40" s="346">
        <f t="shared" si="16"/>
        <v>-138.98918224928536</v>
      </c>
      <c r="M40" s="346">
        <f t="shared" si="16"/>
        <v>1663.2745144040471</v>
      </c>
      <c r="N40" s="346">
        <f t="shared" si="16"/>
        <v>1263.6317895816364</v>
      </c>
      <c r="O40" s="346">
        <f t="shared" si="16"/>
        <v>4668.5615154524357</v>
      </c>
      <c r="P40" s="346">
        <f t="shared" si="16"/>
        <v>7012.0095805698675</v>
      </c>
      <c r="Q40" s="346">
        <f t="shared" si="16"/>
        <v>7294.6294104607341</v>
      </c>
      <c r="R40" s="346">
        <f t="shared" si="16"/>
        <v>3823.4524229627827</v>
      </c>
      <c r="S40" s="346">
        <f t="shared" si="16"/>
        <v>4477.1780410435458</v>
      </c>
      <c r="T40" s="346">
        <f t="shared" si="16"/>
        <v>5976.3803832549256</v>
      </c>
      <c r="U40" s="346">
        <f t="shared" si="16"/>
        <v>8474.5060115676715</v>
      </c>
      <c r="V40" s="346"/>
    </row>
    <row r="41" spans="1:22" x14ac:dyDescent="0.2">
      <c r="A41" s="390" t="s">
        <v>141</v>
      </c>
      <c r="B41" s="392">
        <f>SUM(D41:V41)</f>
        <v>20826.7407731192</v>
      </c>
      <c r="C41" s="346">
        <f>B41-'PG&amp;E_Summary'!B41-SCE_Summary!B41</f>
        <v>0</v>
      </c>
      <c r="D41" s="346"/>
      <c r="E41" s="346"/>
      <c r="F41" s="346"/>
      <c r="G41" s="346">
        <f t="shared" ref="G41:U41" si="17">G38</f>
        <v>6965.0202399930877</v>
      </c>
      <c r="H41" s="346">
        <f t="shared" si="17"/>
        <v>542.04522048340209</v>
      </c>
      <c r="I41" s="346">
        <f t="shared" si="17"/>
        <v>-2272.8005927982113</v>
      </c>
      <c r="J41" s="346">
        <f t="shared" si="17"/>
        <v>-4869.7158191778281</v>
      </c>
      <c r="K41" s="346">
        <f t="shared" si="17"/>
        <v>-6519.0648917595663</v>
      </c>
      <c r="L41" s="346">
        <f t="shared" si="17"/>
        <v>-628.79116565555898</v>
      </c>
      <c r="M41" s="346">
        <f t="shared" si="17"/>
        <v>-490.93885397238296</v>
      </c>
      <c r="N41" s="346">
        <f t="shared" si="17"/>
        <v>-3778.0418849563848</v>
      </c>
      <c r="O41" s="346">
        <f t="shared" si="17"/>
        <v>-5179.1273288968887</v>
      </c>
      <c r="P41" s="346">
        <f t="shared" si="17"/>
        <v>7012.0095805698675</v>
      </c>
      <c r="Q41" s="346">
        <f t="shared" si="17"/>
        <v>7294.6294104607341</v>
      </c>
      <c r="R41" s="346">
        <f t="shared" si="17"/>
        <v>3823.4524229627827</v>
      </c>
      <c r="S41" s="346">
        <f t="shared" si="17"/>
        <v>4477.1780410435458</v>
      </c>
      <c r="T41" s="346">
        <f t="shared" si="17"/>
        <v>5976.3803832549256</v>
      </c>
      <c r="U41" s="346">
        <f t="shared" si="17"/>
        <v>8474.5060115676715</v>
      </c>
      <c r="V41" s="346"/>
    </row>
    <row r="42" spans="1:22" x14ac:dyDescent="0.2">
      <c r="A42" s="3"/>
      <c r="B42" s="346"/>
      <c r="C42" s="346">
        <f>B42-'PG&amp;E_Summary'!B42-SCE_Summary!B42</f>
        <v>0</v>
      </c>
      <c r="D42" s="346"/>
      <c r="E42" s="346"/>
      <c r="F42" s="346"/>
      <c r="G42" s="346"/>
      <c r="H42" s="346"/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</row>
    <row r="43" spans="1:22" x14ac:dyDescent="0.2">
      <c r="A43" s="3" t="s">
        <v>133</v>
      </c>
      <c r="B43" s="392">
        <f>SUM(D43:V43)</f>
        <v>136817.46299842163</v>
      </c>
      <c r="C43" s="346">
        <f>B43-'PG&amp;E_Summary'!B43-SCE_Summary!B43</f>
        <v>0</v>
      </c>
      <c r="D43" s="346">
        <f t="shared" ref="D43:V43" si="18">-D30</f>
        <v>0</v>
      </c>
      <c r="E43" s="346">
        <f t="shared" si="18"/>
        <v>0</v>
      </c>
      <c r="F43" s="346">
        <f t="shared" si="18"/>
        <v>3127.8057850090299</v>
      </c>
      <c r="G43" s="346">
        <f t="shared" si="18"/>
        <v>2904.3910860798137</v>
      </c>
      <c r="H43" s="346">
        <f t="shared" si="18"/>
        <v>2345.9680307275808</v>
      </c>
      <c r="I43" s="346">
        <f t="shared" si="18"/>
        <v>620.62988850697286</v>
      </c>
      <c r="J43" s="346">
        <f t="shared" si="18"/>
        <v>444.91580268774328</v>
      </c>
      <c r="K43" s="346">
        <f t="shared" si="18"/>
        <v>481.04791518527236</v>
      </c>
      <c r="L43" s="346">
        <f t="shared" si="18"/>
        <v>385.73406948568999</v>
      </c>
      <c r="M43" s="346">
        <f t="shared" si="18"/>
        <v>1181.6727133487711</v>
      </c>
      <c r="N43" s="346">
        <f t="shared" si="18"/>
        <v>3144.4782987195981</v>
      </c>
      <c r="O43" s="346">
        <f t="shared" si="18"/>
        <v>5191.4612034478805</v>
      </c>
      <c r="P43" s="346">
        <f t="shared" si="18"/>
        <v>6069.6328885725743</v>
      </c>
      <c r="Q43" s="346">
        <f t="shared" si="18"/>
        <v>5538.0459250244076</v>
      </c>
      <c r="R43" s="346">
        <f t="shared" si="18"/>
        <v>5311.1493702682819</v>
      </c>
      <c r="S43" s="346">
        <f t="shared" si="18"/>
        <v>4949.8561058199912</v>
      </c>
      <c r="T43" s="346">
        <f t="shared" si="18"/>
        <v>4583.6959456851118</v>
      </c>
      <c r="U43" s="346">
        <f t="shared" si="18"/>
        <v>5031.6314924345961</v>
      </c>
      <c r="V43" s="346">
        <f t="shared" si="18"/>
        <v>85505.346477418308</v>
      </c>
    </row>
    <row r="44" spans="1:22" x14ac:dyDescent="0.2">
      <c r="A44" s="3" t="s">
        <v>146</v>
      </c>
      <c r="B44" s="392">
        <f>SUM(D44:V44)</f>
        <v>122180.81940867114</v>
      </c>
      <c r="C44" s="346">
        <f>B44-'PG&amp;E_Summary'!B44-SCE_Summary!B44</f>
        <v>0</v>
      </c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>
        <f>-O30</f>
        <v>5191.4612034478805</v>
      </c>
      <c r="P44" s="346">
        <f t="shared" ref="P44:V44" si="19">-P30</f>
        <v>6069.6328885725743</v>
      </c>
      <c r="Q44" s="346">
        <f t="shared" si="19"/>
        <v>5538.0459250244076</v>
      </c>
      <c r="R44" s="346">
        <f t="shared" si="19"/>
        <v>5311.1493702682819</v>
      </c>
      <c r="S44" s="346">
        <f t="shared" si="19"/>
        <v>4949.8561058199912</v>
      </c>
      <c r="T44" s="346">
        <f t="shared" si="19"/>
        <v>4583.6959456851118</v>
      </c>
      <c r="U44" s="346">
        <f t="shared" si="19"/>
        <v>5031.6314924345961</v>
      </c>
      <c r="V44" s="346">
        <f t="shared" si="19"/>
        <v>85505.346477418308</v>
      </c>
    </row>
    <row r="45" spans="1:22" x14ac:dyDescent="0.2">
      <c r="A45" s="3" t="s">
        <v>165</v>
      </c>
      <c r="B45" s="392">
        <f>SUM(D45:V45)</f>
        <v>-141656.00234439503</v>
      </c>
      <c r="C45" s="346">
        <f>B45-'PG&amp;E_Summary'!B45-SCE_Summary!B45</f>
        <v>0</v>
      </c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>
        <f t="shared" ref="O45:U45" si="20">-O10*O3/1000</f>
        <v>-23407.886960217878</v>
      </c>
      <c r="P45" s="346">
        <f t="shared" si="20"/>
        <v>-26681.108170064286</v>
      </c>
      <c r="Q45" s="346">
        <f t="shared" si="20"/>
        <v>-19973.215877269751</v>
      </c>
      <c r="R45" s="346">
        <f t="shared" si="20"/>
        <v>-19087.839234958268</v>
      </c>
      <c r="S45" s="346">
        <f t="shared" si="20"/>
        <v>-17840.543635435461</v>
      </c>
      <c r="T45" s="346">
        <f t="shared" si="20"/>
        <v>-16528.576108680809</v>
      </c>
      <c r="U45" s="346">
        <f t="shared" si="20"/>
        <v>-18136.832357768566</v>
      </c>
      <c r="V45" s="346"/>
    </row>
    <row r="46" spans="1:22" x14ac:dyDescent="0.2">
      <c r="A46" s="3"/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</row>
    <row r="47" spans="1:22" x14ac:dyDescent="0.2">
      <c r="A47" s="3"/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</row>
    <row r="48" spans="1:22" x14ac:dyDescent="0.2">
      <c r="A48" s="391"/>
      <c r="B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</row>
    <row r="49" spans="1:22" x14ac:dyDescent="0.2">
      <c r="A49" s="2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6"/>
      <c r="P49" s="346"/>
      <c r="Q49" s="346"/>
      <c r="R49" s="346"/>
      <c r="S49" s="346"/>
      <c r="T49" s="346"/>
      <c r="U49" s="346"/>
      <c r="V49" s="346"/>
    </row>
    <row r="50" spans="1:22" x14ac:dyDescent="0.2">
      <c r="A50" s="2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</row>
    <row r="51" spans="1:22" x14ac:dyDescent="0.2">
      <c r="A51" s="2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</row>
    <row r="52" spans="1:22" x14ac:dyDescent="0.2">
      <c r="A52" s="2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</row>
    <row r="53" spans="1:22" x14ac:dyDescent="0.2">
      <c r="A53" s="2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</row>
    <row r="54" spans="1:22" x14ac:dyDescent="0.2">
      <c r="A54" s="2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</row>
    <row r="55" spans="1:22" x14ac:dyDescent="0.2">
      <c r="A55" s="2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</row>
    <row r="56" spans="1:22" x14ac:dyDescent="0.2"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  <c r="P56" s="346"/>
      <c r="Q56" s="346"/>
      <c r="R56" s="346"/>
      <c r="S56" s="346"/>
      <c r="T56" s="346"/>
      <c r="U56" s="346"/>
      <c r="V56" s="346"/>
    </row>
    <row r="57" spans="1:22" x14ac:dyDescent="0.2"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</row>
    <row r="58" spans="1:22" x14ac:dyDescent="0.2"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346"/>
      <c r="S58" s="346"/>
      <c r="T58" s="346"/>
      <c r="U58" s="346"/>
      <c r="V58" s="346"/>
    </row>
    <row r="59" spans="1:22" x14ac:dyDescent="0.2"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</row>
    <row r="60" spans="1:22" x14ac:dyDescent="0.2"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</row>
    <row r="61" spans="1:22" x14ac:dyDescent="0.2"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</row>
    <row r="62" spans="1:22" x14ac:dyDescent="0.2"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</row>
    <row r="63" spans="1:22" x14ac:dyDescent="0.2"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</row>
    <row r="64" spans="1:22" x14ac:dyDescent="0.2"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</row>
    <row r="65" spans="4:22" x14ac:dyDescent="0.2"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</row>
    <row r="66" spans="4:22" x14ac:dyDescent="0.2"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46"/>
      <c r="P66" s="346"/>
      <c r="Q66" s="346"/>
      <c r="R66" s="346"/>
      <c r="S66" s="346"/>
      <c r="T66" s="346"/>
      <c r="U66" s="346"/>
      <c r="V66" s="346"/>
    </row>
    <row r="67" spans="4:22" x14ac:dyDescent="0.2"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</row>
    <row r="68" spans="4:22" x14ac:dyDescent="0.2"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</row>
    <row r="69" spans="4:22" x14ac:dyDescent="0.2"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</row>
    <row r="70" spans="4:22" x14ac:dyDescent="0.2"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</row>
    <row r="71" spans="4:22" x14ac:dyDescent="0.2"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</row>
    <row r="72" spans="4:22" x14ac:dyDescent="0.2">
      <c r="D72" s="336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</row>
    <row r="73" spans="4:22" x14ac:dyDescent="0.2">
      <c r="D73" s="336"/>
      <c r="E73" s="336"/>
      <c r="F73" s="336"/>
      <c r="G73" s="336"/>
      <c r="H73" s="336"/>
      <c r="I73" s="336"/>
      <c r="J73" s="336"/>
      <c r="K73" s="336"/>
      <c r="L73" s="336"/>
      <c r="M73" s="336"/>
      <c r="N73" s="336"/>
      <c r="O73" s="336"/>
      <c r="P73" s="336"/>
      <c r="Q73" s="336"/>
      <c r="R73" s="336"/>
      <c r="S73" s="336"/>
      <c r="T73" s="336"/>
      <c r="U73" s="336"/>
      <c r="V73" s="336"/>
    </row>
    <row r="74" spans="4:22" x14ac:dyDescent="0.2">
      <c r="D74" s="336"/>
      <c r="E74" s="336"/>
      <c r="F74" s="336"/>
      <c r="G74" s="336"/>
      <c r="H74" s="336"/>
      <c r="I74" s="336"/>
      <c r="J74" s="336"/>
      <c r="K74" s="336"/>
      <c r="L74" s="336"/>
      <c r="M74" s="336"/>
      <c r="N74" s="336"/>
      <c r="O74" s="336"/>
      <c r="P74" s="336"/>
      <c r="Q74" s="336"/>
      <c r="R74" s="336"/>
      <c r="S74" s="336"/>
      <c r="T74" s="336"/>
      <c r="U74" s="336"/>
      <c r="V74" s="336"/>
    </row>
    <row r="75" spans="4:22" x14ac:dyDescent="0.2">
      <c r="D75" s="336"/>
      <c r="E75" s="336"/>
      <c r="F75" s="336"/>
      <c r="G75" s="336"/>
      <c r="H75" s="336"/>
      <c r="I75" s="336"/>
      <c r="J75" s="336"/>
      <c r="K75" s="336"/>
      <c r="L75" s="336"/>
      <c r="M75" s="336"/>
      <c r="N75" s="336"/>
      <c r="O75" s="336"/>
      <c r="P75" s="336"/>
      <c r="Q75" s="336"/>
      <c r="R75" s="336"/>
      <c r="S75" s="336"/>
      <c r="T75" s="336"/>
      <c r="U75" s="336"/>
      <c r="V75" s="336"/>
    </row>
    <row r="76" spans="4:22" x14ac:dyDescent="0.2"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</row>
    <row r="77" spans="4:22" x14ac:dyDescent="0.2">
      <c r="D77" s="336"/>
      <c r="E77" s="336"/>
      <c r="F77" s="336"/>
      <c r="G77" s="336"/>
      <c r="H77" s="336"/>
      <c r="I77" s="336"/>
      <c r="J77" s="336"/>
      <c r="K77" s="336"/>
      <c r="L77" s="336"/>
      <c r="M77" s="336"/>
      <c r="N77" s="336"/>
      <c r="O77" s="336"/>
      <c r="P77" s="336"/>
      <c r="Q77" s="336"/>
      <c r="R77" s="336"/>
      <c r="S77" s="336"/>
      <c r="T77" s="336"/>
      <c r="U77" s="336"/>
      <c r="V77" s="336"/>
    </row>
    <row r="78" spans="4:22" x14ac:dyDescent="0.2"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</row>
    <row r="79" spans="4:22" x14ac:dyDescent="0.2"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6"/>
      <c r="R79" s="336"/>
      <c r="S79" s="336"/>
      <c r="T79" s="336"/>
      <c r="U79" s="336"/>
      <c r="V79" s="336"/>
    </row>
    <row r="80" spans="4:22" x14ac:dyDescent="0.2"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</row>
    <row r="81" spans="4:22" x14ac:dyDescent="0.2">
      <c r="D81" s="336"/>
      <c r="E81" s="336"/>
      <c r="F81" s="336"/>
      <c r="G81" s="336"/>
      <c r="H81" s="336"/>
      <c r="I81" s="336"/>
      <c r="J81" s="336"/>
      <c r="K81" s="336"/>
      <c r="L81" s="336"/>
      <c r="M81" s="336"/>
      <c r="N81" s="336"/>
      <c r="O81" s="336"/>
      <c r="P81" s="336"/>
      <c r="Q81" s="336"/>
      <c r="R81" s="336"/>
      <c r="S81" s="336"/>
      <c r="T81" s="336"/>
      <c r="U81" s="336"/>
      <c r="V81" s="336"/>
    </row>
    <row r="82" spans="4:22" x14ac:dyDescent="0.2"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</row>
    <row r="83" spans="4:22" x14ac:dyDescent="0.2"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</row>
    <row r="84" spans="4:22" x14ac:dyDescent="0.2"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</row>
    <row r="85" spans="4:22" x14ac:dyDescent="0.2">
      <c r="D85" s="336"/>
      <c r="E85" s="336"/>
      <c r="F85" s="336"/>
      <c r="G85" s="336"/>
      <c r="H85" s="336"/>
      <c r="I85" s="336"/>
      <c r="J85" s="336"/>
      <c r="K85" s="336"/>
      <c r="L85" s="336"/>
      <c r="M85" s="336"/>
      <c r="N85" s="336"/>
      <c r="O85" s="336"/>
      <c r="P85" s="336"/>
      <c r="Q85" s="336"/>
      <c r="R85" s="336"/>
      <c r="S85" s="336"/>
      <c r="T85" s="336"/>
      <c r="U85" s="336"/>
      <c r="V85" s="336"/>
    </row>
    <row r="86" spans="4:22" x14ac:dyDescent="0.2"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6"/>
      <c r="P86" s="336"/>
      <c r="Q86" s="336"/>
      <c r="R86" s="336"/>
      <c r="S86" s="336"/>
      <c r="T86" s="336"/>
      <c r="U86" s="336"/>
      <c r="V86" s="336"/>
    </row>
    <row r="87" spans="4:22" x14ac:dyDescent="0.2"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</row>
    <row r="88" spans="4:22" x14ac:dyDescent="0.2">
      <c r="D88" s="336"/>
      <c r="E88" s="336"/>
      <c r="F88" s="336"/>
      <c r="G88" s="336"/>
      <c r="H88" s="336"/>
      <c r="I88" s="336"/>
      <c r="J88" s="336"/>
      <c r="K88" s="336"/>
      <c r="L88" s="336"/>
      <c r="M88" s="336"/>
      <c r="N88" s="336"/>
      <c r="O88" s="336"/>
      <c r="P88" s="336"/>
      <c r="Q88" s="336"/>
      <c r="R88" s="336"/>
      <c r="S88" s="336"/>
      <c r="T88" s="336"/>
      <c r="U88" s="336"/>
      <c r="V88" s="336"/>
    </row>
    <row r="89" spans="4:22" x14ac:dyDescent="0.2">
      <c r="D89" s="336"/>
      <c r="E89" s="336"/>
      <c r="F89" s="336"/>
      <c r="G89" s="336"/>
      <c r="H89" s="336"/>
      <c r="I89" s="336"/>
      <c r="J89" s="336"/>
      <c r="K89" s="336"/>
      <c r="L89" s="336"/>
      <c r="M89" s="336"/>
      <c r="N89" s="336"/>
      <c r="O89" s="336"/>
      <c r="P89" s="336"/>
      <c r="Q89" s="336"/>
      <c r="R89" s="336"/>
      <c r="S89" s="336"/>
      <c r="T89" s="336"/>
      <c r="U89" s="336"/>
      <c r="V89" s="336"/>
    </row>
    <row r="90" spans="4:22" x14ac:dyDescent="0.2">
      <c r="D90" s="336"/>
      <c r="E90" s="336"/>
      <c r="F90" s="336"/>
      <c r="G90" s="336"/>
      <c r="H90" s="336"/>
      <c r="I90" s="336"/>
      <c r="J90" s="336"/>
      <c r="K90" s="336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</row>
    <row r="91" spans="4:22" x14ac:dyDescent="0.2">
      <c r="D91" s="336"/>
      <c r="E91" s="336"/>
      <c r="F91" s="336"/>
      <c r="G91" s="336"/>
      <c r="H91" s="336"/>
      <c r="I91" s="336"/>
      <c r="J91" s="336"/>
      <c r="K91" s="336"/>
      <c r="L91" s="336"/>
      <c r="M91" s="336"/>
      <c r="N91" s="336"/>
      <c r="O91" s="336"/>
      <c r="P91" s="336"/>
      <c r="Q91" s="336"/>
      <c r="R91" s="336"/>
      <c r="S91" s="336"/>
      <c r="T91" s="336"/>
      <c r="U91" s="336"/>
      <c r="V91" s="336"/>
    </row>
    <row r="92" spans="4:22" x14ac:dyDescent="0.2">
      <c r="D92" s="336"/>
      <c r="E92" s="336"/>
      <c r="F92" s="336"/>
      <c r="G92" s="336"/>
      <c r="H92" s="336"/>
      <c r="I92" s="336"/>
      <c r="J92" s="336"/>
      <c r="K92" s="336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</row>
    <row r="93" spans="4:22" x14ac:dyDescent="0.2"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</row>
    <row r="94" spans="4:22" x14ac:dyDescent="0.2">
      <c r="D94" s="336"/>
      <c r="E94" s="336"/>
      <c r="F94" s="336"/>
      <c r="G94" s="336"/>
      <c r="H94" s="336"/>
      <c r="I94" s="336"/>
      <c r="J94" s="336"/>
      <c r="K94" s="336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</row>
    <row r="95" spans="4:22" x14ac:dyDescent="0.2">
      <c r="D95" s="336"/>
      <c r="E95" s="336"/>
      <c r="F95" s="336"/>
      <c r="G95" s="336"/>
      <c r="H95" s="336"/>
      <c r="I95" s="336"/>
      <c r="J95" s="336"/>
      <c r="K95" s="336"/>
      <c r="L95" s="336"/>
      <c r="M95" s="336"/>
      <c r="N95" s="336"/>
      <c r="O95" s="336"/>
      <c r="P95" s="336"/>
      <c r="Q95" s="336"/>
      <c r="R95" s="336"/>
      <c r="S95" s="336"/>
      <c r="T95" s="336"/>
      <c r="U95" s="336"/>
      <c r="V95" s="336"/>
    </row>
    <row r="96" spans="4:22" x14ac:dyDescent="0.2"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6"/>
      <c r="P96" s="336"/>
      <c r="Q96" s="336"/>
      <c r="R96" s="336"/>
      <c r="S96" s="336"/>
      <c r="T96" s="336"/>
      <c r="U96" s="336"/>
      <c r="V96" s="336"/>
    </row>
    <row r="97" spans="4:22" x14ac:dyDescent="0.2"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6"/>
      <c r="P97" s="336"/>
      <c r="Q97" s="336"/>
      <c r="R97" s="336"/>
      <c r="S97" s="336"/>
      <c r="T97" s="336"/>
      <c r="U97" s="336"/>
      <c r="V97" s="336"/>
    </row>
    <row r="98" spans="4:22" x14ac:dyDescent="0.2">
      <c r="D98" s="336"/>
      <c r="E98" s="336"/>
      <c r="F98" s="336"/>
      <c r="G98" s="336"/>
      <c r="H98" s="336"/>
      <c r="I98" s="336"/>
      <c r="J98" s="336"/>
      <c r="K98" s="336"/>
      <c r="L98" s="336"/>
      <c r="M98" s="336"/>
      <c r="N98" s="336"/>
      <c r="O98" s="336"/>
      <c r="P98" s="336"/>
      <c r="Q98" s="336"/>
      <c r="R98" s="336"/>
      <c r="S98" s="336"/>
      <c r="T98" s="336"/>
      <c r="U98" s="336"/>
      <c r="V98" s="336"/>
    </row>
    <row r="99" spans="4:22" x14ac:dyDescent="0.2">
      <c r="D99" s="336"/>
      <c r="E99" s="336"/>
      <c r="F99" s="336"/>
      <c r="G99" s="336"/>
      <c r="H99" s="336"/>
      <c r="I99" s="336"/>
      <c r="J99" s="336"/>
      <c r="K99" s="336"/>
      <c r="L99" s="336"/>
      <c r="M99" s="336"/>
      <c r="N99" s="336"/>
      <c r="O99" s="336"/>
      <c r="P99" s="336"/>
      <c r="Q99" s="336"/>
      <c r="R99" s="336"/>
      <c r="S99" s="336"/>
      <c r="T99" s="336"/>
      <c r="U99" s="336"/>
      <c r="V99" s="336"/>
    </row>
    <row r="100" spans="4:22" x14ac:dyDescent="0.2"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</row>
    <row r="101" spans="4:22" x14ac:dyDescent="0.2"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</row>
    <row r="102" spans="4:22" x14ac:dyDescent="0.2"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</row>
    <row r="103" spans="4:22" x14ac:dyDescent="0.2"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6"/>
      <c r="P103" s="336"/>
      <c r="Q103" s="336"/>
      <c r="R103" s="336"/>
      <c r="S103" s="336"/>
      <c r="T103" s="336"/>
      <c r="U103" s="336"/>
      <c r="V103" s="336"/>
    </row>
    <row r="104" spans="4:22" x14ac:dyDescent="0.2"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</row>
    <row r="105" spans="4:22" x14ac:dyDescent="0.2">
      <c r="D105" s="336"/>
      <c r="E105" s="336"/>
      <c r="F105" s="336"/>
      <c r="G105" s="336"/>
      <c r="H105" s="336"/>
      <c r="I105" s="336"/>
      <c r="J105" s="336"/>
      <c r="K105" s="336"/>
      <c r="L105" s="336"/>
      <c r="M105" s="336"/>
      <c r="N105" s="336"/>
      <c r="O105" s="336"/>
      <c r="P105" s="336"/>
      <c r="Q105" s="336"/>
      <c r="R105" s="336"/>
      <c r="S105" s="336"/>
      <c r="T105" s="336"/>
      <c r="U105" s="336"/>
      <c r="V105" s="336"/>
    </row>
    <row r="106" spans="4:22" x14ac:dyDescent="0.2"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</row>
    <row r="107" spans="4:22" x14ac:dyDescent="0.2">
      <c r="D107" s="336"/>
      <c r="E107" s="336"/>
      <c r="F107" s="336"/>
      <c r="G107" s="336"/>
      <c r="H107" s="336"/>
      <c r="I107" s="336"/>
      <c r="J107" s="336"/>
      <c r="K107" s="336"/>
      <c r="L107" s="336"/>
      <c r="M107" s="336"/>
      <c r="N107" s="336"/>
      <c r="O107" s="336"/>
      <c r="P107" s="336"/>
      <c r="Q107" s="336"/>
      <c r="R107" s="336"/>
      <c r="S107" s="336"/>
      <c r="T107" s="336"/>
      <c r="U107" s="336"/>
      <c r="V107" s="336"/>
    </row>
    <row r="108" spans="4:22" x14ac:dyDescent="0.2"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</row>
    <row r="109" spans="4:22" x14ac:dyDescent="0.2"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6"/>
      <c r="P109" s="336"/>
      <c r="Q109" s="336"/>
      <c r="R109" s="336"/>
      <c r="S109" s="336"/>
      <c r="T109" s="336"/>
      <c r="U109" s="336"/>
      <c r="V109" s="336"/>
    </row>
    <row r="110" spans="4:22" x14ac:dyDescent="0.2">
      <c r="D110" s="336"/>
      <c r="E110" s="336"/>
      <c r="F110" s="336"/>
      <c r="G110" s="336"/>
      <c r="H110" s="336"/>
      <c r="I110" s="336"/>
      <c r="J110" s="336"/>
      <c r="K110" s="336"/>
      <c r="L110" s="336"/>
      <c r="M110" s="336"/>
      <c r="N110" s="336"/>
      <c r="O110" s="336"/>
      <c r="P110" s="336"/>
      <c r="Q110" s="336"/>
      <c r="R110" s="336"/>
      <c r="S110" s="336"/>
      <c r="T110" s="336"/>
      <c r="U110" s="336"/>
      <c r="V110" s="336"/>
    </row>
    <row r="111" spans="4:22" x14ac:dyDescent="0.2">
      <c r="D111" s="336"/>
      <c r="E111" s="336"/>
      <c r="F111" s="336"/>
      <c r="G111" s="336"/>
      <c r="H111" s="336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6"/>
      <c r="T111" s="336"/>
      <c r="U111" s="336"/>
      <c r="V111" s="336"/>
    </row>
    <row r="112" spans="4:22" x14ac:dyDescent="0.2"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</row>
    <row r="113" spans="4:22" x14ac:dyDescent="0.2"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36"/>
      <c r="T113" s="336"/>
      <c r="U113" s="336"/>
      <c r="V113" s="336"/>
    </row>
    <row r="114" spans="4:22" x14ac:dyDescent="0.2"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4:22" x14ac:dyDescent="0.2"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36"/>
      <c r="T115" s="336"/>
      <c r="U115" s="336"/>
      <c r="V115" s="336"/>
    </row>
    <row r="116" spans="4:22" x14ac:dyDescent="0.2">
      <c r="D116" s="336"/>
      <c r="E116" s="336"/>
      <c r="F116" s="336"/>
      <c r="G116" s="336"/>
      <c r="H116" s="336"/>
      <c r="I116" s="336"/>
      <c r="J116" s="336"/>
      <c r="K116" s="336"/>
      <c r="L116" s="336"/>
      <c r="M116" s="336"/>
      <c r="N116" s="336"/>
      <c r="O116" s="336"/>
      <c r="P116" s="336"/>
      <c r="Q116" s="336"/>
      <c r="R116" s="336"/>
      <c r="S116" s="336"/>
      <c r="T116" s="336"/>
      <c r="U116" s="336"/>
      <c r="V116" s="336"/>
    </row>
    <row r="117" spans="4:22" x14ac:dyDescent="0.2">
      <c r="D117" s="336"/>
      <c r="E117" s="336"/>
      <c r="F117" s="336"/>
      <c r="G117" s="336"/>
      <c r="H117" s="336"/>
      <c r="I117" s="336"/>
      <c r="J117" s="336"/>
      <c r="K117" s="336"/>
      <c r="L117" s="336"/>
      <c r="M117" s="336"/>
      <c r="N117" s="336"/>
      <c r="O117" s="336"/>
      <c r="P117" s="336"/>
      <c r="Q117" s="336"/>
      <c r="R117" s="336"/>
      <c r="S117" s="336"/>
      <c r="T117" s="336"/>
      <c r="U117" s="336"/>
      <c r="V117" s="336"/>
    </row>
    <row r="118" spans="4:22" x14ac:dyDescent="0.2"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</row>
    <row r="119" spans="4:22" x14ac:dyDescent="0.2"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6"/>
      <c r="P119" s="336"/>
      <c r="Q119" s="336"/>
      <c r="R119" s="336"/>
      <c r="S119" s="336"/>
      <c r="T119" s="336"/>
      <c r="U119" s="336"/>
      <c r="V119" s="336"/>
    </row>
    <row r="120" spans="4:22" x14ac:dyDescent="0.2"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</row>
    <row r="121" spans="4:22" x14ac:dyDescent="0.2">
      <c r="D121" s="336"/>
      <c r="E121" s="336"/>
      <c r="F121" s="336"/>
      <c r="G121" s="336"/>
      <c r="H121" s="336"/>
      <c r="I121" s="336"/>
      <c r="J121" s="336"/>
      <c r="K121" s="336"/>
      <c r="L121" s="336"/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</row>
    <row r="122" spans="4:22" x14ac:dyDescent="0.2">
      <c r="D122" s="336"/>
      <c r="E122" s="336"/>
      <c r="F122" s="336"/>
      <c r="G122" s="336"/>
      <c r="H122" s="336"/>
      <c r="I122" s="336"/>
      <c r="J122" s="336"/>
      <c r="K122" s="336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</row>
    <row r="123" spans="4:22" x14ac:dyDescent="0.2">
      <c r="D123" s="336"/>
    </row>
    <row r="124" spans="4:22" x14ac:dyDescent="0.2">
      <c r="D124" s="336"/>
    </row>
    <row r="125" spans="4:22" x14ac:dyDescent="0.2">
      <c r="D125" s="336"/>
    </row>
    <row r="126" spans="4:22" x14ac:dyDescent="0.2">
      <c r="D126" s="336"/>
    </row>
    <row r="127" spans="4:22" x14ac:dyDescent="0.2">
      <c r="D127" s="336"/>
    </row>
    <row r="128" spans="4:22" x14ac:dyDescent="0.2">
      <c r="D128" s="336"/>
    </row>
    <row r="129" spans="4:4" x14ac:dyDescent="0.2">
      <c r="D129" s="336"/>
    </row>
    <row r="130" spans="4:4" x14ac:dyDescent="0.2">
      <c r="D130" s="336"/>
    </row>
    <row r="131" spans="4:4" x14ac:dyDescent="0.2">
      <c r="D131" s="336"/>
    </row>
    <row r="132" spans="4:4" x14ac:dyDescent="0.2">
      <c r="D132" s="336"/>
    </row>
    <row r="133" spans="4:4" x14ac:dyDescent="0.2">
      <c r="D133" s="336"/>
    </row>
    <row r="134" spans="4:4" x14ac:dyDescent="0.2">
      <c r="D134" s="336"/>
    </row>
    <row r="135" spans="4:4" x14ac:dyDescent="0.2">
      <c r="D135" s="336"/>
    </row>
    <row r="136" spans="4:4" x14ac:dyDescent="0.2">
      <c r="D136" s="336"/>
    </row>
    <row r="137" spans="4:4" x14ac:dyDescent="0.2">
      <c r="D137" s="336"/>
    </row>
    <row r="138" spans="4:4" x14ac:dyDescent="0.2">
      <c r="D138" s="336"/>
    </row>
    <row r="139" spans="4:4" x14ac:dyDescent="0.2">
      <c r="D139" s="336"/>
    </row>
    <row r="140" spans="4:4" x14ac:dyDescent="0.2">
      <c r="D140" s="336"/>
    </row>
    <row r="141" spans="4:4" x14ac:dyDescent="0.2">
      <c r="D141" s="336"/>
    </row>
    <row r="142" spans="4:4" x14ac:dyDescent="0.2">
      <c r="D142" s="336"/>
    </row>
    <row r="143" spans="4:4" x14ac:dyDescent="0.2">
      <c r="D143" s="336"/>
    </row>
    <row r="144" spans="4:4" x14ac:dyDescent="0.2">
      <c r="D144" s="336"/>
    </row>
    <row r="145" spans="4:4" x14ac:dyDescent="0.2">
      <c r="D145" s="336"/>
    </row>
    <row r="146" spans="4:4" x14ac:dyDescent="0.2">
      <c r="D146" s="336"/>
    </row>
    <row r="147" spans="4:4" x14ac:dyDescent="0.2">
      <c r="D147" s="336"/>
    </row>
    <row r="148" spans="4:4" x14ac:dyDescent="0.2">
      <c r="D148" s="336"/>
    </row>
    <row r="149" spans="4:4" x14ac:dyDescent="0.2">
      <c r="D149" s="336"/>
    </row>
    <row r="150" spans="4:4" x14ac:dyDescent="0.2">
      <c r="D150" s="336"/>
    </row>
    <row r="151" spans="4:4" x14ac:dyDescent="0.2">
      <c r="D151" s="336"/>
    </row>
    <row r="152" spans="4:4" x14ac:dyDescent="0.2">
      <c r="D152" s="336"/>
    </row>
    <row r="153" spans="4:4" x14ac:dyDescent="0.2">
      <c r="D153" s="336"/>
    </row>
    <row r="154" spans="4:4" x14ac:dyDescent="0.2">
      <c r="D154" s="336"/>
    </row>
    <row r="155" spans="4:4" x14ac:dyDescent="0.2">
      <c r="D155" s="336"/>
    </row>
    <row r="156" spans="4:4" x14ac:dyDescent="0.2">
      <c r="D156" s="336"/>
    </row>
    <row r="157" spans="4:4" x14ac:dyDescent="0.2">
      <c r="D157" s="336"/>
    </row>
    <row r="158" spans="4:4" x14ac:dyDescent="0.2">
      <c r="D158" s="336"/>
    </row>
    <row r="159" spans="4:4" x14ac:dyDescent="0.2">
      <c r="D159" s="336"/>
    </row>
    <row r="160" spans="4:4" x14ac:dyDescent="0.2">
      <c r="D160" s="336"/>
    </row>
    <row r="161" spans="4:4" x14ac:dyDescent="0.2">
      <c r="D161" s="336"/>
    </row>
    <row r="162" spans="4:4" x14ac:dyDescent="0.2">
      <c r="D162" s="336"/>
    </row>
    <row r="163" spans="4:4" x14ac:dyDescent="0.2">
      <c r="D163" s="336"/>
    </row>
    <row r="164" spans="4:4" x14ac:dyDescent="0.2">
      <c r="D164" s="336"/>
    </row>
    <row r="165" spans="4:4" x14ac:dyDescent="0.2">
      <c r="D165" s="336"/>
    </row>
    <row r="166" spans="4:4" x14ac:dyDescent="0.2">
      <c r="D166" s="336"/>
    </row>
  </sheetData>
  <phoneticPr fontId="0" type="noConversion"/>
  <pageMargins left="0.5" right="0.5" top="0.5" bottom="0.5" header="0.5" footer="0.5"/>
  <pageSetup paperSize="5"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Macro1">
                <anchor moveWithCells="1" sizeWithCells="1">
                  <from>
                    <xdr:col>1</xdr:col>
                    <xdr:colOff>485775</xdr:colOff>
                    <xdr:row>2</xdr:row>
                    <xdr:rowOff>28575</xdr:rowOff>
                  </from>
                  <to>
                    <xdr:col>1</xdr:col>
                    <xdr:colOff>752475</xdr:colOff>
                    <xdr:row>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abSelected="1" workbookViewId="0"/>
  </sheetViews>
  <sheetFormatPr defaultRowHeight="12.75" x14ac:dyDescent="0.2"/>
  <cols>
    <col min="1" max="1" width="4" customWidth="1"/>
    <col min="2" max="2" width="33.28515625" customWidth="1"/>
    <col min="3" max="5" width="15.42578125" customWidth="1"/>
    <col min="6" max="6" width="2.7109375" customWidth="1"/>
    <col min="7" max="8" width="15.42578125" customWidth="1"/>
    <col min="9" max="9" width="2.7109375" customWidth="1"/>
    <col min="10" max="10" width="15.42578125" customWidth="1"/>
  </cols>
  <sheetData>
    <row r="1" spans="1:13" ht="15.75" x14ac:dyDescent="0.25">
      <c r="A1" s="341" t="s">
        <v>162</v>
      </c>
      <c r="B1" s="341"/>
    </row>
    <row r="2" spans="1:13" x14ac:dyDescent="0.2">
      <c r="A2" s="425" t="s">
        <v>161</v>
      </c>
      <c r="B2" s="425"/>
    </row>
    <row r="3" spans="1:13" x14ac:dyDescent="0.2">
      <c r="C3" s="428" t="s">
        <v>164</v>
      </c>
      <c r="D3" s="427"/>
      <c r="E3" s="427"/>
      <c r="G3" s="428" t="s">
        <v>163</v>
      </c>
      <c r="H3" s="427"/>
    </row>
    <row r="4" spans="1:13" x14ac:dyDescent="0.2">
      <c r="C4" s="406">
        <v>1</v>
      </c>
      <c r="D4" s="406">
        <v>2</v>
      </c>
      <c r="E4" s="406">
        <v>3</v>
      </c>
      <c r="F4" s="406"/>
      <c r="G4" s="406">
        <v>4</v>
      </c>
      <c r="H4" s="406">
        <v>5</v>
      </c>
      <c r="I4" s="406"/>
    </row>
    <row r="5" spans="1:13" ht="13.5" thickBot="1" x14ac:dyDescent="0.25">
      <c r="C5" s="411" t="s">
        <v>179</v>
      </c>
      <c r="D5" s="407" t="s">
        <v>150</v>
      </c>
      <c r="E5" s="412" t="s">
        <v>151</v>
      </c>
      <c r="F5" s="406"/>
      <c r="G5" s="411" t="s">
        <v>152</v>
      </c>
      <c r="H5" s="412" t="s">
        <v>155</v>
      </c>
      <c r="I5" s="406"/>
      <c r="J5" s="420" t="s">
        <v>95</v>
      </c>
    </row>
    <row r="6" spans="1:13" x14ac:dyDescent="0.2">
      <c r="C6" s="413"/>
      <c r="D6" s="12"/>
      <c r="E6" s="356"/>
      <c r="G6" s="413"/>
      <c r="H6" s="356"/>
      <c r="J6" s="421"/>
      <c r="M6" s="425"/>
    </row>
    <row r="7" spans="1:13" x14ac:dyDescent="0.2">
      <c r="A7" s="1" t="s">
        <v>160</v>
      </c>
      <c r="B7" s="1"/>
      <c r="C7" s="414">
        <f>ROUND(BOTH_Summary!F3,-3)</f>
        <v>313000</v>
      </c>
      <c r="D7" s="415">
        <f>ROUND(BOTH_Summary!G3,-3)</f>
        <v>290000</v>
      </c>
      <c r="E7" s="416">
        <f>ROUND(SUM(BOTH_Summary!H3:N3),-3)</f>
        <v>860000</v>
      </c>
      <c r="F7" s="408"/>
      <c r="G7" s="414">
        <f>ROUND(SUM(BOTH_Summary!O3:U3),-3)</f>
        <v>3668000</v>
      </c>
      <c r="H7" s="416">
        <f>ROUND(BOTH_Summary!V3,-3)</f>
        <v>8551000</v>
      </c>
      <c r="I7" s="408"/>
      <c r="J7" s="424">
        <f>SUM(C7:H7)</f>
        <v>13682000</v>
      </c>
    </row>
    <row r="8" spans="1:13" x14ac:dyDescent="0.2">
      <c r="A8" s="426" t="s">
        <v>177</v>
      </c>
      <c r="B8" s="426"/>
      <c r="C8" s="414"/>
      <c r="D8" s="415"/>
      <c r="E8" s="416"/>
      <c r="F8" s="408"/>
      <c r="G8" s="414"/>
      <c r="H8" s="416"/>
      <c r="I8" s="408"/>
      <c r="J8" s="422"/>
    </row>
    <row r="9" spans="1:13" x14ac:dyDescent="0.2">
      <c r="C9" s="414"/>
      <c r="D9" s="415"/>
      <c r="E9" s="416"/>
      <c r="F9" s="408"/>
      <c r="G9" s="414"/>
      <c r="H9" s="416"/>
      <c r="I9" s="408"/>
      <c r="J9" s="422"/>
    </row>
    <row r="10" spans="1:13" x14ac:dyDescent="0.2">
      <c r="C10" s="414"/>
      <c r="D10" s="415"/>
      <c r="E10" s="416"/>
      <c r="F10" s="408"/>
      <c r="G10" s="414"/>
      <c r="H10" s="416"/>
      <c r="I10" s="408"/>
      <c r="J10" s="422"/>
    </row>
    <row r="11" spans="1:13" x14ac:dyDescent="0.2">
      <c r="A11" s="1" t="s">
        <v>176</v>
      </c>
      <c r="B11" s="1"/>
      <c r="C11" s="414"/>
      <c r="D11" s="415"/>
      <c r="E11" s="416"/>
      <c r="F11" s="408"/>
      <c r="G11" s="414"/>
      <c r="H11" s="416"/>
      <c r="I11" s="408"/>
      <c r="J11" s="422"/>
    </row>
    <row r="12" spans="1:13" x14ac:dyDescent="0.2">
      <c r="A12" s="2" t="s">
        <v>157</v>
      </c>
      <c r="B12" s="2"/>
      <c r="C12" s="417">
        <f>BOTH_Summary!F26/1000</f>
        <v>48.724450721474547</v>
      </c>
      <c r="D12" s="418">
        <f>BOTH_Summary!G26/1000</f>
        <v>45.24413281279778</v>
      </c>
      <c r="E12" s="419">
        <f>SUM(BOTH_Summary!H26:N26)/1000</f>
        <v>59.240354553999573</v>
      </c>
      <c r="F12" s="409"/>
      <c r="G12" s="417">
        <f>SUM(BOTH_Summary!O26:U26)/1000</f>
        <v>0</v>
      </c>
      <c r="H12" s="419">
        <f>BOTH_Summary!V26/1000</f>
        <v>0</v>
      </c>
      <c r="I12" s="409"/>
      <c r="J12" s="423">
        <f>SUM(C12:H12)</f>
        <v>153.20893808827191</v>
      </c>
    </row>
    <row r="13" spans="1:13" x14ac:dyDescent="0.2">
      <c r="A13" s="2" t="s">
        <v>158</v>
      </c>
      <c r="B13" s="2"/>
      <c r="C13" s="417">
        <f>BOTH_Summary!F30/1000</f>
        <v>-3.1278057850090297</v>
      </c>
      <c r="D13" s="418">
        <f>BOTH_Summary!G30/1000</f>
        <v>-2.9043910860798139</v>
      </c>
      <c r="E13" s="419">
        <f>SUM(BOTH_Summary!H30:N30)/1000</f>
        <v>-8.6044467186616291</v>
      </c>
      <c r="F13" s="409"/>
      <c r="G13" s="417">
        <f>SUM(BOTH_Summary!O30:U30)/1000</f>
        <v>-36.675472931252841</v>
      </c>
      <c r="H13" s="419">
        <f>BOTH_Summary!V30/1000</f>
        <v>-85.505346477418314</v>
      </c>
      <c r="I13" s="409"/>
      <c r="J13" s="423">
        <f>SUM(C13:H13)</f>
        <v>-136.81746299842163</v>
      </c>
    </row>
    <row r="14" spans="1:13" x14ac:dyDescent="0.2">
      <c r="A14" s="2" t="s">
        <v>159</v>
      </c>
      <c r="B14" s="2"/>
      <c r="C14" s="414">
        <v>0</v>
      </c>
      <c r="D14" s="415">
        <v>0</v>
      </c>
      <c r="E14" s="416">
        <v>0</v>
      </c>
      <c r="F14" s="408"/>
      <c r="G14" s="414">
        <v>0</v>
      </c>
      <c r="H14" s="416">
        <v>0</v>
      </c>
      <c r="I14" s="408"/>
      <c r="J14" s="423">
        <v>0</v>
      </c>
    </row>
    <row r="15" spans="1:13" x14ac:dyDescent="0.2">
      <c r="C15" s="414"/>
      <c r="D15" s="415"/>
      <c r="E15" s="416"/>
      <c r="F15" s="408"/>
      <c r="G15" s="414"/>
      <c r="H15" s="416"/>
      <c r="I15" s="408"/>
      <c r="J15" s="423"/>
    </row>
    <row r="16" spans="1:13" x14ac:dyDescent="0.2">
      <c r="C16" s="414"/>
      <c r="D16" s="415"/>
      <c r="E16" s="416"/>
      <c r="F16" s="408"/>
      <c r="G16" s="414"/>
      <c r="H16" s="416"/>
      <c r="I16" s="408"/>
      <c r="J16" s="423"/>
    </row>
    <row r="17" spans="1:10" x14ac:dyDescent="0.2">
      <c r="A17" s="1" t="s">
        <v>156</v>
      </c>
      <c r="B17" s="1"/>
      <c r="C17" s="414"/>
      <c r="D17" s="415"/>
      <c r="E17" s="416"/>
      <c r="F17" s="408"/>
      <c r="G17" s="414"/>
      <c r="H17" s="416"/>
      <c r="I17" s="408"/>
      <c r="J17" s="423"/>
    </row>
    <row r="18" spans="1:10" x14ac:dyDescent="0.2">
      <c r="A18" s="430" t="s">
        <v>169</v>
      </c>
      <c r="B18" s="301" t="s">
        <v>180</v>
      </c>
      <c r="C18" s="417">
        <f>BOTH_Summary!F34/1000</f>
        <v>-48.724450721474547</v>
      </c>
      <c r="D18" s="418">
        <f>BOTH_Summary!G34/1000</f>
        <v>-45.24413281279778</v>
      </c>
      <c r="E18" s="419">
        <f>SUM(BOTH_Summary!H34:N34)/1000</f>
        <v>-59.240354553999573</v>
      </c>
      <c r="F18" s="409"/>
      <c r="G18" s="417">
        <f>SUM(BOTH_Summary!O34:U34)/1000</f>
        <v>0</v>
      </c>
      <c r="H18" s="419">
        <f>BOTH_Summary!V34/1000</f>
        <v>0</v>
      </c>
      <c r="I18" s="409"/>
      <c r="J18" s="423">
        <f t="shared" ref="J18:J23" si="0">SUM(C18:H18)</f>
        <v>-153.20893808827191</v>
      </c>
    </row>
    <row r="19" spans="1:10" x14ac:dyDescent="0.2">
      <c r="A19" s="430" t="s">
        <v>170</v>
      </c>
      <c r="B19" s="429" t="s">
        <v>135</v>
      </c>
      <c r="C19" s="417">
        <f>BOTH_Summary!F35/1000</f>
        <v>0</v>
      </c>
      <c r="D19" s="418">
        <f>BOTH_Summary!G35/1000</f>
        <v>-45.24413281279778</v>
      </c>
      <c r="E19" s="419">
        <f>SUM(BOTH_Summary!H35:N35)/1000</f>
        <v>-59.240354553999573</v>
      </c>
      <c r="F19" s="409"/>
      <c r="G19" s="417">
        <f>SUM(BOTH_Summary!O35:U35)/1000</f>
        <v>0</v>
      </c>
      <c r="H19" s="419">
        <f>BOTH_Summary!V35/1000</f>
        <v>0</v>
      </c>
      <c r="I19" s="409"/>
      <c r="J19" s="423">
        <f t="shared" si="0"/>
        <v>-104.48448736679735</v>
      </c>
    </row>
    <row r="20" spans="1:10" x14ac:dyDescent="0.2">
      <c r="A20" s="430" t="s">
        <v>171</v>
      </c>
      <c r="B20" s="429" t="s">
        <v>175</v>
      </c>
      <c r="C20" s="417">
        <f>BOTH_Summary!F41/1000</f>
        <v>0</v>
      </c>
      <c r="D20" s="418">
        <f>BOTH_Summary!G41/1000</f>
        <v>6.9650202399930876</v>
      </c>
      <c r="E20" s="419">
        <f>SUM(BOTH_Summary!H41:N41)/1000</f>
        <v>-18.017307987836531</v>
      </c>
      <c r="F20" s="409"/>
      <c r="G20" s="417">
        <f>SUM(BOTH_Summary!O41:U41)/1000</f>
        <v>31.879028520962635</v>
      </c>
      <c r="H20" s="419">
        <f>BOTH_Summary!V41/1000</f>
        <v>0</v>
      </c>
      <c r="I20" s="409"/>
      <c r="J20" s="423">
        <f t="shared" si="0"/>
        <v>20.826740773119191</v>
      </c>
    </row>
    <row r="21" spans="1:10" x14ac:dyDescent="0.2">
      <c r="A21" s="430" t="s">
        <v>172</v>
      </c>
      <c r="B21" s="429" t="s">
        <v>181</v>
      </c>
      <c r="C21" s="417">
        <f>BOTH_Summary!F43/1000</f>
        <v>3.1278057850090297</v>
      </c>
      <c r="D21" s="418">
        <f>BOTH_Summary!G43/1000</f>
        <v>2.9043910860798139</v>
      </c>
      <c r="E21" s="419">
        <f>SUM(BOTH_Summary!H43:N43)/1000</f>
        <v>8.6044467186616291</v>
      </c>
      <c r="F21" s="409"/>
      <c r="G21" s="417">
        <f>SUM(BOTH_Summary!O43:U43)/1000</f>
        <v>36.675472931252841</v>
      </c>
      <c r="H21" s="419">
        <f>BOTH_Summary!V43/1000</f>
        <v>85.505346477418314</v>
      </c>
      <c r="I21" s="409"/>
      <c r="J21" s="423">
        <f t="shared" si="0"/>
        <v>136.81746299842163</v>
      </c>
    </row>
    <row r="22" spans="1:10" x14ac:dyDescent="0.2">
      <c r="A22" s="430" t="s">
        <v>173</v>
      </c>
      <c r="B22" s="429" t="s">
        <v>166</v>
      </c>
      <c r="C22" s="417">
        <f>BOTH_Summary!F44/1000</f>
        <v>0</v>
      </c>
      <c r="D22" s="418">
        <f>BOTH_Summary!G44/1000</f>
        <v>0</v>
      </c>
      <c r="E22" s="419">
        <f>SUM(BOTH_Summary!H44:N44)/1000</f>
        <v>0</v>
      </c>
      <c r="F22" s="409"/>
      <c r="G22" s="417">
        <f>SUM(BOTH_Summary!O44:U44)/1000</f>
        <v>36.675472931252841</v>
      </c>
      <c r="H22" s="419">
        <f>BOTH_Summary!V44/1000</f>
        <v>85.505346477418314</v>
      </c>
      <c r="I22" s="409"/>
      <c r="J22" s="423">
        <f t="shared" si="0"/>
        <v>122.18081940867116</v>
      </c>
    </row>
    <row r="23" spans="1:10" x14ac:dyDescent="0.2">
      <c r="A23" s="430" t="s">
        <v>174</v>
      </c>
      <c r="B23" s="429" t="s">
        <v>167</v>
      </c>
      <c r="C23" s="417">
        <f>BOTH_Summary!F45/1000</f>
        <v>0</v>
      </c>
      <c r="D23" s="418">
        <f>BOTH_Summary!G45/1000</f>
        <v>0</v>
      </c>
      <c r="E23" s="419">
        <f>SUM(BOTH_Summary!H45:N45)/1000</f>
        <v>0</v>
      </c>
      <c r="F23" s="409"/>
      <c r="G23" s="417">
        <f>SUM(BOTH_Summary!O45:U45)/1000</f>
        <v>-141.65600234439503</v>
      </c>
      <c r="H23" s="431" t="s">
        <v>168</v>
      </c>
      <c r="I23" s="409"/>
      <c r="J23" s="423">
        <f t="shared" si="0"/>
        <v>-141.65600234439503</v>
      </c>
    </row>
    <row r="24" spans="1:10" x14ac:dyDescent="0.2">
      <c r="C24" s="417"/>
      <c r="D24" s="418"/>
      <c r="E24" s="419"/>
      <c r="F24" s="409"/>
      <c r="G24" s="417"/>
      <c r="H24" s="419"/>
      <c r="I24" s="409"/>
      <c r="J24" s="423"/>
    </row>
    <row r="25" spans="1:10" x14ac:dyDescent="0.2">
      <c r="C25" s="417"/>
      <c r="D25" s="418"/>
      <c r="E25" s="419"/>
      <c r="F25" s="409"/>
      <c r="G25" s="417"/>
      <c r="H25" s="419"/>
      <c r="I25" s="409"/>
      <c r="J25" s="423"/>
    </row>
    <row r="26" spans="1:10" x14ac:dyDescent="0.2">
      <c r="C26" s="417"/>
      <c r="D26" s="418"/>
      <c r="E26" s="419"/>
      <c r="F26" s="409"/>
      <c r="G26" s="417"/>
      <c r="H26" s="419"/>
      <c r="I26" s="409"/>
      <c r="J26" s="423"/>
    </row>
    <row r="27" spans="1:10" x14ac:dyDescent="0.2">
      <c r="C27" s="417"/>
      <c r="D27" s="418"/>
      <c r="E27" s="419"/>
      <c r="F27" s="409"/>
      <c r="G27" s="417"/>
      <c r="H27" s="419"/>
      <c r="I27" s="409"/>
      <c r="J27" s="423"/>
    </row>
    <row r="28" spans="1:10" x14ac:dyDescent="0.2">
      <c r="C28" s="417"/>
      <c r="D28" s="418"/>
      <c r="E28" s="419"/>
      <c r="F28" s="409"/>
      <c r="G28" s="417"/>
      <c r="H28" s="419"/>
      <c r="I28" s="409"/>
      <c r="J28" s="423"/>
    </row>
    <row r="29" spans="1:10" x14ac:dyDescent="0.2">
      <c r="C29" s="417"/>
      <c r="D29" s="418"/>
      <c r="E29" s="419"/>
      <c r="F29" s="409"/>
      <c r="G29" s="417"/>
      <c r="H29" s="419"/>
      <c r="I29" s="409"/>
      <c r="J29" s="423"/>
    </row>
    <row r="30" spans="1:10" x14ac:dyDescent="0.2">
      <c r="C30" s="417"/>
      <c r="D30" s="418"/>
      <c r="E30" s="419"/>
      <c r="F30" s="409"/>
      <c r="G30" s="417"/>
      <c r="H30" s="419"/>
      <c r="I30" s="409"/>
      <c r="J30" s="423"/>
    </row>
    <row r="31" spans="1:10" x14ac:dyDescent="0.2">
      <c r="C31" s="417"/>
      <c r="D31" s="418"/>
      <c r="E31" s="419"/>
      <c r="F31" s="409"/>
      <c r="G31" s="417"/>
      <c r="H31" s="419"/>
      <c r="I31" s="409"/>
      <c r="J31" s="423"/>
    </row>
    <row r="32" spans="1:10" x14ac:dyDescent="0.2">
      <c r="C32" s="417"/>
      <c r="D32" s="418"/>
      <c r="E32" s="419"/>
      <c r="F32" s="409"/>
      <c r="G32" s="417"/>
      <c r="H32" s="419"/>
      <c r="I32" s="409"/>
      <c r="J32" s="423"/>
    </row>
    <row r="33" spans="3:10" x14ac:dyDescent="0.2">
      <c r="C33" s="417"/>
      <c r="D33" s="418"/>
      <c r="E33" s="419"/>
      <c r="F33" s="409"/>
      <c r="G33" s="417"/>
      <c r="H33" s="419"/>
      <c r="I33" s="409"/>
      <c r="J33" s="423"/>
    </row>
    <row r="34" spans="3:10" x14ac:dyDescent="0.2">
      <c r="C34" s="417"/>
      <c r="D34" s="418"/>
      <c r="E34" s="419"/>
      <c r="F34" s="409"/>
      <c r="G34" s="417"/>
      <c r="H34" s="419"/>
      <c r="I34" s="409"/>
      <c r="J34" s="423"/>
    </row>
    <row r="35" spans="3:10" x14ac:dyDescent="0.2">
      <c r="C35" s="417"/>
      <c r="D35" s="418"/>
      <c r="E35" s="419"/>
      <c r="F35" s="409"/>
      <c r="G35" s="417"/>
      <c r="H35" s="419"/>
      <c r="I35" s="409"/>
      <c r="J35" s="423"/>
    </row>
    <row r="36" spans="3:10" x14ac:dyDescent="0.2">
      <c r="C36" s="417"/>
      <c r="D36" s="418"/>
      <c r="E36" s="419"/>
      <c r="F36" s="409"/>
      <c r="G36" s="417"/>
      <c r="H36" s="419"/>
      <c r="I36" s="409"/>
      <c r="J36" s="423"/>
    </row>
    <row r="37" spans="3:10" x14ac:dyDescent="0.2">
      <c r="C37" s="409"/>
      <c r="D37" s="409"/>
      <c r="E37" s="409"/>
      <c r="F37" s="409"/>
      <c r="G37" s="409"/>
      <c r="H37" s="409"/>
      <c r="I37" s="409"/>
      <c r="J37" s="409"/>
    </row>
    <row r="38" spans="3:10" x14ac:dyDescent="0.2">
      <c r="C38" s="409"/>
      <c r="D38" s="409"/>
      <c r="E38" s="409"/>
      <c r="F38" s="409"/>
      <c r="G38" s="409"/>
      <c r="H38" s="409"/>
      <c r="I38" s="409"/>
      <c r="J38" s="409"/>
    </row>
    <row r="39" spans="3:10" x14ac:dyDescent="0.2">
      <c r="C39" s="409"/>
      <c r="D39" s="409"/>
      <c r="E39" s="409"/>
      <c r="F39" s="409"/>
      <c r="G39" s="409"/>
      <c r="H39" s="409"/>
      <c r="I39" s="409"/>
      <c r="J39" s="409"/>
    </row>
    <row r="40" spans="3:10" x14ac:dyDescent="0.2">
      <c r="C40" s="409"/>
      <c r="D40" s="409"/>
      <c r="E40" s="409"/>
      <c r="F40" s="409"/>
      <c r="G40" s="409"/>
      <c r="H40" s="409"/>
      <c r="I40" s="409"/>
      <c r="J40" s="409"/>
    </row>
    <row r="41" spans="3:10" x14ac:dyDescent="0.2">
      <c r="C41" s="409"/>
      <c r="D41" s="409"/>
      <c r="E41" s="409"/>
      <c r="F41" s="409"/>
      <c r="G41" s="409"/>
      <c r="H41" s="409"/>
      <c r="I41" s="409"/>
      <c r="J41" s="409"/>
    </row>
    <row r="42" spans="3:10" x14ac:dyDescent="0.2">
      <c r="C42" s="409"/>
      <c r="D42" s="409"/>
      <c r="E42" s="409"/>
      <c r="F42" s="409"/>
      <c r="G42" s="409"/>
      <c r="H42" s="409"/>
      <c r="I42" s="409"/>
      <c r="J42" s="409"/>
    </row>
    <row r="43" spans="3:10" x14ac:dyDescent="0.2">
      <c r="C43" s="409"/>
      <c r="D43" s="409"/>
      <c r="E43" s="409"/>
      <c r="F43" s="409"/>
      <c r="G43" s="409"/>
      <c r="H43" s="409"/>
      <c r="I43" s="409"/>
      <c r="J43" s="409"/>
    </row>
    <row r="44" spans="3:10" x14ac:dyDescent="0.2">
      <c r="C44" s="409"/>
      <c r="D44" s="409"/>
      <c r="E44" s="409"/>
      <c r="F44" s="409"/>
      <c r="G44" s="409"/>
      <c r="H44" s="409"/>
      <c r="I44" s="409"/>
      <c r="J44" s="409"/>
    </row>
    <row r="45" spans="3:10" x14ac:dyDescent="0.2">
      <c r="C45" s="410"/>
      <c r="D45" s="410"/>
      <c r="E45" s="410"/>
      <c r="F45" s="410"/>
      <c r="G45" s="410"/>
      <c r="H45" s="410"/>
      <c r="I45" s="410"/>
      <c r="J45" s="410"/>
    </row>
    <row r="46" spans="3:10" x14ac:dyDescent="0.2">
      <c r="C46" s="410"/>
      <c r="D46" s="410"/>
      <c r="E46" s="410"/>
      <c r="F46" s="410"/>
      <c r="G46" s="410"/>
      <c r="H46" s="410"/>
      <c r="I46" s="410"/>
      <c r="J46" s="410"/>
    </row>
    <row r="47" spans="3:10" x14ac:dyDescent="0.2">
      <c r="C47" s="410"/>
      <c r="D47" s="410"/>
      <c r="E47" s="410"/>
      <c r="F47" s="410"/>
      <c r="G47" s="410"/>
      <c r="H47" s="410"/>
      <c r="I47" s="410"/>
      <c r="J47" s="410"/>
    </row>
    <row r="48" spans="3:10" x14ac:dyDescent="0.2">
      <c r="C48" s="410"/>
      <c r="D48" s="410"/>
      <c r="E48" s="410"/>
      <c r="F48" s="410"/>
      <c r="G48" s="410"/>
      <c r="H48" s="410"/>
      <c r="I48" s="410"/>
      <c r="J48" s="410"/>
    </row>
    <row r="49" spans="3:10" x14ac:dyDescent="0.2">
      <c r="C49" s="410"/>
      <c r="D49" s="410"/>
      <c r="E49" s="410"/>
      <c r="F49" s="410"/>
      <c r="G49" s="410"/>
      <c r="H49" s="410"/>
      <c r="I49" s="410"/>
      <c r="J49" s="410"/>
    </row>
    <row r="50" spans="3:10" x14ac:dyDescent="0.2">
      <c r="C50" s="410"/>
      <c r="D50" s="410"/>
      <c r="E50" s="410"/>
      <c r="F50" s="410"/>
      <c r="G50" s="410"/>
      <c r="H50" s="410"/>
      <c r="I50" s="410"/>
      <c r="J50" s="410"/>
    </row>
    <row r="51" spans="3:10" x14ac:dyDescent="0.2">
      <c r="C51" s="410"/>
      <c r="D51" s="410"/>
      <c r="E51" s="410"/>
      <c r="F51" s="410"/>
      <c r="G51" s="410"/>
      <c r="H51" s="410"/>
      <c r="I51" s="410"/>
      <c r="J51" s="41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descip</vt:lpstr>
      <vt:lpstr>PG&amp;E</vt:lpstr>
      <vt:lpstr>SCE</vt:lpstr>
      <vt:lpstr>PG&amp;E_Summary</vt:lpstr>
      <vt:lpstr>SCE_Summary</vt:lpstr>
      <vt:lpstr>BOTH_Summary</vt:lpstr>
      <vt:lpstr>SUMMARY</vt:lpstr>
      <vt:lpstr>BOTH_Summary!Print_Area</vt:lpstr>
      <vt:lpstr>'PG&amp;E'!Print_Area</vt:lpstr>
      <vt:lpstr>'PG&amp;E_Summary'!Print_Area</vt:lpstr>
      <vt:lpstr>SCE!Print_Area</vt:lpstr>
      <vt:lpstr>SCE_Summary!Print_Area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Jan Havlíček</cp:lastModifiedBy>
  <cp:lastPrinted>2001-08-22T19:51:51Z</cp:lastPrinted>
  <dcterms:created xsi:type="dcterms:W3CDTF">2001-08-09T14:42:57Z</dcterms:created>
  <dcterms:modified xsi:type="dcterms:W3CDTF">2023-09-15T20:58:00Z</dcterms:modified>
</cp:coreProperties>
</file>