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E7C15E-C5B4-4B03-9799-709BC2EBE1B4}" xr6:coauthVersionLast="47" xr6:coauthVersionMax="47" xr10:uidLastSave="{00000000-0000-0000-0000-000000000000}"/>
  <bookViews>
    <workbookView xWindow="-120" yWindow="-120" windowWidth="38640" windowHeight="15720"/>
  </bookViews>
  <sheets>
    <sheet name="Pwr Orig Summ" sheetId="143" r:id="rId1"/>
    <sheet name="Europe" sheetId="145" r:id="rId2"/>
    <sheet name="Canada" sheetId="146" r:id="rId3"/>
    <sheet name="Gas Detail" sheetId="147" r:id="rId4"/>
    <sheet name="Sheet5" sheetId="149" r:id="rId5"/>
    <sheet name="Sheet4" sheetId="148" r:id="rId6"/>
    <sheet name="Canada Origination Summary" sheetId="144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6">'Canada Origination Summary'!$A$1:$R$55</definedName>
    <definedName name="_xlnm.Print_Area" localSheetId="0">'Pwr Orig Summ'!$A$2:$N$367</definedName>
    <definedName name="_xlnm.Print_Titles" localSheetId="0">'Pwr Orig Summ'!$1:$12</definedName>
  </definedNames>
  <calcPr calcId="0" fullCalcOnLoad="1"/>
</workbook>
</file>

<file path=xl/calcChain.xml><?xml version="1.0" encoding="utf-8"?>
<calcChain xmlns="http://schemas.openxmlformats.org/spreadsheetml/2006/main">
  <c r="L22" i="144" l="1"/>
  <c r="P22" i="144"/>
  <c r="R22" i="144"/>
  <c r="L23" i="144"/>
  <c r="P23" i="144"/>
  <c r="R23" i="144"/>
  <c r="L24" i="144"/>
  <c r="P24" i="144"/>
  <c r="R24" i="144"/>
  <c r="L25" i="144"/>
  <c r="P25" i="144"/>
  <c r="R25" i="144"/>
  <c r="L26" i="144"/>
  <c r="L27" i="144"/>
  <c r="R27" i="144"/>
  <c r="L28" i="144"/>
  <c r="P28" i="144"/>
  <c r="R28" i="144"/>
  <c r="L29" i="144"/>
  <c r="P29" i="144"/>
  <c r="R29" i="144"/>
  <c r="L30" i="144"/>
  <c r="P30" i="144"/>
  <c r="R30" i="144"/>
  <c r="L31" i="144"/>
  <c r="P31" i="144"/>
  <c r="R31" i="144"/>
  <c r="L32" i="144"/>
  <c r="P32" i="144"/>
  <c r="R32" i="144"/>
  <c r="L33" i="144"/>
  <c r="P33" i="144"/>
  <c r="R33" i="144"/>
  <c r="L34" i="144"/>
  <c r="P34" i="144"/>
  <c r="R34" i="144"/>
  <c r="L35" i="144"/>
  <c r="P35" i="144"/>
  <c r="R35" i="144"/>
  <c r="L36" i="144"/>
  <c r="P36" i="144"/>
  <c r="R36" i="144"/>
  <c r="L37" i="144"/>
  <c r="P37" i="144"/>
  <c r="R37" i="144"/>
  <c r="L38" i="144"/>
  <c r="P38" i="144"/>
  <c r="R38" i="144"/>
  <c r="L39" i="144"/>
  <c r="P39" i="144"/>
  <c r="R39" i="144"/>
  <c r="G40" i="144"/>
  <c r="H40" i="144"/>
  <c r="I40" i="144"/>
  <c r="J40" i="144"/>
  <c r="K40" i="144"/>
  <c r="L40" i="144"/>
  <c r="N40" i="144"/>
  <c r="O40" i="144"/>
  <c r="P40" i="144"/>
  <c r="R40" i="144"/>
  <c r="L43" i="144"/>
  <c r="P43" i="144"/>
  <c r="R43" i="144"/>
  <c r="L44" i="144"/>
  <c r="P44" i="144"/>
  <c r="R44" i="144"/>
  <c r="L45" i="144"/>
  <c r="P45" i="144"/>
  <c r="R45" i="144"/>
  <c r="L46" i="144"/>
  <c r="P46" i="144"/>
  <c r="R46" i="144"/>
  <c r="L47" i="144"/>
  <c r="P47" i="144"/>
  <c r="R47" i="144"/>
  <c r="L48" i="144"/>
  <c r="P48" i="144"/>
  <c r="R48" i="144"/>
  <c r="G49" i="144"/>
  <c r="H49" i="144"/>
  <c r="I49" i="144"/>
  <c r="J49" i="144"/>
  <c r="K49" i="144"/>
  <c r="L49" i="144"/>
  <c r="N49" i="144"/>
  <c r="O49" i="144"/>
  <c r="P49" i="144"/>
  <c r="R49" i="144"/>
  <c r="G52" i="144"/>
  <c r="H52" i="144"/>
  <c r="I52" i="144"/>
  <c r="J52" i="144"/>
  <c r="K52" i="144"/>
  <c r="L52" i="144"/>
  <c r="N52" i="144"/>
  <c r="O52" i="144"/>
  <c r="P52" i="144"/>
  <c r="R52" i="144"/>
  <c r="G55" i="144"/>
  <c r="H55" i="144"/>
  <c r="I55" i="144"/>
  <c r="J55" i="144"/>
  <c r="K55" i="144"/>
  <c r="L55" i="144"/>
  <c r="N55" i="144"/>
  <c r="O55" i="144"/>
  <c r="P55" i="144"/>
  <c r="R55" i="144"/>
  <c r="A9" i="145"/>
  <c r="H19" i="145"/>
  <c r="I19" i="145"/>
  <c r="J19" i="145"/>
  <c r="K19" i="145"/>
  <c r="M19" i="145"/>
  <c r="Q19" i="145"/>
  <c r="S19" i="145"/>
  <c r="I20" i="145"/>
  <c r="M20" i="145"/>
  <c r="I21" i="145"/>
  <c r="M21" i="145"/>
  <c r="S21" i="145"/>
  <c r="I22" i="145"/>
  <c r="M22" i="145"/>
  <c r="Q22" i="145"/>
  <c r="S22" i="145"/>
  <c r="H23" i="145"/>
  <c r="I23" i="145"/>
  <c r="J23" i="145"/>
  <c r="K23" i="145"/>
  <c r="L23" i="145"/>
  <c r="M23" i="145"/>
  <c r="O23" i="145"/>
  <c r="P23" i="145"/>
  <c r="Q23" i="145"/>
  <c r="S23" i="145"/>
  <c r="M27" i="145"/>
  <c r="Q27" i="145"/>
  <c r="S27" i="145"/>
  <c r="M28" i="145"/>
  <c r="M29" i="145"/>
  <c r="M30" i="145"/>
  <c r="S30" i="145"/>
  <c r="M31" i="145"/>
  <c r="H32" i="145"/>
  <c r="I32" i="145"/>
  <c r="J32" i="145"/>
  <c r="K32" i="145"/>
  <c r="L32" i="145"/>
  <c r="M32" i="145"/>
  <c r="O32" i="145"/>
  <c r="P32" i="145"/>
  <c r="Q32" i="145"/>
  <c r="S32" i="145"/>
  <c r="H35" i="145"/>
  <c r="I35" i="145"/>
  <c r="J35" i="145"/>
  <c r="K35" i="145"/>
  <c r="L35" i="145"/>
  <c r="M35" i="145"/>
  <c r="S35" i="145"/>
  <c r="H37" i="145"/>
  <c r="I37" i="145"/>
  <c r="J37" i="145"/>
  <c r="K37" i="145"/>
  <c r="M37" i="145"/>
  <c r="H38" i="145"/>
  <c r="I38" i="145"/>
  <c r="J38" i="145"/>
  <c r="K38" i="145"/>
  <c r="L38" i="145"/>
  <c r="M38" i="145"/>
  <c r="M39" i="145"/>
  <c r="H40" i="145"/>
  <c r="I40" i="145"/>
  <c r="J40" i="145"/>
  <c r="K40" i="145"/>
  <c r="L40" i="145"/>
  <c r="M40" i="145"/>
  <c r="H41" i="145"/>
  <c r="I41" i="145"/>
  <c r="J41" i="145"/>
  <c r="K41" i="145"/>
  <c r="L41" i="145"/>
  <c r="M41" i="145"/>
  <c r="I47" i="145"/>
  <c r="D49" i="145"/>
  <c r="E49" i="145"/>
  <c r="F49" i="145"/>
  <c r="G49" i="145"/>
  <c r="H49" i="145"/>
  <c r="I49" i="145"/>
  <c r="G16" i="143"/>
  <c r="H16" i="143"/>
  <c r="M16" i="143"/>
  <c r="F18" i="143"/>
  <c r="G18" i="143"/>
  <c r="H18" i="143"/>
  <c r="I18" i="143"/>
  <c r="J18" i="143"/>
  <c r="K18" i="143"/>
  <c r="L18" i="143"/>
  <c r="M18" i="143"/>
  <c r="M23" i="143"/>
  <c r="M24" i="143"/>
  <c r="M25" i="143"/>
  <c r="G27" i="143"/>
  <c r="H27" i="143"/>
  <c r="I27" i="143"/>
  <c r="J27" i="143"/>
  <c r="K27" i="143"/>
  <c r="L27" i="143"/>
  <c r="M27" i="143"/>
  <c r="M30" i="143"/>
  <c r="H31" i="143"/>
  <c r="M31" i="143"/>
  <c r="G32" i="143"/>
  <c r="H32" i="143"/>
  <c r="M32" i="143"/>
  <c r="G33" i="143"/>
  <c r="M33" i="143"/>
  <c r="F35" i="143"/>
  <c r="G35" i="143"/>
  <c r="H35" i="143"/>
  <c r="I35" i="143"/>
  <c r="J35" i="143"/>
  <c r="K35" i="143"/>
  <c r="L35" i="143"/>
  <c r="M35" i="143"/>
  <c r="G44" i="143"/>
  <c r="M44" i="143"/>
  <c r="F50" i="143"/>
  <c r="G50" i="143"/>
  <c r="H50" i="143"/>
  <c r="I50" i="143"/>
  <c r="J50" i="143"/>
  <c r="K50" i="143"/>
  <c r="L50" i="143"/>
  <c r="M50" i="143"/>
  <c r="F52" i="143"/>
  <c r="G52" i="143"/>
  <c r="H52" i="143"/>
  <c r="I52" i="143"/>
  <c r="J52" i="143"/>
  <c r="K52" i="143"/>
  <c r="L52" i="143"/>
  <c r="M52" i="143"/>
  <c r="G57" i="143"/>
  <c r="M57" i="143"/>
  <c r="G58" i="143"/>
  <c r="M58" i="143"/>
  <c r="G59" i="143"/>
  <c r="M59" i="143"/>
  <c r="G60" i="143"/>
  <c r="H60" i="143"/>
  <c r="M60" i="143"/>
  <c r="G61" i="143"/>
  <c r="M61" i="143"/>
  <c r="G62" i="143"/>
  <c r="M62" i="143"/>
  <c r="G63" i="143"/>
  <c r="M63" i="143"/>
  <c r="G64" i="143"/>
  <c r="M64" i="143"/>
  <c r="G65" i="143"/>
  <c r="H65" i="143"/>
  <c r="J65" i="143"/>
  <c r="M65" i="143"/>
  <c r="G66" i="143"/>
  <c r="M66" i="143"/>
  <c r="G67" i="143"/>
  <c r="M67" i="143"/>
  <c r="G68" i="143"/>
  <c r="M68" i="143"/>
  <c r="G69" i="143"/>
  <c r="M69" i="143"/>
  <c r="G70" i="143"/>
  <c r="M70" i="143"/>
  <c r="G71" i="143"/>
  <c r="M71" i="143"/>
  <c r="G72" i="143"/>
  <c r="M72" i="143"/>
  <c r="G73" i="143"/>
  <c r="M73" i="143"/>
  <c r="H74" i="143"/>
  <c r="M74" i="143"/>
  <c r="G75" i="143"/>
  <c r="M75" i="143"/>
  <c r="M76" i="143"/>
  <c r="H77" i="143"/>
  <c r="M77" i="143"/>
  <c r="H78" i="143"/>
  <c r="M78" i="143"/>
  <c r="G79" i="143"/>
  <c r="M79" i="143"/>
  <c r="H80" i="143"/>
  <c r="M80" i="143"/>
  <c r="G81" i="143"/>
  <c r="M81" i="143"/>
  <c r="H82" i="143"/>
  <c r="M82" i="143"/>
  <c r="G83" i="143"/>
  <c r="M83" i="143"/>
  <c r="G84" i="143"/>
  <c r="M84" i="143"/>
  <c r="M85" i="143"/>
  <c r="M86" i="143"/>
  <c r="F88" i="143"/>
  <c r="G88" i="143"/>
  <c r="H88" i="143"/>
  <c r="I88" i="143"/>
  <c r="J88" i="143"/>
  <c r="K88" i="143"/>
  <c r="L88" i="143"/>
  <c r="M88" i="143"/>
  <c r="M91" i="143"/>
  <c r="H92" i="143"/>
  <c r="J92" i="143"/>
  <c r="M92" i="143"/>
  <c r="M93" i="143"/>
  <c r="M94" i="143"/>
  <c r="M95" i="143"/>
  <c r="M96" i="143"/>
  <c r="M97" i="143"/>
  <c r="M98" i="143"/>
  <c r="M99" i="143"/>
  <c r="M100" i="143"/>
  <c r="M101" i="143"/>
  <c r="M102" i="143"/>
  <c r="M103" i="143"/>
  <c r="M104" i="143"/>
  <c r="G105" i="143"/>
  <c r="H105" i="143"/>
  <c r="M105" i="143"/>
  <c r="G106" i="143"/>
  <c r="M106" i="143"/>
  <c r="G107" i="143"/>
  <c r="M107" i="143"/>
  <c r="G108" i="143"/>
  <c r="M108" i="143"/>
  <c r="G109" i="143"/>
  <c r="M109" i="143"/>
  <c r="G110" i="143"/>
  <c r="M110" i="143"/>
  <c r="M111" i="143"/>
  <c r="M112" i="143"/>
  <c r="M113" i="143"/>
  <c r="M114" i="143"/>
  <c r="M115" i="143"/>
  <c r="M116" i="143"/>
  <c r="M117" i="143"/>
  <c r="M118" i="143"/>
  <c r="M119" i="143"/>
  <c r="F121" i="143"/>
  <c r="G121" i="143"/>
  <c r="H121" i="143"/>
  <c r="I121" i="143"/>
  <c r="J121" i="143"/>
  <c r="K121" i="143"/>
  <c r="L121" i="143"/>
  <c r="M121" i="143"/>
  <c r="G124" i="143"/>
  <c r="M124" i="143"/>
  <c r="G125" i="143"/>
  <c r="M125" i="143"/>
  <c r="G126" i="143"/>
  <c r="M126" i="143"/>
  <c r="G127" i="143"/>
  <c r="M127" i="143"/>
  <c r="G128" i="143"/>
  <c r="M128" i="143"/>
  <c r="G129" i="143"/>
  <c r="M129" i="143"/>
  <c r="G130" i="143"/>
  <c r="M130" i="143"/>
  <c r="G131" i="143"/>
  <c r="M131" i="143"/>
  <c r="G132" i="143"/>
  <c r="M132" i="143"/>
  <c r="G133" i="143"/>
  <c r="M133" i="143"/>
  <c r="G134" i="143"/>
  <c r="M134" i="143"/>
  <c r="G135" i="143"/>
  <c r="M135" i="143"/>
  <c r="G136" i="143"/>
  <c r="M136" i="143"/>
  <c r="G137" i="143"/>
  <c r="M137" i="143"/>
  <c r="G138" i="143"/>
  <c r="M138" i="143"/>
  <c r="G139" i="143"/>
  <c r="M139" i="143"/>
  <c r="G140" i="143"/>
  <c r="M140" i="143"/>
  <c r="G141" i="143"/>
  <c r="M141" i="143"/>
  <c r="G142" i="143"/>
  <c r="M142" i="143"/>
  <c r="G143" i="143"/>
  <c r="M143" i="143"/>
  <c r="G144" i="143"/>
  <c r="M144" i="143"/>
  <c r="G145" i="143"/>
  <c r="M145" i="143"/>
  <c r="G146" i="143"/>
  <c r="M146" i="143"/>
  <c r="G147" i="143"/>
  <c r="M147" i="143"/>
  <c r="G148" i="143"/>
  <c r="M148" i="143"/>
  <c r="G149" i="143"/>
  <c r="M149" i="143"/>
  <c r="G150" i="143"/>
  <c r="M150" i="143"/>
  <c r="G151" i="143"/>
  <c r="M151" i="143"/>
  <c r="G152" i="143"/>
  <c r="H152" i="143"/>
  <c r="I152" i="143"/>
  <c r="J152" i="143"/>
  <c r="K152" i="143"/>
  <c r="L152" i="143"/>
  <c r="M152" i="143"/>
  <c r="M153" i="143"/>
  <c r="M154" i="143"/>
  <c r="G156" i="143"/>
  <c r="H156" i="143"/>
  <c r="I156" i="143"/>
  <c r="J156" i="143"/>
  <c r="K156" i="143"/>
  <c r="L156" i="143"/>
  <c r="M156" i="143"/>
  <c r="G161" i="143"/>
  <c r="M161" i="143"/>
  <c r="H162" i="143"/>
  <c r="J162" i="143"/>
  <c r="M162" i="143"/>
  <c r="G163" i="143"/>
  <c r="M163" i="143"/>
  <c r="G164" i="143"/>
  <c r="M164" i="143"/>
  <c r="G165" i="143"/>
  <c r="M165" i="143"/>
  <c r="G166" i="143"/>
  <c r="M166" i="143"/>
  <c r="G167" i="143"/>
  <c r="H167" i="143"/>
  <c r="M167" i="143"/>
  <c r="G168" i="143"/>
  <c r="H168" i="143"/>
  <c r="M168" i="143"/>
  <c r="G169" i="143"/>
  <c r="H169" i="143"/>
  <c r="M169" i="143"/>
  <c r="G170" i="143"/>
  <c r="H170" i="143"/>
  <c r="M170" i="143"/>
  <c r="G171" i="143"/>
  <c r="H171" i="143"/>
  <c r="M171" i="143"/>
  <c r="G172" i="143"/>
  <c r="H172" i="143"/>
  <c r="J172" i="143"/>
  <c r="M172" i="143"/>
  <c r="G173" i="143"/>
  <c r="M173" i="143"/>
  <c r="G174" i="143"/>
  <c r="M174" i="143"/>
  <c r="G175" i="143"/>
  <c r="H175" i="143"/>
  <c r="M175" i="143"/>
  <c r="G176" i="143"/>
  <c r="H176" i="143"/>
  <c r="M176" i="143"/>
  <c r="G177" i="143"/>
  <c r="H177" i="143"/>
  <c r="M177" i="143"/>
  <c r="G178" i="143"/>
  <c r="M178" i="143"/>
  <c r="G179" i="143"/>
  <c r="M179" i="143"/>
  <c r="G180" i="143"/>
  <c r="M180" i="143"/>
  <c r="G181" i="143"/>
  <c r="M181" i="143"/>
  <c r="G182" i="143"/>
  <c r="M182" i="143"/>
  <c r="G183" i="143"/>
  <c r="M183" i="143"/>
  <c r="G184" i="143"/>
  <c r="M184" i="143"/>
  <c r="G185" i="143"/>
  <c r="M185" i="143"/>
  <c r="G186" i="143"/>
  <c r="M186" i="143"/>
  <c r="G187" i="143"/>
  <c r="M187" i="143"/>
  <c r="G188" i="143"/>
  <c r="M188" i="143"/>
  <c r="G189" i="143"/>
  <c r="M189" i="143"/>
  <c r="G190" i="143"/>
  <c r="M190" i="143"/>
  <c r="G191" i="143"/>
  <c r="H191" i="143"/>
  <c r="M191" i="143"/>
  <c r="G192" i="143"/>
  <c r="H192" i="143"/>
  <c r="J192" i="143"/>
  <c r="M192" i="143"/>
  <c r="G193" i="143"/>
  <c r="M193" i="143"/>
  <c r="G194" i="143"/>
  <c r="M194" i="143"/>
  <c r="G195" i="143"/>
  <c r="M195" i="143"/>
  <c r="G196" i="143"/>
  <c r="M196" i="143"/>
  <c r="G197" i="143"/>
  <c r="M197" i="143"/>
  <c r="G198" i="143"/>
  <c r="H198" i="143"/>
  <c r="M198" i="143"/>
  <c r="G199" i="143"/>
  <c r="H199" i="143"/>
  <c r="M199" i="143"/>
  <c r="G200" i="143"/>
  <c r="H200" i="143"/>
  <c r="M200" i="143"/>
  <c r="G201" i="143"/>
  <c r="H201" i="143"/>
  <c r="M201" i="143"/>
  <c r="G202" i="143"/>
  <c r="H202" i="143"/>
  <c r="M202" i="143"/>
  <c r="G203" i="143"/>
  <c r="H203" i="143"/>
  <c r="M203" i="143"/>
  <c r="G204" i="143"/>
  <c r="H204" i="143"/>
  <c r="M204" i="143"/>
  <c r="G205" i="143"/>
  <c r="M205" i="143"/>
  <c r="G206" i="143"/>
  <c r="M206" i="143"/>
  <c r="G207" i="143"/>
  <c r="M207" i="143"/>
  <c r="G208" i="143"/>
  <c r="M208" i="143"/>
  <c r="G209" i="143"/>
  <c r="H209" i="143"/>
  <c r="J209" i="143"/>
  <c r="M209" i="143"/>
  <c r="G210" i="143"/>
  <c r="H210" i="143"/>
  <c r="J210" i="143"/>
  <c r="M210" i="143"/>
  <c r="G211" i="143"/>
  <c r="H211" i="143"/>
  <c r="J211" i="143"/>
  <c r="M211" i="143"/>
  <c r="G212" i="143"/>
  <c r="H212" i="143"/>
  <c r="J212" i="143"/>
  <c r="M212" i="143"/>
  <c r="G213" i="143"/>
  <c r="H213" i="143"/>
  <c r="J213" i="143"/>
  <c r="M213" i="143"/>
  <c r="G214" i="143"/>
  <c r="M214" i="143"/>
  <c r="G215" i="143"/>
  <c r="H215" i="143"/>
  <c r="M215" i="143"/>
  <c r="G216" i="143"/>
  <c r="H216" i="143"/>
  <c r="J216" i="143"/>
  <c r="M216" i="143"/>
  <c r="G217" i="143"/>
  <c r="H217" i="143"/>
  <c r="M217" i="143"/>
  <c r="G218" i="143"/>
  <c r="H218" i="143"/>
  <c r="M218" i="143"/>
  <c r="G219" i="143"/>
  <c r="M219" i="143"/>
  <c r="G220" i="143"/>
  <c r="M220" i="143"/>
  <c r="G221" i="143"/>
  <c r="H221" i="143"/>
  <c r="I221" i="143"/>
  <c r="J221" i="143"/>
  <c r="K221" i="143"/>
  <c r="L221" i="143"/>
  <c r="M221" i="143"/>
  <c r="G223" i="143"/>
  <c r="H223" i="143"/>
  <c r="J223" i="143"/>
  <c r="M223" i="143"/>
  <c r="G224" i="143"/>
  <c r="M224" i="143"/>
  <c r="G225" i="143"/>
  <c r="H225" i="143"/>
  <c r="M225" i="143"/>
  <c r="G226" i="143"/>
  <c r="M226" i="143"/>
  <c r="G227" i="143"/>
  <c r="H227" i="143"/>
  <c r="J227" i="143"/>
  <c r="M227" i="143"/>
  <c r="G228" i="143"/>
  <c r="H228" i="143"/>
  <c r="M228" i="143"/>
  <c r="G229" i="143"/>
  <c r="H229" i="143"/>
  <c r="J229" i="143"/>
  <c r="M229" i="143"/>
  <c r="G230" i="143"/>
  <c r="H230" i="143"/>
  <c r="J230" i="143"/>
  <c r="M230" i="143"/>
  <c r="G231" i="143"/>
  <c r="H231" i="143"/>
  <c r="M231" i="143"/>
  <c r="G232" i="143"/>
  <c r="H232" i="143"/>
  <c r="M232" i="143"/>
  <c r="G233" i="143"/>
  <c r="H233" i="143"/>
  <c r="J233" i="143"/>
  <c r="M233" i="143"/>
  <c r="G234" i="143"/>
  <c r="H234" i="143"/>
  <c r="J234" i="143"/>
  <c r="M234" i="143"/>
  <c r="G235" i="143"/>
  <c r="H235" i="143"/>
  <c r="M235" i="143"/>
  <c r="G236" i="143"/>
  <c r="M236" i="143"/>
  <c r="G237" i="143"/>
  <c r="H237" i="143"/>
  <c r="M237" i="143"/>
  <c r="G238" i="143"/>
  <c r="H238" i="143"/>
  <c r="M238" i="143"/>
  <c r="G239" i="143"/>
  <c r="H239" i="143"/>
  <c r="M239" i="143"/>
  <c r="G240" i="143"/>
  <c r="M240" i="143"/>
  <c r="G241" i="143"/>
  <c r="H241" i="143"/>
  <c r="M241" i="143"/>
  <c r="G242" i="143"/>
  <c r="H242" i="143"/>
  <c r="M242" i="143"/>
  <c r="G243" i="143"/>
  <c r="H243" i="143"/>
  <c r="M243" i="143"/>
  <c r="G244" i="143"/>
  <c r="M244" i="143"/>
  <c r="G245" i="143"/>
  <c r="M245" i="143"/>
  <c r="G246" i="143"/>
  <c r="H246" i="143"/>
  <c r="M246" i="143"/>
  <c r="G247" i="143"/>
  <c r="M247" i="143"/>
  <c r="G248" i="143"/>
  <c r="M248" i="143"/>
  <c r="G249" i="143"/>
  <c r="M249" i="143"/>
  <c r="G250" i="143"/>
  <c r="H250" i="143"/>
  <c r="M250" i="143"/>
  <c r="G251" i="143"/>
  <c r="M251" i="143"/>
  <c r="G252" i="143"/>
  <c r="M252" i="143"/>
  <c r="G253" i="143"/>
  <c r="M253" i="143"/>
  <c r="G254" i="143"/>
  <c r="H254" i="143"/>
  <c r="M254" i="143"/>
  <c r="G255" i="143"/>
  <c r="M255" i="143"/>
  <c r="G256" i="143"/>
  <c r="M256" i="143"/>
  <c r="G257" i="143"/>
  <c r="M257" i="143"/>
  <c r="G258" i="143"/>
  <c r="H258" i="143"/>
  <c r="M258" i="143"/>
  <c r="G259" i="143"/>
  <c r="M259" i="143"/>
  <c r="G260" i="143"/>
  <c r="M260" i="143"/>
  <c r="G261" i="143"/>
  <c r="M261" i="143"/>
  <c r="G262" i="143"/>
  <c r="M262" i="143"/>
  <c r="G263" i="143"/>
  <c r="M263" i="143"/>
  <c r="G264" i="143"/>
  <c r="M264" i="143"/>
  <c r="G265" i="143"/>
  <c r="H265" i="143"/>
  <c r="M265" i="143"/>
  <c r="G266" i="143"/>
  <c r="H266" i="143"/>
  <c r="J266" i="143"/>
  <c r="M266" i="143"/>
  <c r="G267" i="143"/>
  <c r="H267" i="143"/>
  <c r="J267" i="143"/>
  <c r="M267" i="143"/>
  <c r="G268" i="143"/>
  <c r="M268" i="143"/>
  <c r="G269" i="143"/>
  <c r="H269" i="143"/>
  <c r="J269" i="143"/>
  <c r="M269" i="143"/>
  <c r="G270" i="143"/>
  <c r="H270" i="143"/>
  <c r="J270" i="143"/>
  <c r="M270" i="143"/>
  <c r="G271" i="143"/>
  <c r="M271" i="143"/>
  <c r="G272" i="143"/>
  <c r="H272" i="143"/>
  <c r="J272" i="143"/>
  <c r="M272" i="143"/>
  <c r="G273" i="143"/>
  <c r="H273" i="143"/>
  <c r="J273" i="143"/>
  <c r="M273" i="143"/>
  <c r="G274" i="143"/>
  <c r="H274" i="143"/>
  <c r="M274" i="143"/>
  <c r="G275" i="143"/>
  <c r="H275" i="143"/>
  <c r="J275" i="143"/>
  <c r="M275" i="143"/>
  <c r="G276" i="143"/>
  <c r="H276" i="143"/>
  <c r="M276" i="143"/>
  <c r="G277" i="143"/>
  <c r="H277" i="143"/>
  <c r="M277" i="143"/>
  <c r="G278" i="143"/>
  <c r="M278" i="143"/>
  <c r="G279" i="143"/>
  <c r="H279" i="143"/>
  <c r="J279" i="143"/>
  <c r="M279" i="143"/>
  <c r="G280" i="143"/>
  <c r="H280" i="143"/>
  <c r="J280" i="143"/>
  <c r="M280" i="143"/>
  <c r="G281" i="143"/>
  <c r="H281" i="143"/>
  <c r="J281" i="143"/>
  <c r="M281" i="143"/>
  <c r="G282" i="143"/>
  <c r="M282" i="143"/>
  <c r="G283" i="143"/>
  <c r="M283" i="143"/>
  <c r="G284" i="143"/>
  <c r="H284" i="143"/>
  <c r="J284" i="143"/>
  <c r="M284" i="143"/>
  <c r="G285" i="143"/>
  <c r="M285" i="143"/>
  <c r="G286" i="143"/>
  <c r="M286" i="143"/>
  <c r="G287" i="143"/>
  <c r="M287" i="143"/>
  <c r="G288" i="143"/>
  <c r="M288" i="143"/>
  <c r="G289" i="143"/>
  <c r="M289" i="143"/>
  <c r="G290" i="143"/>
  <c r="M290" i="143"/>
  <c r="G291" i="143"/>
  <c r="M291" i="143"/>
  <c r="G292" i="143"/>
  <c r="M292" i="143"/>
  <c r="G293" i="143"/>
  <c r="M293" i="143"/>
  <c r="G294" i="143"/>
  <c r="M294" i="143"/>
  <c r="G295" i="143"/>
  <c r="M295" i="143"/>
  <c r="G296" i="143"/>
  <c r="M296" i="143"/>
  <c r="G297" i="143"/>
  <c r="M297" i="143"/>
  <c r="G298" i="143"/>
  <c r="M298" i="143"/>
  <c r="G299" i="143"/>
  <c r="H299" i="143"/>
  <c r="J299" i="143"/>
  <c r="M299" i="143"/>
  <c r="M300" i="143"/>
  <c r="G301" i="143"/>
  <c r="H301" i="143"/>
  <c r="M301" i="143"/>
  <c r="G302" i="143"/>
  <c r="H302" i="143"/>
  <c r="I302" i="143"/>
  <c r="J302" i="143"/>
  <c r="K302" i="143"/>
  <c r="L302" i="143"/>
  <c r="M302" i="143"/>
  <c r="F304" i="143"/>
  <c r="G304" i="143"/>
  <c r="H304" i="143"/>
  <c r="I304" i="143"/>
  <c r="J304" i="143"/>
  <c r="K304" i="143"/>
  <c r="L304" i="143"/>
  <c r="M304" i="143"/>
  <c r="M306" i="143"/>
  <c r="M311" i="143"/>
  <c r="M312" i="143"/>
  <c r="M313" i="143"/>
  <c r="M314" i="143"/>
  <c r="M315" i="143"/>
  <c r="M316" i="143"/>
  <c r="G318" i="143"/>
  <c r="H318" i="143"/>
  <c r="I318" i="143"/>
  <c r="J318" i="143"/>
  <c r="K318" i="143"/>
  <c r="L318" i="143"/>
  <c r="M318" i="143"/>
  <c r="F320" i="143"/>
  <c r="G320" i="143"/>
  <c r="H320" i="143"/>
  <c r="I320" i="143"/>
  <c r="J320" i="143"/>
  <c r="K320" i="143"/>
  <c r="L320" i="143"/>
  <c r="M320" i="143"/>
  <c r="G323" i="143"/>
  <c r="H323" i="143"/>
  <c r="I323" i="143"/>
  <c r="J323" i="143"/>
  <c r="K323" i="143"/>
  <c r="L323" i="143"/>
  <c r="M323" i="143"/>
  <c r="F325" i="143"/>
  <c r="G325" i="143"/>
  <c r="H325" i="143"/>
  <c r="I325" i="143"/>
  <c r="J325" i="143"/>
  <c r="K325" i="143"/>
  <c r="L325" i="143"/>
  <c r="M325" i="143"/>
  <c r="F327" i="143"/>
  <c r="G327" i="143"/>
  <c r="H327" i="143"/>
  <c r="I327" i="143"/>
  <c r="J327" i="143"/>
  <c r="K327" i="143"/>
  <c r="L327" i="143"/>
  <c r="M327" i="143"/>
  <c r="F332" i="143"/>
  <c r="G332" i="143"/>
  <c r="H332" i="143"/>
  <c r="I332" i="143"/>
  <c r="J332" i="143"/>
  <c r="K332" i="143"/>
  <c r="L332" i="143"/>
  <c r="M332" i="143"/>
  <c r="F333" i="143"/>
  <c r="G333" i="143"/>
  <c r="H333" i="143"/>
  <c r="I333" i="143"/>
  <c r="L333" i="143"/>
  <c r="M333" i="143"/>
  <c r="G336" i="143"/>
  <c r="F340" i="143"/>
  <c r="F341" i="143"/>
  <c r="F343" i="143"/>
  <c r="G349" i="143"/>
  <c r="M349" i="143"/>
  <c r="G350" i="143"/>
  <c r="M350" i="143"/>
  <c r="G351" i="143"/>
  <c r="M351" i="143"/>
  <c r="G352" i="143"/>
  <c r="M352" i="143"/>
  <c r="G353" i="143"/>
  <c r="M353" i="143"/>
  <c r="G354" i="143"/>
  <c r="M354" i="143"/>
  <c r="G355" i="143"/>
  <c r="M355" i="143"/>
  <c r="G356" i="143"/>
  <c r="M356" i="143"/>
  <c r="G357" i="143"/>
  <c r="M357" i="143"/>
  <c r="G358" i="143"/>
  <c r="M358" i="143"/>
  <c r="G359" i="143"/>
  <c r="M359" i="143"/>
  <c r="G360" i="143"/>
  <c r="M360" i="143"/>
  <c r="G361" i="143"/>
  <c r="M361" i="143"/>
  <c r="G362" i="143"/>
  <c r="M362" i="143"/>
  <c r="G363" i="143"/>
  <c r="M363" i="143"/>
  <c r="M364" i="143"/>
  <c r="M365" i="143"/>
  <c r="F366" i="143"/>
  <c r="G366" i="143"/>
  <c r="H366" i="143"/>
  <c r="I366" i="143"/>
  <c r="J366" i="143"/>
  <c r="K366" i="143"/>
  <c r="L366" i="143"/>
  <c r="M366" i="143"/>
  <c r="F387" i="143"/>
  <c r="F396" i="143"/>
  <c r="F398" i="143"/>
  <c r="F403" i="143"/>
  <c r="F408" i="143"/>
</calcChain>
</file>

<file path=xl/comments1.xml><?xml version="1.0" encoding="utf-8"?>
<comments xmlns="http://schemas.openxmlformats.org/spreadsheetml/2006/main">
  <authors>
    <author>ssousa</author>
    <author>gdunbar1</author>
  </authors>
  <commentList>
    <comment ref="L14" authorId="0" shapeId="0">
      <text>
        <r>
          <rPr>
            <b/>
            <sz val="8"/>
            <color indexed="81"/>
            <rFont val="Tahoma"/>
          </rPr>
          <t>ssousa:</t>
        </r>
        <r>
          <rPr>
            <sz val="8"/>
            <color indexed="81"/>
            <rFont val="Tahoma"/>
          </rPr>
          <t xml:space="preserve">
The 'Consumption Premium' column should reflect potential changes in forecast volume.
</t>
        </r>
      </text>
    </comment>
    <comment ref="H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I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H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Sainsbury, Armstrong</t>
        </r>
      </text>
    </comment>
    <comment ref="I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Sainsbury's, Armstrong</t>
        </r>
      </text>
    </comment>
  </commentList>
</comments>
</file>

<file path=xl/sharedStrings.xml><?xml version="1.0" encoding="utf-8"?>
<sst xmlns="http://schemas.openxmlformats.org/spreadsheetml/2006/main" count="1404" uniqueCount="440">
  <si>
    <t xml:space="preserve"> 2Q/2001 MTM Origination Summary</t>
  </si>
  <si>
    <t>Origination</t>
  </si>
  <si>
    <t>Risk Management</t>
  </si>
  <si>
    <t>Deals</t>
  </si>
  <si>
    <t>Silo</t>
  </si>
  <si>
    <t>State</t>
  </si>
  <si>
    <t>Region</t>
  </si>
  <si>
    <t>Type</t>
  </si>
  <si>
    <t>Channel</t>
  </si>
  <si>
    <t>TCV</t>
  </si>
  <si>
    <t>Sales Orig. O-K</t>
  </si>
  <si>
    <t>Credit Reserve</t>
  </si>
  <si>
    <t>Implementation Premium</t>
  </si>
  <si>
    <t>Consumption Premium</t>
  </si>
  <si>
    <t>Hedge Mngmt</t>
  </si>
  <si>
    <t>Valuation Prudencies</t>
  </si>
  <si>
    <t>NET RM</t>
  </si>
  <si>
    <t>M-O</t>
  </si>
  <si>
    <t>RM</t>
  </si>
  <si>
    <t>MA</t>
  </si>
  <si>
    <t>CAD</t>
  </si>
  <si>
    <t>1Q 2001</t>
  </si>
  <si>
    <t>2Q 2001</t>
  </si>
  <si>
    <t>3Q 2001</t>
  </si>
  <si>
    <t>4Q 2001</t>
  </si>
  <si>
    <t>YTD 2001</t>
  </si>
  <si>
    <t>Europe TCV</t>
  </si>
  <si>
    <t>Total New Deals:</t>
  </si>
  <si>
    <t>Total Value</t>
  </si>
  <si>
    <t>Thousands of US Dollars (FX Rate 1.54)</t>
  </si>
  <si>
    <t>ENRON DIRECT CANADA</t>
  </si>
  <si>
    <t>DIRECT SALES:</t>
  </si>
  <si>
    <t>Boardwalk Equities Inc. - 2.5%</t>
  </si>
  <si>
    <t>Boardwalk Floating Price</t>
  </si>
  <si>
    <t>Calgary Winter Club - Rate 13</t>
  </si>
  <si>
    <t>Martinizing 2 - 703157 Alberta Inc. - Rate 11</t>
  </si>
  <si>
    <t>Integrated Metallurgical Services Ltd. - Rate 13</t>
  </si>
  <si>
    <t>Rimrock Resort Hotel Corporation - Rate 11</t>
  </si>
  <si>
    <t>Rimrock Resort Hotel Corporation - Rate 13</t>
  </si>
  <si>
    <t>The Glencoe Golf &amp; Country Club - Rate 11</t>
  </si>
  <si>
    <t>The Glencoe Golf &amp; Country Club - Rate 13</t>
  </si>
  <si>
    <t>Boardwalk Equities Inc. (Financial Transaction) - Rate 11</t>
  </si>
  <si>
    <t>Boardwalk Equities Inc. (Financial Transaction) - Rate 13</t>
  </si>
  <si>
    <t>Pacrim Development Inc. - Rate 13</t>
  </si>
  <si>
    <t>Paradise Hills Farm Inc. - Rate 11</t>
  </si>
  <si>
    <t>Co-op</t>
  </si>
  <si>
    <t>Rubbermaid</t>
  </si>
  <si>
    <t>Brewsters Transportation</t>
  </si>
  <si>
    <t>EES Canada - Risk Analysis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</si>
  <si>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</si>
  <si>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(MTM)</t>
  </si>
  <si>
    <t>TOTAL ENRON DIRECT CANADA Q2:</t>
  </si>
  <si>
    <t>*Current Week Newly Booked Deals</t>
  </si>
  <si>
    <t>New Closed Deals not on DPR**</t>
  </si>
  <si>
    <t xml:space="preserve">**Deal Economics are estimated </t>
  </si>
  <si>
    <t>As of 06/20/01</t>
  </si>
  <si>
    <t>Foothills Steel Foundry</t>
  </si>
  <si>
    <t>Sunterra Farms Ltd.</t>
  </si>
  <si>
    <t>AGAT Laboratories</t>
  </si>
  <si>
    <t>GAS DEALS</t>
  </si>
  <si>
    <t>Boardwalk 80% Fixed Price - Rate 11</t>
  </si>
  <si>
    <t>Boardwalk 80% Fixed Price - Rate 13</t>
  </si>
  <si>
    <t>Boardwalk Remaining 20% 1 Yr</t>
  </si>
  <si>
    <t>Boardwalk Physical Floating 4 Yr.</t>
  </si>
  <si>
    <t>TOTAL GAS DEALS</t>
  </si>
  <si>
    <t>POWER DEALS</t>
  </si>
  <si>
    <t>TOTAL POWER DEALS</t>
  </si>
  <si>
    <t>TOTAL ENRON DIRECT CANADA:</t>
  </si>
  <si>
    <t>Total</t>
  </si>
  <si>
    <t>Billing Reserve</t>
  </si>
  <si>
    <t xml:space="preserve"> 4Q/2001 MTM Origination Summary</t>
  </si>
  <si>
    <t>TX_MassMkt_TXU_100101</t>
  </si>
  <si>
    <t>CES66_ClayHillFarm_CMP_100101</t>
  </si>
  <si>
    <t>CES66_GreyGull_CMP_100101</t>
  </si>
  <si>
    <t>TX_MassMkt_HLP_092801</t>
  </si>
  <si>
    <t>TX_MidMkt_HoustonCountryClub_092801</t>
  </si>
  <si>
    <t>NY_MassMkt_100101_A</t>
  </si>
  <si>
    <t>NY_MassMkt_100101_B</t>
  </si>
  <si>
    <t>TX_MassMkt_HLP_092801_2</t>
  </si>
  <si>
    <t>TX_MassMkt_TXU_092801</t>
  </si>
  <si>
    <t>TX_MidMkt_RiverOaksCountryClub_092801</t>
  </si>
  <si>
    <t>MA_MassMkt_MECO_100101</t>
  </si>
  <si>
    <t>MA_MassMkt_BECO_100101</t>
  </si>
  <si>
    <t>CES66_BiddefordTire_CMP_100101</t>
  </si>
  <si>
    <t>CES66_HilltopCollision_CMP_100101</t>
  </si>
  <si>
    <t>CES66_RainbowFCU_CMP_100101</t>
  </si>
  <si>
    <t>CES66_SheepscotValleyHealthCenter_CMP_100101</t>
  </si>
  <si>
    <t>TX_MassMkt_HLP_100101_2</t>
  </si>
  <si>
    <t>TX_MassMkt_HLP_100101_2nd</t>
  </si>
  <si>
    <t>TX_MassMkt_TXU_100101_2</t>
  </si>
  <si>
    <t>MA_MidMkt_Walmart_Batch02</t>
  </si>
  <si>
    <t>MA_MassMkt_WMECO_100201</t>
  </si>
  <si>
    <t>CES66_SeaChambers_CMP_100101</t>
  </si>
  <si>
    <t>MA_MassMkt_BECO_100201</t>
  </si>
  <si>
    <t>NY_MassMkt_100201</t>
  </si>
  <si>
    <t>TX_MassMkt_TNPSouth_100201</t>
  </si>
  <si>
    <t>TX_MassMkt_TNPSouth_100101</t>
  </si>
  <si>
    <t>TexasMidMkt_St. Johns School</t>
  </si>
  <si>
    <t>TexasMidMkt_Densimix</t>
  </si>
  <si>
    <t>TexasMidMkt_Coriscana Technologies</t>
  </si>
  <si>
    <t>TexasMidMkt_Church of ST. John</t>
  </si>
  <si>
    <t>NY_MassMkt_CAD_092801</t>
  </si>
  <si>
    <t>MA_MassMkt_BECO_Aloutte_Rebook</t>
  </si>
  <si>
    <t>TX_MassMkt_TXU_100201</t>
  </si>
  <si>
    <t>TX_MassMkt_TNPNorth_100101</t>
  </si>
  <si>
    <t>TX_MassMkt_TNPNorth_100101_2</t>
  </si>
  <si>
    <t>TX_MassMkt_TNPNorth_100201</t>
  </si>
  <si>
    <t>MA_MassMkt_MECO_100201</t>
  </si>
  <si>
    <t>TX_MassMkt_TNP South_100301</t>
  </si>
  <si>
    <t>MA_MassMkt_BECO_100301</t>
  </si>
  <si>
    <t>TX_MidMkt_Methodist Church_100301</t>
  </si>
  <si>
    <t>CES67_Nickerson Buick_CMP</t>
  </si>
  <si>
    <t>CES67_Inn at 2 Village Square CMP</t>
  </si>
  <si>
    <t>TX_MassMkt_TXU_100301</t>
  </si>
  <si>
    <t>TX_MassMkt_CPL_Telesales_100301</t>
  </si>
  <si>
    <t>TX_MassMkt_TNP North_100301</t>
  </si>
  <si>
    <t>TX_MassMkt_CPL_100201</t>
  </si>
  <si>
    <t>TX_MassMkt_HLP_100201</t>
  </si>
  <si>
    <t>CES67_HiddenValleyCamps_CMP_100401</t>
  </si>
  <si>
    <t>NY_MassMkt_100301_TalTree</t>
  </si>
  <si>
    <t>TX_MidMkt_MoodyGardens_Batch02</t>
  </si>
  <si>
    <t>NY_MassMkt_Salience_100301</t>
  </si>
  <si>
    <t>TX_MassMkt_HLP_100301</t>
  </si>
  <si>
    <t>TX_Mid_ComfortInn_100101</t>
  </si>
  <si>
    <t>TX_MidMkt_Maxim_100301</t>
  </si>
  <si>
    <t>TX_MassMkt_HLP_100301_2</t>
  </si>
  <si>
    <t>Agency Fee - Cardwell Westinghouse</t>
  </si>
  <si>
    <t>Agency Fee - Triumph</t>
  </si>
  <si>
    <t>Agency Fee - OSI Industries</t>
  </si>
  <si>
    <t>Agency Fee - Trim-Tex</t>
  </si>
  <si>
    <t>Agency Fee - Custom Plastics</t>
  </si>
  <si>
    <t>Agency Fee - Acme Ice</t>
  </si>
  <si>
    <t>Agency Fee - Bell and Howell</t>
  </si>
  <si>
    <t>Agency Fee - Universal Holding</t>
  </si>
  <si>
    <t>Agency Fee - OSI_Nation Pizza</t>
  </si>
  <si>
    <t>Agency Fee - Komet of America</t>
  </si>
  <si>
    <t>Agency Fee - Kehe Foods</t>
  </si>
  <si>
    <t>Agency Fee - Fox River Foods</t>
  </si>
  <si>
    <t>Limited</t>
  </si>
  <si>
    <t>CES_67_Fairway Motor CMP</t>
  </si>
  <si>
    <t>MA_MassMkt_MECO_100301</t>
  </si>
  <si>
    <t>TX_MidMkt_HomeDepot</t>
  </si>
  <si>
    <t>MA_MassMkt_WMECO_100301</t>
  </si>
  <si>
    <t>TX_MassMkt_HLP_100401_2</t>
  </si>
  <si>
    <t>CES_Otis_Federal_Credit_Union</t>
  </si>
  <si>
    <t>CES68_SeaView_Motel</t>
  </si>
  <si>
    <t>NY_MassMkt_100401_CAD</t>
  </si>
  <si>
    <t>NY_MassMkt_Salience_100401</t>
  </si>
  <si>
    <t>NY_MassMkt_Taltree&amp;Old_100401</t>
  </si>
  <si>
    <t>CES67_Maine_State_Retirement_System</t>
  </si>
  <si>
    <t>TX_MassMkt_CPL_Telesales_100401</t>
  </si>
  <si>
    <t>TX_MassMkt_TNP North_100401</t>
  </si>
  <si>
    <t>TX_MassMkt_TXU_100401</t>
  </si>
  <si>
    <t>TX_MassMkt_TNP South_100401</t>
  </si>
  <si>
    <t>CES_67_Cod Cove_CMP</t>
  </si>
  <si>
    <t>Correct TX_MassMkt_HLP_091901</t>
  </si>
  <si>
    <t>Unwind Children's Medical</t>
  </si>
  <si>
    <t>Unwind NY MassMkt Duplicated Sites</t>
  </si>
  <si>
    <t>Unwind TX MassMkt Duplicated Sites</t>
  </si>
  <si>
    <t>Unwind MA MassMkt L'aloutte</t>
  </si>
  <si>
    <t>NY_MassMkt_Salience_100501</t>
  </si>
  <si>
    <t>TX_MassMkt_TXU_100501</t>
  </si>
  <si>
    <t>TX_MassMkt_CPL_Telesales_100501</t>
  </si>
  <si>
    <t>TX_MassMkt_HLP_100501</t>
  </si>
  <si>
    <t>MA_MassMkt_BECO_100501_2</t>
  </si>
  <si>
    <t>CES68_CallFoods_CMP</t>
  </si>
  <si>
    <t>WalmartMaine100301</t>
  </si>
  <si>
    <t>American National Insurance Company</t>
  </si>
  <si>
    <t>TexasMidMkt_Houston Country Club_Credit Adjustment</t>
  </si>
  <si>
    <t>TexasMidMkt_River Oaks Dealership_Credit Adjustment</t>
  </si>
  <si>
    <t>TexasMidMkt_St.Johns_Credit Adjustment</t>
  </si>
  <si>
    <t>TexasMidMkt_Densimix_Credit Adjustment</t>
  </si>
  <si>
    <t>TexasMidMkt_Church of St. John_Credit Adjustment</t>
  </si>
  <si>
    <t>TexasMidMkt_Corsicana Technologies_Credit Adjustment</t>
  </si>
  <si>
    <t>CES67_Old_Colonial_Hotel_CMP</t>
  </si>
  <si>
    <t>CES67_Rock_Tide_Inn_CMP</t>
  </si>
  <si>
    <t>TX_MassMkt_100401_REVISED</t>
  </si>
  <si>
    <t>MA_MassMkt_BECO_100501</t>
  </si>
  <si>
    <t>MA_MassMkt_MECO_100501</t>
  </si>
  <si>
    <t>MA_MassMkt_BECO_100401</t>
  </si>
  <si>
    <t>MA_MassMkt_MECO_100401</t>
  </si>
  <si>
    <t>MA_MassMkt_WMECO_100401</t>
  </si>
  <si>
    <t>NY_MassMkt_TalTree_100501</t>
  </si>
  <si>
    <t>NY_MidMkt_HolidayInn_100801</t>
  </si>
  <si>
    <t>MA_MassMkt_MECO_100801</t>
  </si>
  <si>
    <t>TX_MassMkt_TNPSouth_100801</t>
  </si>
  <si>
    <t>TX_MassMkt_TNPSouth_100501</t>
  </si>
  <si>
    <t>TX_MassMkt_TNPNorth_100501</t>
  </si>
  <si>
    <t>EES Power - Risk Analysis</t>
  </si>
  <si>
    <t>TX_MidMkt_Federal Signal</t>
  </si>
  <si>
    <t>NY_MidMkt_New York Law School</t>
  </si>
  <si>
    <t>MA_MassMkt_BECO_100801</t>
  </si>
  <si>
    <t>TX_MassMkt_TNPNorth_100801</t>
  </si>
  <si>
    <t>TX_MassMkt_Telesales_CPL_100801</t>
  </si>
  <si>
    <t>TX_MassMkt_CPL_100801</t>
  </si>
  <si>
    <t>TX_MassMkt_CPL_100501</t>
  </si>
  <si>
    <t>MA_MassMkt_MECO_100801_1</t>
  </si>
  <si>
    <t>NY_MassMkt_TalTree_100801</t>
  </si>
  <si>
    <t>NY_MassMkt_TalTree_100801_CAD</t>
  </si>
  <si>
    <t>TX_MassMkt_HLP_100801</t>
  </si>
  <si>
    <t>TX_MassMkt_TXU_100801</t>
  </si>
  <si>
    <t>TX_MassMkt_HLP_100801_2</t>
  </si>
  <si>
    <t>NY_MassMkt_Salience_100801</t>
  </si>
  <si>
    <t>TX_Champion Technologies</t>
  </si>
  <si>
    <t>TX_MidMkt_Beth_Yeshurun_100801</t>
  </si>
  <si>
    <t>Harrahs_Commodity_100101</t>
  </si>
  <si>
    <t>MA_MassMkt_BECO_100901</t>
  </si>
  <si>
    <t>MA_MassMkt_MECO_100901</t>
  </si>
  <si>
    <t>TX_MassMkt_HLP_100901</t>
  </si>
  <si>
    <t>TX_MassMkt_TNP North_100901</t>
  </si>
  <si>
    <t>TX_MassMkt_TNP South_100901</t>
  </si>
  <si>
    <t>TX_MassMkt_TXU_100901</t>
  </si>
  <si>
    <t>TX_MassMkt_CPL_100401</t>
  </si>
  <si>
    <t>TX_MassMkt_CPL_100301</t>
  </si>
  <si>
    <t>TX_MassMkt_CPL_100901</t>
  </si>
  <si>
    <t>TX_MidMkt_GreenPark_082901</t>
  </si>
  <si>
    <t>EOP MA 4</t>
  </si>
  <si>
    <t>Lucent Partial Unwind</t>
  </si>
  <si>
    <t>Agency Fee - Purchase Corp. Park</t>
  </si>
  <si>
    <t>Agency Fee - Beech Hills</t>
  </si>
  <si>
    <t>Agency Fee - Clearview Nursing Home</t>
  </si>
  <si>
    <t>Agency Fee -  AM Property</t>
  </si>
  <si>
    <t>Agency Fee - Flushing Manor</t>
  </si>
  <si>
    <t>Agency Fee - G &amp; S Corp.</t>
  </si>
  <si>
    <t>TX_MassMkt_CPL_101001</t>
  </si>
  <si>
    <t>TX_MassMkt_HLP_101001_2</t>
  </si>
  <si>
    <t>NY_MassMkt_101001</t>
  </si>
  <si>
    <t>TX_MassMkt_TXU_101001</t>
  </si>
  <si>
    <t>TX_MassMkt_HLP_101001</t>
  </si>
  <si>
    <t>NY_MidMkt_HebrewBronx_100901_Revised</t>
  </si>
  <si>
    <t>TX_MidMkt_GAL-TEX_100901</t>
  </si>
  <si>
    <t>NY_MassMkt_100901</t>
  </si>
  <si>
    <t>Agency Fee</t>
  </si>
  <si>
    <t>As of 10/17/01</t>
  </si>
  <si>
    <t>TX_MassMkt_HLP_101601</t>
  </si>
  <si>
    <t>TX_MassMkt_HLP_2_101601</t>
  </si>
  <si>
    <t>NY_MassMkt_CAD_101601</t>
  </si>
  <si>
    <t>MA_MassMkt_BECO_101501</t>
  </si>
  <si>
    <t>TX_MidMkt_PointSmith_Batch02</t>
  </si>
  <si>
    <t>TX_MassMkt_TNPSouth_101501</t>
  </si>
  <si>
    <t>TX_MassMkt_TNPNorth_101501</t>
  </si>
  <si>
    <t>TX_MidMkt_BayouClub_Batch02_101501</t>
  </si>
  <si>
    <t>Walter_Cahn_101501</t>
  </si>
  <si>
    <t>CES73_Casco Bay Steep Structures_CMP</t>
  </si>
  <si>
    <t>TX_MassMkt_TNPNorth_101601</t>
  </si>
  <si>
    <t>TX_MassMkt_TNPSouth_101601</t>
  </si>
  <si>
    <t>TX_MassMkt Contract Price Corrections</t>
  </si>
  <si>
    <t>NY_MassMkt Contract Price Corrections</t>
  </si>
  <si>
    <t>MA_MassMkt_Contract Price Corrections</t>
  </si>
  <si>
    <t>TX_MassMkt_TXU_101501</t>
  </si>
  <si>
    <t>TX_MassMkt_CPL_101501</t>
  </si>
  <si>
    <t>TX_MassMkt_HLP_2_101501</t>
  </si>
  <si>
    <t>TX_MassMkt_HLP_101501</t>
  </si>
  <si>
    <t>TX_MassMkt_HLP Telesales_101501</t>
  </si>
  <si>
    <t>MA_MassMkt_MECO_101001</t>
  </si>
  <si>
    <t>TX_MassMkt_TNPSouth_101101</t>
  </si>
  <si>
    <t>TX_MidMkt_United_Batch02</t>
  </si>
  <si>
    <t>NY_MassMkt_Unbooked_101001</t>
  </si>
  <si>
    <t>NY_MassMkt_Unbooked_101101</t>
  </si>
  <si>
    <t>TX_MassMkt_TXU_101201_2</t>
  </si>
  <si>
    <t>TX_MassMkt_TXU_101201</t>
  </si>
  <si>
    <t>CES72_Town Landing_CMP</t>
  </si>
  <si>
    <t>NY_MassMkt_101501</t>
  </si>
  <si>
    <t>NY_MassMkt_CAD_101501</t>
  </si>
  <si>
    <t>TX_MidMkt_BaymontInn_101501</t>
  </si>
  <si>
    <t>MA_MassMkt_MECO_101201</t>
  </si>
  <si>
    <t>IL_MassMkt_101201</t>
  </si>
  <si>
    <t>MA_MassMkt_BECO_101201</t>
  </si>
  <si>
    <t>TX_MassMkt_HLP_101201_2</t>
  </si>
  <si>
    <t>TX_MassMkt_HLP_101201</t>
  </si>
  <si>
    <t>NY_MassMkt_082201_Incremental</t>
  </si>
  <si>
    <t>NY_MassMkt_Unbooked_8-91001</t>
  </si>
  <si>
    <t>NY_MassMkt_Unbooked_9-91001_II</t>
  </si>
  <si>
    <t>NY_MassMkt_101201</t>
  </si>
  <si>
    <t>TX_MassMkt_TNP_North_101201</t>
  </si>
  <si>
    <t>TX_MassMkt_TNP_South_101201</t>
  </si>
  <si>
    <t>NY_MassMkt_CAD_101201</t>
  </si>
  <si>
    <t>TX_MidMkt_Jewish Community Center</t>
  </si>
  <si>
    <t>TX_MassMkt_CPL_101201</t>
  </si>
  <si>
    <t>CES71_Adams Bakery_CMP</t>
  </si>
  <si>
    <t>TX_MassMkt_CPL Telesales_101101</t>
  </si>
  <si>
    <t>TX_MassMkt_TNPNorth_101101</t>
  </si>
  <si>
    <t>MA_MassMkt_MECO_101101</t>
  </si>
  <si>
    <t>MA_MassMkt_WMECO_101101</t>
  </si>
  <si>
    <t>MA_MassMkt_BECO_101101</t>
  </si>
  <si>
    <t>TX_MassMkt_HLP_101101</t>
  </si>
  <si>
    <t>TX_MassMkt_HLP_2_101101</t>
  </si>
  <si>
    <t>MA_MidMkt_National Amusement</t>
  </si>
  <si>
    <t>CES71_RGEaton_WoodWorks_CMP</t>
  </si>
  <si>
    <t>CES71_Applicators_Sales&amp;Services_CMP</t>
  </si>
  <si>
    <t>NY_MassMkt_101101</t>
  </si>
  <si>
    <t>TX_MassMkt-TXU_101101_2</t>
  </si>
  <si>
    <t>TX_MassMkt_TXU_101101</t>
  </si>
  <si>
    <t>CES70_NorthEast_FSB_CMP</t>
  </si>
  <si>
    <t>CES70_Omalleys_Diner_CMP</t>
  </si>
  <si>
    <t>MA_MassMkt_BECO_101001</t>
  </si>
  <si>
    <t>CES70_P.L. Kenny_CMP</t>
  </si>
  <si>
    <t>CES70_DEC</t>
  </si>
  <si>
    <t>CES70_Microdyne</t>
  </si>
  <si>
    <t>Direct Sales East</t>
  </si>
  <si>
    <t>NY</t>
  </si>
  <si>
    <t>NYPP</t>
  </si>
  <si>
    <t>Pwr</t>
  </si>
  <si>
    <t>NEPOOL</t>
  </si>
  <si>
    <t>ME</t>
  </si>
  <si>
    <t>Commercial Energy Services</t>
  </si>
  <si>
    <t>CA</t>
  </si>
  <si>
    <t>WSCC</t>
  </si>
  <si>
    <t>Industrial Energy Services</t>
  </si>
  <si>
    <t>TX</t>
  </si>
  <si>
    <t>ERCOT</t>
  </si>
  <si>
    <t>Third Party Sales</t>
  </si>
  <si>
    <t>Agent Network Channel</t>
  </si>
  <si>
    <t>Direct Sales West</t>
  </si>
  <si>
    <t>IL</t>
  </si>
  <si>
    <t>MAIN</t>
  </si>
  <si>
    <t>COMED</t>
  </si>
  <si>
    <t>Energy Services</t>
  </si>
  <si>
    <t>Manufacturing Energy Services</t>
  </si>
  <si>
    <t>Commercial Portfolio Origination</t>
  </si>
  <si>
    <t>Regional Market Services</t>
  </si>
  <si>
    <t>Northeast</t>
  </si>
  <si>
    <t>Illinois</t>
  </si>
  <si>
    <t>Texas</t>
  </si>
  <si>
    <t>California</t>
  </si>
  <si>
    <t>Total Energy Services</t>
  </si>
  <si>
    <t>Enron Direct USA</t>
  </si>
  <si>
    <t>Direct Sales</t>
  </si>
  <si>
    <t>West</t>
  </si>
  <si>
    <t>East</t>
  </si>
  <si>
    <t xml:space="preserve">E-Channel </t>
  </si>
  <si>
    <t>Clinton</t>
  </si>
  <si>
    <t>Other</t>
  </si>
  <si>
    <t>Total Enron Direct USA</t>
  </si>
  <si>
    <t>Total Third Party Sales East</t>
  </si>
  <si>
    <t>Total Third Party Sales West</t>
  </si>
  <si>
    <t>Total Industrial Energy Services</t>
  </si>
  <si>
    <t>Total Direct Sales West</t>
  </si>
  <si>
    <t>Total Direct Sales East</t>
  </si>
  <si>
    <t>Total Commercial Energy Services</t>
  </si>
  <si>
    <t>Total Other</t>
  </si>
  <si>
    <t>Total Third Party Sales</t>
  </si>
  <si>
    <r>
      <t xml:space="preserve">Net Orig. Value O-K
</t>
    </r>
    <r>
      <rPr>
        <b/>
        <sz val="8"/>
        <rFont val="Arial"/>
        <family val="2"/>
      </rPr>
      <t>(MTM @ offer)</t>
    </r>
  </si>
  <si>
    <t>Premium</t>
  </si>
  <si>
    <t>Implementation</t>
  </si>
  <si>
    <t>MTM @ Offer</t>
  </si>
  <si>
    <t>Net of Consumption Prem</t>
  </si>
  <si>
    <t>Total Regional Market Services</t>
  </si>
  <si>
    <t>EES Europe</t>
  </si>
  <si>
    <t>4Q/2001 MTM Origination Summary</t>
  </si>
  <si>
    <t>Commodity Type</t>
  </si>
  <si>
    <t>NETA / Renewables Provision</t>
  </si>
  <si>
    <t>($000's US$)</t>
  </si>
  <si>
    <t>Product</t>
  </si>
  <si>
    <t>Middle Market (Crossley Cooke)</t>
  </si>
  <si>
    <t>Enron Direct</t>
  </si>
  <si>
    <t>Power</t>
  </si>
  <si>
    <t>Gas</t>
  </si>
  <si>
    <t>Enron Directo</t>
  </si>
  <si>
    <t>Enron Direct, Netherlands</t>
  </si>
  <si>
    <t xml:space="preserve"> </t>
  </si>
  <si>
    <t>Energy Portfolio Mgmt (Rexrode)</t>
  </si>
  <si>
    <t>TOTAL Europe Q3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</si>
  <si>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</si>
  <si>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</si>
  <si>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</si>
  <si>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t>Total 4Q 2001</t>
  </si>
  <si>
    <t>Silverstein 529 Fifth Avenue Company LLC</t>
  </si>
  <si>
    <t>Silverstein 570 Seventh Ave Company</t>
  </si>
  <si>
    <t>Silverstein 530 Fifth Ave RPF III Associates LP</t>
  </si>
  <si>
    <t>Silverstein 120 Wall Company LLC</t>
  </si>
  <si>
    <t>Silverstein 120 Broadway Company LLC</t>
  </si>
  <si>
    <t>Bayou Club of Houston</t>
  </si>
  <si>
    <t>Point Smith</t>
  </si>
  <si>
    <t>United  Structures of America</t>
  </si>
  <si>
    <t>Lowes</t>
  </si>
  <si>
    <t>Lowes
(Replaces 9/28/01 transaction)</t>
  </si>
  <si>
    <t>National Amusement</t>
  </si>
  <si>
    <t>Federal Signal Corp.</t>
  </si>
  <si>
    <t>New York Law School</t>
  </si>
  <si>
    <t>Moody Gardens</t>
  </si>
  <si>
    <t>Walmart MA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</si>
  <si>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</si>
  <si>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</si>
  <si>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</si>
  <si>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</si>
  <si>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</si>
  <si>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</si>
  <si>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</si>
  <si>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</si>
  <si>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</si>
  <si>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</si>
  <si>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</si>
  <si>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</si>
  <si>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</si>
  <si>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</si>
  <si>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</si>
  <si>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Regent Beverly Wilshire**  Legally Pursuing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</si>
  <si>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</si>
  <si>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</si>
  <si>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</si>
  <si>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</si>
  <si>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</si>
  <si>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</si>
  <si>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</si>
  <si>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</si>
  <si>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</si>
  <si>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</si>
  <si>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</si>
  <si>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</si>
  <si>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</si>
  <si>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</si>
  <si>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</si>
  <si>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</si>
  <si>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</si>
  <si>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</si>
  <si>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</si>
  <si>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</si>
  <si>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</si>
  <si>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SoCalGas</t>
  </si>
  <si>
    <t>Climax Manufacturing Company, Inc.</t>
  </si>
  <si>
    <t>NYMEX</t>
  </si>
  <si>
    <t>Mid Market Gas - IL</t>
  </si>
  <si>
    <t>Mid Market Gas - MA</t>
  </si>
  <si>
    <t>Mid Market Gas - NE</t>
  </si>
  <si>
    <t>Mid Market Gas - CA</t>
  </si>
  <si>
    <t>Total CES Power</t>
  </si>
  <si>
    <t>Agent Network Gas</t>
  </si>
  <si>
    <t>Total Agent Network Channel</t>
  </si>
  <si>
    <t>Kaiser Foundation Health Plan of Ohio - Deal Mgt</t>
  </si>
  <si>
    <t>BW Hotel LLC dba The Regent Beverly Wilshire - Deal Mgt</t>
  </si>
  <si>
    <t>Walter Cahn Associates, Inc. - Deal Mgt</t>
  </si>
  <si>
    <t>Industrial /Manufacturing Portfolio Origination</t>
  </si>
  <si>
    <t>Total Industrial/Manufacturing Portfolio Origination</t>
  </si>
  <si>
    <t>Hyatt - WGL Gas</t>
  </si>
  <si>
    <t>EAM Orig - Owens Corning 10/4 &amp; 10/9 Gas</t>
  </si>
  <si>
    <t>EAM Orig - Quebecor  10/12/01 Gas</t>
  </si>
  <si>
    <t>Agent Network Agency Fees</t>
  </si>
  <si>
    <t>Mid Market Gas - CA Agency Fees</t>
  </si>
  <si>
    <t>DESC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</si>
</sst>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86" formatCode="&quot;$&quot;#,##0.00;\(&quot;$&quot;#,##0.00\)"/>
  </numFmts>
  <fonts count="3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389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/>
    <xf numFmtId="0" fontId="0" fillId="0" borderId="0" xfId="0" applyFill="1" applyBorder="1"/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/>
    <xf numFmtId="0" fontId="8" fillId="0" borderId="2" xfId="6" applyFont="1" applyFill="1" applyBorder="1" applyAlignment="1">
      <alignment horizontal="left"/>
    </xf>
    <xf numFmtId="0" fontId="7" fillId="0" borderId="3" xfId="0" applyFont="1" applyBorder="1"/>
    <xf numFmtId="0" fontId="7" fillId="0" borderId="0" xfId="0" applyFont="1" applyBorder="1"/>
    <xf numFmtId="0" fontId="10" fillId="0" borderId="3" xfId="0" applyFont="1" applyBorder="1"/>
    <xf numFmtId="0" fontId="0" fillId="0" borderId="0" xfId="0" applyBorder="1"/>
    <xf numFmtId="166" fontId="7" fillId="0" borderId="4" xfId="1" applyNumberFormat="1" applyFont="1" applyBorder="1" applyAlignment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0" fontId="7" fillId="0" borderId="0" xfId="0" applyFont="1" applyBorder="1" applyAlignment="1"/>
    <xf numFmtId="166" fontId="7" fillId="0" borderId="5" xfId="1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6" fillId="0" borderId="0" xfId="0" applyFont="1" applyAlignment="1"/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15" fillId="3" borderId="3" xfId="0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3" borderId="5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ill="1" applyAlignment="1"/>
    <xf numFmtId="0" fontId="15" fillId="3" borderId="9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vertical="top" wrapText="1"/>
    </xf>
    <xf numFmtId="0" fontId="0" fillId="0" borderId="3" xfId="0" applyFill="1" applyBorder="1"/>
    <xf numFmtId="166" fontId="7" fillId="3" borderId="10" xfId="1" applyNumberFormat="1" applyFont="1" applyFill="1" applyBorder="1" applyAlignment="1">
      <alignment horizontal="center"/>
    </xf>
    <xf numFmtId="0" fontId="7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wrapText="1"/>
    </xf>
    <xf numFmtId="0" fontId="9" fillId="3" borderId="12" xfId="0" applyFont="1" applyFill="1" applyBorder="1"/>
    <xf numFmtId="0" fontId="12" fillId="3" borderId="13" xfId="0" applyFont="1" applyFill="1" applyBorder="1"/>
    <xf numFmtId="0" fontId="0" fillId="0" borderId="11" xfId="0" applyBorder="1"/>
    <xf numFmtId="0" fontId="7" fillId="0" borderId="11" xfId="0" applyFont="1" applyBorder="1"/>
    <xf numFmtId="166" fontId="15" fillId="0" borderId="3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/>
    <xf numFmtId="166" fontId="15" fillId="0" borderId="11" xfId="1" applyNumberFormat="1" applyFont="1" applyFill="1" applyBorder="1" applyAlignment="1">
      <alignment horizontal="center" wrapText="1"/>
    </xf>
    <xf numFmtId="166" fontId="0" fillId="0" borderId="3" xfId="1" applyNumberFormat="1" applyFont="1" applyBorder="1"/>
    <xf numFmtId="165" fontId="9" fillId="3" borderId="9" xfId="3" applyNumberFormat="1" applyFont="1" applyFill="1" applyBorder="1" applyAlignment="1">
      <alignment horizontal="center" vertical="center" wrapText="1"/>
    </xf>
    <xf numFmtId="165" fontId="9" fillId="3" borderId="13" xfId="3" applyNumberFormat="1" applyFont="1" applyFill="1" applyBorder="1" applyAlignment="1">
      <alignment horizontal="center" vertical="center" wrapText="1"/>
    </xf>
    <xf numFmtId="165" fontId="9" fillId="3" borderId="10" xfId="3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9" fillId="3" borderId="10" xfId="1" applyNumberFormat="1" applyFont="1" applyFill="1" applyBorder="1" applyAlignment="1">
      <alignment horizontal="center" wrapText="1"/>
    </xf>
    <xf numFmtId="0" fontId="0" fillId="0" borderId="4" xfId="0" applyBorder="1"/>
    <xf numFmtId="0" fontId="15" fillId="0" borderId="11" xfId="0" applyFont="1" applyFill="1" applyBorder="1" applyAlignment="1">
      <alignment horizontal="center" wrapText="1"/>
    </xf>
    <xf numFmtId="0" fontId="0" fillId="0" borderId="3" xfId="0" applyBorder="1"/>
    <xf numFmtId="43" fontId="15" fillId="0" borderId="3" xfId="0" applyNumberFormat="1" applyFont="1" applyFill="1" applyBorder="1" applyAlignment="1">
      <alignment horizontal="center" vertical="center" wrapText="1"/>
    </xf>
    <xf numFmtId="43" fontId="16" fillId="0" borderId="0" xfId="1" applyNumberFormat="1" applyFont="1" applyFill="1" applyBorder="1"/>
    <xf numFmtId="43" fontId="16" fillId="0" borderId="3" xfId="1" applyNumberFormat="1" applyFont="1" applyFill="1" applyBorder="1"/>
    <xf numFmtId="166" fontId="16" fillId="0" borderId="3" xfId="1" applyNumberFormat="1" applyFont="1" applyFill="1" applyBorder="1" applyAlignment="1">
      <alignment horizontal="center" vertical="center" wrapText="1"/>
    </xf>
    <xf numFmtId="166" fontId="16" fillId="0" borderId="0" xfId="1" applyNumberFormat="1" applyFont="1" applyFill="1" applyBorder="1"/>
    <xf numFmtId="166" fontId="16" fillId="0" borderId="3" xfId="1" applyNumberFormat="1" applyFont="1" applyFill="1" applyBorder="1"/>
    <xf numFmtId="166" fontId="16" fillId="0" borderId="2" xfId="1" applyNumberFormat="1" applyFont="1" applyFill="1" applyBorder="1"/>
    <xf numFmtId="166" fontId="16" fillId="0" borderId="5" xfId="1" applyNumberFormat="1" applyFont="1" applyFill="1" applyBorder="1" applyAlignment="1">
      <alignment horizontal="center" vertical="center" wrapText="1"/>
    </xf>
    <xf numFmtId="166" fontId="16" fillId="0" borderId="4" xfId="1" applyNumberFormat="1" applyFont="1" applyFill="1" applyBorder="1"/>
    <xf numFmtId="166" fontId="16" fillId="0" borderId="14" xfId="1" applyNumberFormat="1" applyFont="1" applyFill="1" applyBorder="1"/>
    <xf numFmtId="166" fontId="16" fillId="0" borderId="5" xfId="1" applyNumberFormat="1" applyFont="1" applyFill="1" applyBorder="1"/>
    <xf numFmtId="166" fontId="15" fillId="0" borderId="0" xfId="1" applyNumberFormat="1" applyFont="1" applyFill="1" applyBorder="1" applyAlignment="1">
      <alignment horizontal="center" vertical="center" wrapText="1"/>
    </xf>
    <xf numFmtId="166" fontId="16" fillId="0" borderId="11" xfId="1" applyNumberFormat="1" applyFont="1" applyFill="1" applyBorder="1"/>
    <xf numFmtId="166" fontId="15" fillId="0" borderId="3" xfId="1" applyNumberFormat="1" applyFont="1" applyFill="1" applyBorder="1"/>
    <xf numFmtId="166" fontId="0" fillId="0" borderId="0" xfId="1" applyNumberFormat="1" applyFont="1" applyFill="1"/>
    <xf numFmtId="165" fontId="9" fillId="3" borderId="13" xfId="1" applyNumberFormat="1" applyFont="1" applyFill="1" applyBorder="1"/>
    <xf numFmtId="165" fontId="9" fillId="0" borderId="2" xfId="1" applyNumberFormat="1" applyFont="1" applyFill="1" applyBorder="1"/>
    <xf numFmtId="0" fontId="16" fillId="0" borderId="3" xfId="0" applyFont="1" applyFill="1" applyBorder="1"/>
    <xf numFmtId="0" fontId="16" fillId="0" borderId="3" xfId="0" applyFont="1" applyFill="1" applyBorder="1" applyAlignment="1">
      <alignment wrapText="1"/>
    </xf>
    <xf numFmtId="0" fontId="18" fillId="0" borderId="3" xfId="0" applyFont="1" applyBorder="1"/>
    <xf numFmtId="0" fontId="19" fillId="0" borderId="3" xfId="0" applyFont="1" applyBorder="1"/>
    <xf numFmtId="0" fontId="0" fillId="0" borderId="5" xfId="0" applyBorder="1"/>
    <xf numFmtId="0" fontId="20" fillId="0" borderId="1" xfId="0" applyFont="1" applyFill="1" applyBorder="1"/>
    <xf numFmtId="0" fontId="20" fillId="0" borderId="3" xfId="0" applyFont="1" applyFill="1" applyBorder="1"/>
    <xf numFmtId="0" fontId="5" fillId="0" borderId="3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Fill="1" applyBorder="1" applyAlignment="1"/>
    <xf numFmtId="0" fontId="7" fillId="0" borderId="0" xfId="0" applyFont="1" applyFill="1" applyBorder="1" applyAlignment="1"/>
    <xf numFmtId="0" fontId="7" fillId="0" borderId="3" xfId="0" applyFont="1" applyFill="1" applyBorder="1" applyAlignment="1"/>
    <xf numFmtId="166" fontId="1" fillId="0" borderId="0" xfId="1" applyNumberFormat="1" applyFill="1" applyAlignment="1"/>
    <xf numFmtId="166" fontId="7" fillId="0" borderId="5" xfId="1" applyNumberFormat="1" applyFont="1" applyBorder="1" applyAlignment="1"/>
    <xf numFmtId="166" fontId="7" fillId="0" borderId="14" xfId="1" applyNumberFormat="1" applyFont="1" applyBorder="1" applyAlignment="1"/>
    <xf numFmtId="166" fontId="14" fillId="0" borderId="0" xfId="1" applyNumberFormat="1" applyFont="1" applyFill="1" applyAlignment="1"/>
    <xf numFmtId="165" fontId="9" fillId="3" borderId="13" xfId="3" applyNumberFormat="1" applyFont="1" applyFill="1" applyBorder="1" applyAlignment="1"/>
    <xf numFmtId="165" fontId="9" fillId="3" borderId="10" xfId="3" applyNumberFormat="1" applyFont="1" applyFill="1" applyBorder="1" applyAlignment="1"/>
    <xf numFmtId="165" fontId="9" fillId="3" borderId="9" xfId="3" applyNumberFormat="1" applyFont="1" applyFill="1" applyBorder="1" applyAlignment="1"/>
    <xf numFmtId="165" fontId="9" fillId="0" borderId="13" xfId="3" applyNumberFormat="1" applyFont="1" applyFill="1" applyBorder="1" applyAlignment="1"/>
    <xf numFmtId="166" fontId="1" fillId="0" borderId="0" xfId="1" applyNumberFormat="1" applyFill="1" applyBorder="1" applyAlignment="1"/>
    <xf numFmtId="165" fontId="9" fillId="3" borderId="0" xfId="3" applyNumberFormat="1" applyFont="1" applyFill="1" applyBorder="1" applyAlignment="1"/>
    <xf numFmtId="166" fontId="0" fillId="0" borderId="0" xfId="0" applyNumberFormat="1" applyAlignment="1"/>
    <xf numFmtId="0" fontId="0" fillId="0" borderId="3" xfId="0" applyFill="1" applyBorder="1" applyAlignment="1"/>
    <xf numFmtId="166" fontId="7" fillId="3" borderId="9" xfId="1" applyNumberFormat="1" applyFont="1" applyFill="1" applyBorder="1" applyAlignment="1"/>
    <xf numFmtId="166" fontId="7" fillId="0" borderId="3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11" fillId="2" borderId="3" xfId="1" applyNumberFormat="1" applyFont="1" applyFill="1" applyBorder="1" applyAlignment="1">
      <alignment horizontal="left"/>
    </xf>
    <xf numFmtId="166" fontId="7" fillId="2" borderId="0" xfId="1" applyNumberFormat="1" applyFont="1" applyFill="1" applyBorder="1" applyAlignment="1"/>
    <xf numFmtId="166" fontId="7" fillId="2" borderId="11" xfId="1" applyNumberFormat="1" applyFont="1" applyFill="1" applyBorder="1" applyAlignment="1"/>
    <xf numFmtId="0" fontId="5" fillId="0" borderId="0" xfId="0" applyFont="1" applyAlignment="1">
      <alignment horizontal="center"/>
    </xf>
    <xf numFmtId="0" fontId="15" fillId="3" borderId="1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/>
    <xf numFmtId="165" fontId="9" fillId="3" borderId="12" xfId="3" applyNumberFormat="1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/>
    <xf numFmtId="166" fontId="12" fillId="0" borderId="0" xfId="0" applyNumberFormat="1" applyFont="1" applyFill="1" applyBorder="1" applyAlignment="1"/>
    <xf numFmtId="166" fontId="0" fillId="0" borderId="0" xfId="0" applyNumberFormat="1" applyFill="1" applyBorder="1" applyAlignment="1"/>
    <xf numFmtId="0" fontId="14" fillId="0" borderId="0" xfId="0" applyFont="1" applyAlignment="1"/>
    <xf numFmtId="0" fontId="14" fillId="2" borderId="0" xfId="0" applyFont="1" applyFill="1" applyAlignment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21" fillId="2" borderId="3" xfId="6" applyFont="1" applyFill="1" applyBorder="1" applyAlignment="1">
      <alignment horizontal="left" indent="1"/>
    </xf>
    <xf numFmtId="0" fontId="21" fillId="0" borderId="5" xfId="6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0" borderId="13" xfId="0" applyFont="1" applyFill="1" applyBorder="1" applyAlignment="1"/>
    <xf numFmtId="0" fontId="22" fillId="3" borderId="9" xfId="6" applyFont="1" applyFill="1" applyBorder="1" applyAlignment="1">
      <alignment horizontal="left" indent="3"/>
    </xf>
    <xf numFmtId="0" fontId="22" fillId="3" borderId="0" xfId="6" applyFont="1" applyFill="1" applyBorder="1" applyAlignment="1">
      <alignment horizontal="left" indent="3"/>
    </xf>
    <xf numFmtId="0" fontId="14" fillId="4" borderId="0" xfId="0" applyFont="1" applyFill="1" applyAlignment="1"/>
    <xf numFmtId="0" fontId="14" fillId="0" borderId="7" xfId="0" applyFont="1" applyBorder="1" applyAlignment="1"/>
    <xf numFmtId="0" fontId="23" fillId="3" borderId="5" xfId="6" applyFont="1" applyFill="1" applyBorder="1" applyAlignment="1">
      <alignment horizontal="left" indent="1"/>
    </xf>
    <xf numFmtId="0" fontId="21" fillId="0" borderId="16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1" fillId="0" borderId="2" xfId="6" applyFont="1" applyFill="1" applyBorder="1" applyAlignment="1">
      <alignment horizontal="left"/>
    </xf>
    <xf numFmtId="0" fontId="21" fillId="3" borderId="17" xfId="5" applyFont="1" applyFill="1" applyBorder="1" applyAlignment="1">
      <alignment horizontal="center"/>
    </xf>
    <xf numFmtId="0" fontId="14" fillId="3" borderId="13" xfId="0" applyFont="1" applyFill="1" applyBorder="1" applyAlignment="1"/>
    <xf numFmtId="0" fontId="21" fillId="3" borderId="0" xfId="5" applyFont="1" applyFill="1" applyBorder="1" applyAlignment="1">
      <alignment horizontal="center"/>
    </xf>
    <xf numFmtId="0" fontId="14" fillId="3" borderId="0" xfId="0" applyFont="1" applyFill="1" applyBorder="1" applyAlignment="1"/>
    <xf numFmtId="0" fontId="21" fillId="0" borderId="18" xfId="5" applyFont="1" applyFill="1" applyBorder="1" applyAlignment="1">
      <alignment horizontal="left"/>
    </xf>
    <xf numFmtId="186" fontId="21" fillId="0" borderId="18" xfId="5" applyNumberFormat="1" applyFont="1" applyFill="1" applyBorder="1" applyAlignment="1">
      <alignment horizontal="right"/>
    </xf>
    <xf numFmtId="0" fontId="21" fillId="0" borderId="18" xfId="5" applyFont="1" applyFill="1" applyBorder="1" applyAlignment="1">
      <alignment horizontal="right"/>
    </xf>
    <xf numFmtId="0" fontId="21" fillId="0" borderId="19" xfId="5" applyFont="1" applyFill="1" applyBorder="1" applyAlignment="1">
      <alignment horizontal="left"/>
    </xf>
    <xf numFmtId="186" fontId="21" fillId="0" borderId="19" xfId="5" applyNumberFormat="1" applyFont="1" applyFill="1" applyBorder="1" applyAlignment="1">
      <alignment horizontal="right"/>
    </xf>
    <xf numFmtId="0" fontId="21" fillId="0" borderId="19" xfId="5" applyFont="1" applyFill="1" applyBorder="1" applyAlignment="1">
      <alignment horizontal="right"/>
    </xf>
    <xf numFmtId="0" fontId="21" fillId="0" borderId="20" xfId="5" applyFont="1" applyFill="1" applyBorder="1" applyAlignment="1">
      <alignment horizontal="left"/>
    </xf>
    <xf numFmtId="186" fontId="21" fillId="0" borderId="20" xfId="5" applyNumberFormat="1" applyFont="1" applyFill="1" applyBorder="1" applyAlignment="1">
      <alignment horizontal="right"/>
    </xf>
    <xf numFmtId="0" fontId="21" fillId="0" borderId="20" xfId="5" applyFont="1" applyFill="1" applyBorder="1" applyAlignment="1">
      <alignment horizontal="right"/>
    </xf>
    <xf numFmtId="0" fontId="21" fillId="5" borderId="21" xfId="5" applyFont="1" applyFill="1" applyBorder="1" applyAlignment="1">
      <alignment horizontal="left"/>
    </xf>
    <xf numFmtId="186" fontId="21" fillId="5" borderId="22" xfId="5" applyNumberFormat="1" applyFont="1" applyFill="1" applyBorder="1" applyAlignment="1">
      <alignment horizontal="right"/>
    </xf>
    <xf numFmtId="0" fontId="21" fillId="5" borderId="22" xfId="5" applyFont="1" applyFill="1" applyBorder="1" applyAlignment="1">
      <alignment horizontal="right"/>
    </xf>
    <xf numFmtId="0" fontId="14" fillId="3" borderId="16" xfId="0" applyFont="1" applyFill="1" applyBorder="1" applyAlignment="1"/>
    <xf numFmtId="0" fontId="14" fillId="0" borderId="0" xfId="0" applyFont="1" applyBorder="1" applyAlignment="1"/>
    <xf numFmtId="0" fontId="14" fillId="3" borderId="4" xfId="0" applyFont="1" applyFill="1" applyBorder="1" applyAlignment="1"/>
    <xf numFmtId="0" fontId="14" fillId="3" borderId="6" xfId="0" applyFont="1" applyFill="1" applyBorder="1" applyAlignment="1">
      <alignment horizontal="center"/>
    </xf>
    <xf numFmtId="0" fontId="21" fillId="3" borderId="3" xfId="5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21" fillId="2" borderId="2" xfId="6" applyFont="1" applyFill="1" applyBorder="1" applyAlignment="1">
      <alignment horizontal="left"/>
    </xf>
    <xf numFmtId="0" fontId="14" fillId="0" borderId="13" xfId="0" applyFont="1" applyFill="1" applyBorder="1" applyAlignment="1"/>
    <xf numFmtId="166" fontId="7" fillId="0" borderId="23" xfId="1" applyNumberFormat="1" applyFont="1" applyFill="1" applyBorder="1" applyAlignment="1"/>
    <xf numFmtId="166" fontId="7" fillId="0" borderId="0" xfId="1" applyNumberFormat="1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2"/>
    </xf>
    <xf numFmtId="0" fontId="7" fillId="0" borderId="23" xfId="0" applyFont="1" applyFill="1" applyBorder="1" applyAlignment="1">
      <alignment horizontal="left" indent="4"/>
    </xf>
    <xf numFmtId="0" fontId="11" fillId="0" borderId="24" xfId="6" applyFont="1" applyFill="1" applyBorder="1" applyAlignment="1">
      <alignment horizontal="left"/>
    </xf>
    <xf numFmtId="0" fontId="7" fillId="0" borderId="0" xfId="0" applyFont="1" applyFill="1" applyAlignment="1">
      <alignment horizontal="left" indent="4"/>
    </xf>
    <xf numFmtId="0" fontId="7" fillId="0" borderId="0" xfId="0" applyFont="1" applyFill="1" applyAlignment="1">
      <alignment horizontal="left" indent="3"/>
    </xf>
    <xf numFmtId="0" fontId="11" fillId="0" borderId="0" xfId="6" applyFont="1" applyFill="1" applyBorder="1" applyAlignment="1">
      <alignment horizontal="left" indent="3"/>
    </xf>
    <xf numFmtId="0" fontId="11" fillId="0" borderId="2" xfId="6" applyFont="1" applyFill="1" applyBorder="1" applyAlignment="1">
      <alignment horizontal="left" indent="1"/>
    </xf>
    <xf numFmtId="0" fontId="11" fillId="0" borderId="24" xfId="6" applyFont="1" applyFill="1" applyBorder="1" applyAlignment="1">
      <alignment horizontal="left" indent="1"/>
    </xf>
    <xf numFmtId="0" fontId="11" fillId="6" borderId="0" xfId="6" applyFont="1" applyFill="1" applyBorder="1" applyAlignment="1">
      <alignment horizontal="left" indent="3"/>
    </xf>
    <xf numFmtId="0" fontId="11" fillId="6" borderId="2" xfId="6" applyFont="1" applyFill="1" applyBorder="1" applyAlignment="1">
      <alignment horizontal="left"/>
    </xf>
    <xf numFmtId="0" fontId="7" fillId="6" borderId="0" xfId="0" applyFont="1" applyFill="1" applyAlignment="1">
      <alignment horizontal="left" indent="4"/>
    </xf>
    <xf numFmtId="0" fontId="7" fillId="0" borderId="23" xfId="0" applyFont="1" applyFill="1" applyBorder="1" applyAlignment="1">
      <alignment horizontal="left" indent="6"/>
    </xf>
    <xf numFmtId="0" fontId="7" fillId="0" borderId="0" xfId="0" applyFont="1" applyFill="1" applyAlignment="1">
      <alignment horizontal="left" indent="5"/>
    </xf>
    <xf numFmtId="0" fontId="7" fillId="0" borderId="23" xfId="0" applyFont="1" applyFill="1" applyBorder="1" applyAlignment="1">
      <alignment horizontal="left" indent="5"/>
    </xf>
    <xf numFmtId="0" fontId="7" fillId="0" borderId="23" xfId="0" applyFont="1" applyFill="1" applyBorder="1" applyAlignment="1">
      <alignment horizontal="left" indent="3"/>
    </xf>
    <xf numFmtId="0" fontId="7" fillId="0" borderId="3" xfId="6" applyFont="1" applyFill="1" applyBorder="1" applyAlignment="1">
      <alignment horizontal="left" indent="1"/>
    </xf>
    <xf numFmtId="0" fontId="7" fillId="0" borderId="2" xfId="6" applyFont="1" applyFill="1" applyBorder="1" applyAlignment="1">
      <alignment horizontal="left"/>
    </xf>
    <xf numFmtId="0" fontId="7" fillId="0" borderId="3" xfId="6" applyFont="1" applyFill="1" applyBorder="1" applyAlignment="1">
      <alignment horizontal="left"/>
    </xf>
    <xf numFmtId="0" fontId="8" fillId="0" borderId="0" xfId="6" applyFont="1" applyFill="1" applyBorder="1" applyAlignment="1">
      <alignment horizontal="left" indent="1"/>
    </xf>
    <xf numFmtId="166" fontId="6" fillId="0" borderId="0" xfId="1" applyNumberFormat="1" applyFont="1" applyFill="1" applyBorder="1" applyAlignment="1"/>
    <xf numFmtId="0" fontId="7" fillId="0" borderId="0" xfId="0" applyFont="1" applyFill="1" applyAlignment="1">
      <alignment horizontal="left" indent="2"/>
    </xf>
    <xf numFmtId="166" fontId="11" fillId="0" borderId="3" xfId="1" applyNumberFormat="1" applyFont="1" applyFill="1" applyBorder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11" xfId="1" applyNumberFormat="1" applyFont="1" applyFill="1" applyBorder="1" applyAlignment="1">
      <alignment horizontal="right"/>
    </xf>
    <xf numFmtId="166" fontId="11" fillId="0" borderId="25" xfId="1" applyNumberFormat="1" applyFont="1" applyFill="1" applyBorder="1" applyAlignment="1">
      <alignment horizontal="right"/>
    </xf>
    <xf numFmtId="166" fontId="7" fillId="0" borderId="23" xfId="1" applyNumberFormat="1" applyFont="1" applyFill="1" applyBorder="1" applyAlignment="1">
      <alignment horizontal="right"/>
    </xf>
    <xf numFmtId="37" fontId="7" fillId="0" borderId="23" xfId="1" applyNumberFormat="1" applyFont="1" applyFill="1" applyBorder="1" applyAlignment="1">
      <alignment horizontal="right"/>
    </xf>
    <xf numFmtId="166" fontId="7" fillId="0" borderId="15" xfId="1" applyNumberFormat="1" applyFont="1" applyFill="1" applyBorder="1" applyAlignment="1">
      <alignment horizontal="right"/>
    </xf>
    <xf numFmtId="37" fontId="7" fillId="0" borderId="0" xfId="1" applyNumberFormat="1" applyFont="1" applyFill="1" applyBorder="1" applyAlignment="1">
      <alignment horizontal="right"/>
    </xf>
    <xf numFmtId="37" fontId="7" fillId="0" borderId="0" xfId="3" applyNumberFormat="1" applyFont="1" applyFill="1" applyBorder="1" applyAlignment="1">
      <alignment horizontal="right"/>
    </xf>
    <xf numFmtId="166" fontId="8" fillId="0" borderId="3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6" fontId="6" fillId="0" borderId="11" xfId="1" applyNumberFormat="1" applyFont="1" applyFill="1" applyBorder="1" applyAlignment="1">
      <alignment horizontal="right"/>
    </xf>
    <xf numFmtId="166" fontId="7" fillId="0" borderId="26" xfId="1" applyNumberFormat="1" applyFont="1" applyFill="1" applyBorder="1" applyAlignment="1">
      <alignment horizontal="right"/>
    </xf>
    <xf numFmtId="37" fontId="7" fillId="0" borderId="23" xfId="3" applyNumberFormat="1" applyFont="1" applyFill="1" applyBorder="1" applyAlignment="1">
      <alignment horizontal="right"/>
    </xf>
    <xf numFmtId="166" fontId="7" fillId="0" borderId="3" xfId="1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7" fillId="0" borderId="24" xfId="1" applyNumberFormat="1" applyFont="1" applyFill="1" applyBorder="1" applyAlignment="1"/>
    <xf numFmtId="166" fontId="6" fillId="0" borderId="0" xfId="0" applyNumberFormat="1" applyFont="1" applyFill="1" applyBorder="1" applyAlignment="1"/>
    <xf numFmtId="166" fontId="11" fillId="0" borderId="1" xfId="1" applyNumberFormat="1" applyFont="1" applyFill="1" applyBorder="1" applyAlignment="1">
      <alignment horizontal="right"/>
    </xf>
    <xf numFmtId="166" fontId="7" fillId="0" borderId="16" xfId="1" applyNumberFormat="1" applyFont="1" applyFill="1" applyBorder="1" applyAlignment="1">
      <alignment horizontal="right"/>
    </xf>
    <xf numFmtId="166" fontId="7" fillId="0" borderId="8" xfId="1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/>
    <xf numFmtId="0" fontId="13" fillId="3" borderId="5" xfId="0" applyFont="1" applyFill="1" applyBorder="1" applyAlignment="1">
      <alignment horizontal="center" vertical="center"/>
    </xf>
    <xf numFmtId="0" fontId="11" fillId="0" borderId="23" xfId="6" applyFont="1" applyFill="1" applyBorder="1" applyAlignment="1">
      <alignment horizontal="left" indent="3"/>
    </xf>
    <xf numFmtId="0" fontId="16" fillId="0" borderId="0" xfId="0" applyFont="1" applyBorder="1" applyAlignment="1"/>
    <xf numFmtId="0" fontId="16" fillId="0" borderId="0" xfId="0" applyFont="1" applyFill="1" applyBorder="1"/>
    <xf numFmtId="0" fontId="15" fillId="3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7" fillId="0" borderId="3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3" xfId="2" applyNumberFormat="1" applyFont="1" applyFill="1" applyBorder="1" applyAlignment="1">
      <alignment horizontal="center" vertical="center" wrapText="1"/>
    </xf>
    <xf numFmtId="167" fontId="7" fillId="0" borderId="0" xfId="2" applyNumberFormat="1" applyFont="1" applyBorder="1"/>
    <xf numFmtId="167" fontId="7" fillId="0" borderId="11" xfId="2" applyNumberFormat="1" applyFont="1" applyBorder="1"/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166" fontId="7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/>
    <xf numFmtId="166" fontId="7" fillId="0" borderId="11" xfId="2" applyNumberFormat="1" applyFont="1" applyFill="1" applyBorder="1" applyAlignment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Fill="1" applyBorder="1"/>
    <xf numFmtId="0" fontId="7" fillId="0" borderId="4" xfId="0" applyFont="1" applyBorder="1"/>
    <xf numFmtId="166" fontId="7" fillId="0" borderId="25" xfId="2" applyNumberFormat="1" applyFont="1" applyFill="1" applyBorder="1" applyAlignment="1">
      <alignment vertical="center" wrapText="1"/>
    </xf>
    <xf numFmtId="166" fontId="7" fillId="0" borderId="24" xfId="2" applyNumberFormat="1" applyFont="1" applyFill="1" applyBorder="1" applyAlignment="1"/>
    <xf numFmtId="166" fontId="7" fillId="0" borderId="23" xfId="2" applyNumberFormat="1" applyFont="1" applyFill="1" applyBorder="1" applyAlignment="1"/>
    <xf numFmtId="166" fontId="7" fillId="0" borderId="15" xfId="2" applyNumberFormat="1" applyFont="1" applyFill="1" applyBorder="1" applyAlignment="1"/>
    <xf numFmtId="0" fontId="24" fillId="0" borderId="2" xfId="0" applyFont="1" applyFill="1" applyBorder="1"/>
    <xf numFmtId="166" fontId="7" fillId="0" borderId="0" xfId="2" applyNumberFormat="1" applyFont="1" applyFill="1" applyBorder="1" applyAlignment="1">
      <alignment vertical="center" wrapText="1"/>
    </xf>
    <xf numFmtId="166" fontId="7" fillId="0" borderId="11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Border="1" applyAlignment="1"/>
    <xf numFmtId="166" fontId="7" fillId="0" borderId="11" xfId="2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27" xfId="2" applyNumberFormat="1" applyFont="1" applyFill="1" applyBorder="1" applyAlignment="1">
      <alignment vertical="center" wrapText="1"/>
    </xf>
    <xf numFmtId="166" fontId="7" fillId="0" borderId="28" xfId="2" applyNumberFormat="1" applyFont="1" applyFill="1" applyBorder="1" applyAlignment="1">
      <alignment vertical="center" wrapText="1"/>
    </xf>
    <xf numFmtId="166" fontId="7" fillId="0" borderId="29" xfId="2" applyNumberFormat="1" applyFont="1" applyFill="1" applyBorder="1" applyAlignment="1">
      <alignment vertical="center" wrapText="1"/>
    </xf>
    <xf numFmtId="166" fontId="15" fillId="0" borderId="3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1" fillId="0" borderId="11" xfId="2" applyNumberFormat="1" applyBorder="1"/>
    <xf numFmtId="166" fontId="15" fillId="0" borderId="0" xfId="2" applyNumberFormat="1" applyFont="1" applyFill="1" applyBorder="1" applyAlignment="1">
      <alignment horizontal="center" vertical="center" wrapText="1"/>
    </xf>
    <xf numFmtId="166" fontId="15" fillId="0" borderId="0" xfId="2" applyNumberFormat="1" applyFont="1" applyFill="1" applyBorder="1" applyAlignment="1">
      <alignment horizontal="center" wrapText="1"/>
    </xf>
    <xf numFmtId="0" fontId="12" fillId="3" borderId="9" xfId="0" applyFont="1" applyFill="1" applyBorder="1"/>
    <xf numFmtId="166" fontId="9" fillId="3" borderId="9" xfId="4" applyNumberFormat="1" applyFont="1" applyFill="1" applyBorder="1" applyAlignment="1">
      <alignment horizontal="center" vertical="center" wrapText="1"/>
    </xf>
    <xf numFmtId="166" fontId="9" fillId="3" borderId="13" xfId="4" applyNumberFormat="1" applyFont="1" applyFill="1" applyBorder="1" applyAlignment="1">
      <alignment horizontal="center" vertical="center" wrapText="1"/>
    </xf>
    <xf numFmtId="166" fontId="9" fillId="3" borderId="10" xfId="4" applyNumberFormat="1" applyFont="1" applyFill="1" applyBorder="1" applyAlignment="1">
      <alignment horizontal="center" vertical="center" wrapText="1"/>
    </xf>
    <xf numFmtId="166" fontId="9" fillId="0" borderId="0" xfId="2" applyNumberFormat="1" applyFont="1" applyFill="1" applyBorder="1" applyAlignment="1">
      <alignment horizontal="center" vertical="center" wrapText="1"/>
    </xf>
    <xf numFmtId="167" fontId="1" fillId="0" borderId="0" xfId="2" applyNumberFormat="1" applyFill="1"/>
    <xf numFmtId="167" fontId="1" fillId="0" borderId="0" xfId="2" applyNumberFormat="1"/>
    <xf numFmtId="167" fontId="1" fillId="0" borderId="0" xfId="2" applyNumberFormat="1" applyBorder="1"/>
    <xf numFmtId="0" fontId="9" fillId="3" borderId="9" xfId="0" applyFont="1" applyFill="1" applyBorder="1" applyAlignment="1"/>
    <xf numFmtId="0" fontId="9" fillId="3" borderId="13" xfId="0" applyFont="1" applyFill="1" applyBorder="1" applyAlignment="1"/>
    <xf numFmtId="42" fontId="9" fillId="3" borderId="9" xfId="1" applyNumberFormat="1" applyFont="1" applyFill="1" applyBorder="1" applyAlignment="1"/>
    <xf numFmtId="42" fontId="9" fillId="3" borderId="13" xfId="1" applyNumberFormat="1" applyFont="1" applyFill="1" applyBorder="1" applyAlignment="1"/>
    <xf numFmtId="42" fontId="9" fillId="3" borderId="10" xfId="1" applyNumberFormat="1" applyFont="1" applyFill="1" applyBorder="1" applyAlignment="1"/>
    <xf numFmtId="0" fontId="16" fillId="3" borderId="4" xfId="0" applyFont="1" applyFill="1" applyBorder="1" applyAlignment="1">
      <alignment wrapText="1"/>
    </xf>
    <xf numFmtId="0" fontId="15" fillId="3" borderId="14" xfId="0" applyFont="1" applyFill="1" applyBorder="1" applyAlignment="1">
      <alignment horizontal="center" wrapText="1"/>
    </xf>
    <xf numFmtId="165" fontId="12" fillId="3" borderId="12" xfId="2" applyNumberFormat="1" applyFont="1" applyFill="1" applyBorder="1"/>
    <xf numFmtId="165" fontId="12" fillId="3" borderId="13" xfId="2" applyNumberFormat="1" applyFont="1" applyFill="1" applyBorder="1"/>
    <xf numFmtId="165" fontId="9" fillId="3" borderId="13" xfId="2" applyNumberFormat="1" applyFont="1" applyFill="1" applyBorder="1" applyAlignment="1">
      <alignment horizontal="center" wrapText="1"/>
    </xf>
    <xf numFmtId="165" fontId="9" fillId="3" borderId="10" xfId="4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left"/>
    </xf>
    <xf numFmtId="166" fontId="7" fillId="0" borderId="1" xfId="1" applyNumberFormat="1" applyFont="1" applyFill="1" applyBorder="1" applyAlignment="1"/>
    <xf numFmtId="0" fontId="28" fillId="0" borderId="6" xfId="6" applyFont="1" applyFill="1" applyBorder="1" applyAlignment="1">
      <alignment horizontal="left"/>
    </xf>
    <xf numFmtId="0" fontId="6" fillId="0" borderId="16" xfId="0" applyFont="1" applyFill="1" applyBorder="1" applyAlignment="1"/>
    <xf numFmtId="166" fontId="7" fillId="0" borderId="16" xfId="1" applyNumberFormat="1" applyFont="1" applyFill="1" applyBorder="1" applyAlignment="1"/>
    <xf numFmtId="0" fontId="11" fillId="0" borderId="3" xfId="6" applyFont="1" applyFill="1" applyBorder="1" applyAlignment="1">
      <alignment horizontal="left"/>
    </xf>
    <xf numFmtId="166" fontId="7" fillId="0" borderId="3" xfId="1" applyNumberFormat="1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14" xfId="0" applyBorder="1" applyAlignment="1"/>
    <xf numFmtId="0" fontId="7" fillId="0" borderId="5" xfId="0" applyFont="1" applyBorder="1" applyAlignment="1"/>
    <xf numFmtId="0" fontId="29" fillId="3" borderId="5" xfId="6" applyFont="1" applyFill="1" applyBorder="1" applyAlignment="1">
      <alignment horizontal="left" indent="1"/>
    </xf>
    <xf numFmtId="0" fontId="29" fillId="3" borderId="4" xfId="6" applyFont="1" applyFill="1" applyBorder="1" applyAlignment="1">
      <alignment horizontal="left" indent="1"/>
    </xf>
    <xf numFmtId="0" fontId="0" fillId="3" borderId="4" xfId="0" applyFill="1" applyBorder="1" applyAlignment="1"/>
    <xf numFmtId="0" fontId="21" fillId="0" borderId="0" xfId="5" applyFont="1" applyFill="1" applyBorder="1" applyAlignment="1">
      <alignment horizontal="left"/>
    </xf>
    <xf numFmtId="186" fontId="21" fillId="0" borderId="0" xfId="5" applyNumberFormat="1" applyFont="1" applyFill="1" applyBorder="1" applyAlignment="1">
      <alignment horizontal="right"/>
    </xf>
    <xf numFmtId="0" fontId="21" fillId="0" borderId="0" xfId="5" applyFont="1" applyFill="1" applyBorder="1" applyAlignment="1">
      <alignment horizontal="right"/>
    </xf>
    <xf numFmtId="0" fontId="14" fillId="0" borderId="7" xfId="0" applyFont="1" applyFill="1" applyBorder="1" applyAlignment="1"/>
    <xf numFmtId="0" fontId="7" fillId="0" borderId="14" xfId="0" applyFont="1" applyFill="1" applyBorder="1" applyAlignment="1"/>
    <xf numFmtId="0" fontId="14" fillId="0" borderId="3" xfId="0" applyFont="1" applyFill="1" applyBorder="1" applyAlignment="1"/>
    <xf numFmtId="166" fontId="0" fillId="0" borderId="0" xfId="1" applyNumberFormat="1" applyFont="1" applyAlignment="1"/>
    <xf numFmtId="166" fontId="7" fillId="3" borderId="13" xfId="1" applyNumberFormat="1" applyFont="1" applyFill="1" applyBorder="1" applyAlignment="1"/>
    <xf numFmtId="166" fontId="0" fillId="0" borderId="3" xfId="1" applyNumberFormat="1" applyFont="1" applyBorder="1" applyAlignment="1"/>
    <xf numFmtId="166" fontId="1" fillId="0" borderId="3" xfId="1" applyNumberFormat="1" applyFill="1" applyBorder="1" applyAlignment="1"/>
    <xf numFmtId="0" fontId="7" fillId="0" borderId="25" xfId="0" applyFont="1" applyFill="1" applyBorder="1" applyAlignment="1"/>
    <xf numFmtId="0" fontId="6" fillId="3" borderId="1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/>
    <xf numFmtId="0" fontId="14" fillId="0" borderId="0" xfId="0" applyFont="1" applyFill="1" applyBorder="1"/>
    <xf numFmtId="0" fontId="30" fillId="0" borderId="3" xfId="6" applyFont="1" applyFill="1" applyBorder="1" applyAlignment="1">
      <alignment horizontal="left" indent="3"/>
    </xf>
    <xf numFmtId="0" fontId="30" fillId="0" borderId="0" xfId="6" applyFont="1" applyFill="1" applyBorder="1" applyAlignment="1">
      <alignment horizontal="left" indent="3"/>
    </xf>
    <xf numFmtId="165" fontId="9" fillId="0" borderId="3" xfId="3" applyNumberFormat="1" applyFont="1" applyFill="1" applyBorder="1"/>
    <xf numFmtId="0" fontId="30" fillId="3" borderId="9" xfId="6" applyFont="1" applyFill="1" applyBorder="1" applyAlignment="1">
      <alignment horizontal="left" indent="3"/>
    </xf>
    <xf numFmtId="0" fontId="30" fillId="3" borderId="13" xfId="6" applyFont="1" applyFill="1" applyBorder="1" applyAlignment="1">
      <alignment horizontal="left" indent="3"/>
    </xf>
    <xf numFmtId="0" fontId="0" fillId="3" borderId="13" xfId="0" applyFill="1" applyBorder="1"/>
    <xf numFmtId="165" fontId="9" fillId="3" borderId="9" xfId="3" applyNumberFormat="1" applyFont="1" applyFill="1" applyBorder="1"/>
    <xf numFmtId="0" fontId="30" fillId="3" borderId="0" xfId="6" applyFont="1" applyFill="1" applyBorder="1" applyAlignment="1">
      <alignment horizontal="left" indent="3"/>
    </xf>
    <xf numFmtId="0" fontId="0" fillId="3" borderId="0" xfId="0" applyFill="1" applyBorder="1"/>
    <xf numFmtId="165" fontId="9" fillId="3" borderId="0" xfId="3" applyNumberFormat="1" applyFont="1" applyFill="1" applyBorder="1"/>
    <xf numFmtId="0" fontId="30" fillId="3" borderId="9" xfId="6" applyFont="1" applyFill="1" applyBorder="1" applyAlignment="1">
      <alignment horizontal="center"/>
    </xf>
    <xf numFmtId="165" fontId="30" fillId="0" borderId="3" xfId="6" applyNumberFormat="1" applyFont="1" applyFill="1" applyBorder="1" applyAlignment="1">
      <alignment horizontal="left" indent="3"/>
    </xf>
    <xf numFmtId="0" fontId="31" fillId="0" borderId="2" xfId="6" applyFont="1" applyFill="1" applyBorder="1" applyAlignment="1">
      <alignment horizontal="left" wrapText="1"/>
    </xf>
    <xf numFmtId="0" fontId="32" fillId="0" borderId="2" xfId="6" applyFont="1" applyFill="1" applyBorder="1" applyAlignment="1">
      <alignment horizontal="left" wrapText="1" indent="2"/>
    </xf>
    <xf numFmtId="166" fontId="0" fillId="0" borderId="11" xfId="0" applyNumberFormat="1" applyFill="1" applyBorder="1" applyAlignment="1"/>
    <xf numFmtId="166" fontId="0" fillId="0" borderId="11" xfId="0" applyNumberFormat="1" applyBorder="1" applyAlignment="1"/>
    <xf numFmtId="166" fontId="32" fillId="0" borderId="11" xfId="1" applyNumberFormat="1" applyFont="1" applyFill="1" applyBorder="1" applyAlignment="1">
      <alignment horizontal="left" wrapText="1"/>
    </xf>
    <xf numFmtId="166" fontId="0" fillId="0" borderId="15" xfId="0" applyNumberFormat="1" applyBorder="1" applyAlignment="1"/>
    <xf numFmtId="0" fontId="3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2"/>
    </xf>
    <xf numFmtId="166" fontId="5" fillId="0" borderId="11" xfId="0" applyNumberFormat="1" applyFont="1" applyBorder="1" applyAlignment="1"/>
    <xf numFmtId="0" fontId="32" fillId="0" borderId="2" xfId="6" applyFont="1" applyFill="1" applyBorder="1" applyAlignment="1">
      <alignment horizontal="left" wrapText="1" indent="3"/>
    </xf>
    <xf numFmtId="166" fontId="0" fillId="0" borderId="15" xfId="0" applyNumberFormat="1" applyFill="1" applyBorder="1" applyAlignment="1"/>
    <xf numFmtId="0" fontId="32" fillId="0" borderId="2" xfId="6" applyFont="1" applyFill="1" applyBorder="1" applyAlignment="1">
      <alignment horizontal="left" wrapText="1" indent="4"/>
    </xf>
    <xf numFmtId="166" fontId="5" fillId="0" borderId="30" xfId="0" applyNumberFormat="1" applyFont="1" applyBorder="1" applyAlignment="1"/>
    <xf numFmtId="0" fontId="22" fillId="0" borderId="2" xfId="6" applyFont="1" applyFill="1" applyBorder="1" applyAlignment="1">
      <alignment horizontal="left" wrapText="1" indent="4"/>
    </xf>
    <xf numFmtId="0" fontId="22" fillId="0" borderId="2" xfId="6" applyFont="1" applyFill="1" applyBorder="1" applyAlignment="1"/>
    <xf numFmtId="0" fontId="33" fillId="0" borderId="7" xfId="6" applyFont="1" applyFill="1" applyBorder="1" applyAlignment="1"/>
    <xf numFmtId="166" fontId="5" fillId="0" borderId="14" xfId="0" applyNumberFormat="1" applyFont="1" applyBorder="1" applyAlignment="1"/>
    <xf numFmtId="0" fontId="14" fillId="0" borderId="4" xfId="0" applyFont="1" applyBorder="1" applyAlignment="1"/>
    <xf numFmtId="0" fontId="11" fillId="0" borderId="0" xfId="6" applyFont="1" applyFill="1" applyBorder="1" applyAlignment="1">
      <alignment horizontal="left" indent="4"/>
    </xf>
    <xf numFmtId="0" fontId="11" fillId="0" borderId="0" xfId="6" applyFont="1" applyFill="1" applyBorder="1" applyAlignment="1">
      <alignment horizontal="left" indent="5"/>
    </xf>
    <xf numFmtId="0" fontId="7" fillId="0" borderId="0" xfId="0" applyFont="1" applyFill="1" applyBorder="1" applyAlignment="1">
      <alignment horizontal="left" indent="4"/>
    </xf>
    <xf numFmtId="0" fontId="11" fillId="0" borderId="23" xfId="6" applyFont="1" applyFill="1" applyBorder="1" applyAlignment="1">
      <alignment horizontal="left" indent="2"/>
    </xf>
    <xf numFmtId="0" fontId="31" fillId="7" borderId="12" xfId="6" applyFont="1" applyFill="1" applyBorder="1" applyAlignment="1">
      <alignment horizontal="center" wrapText="1"/>
    </xf>
    <xf numFmtId="0" fontId="31" fillId="7" borderId="13" xfId="6" applyFont="1" applyFill="1" applyBorder="1" applyAlignment="1">
      <alignment horizontal="center" wrapText="1"/>
    </xf>
    <xf numFmtId="0" fontId="31" fillId="7" borderId="10" xfId="6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30" fillId="3" borderId="12" xfId="6" applyFont="1" applyFill="1" applyBorder="1" applyAlignment="1">
      <alignment horizontal="center"/>
    </xf>
    <xf numFmtId="0" fontId="30" fillId="3" borderId="13" xfId="6" applyFont="1" applyFill="1" applyBorder="1" applyAlignment="1">
      <alignment horizontal="center"/>
    </xf>
    <xf numFmtId="0" fontId="30" fillId="3" borderId="10" xfId="6" applyFont="1" applyFill="1" applyBorder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5" fillId="3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Currency_Europe MTM Orig Summary 19-07-01" xfId="4"/>
    <cellStyle name="Normal" xfId="0" builtinId="0"/>
    <cellStyle name="Normal_Origination Summary (3)" xfId="5"/>
    <cellStyle name="Normal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0</xdr:col>
          <xdr:colOff>3086100</xdr:colOff>
          <xdr:row>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08ED25A-7B2B-DDDD-8B20-9ECD5A90A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4</xdr:col>
          <xdr:colOff>428625</xdr:colOff>
          <xdr:row>6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F93B6F6-542B-3B85-71F9-018F61A0E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3876675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0896F9E-5B20-4746-6A2F-0B741523B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urope%20Q4%20Forecast%2018-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venue%20011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Oct%202001/EnronDirectDPR_2001_10_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Sep%202001/ED%20Daily%20Power%20DPR%202001_09_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Forecast/Aug%202001/EDE%20TC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Aug%202001/ED%20Gas%20TC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Jun%202001/Q2%20Forecast%20-%20Retail%20Segment%209.7.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MGT/Underwriting/DASH%20Info/Status%20Reports/Weekly%20Power%20&amp;%20Gas%20Report%2010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4 Hard Look"/>
      <sheetName val="Gross Margin"/>
      <sheetName val="Expenses"/>
      <sheetName val="Expenses - Outsourcing"/>
      <sheetName val="Europe Origination Summary"/>
      <sheetName val="Origination - Middle Market"/>
      <sheetName val="Previous Forecast vs Current"/>
    </sheetNames>
    <sheetDataSet>
      <sheetData sheetId="0">
        <row r="3">
          <cell r="N3" t="str">
            <v>Results based on activity through 10 October</v>
          </cell>
        </row>
      </sheetData>
      <sheetData sheetId="1"/>
      <sheetData sheetId="2"/>
      <sheetData sheetId="3"/>
      <sheetData sheetId="4"/>
      <sheetData sheetId="5">
        <row r="10">
          <cell r="D10">
            <v>1337.0296583602242</v>
          </cell>
        </row>
        <row r="11">
          <cell r="D11">
            <v>0</v>
          </cell>
        </row>
        <row r="14">
          <cell r="D14">
            <v>0</v>
          </cell>
        </row>
        <row r="17">
          <cell r="D1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ve Elec Sites 28-9 to 11-10"/>
      <sheetName val="Live Gas Sites 28-9 to 11-10"/>
    </sheetNames>
    <sheetDataSet>
      <sheetData sheetId="0" refreshError="1">
        <row r="5601">
          <cell r="F5601">
            <v>21477984.254320189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R Details"/>
      <sheetName val="Commentry"/>
      <sheetName val="PandL Summary"/>
      <sheetName val="PandL Explanation TOTAL year"/>
      <sheetName val="PandL Explanation TOTAL month"/>
      <sheetName val="PandL Explanation TOTAL day"/>
      <sheetName val="PandL Explantion P1"/>
      <sheetName val="PandL Explantion P2"/>
      <sheetName val="PandL Explantion P3"/>
      <sheetName val="PandL Explantion P4"/>
      <sheetName val="PandL Explantion P5"/>
      <sheetName val="PandL Explantion P6"/>
      <sheetName val="PandL Explantion P7"/>
      <sheetName val="PandL Explantion P8"/>
      <sheetName val="PandL Explantion Hedge"/>
      <sheetName val="Balance Sheet_TOTAL"/>
      <sheetName val="Balance Sheet_Forward"/>
      <sheetName val="Balance Sheet_Liquidated"/>
      <sheetName val="Credit"/>
      <sheetName val="NETA Reserve"/>
      <sheetName val="Pending Contracts"/>
      <sheetName val="Split for ECT &amp; EES"/>
      <sheetName val="Sensitivities"/>
      <sheetName val="Liquidations"/>
      <sheetName val="Liquidations_Adjustments"/>
      <sheetName val="Revenue"/>
      <sheetName val="Cashflows"/>
      <sheetName val="Volumes"/>
      <sheetName val="Prudency Volumes"/>
      <sheetName val="Static Data_PandL_Month"/>
      <sheetName val="Static Data_PandL_Day"/>
      <sheetName val="Static Data_PandL_Hedge"/>
      <sheetName val="Static Data_Liquidations_Model"/>
      <sheetName val="Static Data_PandL_Model"/>
      <sheetName val="In_Sensitivities_P1"/>
      <sheetName val="In_PandL_P1"/>
      <sheetName val="In_Summary_MTM_P1"/>
      <sheetName val="In_MTM_P1"/>
      <sheetName val="In_Volumes_P1"/>
      <sheetName val="In_Sensitivities_P2"/>
      <sheetName val="In_PandL_P2"/>
      <sheetName val="In_Summary_MTM_P2"/>
      <sheetName val="In_MTM_P2"/>
      <sheetName val="In_Volumes_P2"/>
      <sheetName val="In_Sensitivities_P3"/>
      <sheetName val="In_PandL_P3"/>
      <sheetName val="In_Summary_MTM_P3"/>
      <sheetName val="In_MTM_P3"/>
      <sheetName val="In_Volumes_P3"/>
      <sheetName val="In_Sensitivities_P4"/>
      <sheetName val="In_PandL_P4"/>
      <sheetName val="In_Summary_MTM_P4"/>
      <sheetName val="In_MTM_P4"/>
      <sheetName val="In_Volumes_P4"/>
      <sheetName val="In_Sensitivities_P5"/>
      <sheetName val="In_PandL_P5"/>
      <sheetName val="In_Summary_MTM_P5"/>
      <sheetName val="In_MTM_P5"/>
      <sheetName val="In_Volumes_P5"/>
      <sheetName val="In_Sensitivities_P6"/>
      <sheetName val="In_PandL_P6"/>
      <sheetName val="In_Summary_MTM_P6"/>
      <sheetName val="In_MTM_P6"/>
      <sheetName val="In_Volumes_P6"/>
      <sheetName val="In_Sensitivities_P7"/>
      <sheetName val="In_PandL_P7"/>
      <sheetName val="In_Summary_MTM_P7"/>
      <sheetName val="In_MTM_P7"/>
      <sheetName val="In_Volumes_P7"/>
      <sheetName val="In_Sensitivities_P8"/>
      <sheetName val="In_PandL_P8"/>
      <sheetName val="In_Summary_MTM_P8"/>
      <sheetName val="In_MTM_P8"/>
      <sheetName val="In_Volumes_P8"/>
      <sheetName val="In_MTM_Hedge"/>
      <sheetName val="In_DF_Hedge"/>
      <sheetName val="In_PandL_Hedge"/>
      <sheetName val="In_PandL_Hedge_1"/>
      <sheetName val="In_PandL_Hedge_2"/>
      <sheetName val="In_PandL_Hedge_3"/>
      <sheetName val="In_PandL_Hedge_4"/>
      <sheetName val="Control Panel"/>
      <sheetName val="Fixed Data"/>
      <sheetName val="Discounted Hedge 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7">
          <cell r="B77">
            <v>-573375.02897600154</v>
          </cell>
        </row>
        <row r="81">
          <cell r="B81">
            <v>-453780</v>
          </cell>
        </row>
        <row r="89">
          <cell r="B89">
            <v>-2952066.4710208089</v>
          </cell>
        </row>
        <row r="93">
          <cell r="B93">
            <v>-713776.57571960788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ED_PandL"/>
      <sheetName val="ED_Balance Sheet"/>
      <sheetName val="Cash Flows"/>
      <sheetName val="Volumes"/>
      <sheetName val="In_MTM_Hedge"/>
      <sheetName val="Power_Commodity Book"/>
      <sheetName val="EES PL Reconciliation"/>
      <sheetName val="EES Reserves"/>
      <sheetName val="ED Power Hedge"/>
      <sheetName val="Imbalance Reserve"/>
      <sheetName val="England &amp; Wales BSUoS Curve"/>
      <sheetName val="Scotland BSUoS Curve"/>
      <sheetName val="England &amp; Wales NBP"/>
      <sheetName val="Scotland NBP"/>
      <sheetName val="DF"/>
      <sheetName val="NBP Curve"/>
      <sheetName val="BSUoS Curve"/>
      <sheetName val="England &amp; Wales Power Volumes"/>
      <sheetName val="Scottish power"/>
      <sheetName val="Workings"/>
    </sheetNames>
    <sheetDataSet>
      <sheetData sheetId="0" refreshError="1"/>
      <sheetData sheetId="1" refreshError="1"/>
      <sheetData sheetId="2" refreshError="1">
        <row r="77">
          <cell r="B77">
            <v>-744568.29255417478</v>
          </cell>
        </row>
        <row r="81">
          <cell r="B81">
            <v>-453780</v>
          </cell>
        </row>
        <row r="89">
          <cell r="B89">
            <v>-2925336.706057535</v>
          </cell>
        </row>
        <row r="93">
          <cell r="B93">
            <v>-709383.13447065011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G6">
            <v>195046.52087524786</v>
          </cell>
        </row>
        <row r="8">
          <cell r="G8">
            <v>110338.52710472065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ummary"/>
    </sheetNames>
    <sheetDataSet>
      <sheetData sheetId="0" refreshError="1"/>
      <sheetData sheetId="1" refreshError="1">
        <row r="7">
          <cell r="C7">
            <v>1562092.2885659989</v>
          </cell>
        </row>
        <row r="8">
          <cell r="C8">
            <v>598913.87072999985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rpy GM"/>
      <sheetName val="ED GM"/>
      <sheetName val="YTD Analysis"/>
      <sheetName val="Flash to Europe"/>
      <sheetName val="Q2 Variance"/>
      <sheetName val="Current 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G6">
            <v>37101986.429767579</v>
          </cell>
          <cell r="L6">
            <v>21950977.455884188</v>
          </cell>
        </row>
        <row r="7">
          <cell r="G7">
            <v>393749</v>
          </cell>
          <cell r="L7">
            <v>266356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4 RAC DASH Deals"/>
      <sheetName val="Q3 RAC DASH Deals"/>
      <sheetName val="Q4 Pwr Deal Tickets"/>
      <sheetName val="Q3 Pwr Deal Tickets"/>
      <sheetName val="Q2 Pwr Deal Tickets"/>
      <sheetName val="Gas Wkly Summary"/>
      <sheetName val="Gas Deals MTD"/>
    </sheetNames>
    <sheetDataSet>
      <sheetData sheetId="0" refreshError="1"/>
      <sheetData sheetId="1" refreshError="1"/>
      <sheetData sheetId="2">
        <row r="6">
          <cell r="U6">
            <v>37208</v>
          </cell>
          <cell r="V6">
            <v>-7908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81"/>
  <sheetViews>
    <sheetView tabSelected="1" topLeftCell="A10" zoomScale="75" zoomScaleNormal="75" workbookViewId="0">
      <pane xSplit="1" ySplit="4" topLeftCell="J95" activePane="bottomRight" state="frozen"/>
      <selection activeCell="A10" sqref="A10"/>
      <selection pane="topRight" activeCell="B10" sqref="B10"/>
      <selection pane="bottomLeft" activeCell="A14" sqref="A14"/>
      <selection pane="bottomRight" activeCell="M152" sqref="M152"/>
    </sheetView>
  </sheetViews>
  <sheetFormatPr defaultRowHeight="12.75" customHeight="1" x14ac:dyDescent="0.2"/>
  <cols>
    <col min="1" max="1" width="79.42578125" style="133" customWidth="1"/>
    <col min="2" max="2" width="31.5703125" style="133" customWidth="1"/>
    <col min="3" max="3" width="10" style="133" customWidth="1"/>
    <col min="4" max="4" width="17.5703125" style="133" customWidth="1"/>
    <col min="5" max="5" width="7" style="133" customWidth="1"/>
    <col min="6" max="6" width="22.140625" style="7" bestFit="1" customWidth="1"/>
    <col min="7" max="7" width="23.42578125" style="7" customWidth="1"/>
    <col min="8" max="8" width="17.85546875" style="7" bestFit="1" customWidth="1"/>
    <col min="9" max="9" width="23.42578125" style="7" customWidth="1"/>
    <col min="10" max="10" width="20.5703125" style="7" customWidth="1"/>
    <col min="11" max="11" width="19.42578125" style="7" customWidth="1"/>
    <col min="12" max="12" width="19.5703125" style="7" customWidth="1"/>
    <col min="13" max="13" width="21.42578125" style="18" customWidth="1"/>
    <col min="14" max="14" width="5.5703125" style="39" customWidth="1"/>
    <col min="15" max="15" width="13" style="95" customWidth="1"/>
    <col min="16" max="16" width="9.140625" style="95"/>
    <col min="17" max="17" width="13.5703125" style="95" bestFit="1" customWidth="1"/>
    <col min="18" max="78" width="9.140625" style="95"/>
    <col min="79" max="16384" width="9.140625" style="39"/>
  </cols>
  <sheetData>
    <row r="1" spans="1:15" ht="1.5" customHeight="1" x14ac:dyDescent="0.2">
      <c r="A1" s="361" t="s">
        <v>188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5" ht="15" customHeight="1" x14ac:dyDescent="0.2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112"/>
    </row>
    <row r="3" spans="1:15" ht="15" customHeight="1" x14ac:dyDescent="0.25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112"/>
    </row>
    <row r="4" spans="1:15" ht="18" x14ac:dyDescent="0.25">
      <c r="A4" s="361" t="s">
        <v>70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112"/>
    </row>
    <row r="5" spans="1:15" ht="15" customHeight="1" x14ac:dyDescent="0.4">
      <c r="A5" s="116"/>
      <c r="B5" s="148"/>
      <c r="C5" s="148"/>
      <c r="D5" s="148"/>
      <c r="E5" s="148"/>
      <c r="F5" s="2"/>
      <c r="G5" s="2"/>
      <c r="H5" s="2"/>
      <c r="I5" s="3"/>
      <c r="J5" s="3"/>
      <c r="K5" s="3"/>
      <c r="L5" s="2"/>
      <c r="M5" s="16"/>
      <c r="N5" s="21"/>
    </row>
    <row r="6" spans="1:15" ht="15" customHeight="1" x14ac:dyDescent="0.2">
      <c r="A6" s="116" t="s">
        <v>233</v>
      </c>
      <c r="B6" s="148"/>
      <c r="C6" s="148"/>
      <c r="D6" s="148"/>
      <c r="E6" s="148"/>
      <c r="F6" s="116"/>
      <c r="G6" s="116"/>
      <c r="H6" s="116"/>
      <c r="I6" s="116"/>
      <c r="J6" s="116"/>
      <c r="K6" s="116"/>
      <c r="L6" s="116"/>
      <c r="M6" s="116"/>
      <c r="N6" s="116"/>
    </row>
    <row r="7" spans="1:15" ht="15" customHeight="1" x14ac:dyDescent="0.2">
      <c r="A7" s="134"/>
      <c r="B7" s="134"/>
      <c r="C7" s="134"/>
      <c r="D7" s="134"/>
      <c r="E7" s="134"/>
      <c r="F7" s="93"/>
      <c r="G7" s="93"/>
      <c r="H7" s="93"/>
      <c r="I7" s="93"/>
      <c r="J7" s="93"/>
      <c r="K7" s="93"/>
      <c r="L7" s="93"/>
      <c r="M7" s="94"/>
    </row>
    <row r="8" spans="1:15" ht="15" customHeight="1" x14ac:dyDescent="0.2">
      <c r="I8" s="5"/>
      <c r="J8" s="5"/>
      <c r="K8" s="5"/>
    </row>
    <row r="9" spans="1:15" ht="15" customHeight="1" thickBot="1" x14ac:dyDescent="0.25">
      <c r="F9" s="95"/>
      <c r="L9" s="95"/>
    </row>
    <row r="10" spans="1:15" s="96" customFormat="1" ht="15" customHeight="1" thickBot="1" x14ac:dyDescent="0.3">
      <c r="A10" s="135"/>
      <c r="B10" s="169"/>
      <c r="C10" s="169"/>
      <c r="D10" s="169"/>
      <c r="E10" s="169"/>
      <c r="F10" s="362" t="s">
        <v>1</v>
      </c>
      <c r="G10" s="363"/>
      <c r="H10" s="363"/>
      <c r="I10" s="363"/>
      <c r="J10" s="363"/>
      <c r="K10" s="363"/>
      <c r="L10" s="363"/>
      <c r="M10" s="364"/>
      <c r="N10" s="39"/>
      <c r="O10" s="95"/>
    </row>
    <row r="11" spans="1:15" s="96" customFormat="1" ht="15" customHeight="1" x14ac:dyDescent="0.2">
      <c r="A11" s="136" t="s">
        <v>3</v>
      </c>
      <c r="B11" s="170" t="s">
        <v>4</v>
      </c>
      <c r="C11" s="170" t="s">
        <v>5</v>
      </c>
      <c r="D11" s="170" t="s">
        <v>6</v>
      </c>
      <c r="E11" s="170" t="s">
        <v>7</v>
      </c>
      <c r="F11" s="121" t="s">
        <v>9</v>
      </c>
      <c r="G11" s="121" t="s">
        <v>10</v>
      </c>
      <c r="H11" s="121" t="s">
        <v>11</v>
      </c>
      <c r="I11" s="8" t="s">
        <v>344</v>
      </c>
      <c r="J11" s="122" t="s">
        <v>69</v>
      </c>
      <c r="K11" s="122" t="s">
        <v>232</v>
      </c>
      <c r="L11" s="91" t="s">
        <v>13</v>
      </c>
      <c r="M11" s="8" t="s">
        <v>342</v>
      </c>
      <c r="N11" s="221"/>
    </row>
    <row r="12" spans="1:15" s="96" customFormat="1" ht="15" customHeight="1" thickBot="1" x14ac:dyDescent="0.3">
      <c r="A12" s="137"/>
      <c r="B12" s="171"/>
      <c r="C12" s="171"/>
      <c r="D12" s="171"/>
      <c r="E12" s="171"/>
      <c r="F12" s="123"/>
      <c r="G12" s="223" t="s">
        <v>346</v>
      </c>
      <c r="H12" s="124"/>
      <c r="I12" s="124" t="s">
        <v>343</v>
      </c>
      <c r="J12" s="125"/>
      <c r="K12" s="125"/>
      <c r="L12" s="92"/>
      <c r="M12" s="90" t="s">
        <v>345</v>
      </c>
      <c r="N12" s="126"/>
    </row>
    <row r="13" spans="1:15" s="128" customFormat="1" ht="15" customHeight="1" thickBot="1" x14ac:dyDescent="0.3">
      <c r="A13" s="138"/>
      <c r="B13" s="172"/>
      <c r="C13" s="172"/>
      <c r="D13" s="172"/>
      <c r="E13" s="172"/>
      <c r="F13" s="113"/>
      <c r="G13" s="114"/>
      <c r="H13" s="114"/>
      <c r="I13" s="114"/>
      <c r="J13" s="114"/>
      <c r="K13" s="114"/>
      <c r="L13" s="114"/>
      <c r="M13" s="115"/>
      <c r="N13" s="9"/>
    </row>
    <row r="14" spans="1:15" s="128" customFormat="1" ht="15" customHeight="1" x14ac:dyDescent="0.25">
      <c r="A14" s="177" t="s">
        <v>317</v>
      </c>
      <c r="B14" s="149"/>
      <c r="C14" s="149"/>
      <c r="D14" s="149"/>
      <c r="E14" s="149"/>
      <c r="F14" s="218"/>
      <c r="G14" s="219"/>
      <c r="H14" s="219"/>
      <c r="I14" s="219"/>
      <c r="J14" s="219"/>
      <c r="K14" s="219"/>
      <c r="L14" s="219"/>
      <c r="M14" s="220"/>
      <c r="N14" s="9"/>
    </row>
    <row r="15" spans="1:15" s="128" customFormat="1" ht="15" customHeight="1" x14ac:dyDescent="0.25">
      <c r="A15" s="178" t="s">
        <v>308</v>
      </c>
      <c r="B15" s="149"/>
      <c r="C15" s="149"/>
      <c r="D15" s="149"/>
      <c r="E15" s="149"/>
      <c r="F15" s="199"/>
      <c r="G15" s="200"/>
      <c r="H15" s="200"/>
      <c r="I15" s="200"/>
      <c r="J15" s="200"/>
      <c r="K15" s="200"/>
      <c r="L15" s="200"/>
      <c r="M15" s="201"/>
      <c r="N15" s="9"/>
    </row>
    <row r="16" spans="1:15" s="128" customFormat="1" ht="15" customHeight="1" x14ac:dyDescent="0.25">
      <c r="A16" s="189" t="s">
        <v>205</v>
      </c>
      <c r="B16" s="180" t="s">
        <v>308</v>
      </c>
      <c r="C16" s="180"/>
      <c r="D16" s="180" t="s">
        <v>307</v>
      </c>
      <c r="E16" s="180" t="s">
        <v>302</v>
      </c>
      <c r="F16" s="202">
        <v>18492.468000000001</v>
      </c>
      <c r="G16" s="203">
        <f>-72386/1000</f>
        <v>-72.385999999999996</v>
      </c>
      <c r="H16" s="203">
        <f>-289750/1000</f>
        <v>-289.75</v>
      </c>
      <c r="I16" s="203"/>
      <c r="J16" s="204">
        <v>-1.4730000000000001</v>
      </c>
      <c r="K16" s="204"/>
      <c r="L16" s="203"/>
      <c r="M16" s="205">
        <f>SUM(G16:L16)</f>
        <v>-363.60899999999998</v>
      </c>
      <c r="N16" s="9"/>
    </row>
    <row r="17" spans="1:14" s="128" customFormat="1" ht="5.0999999999999996" customHeight="1" x14ac:dyDescent="0.25">
      <c r="A17" s="181"/>
      <c r="B17" s="149"/>
      <c r="C17" s="149"/>
      <c r="D17" s="149"/>
      <c r="E17" s="149"/>
      <c r="F17" s="199"/>
      <c r="G17" s="200"/>
      <c r="H17" s="200"/>
      <c r="I17" s="200"/>
      <c r="J17" s="206"/>
      <c r="K17" s="206"/>
      <c r="L17" s="200"/>
      <c r="M17" s="201"/>
      <c r="N17" s="9"/>
    </row>
    <row r="18" spans="1:14" s="128" customFormat="1" ht="15" customHeight="1" x14ac:dyDescent="0.25">
      <c r="A18" s="182" t="s">
        <v>336</v>
      </c>
      <c r="B18" s="149"/>
      <c r="C18" s="149"/>
      <c r="D18" s="149"/>
      <c r="E18" s="149"/>
      <c r="F18" s="199">
        <f>SUM(F15:F16)</f>
        <v>18492.468000000001</v>
      </c>
      <c r="G18" s="200">
        <f>SUM(G15:G16)</f>
        <v>-72.385999999999996</v>
      </c>
      <c r="H18" s="200">
        <f t="shared" ref="H18:M18" si="0">SUM(H15:H16)</f>
        <v>-289.75</v>
      </c>
      <c r="I18" s="200">
        <f t="shared" si="0"/>
        <v>0</v>
      </c>
      <c r="J18" s="206">
        <f t="shared" si="0"/>
        <v>-1.4730000000000001</v>
      </c>
      <c r="K18" s="200">
        <f t="shared" si="0"/>
        <v>0</v>
      </c>
      <c r="L18" s="200">
        <f t="shared" si="0"/>
        <v>0</v>
      </c>
      <c r="M18" s="201">
        <f t="shared" si="0"/>
        <v>-363.60899999999998</v>
      </c>
      <c r="N18" s="9"/>
    </row>
    <row r="19" spans="1:14" s="128" customFormat="1" ht="15" customHeight="1" x14ac:dyDescent="0.25">
      <c r="A19" s="182"/>
      <c r="B19" s="149"/>
      <c r="C19" s="149"/>
      <c r="D19" s="149"/>
      <c r="E19" s="149"/>
      <c r="F19" s="199"/>
      <c r="G19" s="200"/>
      <c r="H19" s="200"/>
      <c r="I19" s="200"/>
      <c r="J19" s="206"/>
      <c r="K19" s="206"/>
      <c r="L19" s="200"/>
      <c r="M19" s="201"/>
      <c r="N19" s="9"/>
    </row>
    <row r="20" spans="1:14" s="128" customFormat="1" ht="15" customHeight="1" x14ac:dyDescent="0.25">
      <c r="A20" s="178" t="s">
        <v>318</v>
      </c>
      <c r="B20" s="149"/>
      <c r="C20" s="149"/>
      <c r="D20" s="149"/>
      <c r="E20" s="149"/>
      <c r="F20" s="199"/>
      <c r="G20" s="200"/>
      <c r="H20" s="200"/>
      <c r="I20" s="200"/>
      <c r="J20" s="200"/>
      <c r="K20" s="200"/>
      <c r="L20" s="200"/>
      <c r="M20" s="201"/>
      <c r="N20" s="9"/>
    </row>
    <row r="21" spans="1:14" s="128" customFormat="1" ht="15" customHeight="1" x14ac:dyDescent="0.25">
      <c r="A21" s="178"/>
      <c r="B21" s="149"/>
      <c r="C21" s="149"/>
      <c r="D21" s="149"/>
      <c r="E21" s="149"/>
      <c r="F21" s="199"/>
      <c r="G21" s="200"/>
      <c r="H21" s="200"/>
      <c r="I21" s="200"/>
      <c r="J21" s="200"/>
      <c r="K21" s="200"/>
      <c r="L21" s="200"/>
      <c r="M21" s="201"/>
      <c r="N21" s="9"/>
    </row>
    <row r="22" spans="1:14" s="128" customFormat="1" ht="15" customHeight="1" x14ac:dyDescent="0.25">
      <c r="A22" s="178" t="s">
        <v>432</v>
      </c>
      <c r="B22" s="149"/>
      <c r="C22" s="149"/>
      <c r="D22" s="149"/>
      <c r="E22" s="149"/>
      <c r="F22" s="199"/>
      <c r="G22" s="200"/>
      <c r="H22" s="200"/>
      <c r="I22" s="200"/>
      <c r="J22" s="200"/>
      <c r="K22" s="200"/>
      <c r="L22" s="200"/>
      <c r="M22" s="201"/>
      <c r="N22" s="9"/>
    </row>
    <row r="23" spans="1:14" s="128" customFormat="1" ht="15" customHeight="1" x14ac:dyDescent="0.25">
      <c r="A23" s="355" t="s">
        <v>435</v>
      </c>
      <c r="B23" s="149"/>
      <c r="C23" s="149"/>
      <c r="D23" s="149"/>
      <c r="E23" s="149"/>
      <c r="F23" s="199"/>
      <c r="G23" s="200">
        <v>1262.319</v>
      </c>
      <c r="H23" s="200"/>
      <c r="I23" s="200"/>
      <c r="J23" s="200"/>
      <c r="K23" s="200"/>
      <c r="L23" s="200"/>
      <c r="M23" s="201">
        <f>SUM(G23:L23)</f>
        <v>1262.319</v>
      </c>
      <c r="N23" s="9"/>
    </row>
    <row r="24" spans="1:14" s="128" customFormat="1" ht="15" customHeight="1" x14ac:dyDescent="0.25">
      <c r="A24" s="355" t="s">
        <v>436</v>
      </c>
      <c r="B24" s="149"/>
      <c r="C24" s="149"/>
      <c r="D24" s="149"/>
      <c r="E24" s="149"/>
      <c r="F24" s="199"/>
      <c r="G24" s="200">
        <v>-160.34899999999999</v>
      </c>
      <c r="H24" s="200"/>
      <c r="I24" s="200"/>
      <c r="J24" s="200"/>
      <c r="K24" s="200"/>
      <c r="L24" s="200"/>
      <c r="M24" s="201">
        <f>SUM(G24:L24)</f>
        <v>-160.34899999999999</v>
      </c>
      <c r="N24" s="9"/>
    </row>
    <row r="25" spans="1:14" s="128" customFormat="1" ht="15" customHeight="1" x14ac:dyDescent="0.25">
      <c r="A25" s="355" t="s">
        <v>439</v>
      </c>
      <c r="B25" s="149"/>
      <c r="C25" s="149"/>
      <c r="D25" s="149"/>
      <c r="E25" s="149"/>
      <c r="F25" s="199"/>
      <c r="G25" s="200">
        <v>2.6459999999999999</v>
      </c>
      <c r="H25" s="200"/>
      <c r="I25" s="200"/>
      <c r="J25" s="200"/>
      <c r="K25" s="200"/>
      <c r="L25" s="200"/>
      <c r="M25" s="201">
        <f>SUM(G25:L25)</f>
        <v>2.6459999999999999</v>
      </c>
      <c r="N25" s="9"/>
    </row>
    <row r="26" spans="1:14" s="128" customFormat="1" ht="5.0999999999999996" customHeight="1" x14ac:dyDescent="0.25">
      <c r="A26" s="357"/>
      <c r="B26" s="180"/>
      <c r="C26" s="180"/>
      <c r="D26" s="180"/>
      <c r="E26" s="180"/>
      <c r="F26" s="202"/>
      <c r="G26" s="203"/>
      <c r="H26" s="203"/>
      <c r="I26" s="203"/>
      <c r="J26" s="203"/>
      <c r="K26" s="203"/>
      <c r="L26" s="203"/>
      <c r="M26" s="205"/>
      <c r="N26" s="9"/>
    </row>
    <row r="27" spans="1:14" s="128" customFormat="1" ht="15" customHeight="1" x14ac:dyDescent="0.25">
      <c r="A27" s="178" t="s">
        <v>433</v>
      </c>
      <c r="B27" s="149"/>
      <c r="C27" s="149"/>
      <c r="D27" s="149"/>
      <c r="E27" s="149"/>
      <c r="F27" s="199"/>
      <c r="G27" s="200">
        <f>SUM(G22:G26)</f>
        <v>1104.616</v>
      </c>
      <c r="H27" s="200">
        <f t="shared" ref="H27:M27" si="1">SUM(H22:H26)</f>
        <v>0</v>
      </c>
      <c r="I27" s="200">
        <f t="shared" si="1"/>
        <v>0</v>
      </c>
      <c r="J27" s="200">
        <f t="shared" si="1"/>
        <v>0</v>
      </c>
      <c r="K27" s="200">
        <f t="shared" si="1"/>
        <v>0</v>
      </c>
      <c r="L27" s="200">
        <f t="shared" si="1"/>
        <v>0</v>
      </c>
      <c r="M27" s="201">
        <f t="shared" si="1"/>
        <v>1104.616</v>
      </c>
      <c r="N27" s="9"/>
    </row>
    <row r="28" spans="1:14" s="128" customFormat="1" ht="15" customHeight="1" x14ac:dyDescent="0.25">
      <c r="A28" s="178"/>
      <c r="B28" s="149"/>
      <c r="C28" s="149"/>
      <c r="D28" s="149"/>
      <c r="E28" s="149"/>
      <c r="F28" s="199"/>
      <c r="G28" s="200"/>
      <c r="H28" s="200"/>
      <c r="I28" s="200"/>
      <c r="J28" s="200"/>
      <c r="K28" s="200"/>
      <c r="L28" s="200"/>
      <c r="M28" s="201"/>
      <c r="N28" s="9"/>
    </row>
    <row r="29" spans="1:14" s="128" customFormat="1" ht="15" customHeight="1" x14ac:dyDescent="0.25">
      <c r="A29" s="178" t="s">
        <v>305</v>
      </c>
      <c r="B29" s="149"/>
      <c r="C29" s="149"/>
      <c r="D29" s="149"/>
      <c r="E29" s="149"/>
      <c r="F29" s="199"/>
      <c r="G29" s="200"/>
      <c r="H29" s="200"/>
      <c r="I29" s="200"/>
      <c r="J29" s="200"/>
      <c r="K29" s="200"/>
      <c r="L29" s="200"/>
      <c r="M29" s="201"/>
      <c r="N29" s="9"/>
    </row>
    <row r="30" spans="1:14" s="128" customFormat="1" ht="15" customHeight="1" x14ac:dyDescent="0.25">
      <c r="A30" s="355" t="s">
        <v>434</v>
      </c>
      <c r="B30" s="149" t="s">
        <v>305</v>
      </c>
      <c r="C30" s="149" t="s">
        <v>306</v>
      </c>
      <c r="D30" s="149" t="s">
        <v>419</v>
      </c>
      <c r="E30" s="149" t="s">
        <v>357</v>
      </c>
      <c r="F30" s="199"/>
      <c r="G30" s="200">
        <v>4.4279999999999999</v>
      </c>
      <c r="H30" s="200">
        <v>0</v>
      </c>
      <c r="I30" s="200">
        <v>0</v>
      </c>
      <c r="J30" s="200">
        <v>0</v>
      </c>
      <c r="K30" s="200">
        <v>0</v>
      </c>
      <c r="L30" s="200">
        <v>0</v>
      </c>
      <c r="M30" s="201">
        <f>+G30+H30+I30+J30+K30+L30</f>
        <v>4.4279999999999999</v>
      </c>
      <c r="N30" s="9"/>
    </row>
    <row r="31" spans="1:14" s="128" customFormat="1" ht="15" customHeight="1" x14ac:dyDescent="0.25">
      <c r="A31" s="190" t="s">
        <v>138</v>
      </c>
      <c r="B31" s="149" t="s">
        <v>305</v>
      </c>
      <c r="C31" s="149" t="s">
        <v>306</v>
      </c>
      <c r="D31" s="149" t="s">
        <v>307</v>
      </c>
      <c r="E31" s="149" t="s">
        <v>302</v>
      </c>
      <c r="F31" s="199"/>
      <c r="G31" s="200">
        <v>0</v>
      </c>
      <c r="H31" s="200">
        <f>-73000/1000</f>
        <v>-73</v>
      </c>
      <c r="I31" s="200"/>
      <c r="J31" s="206"/>
      <c r="K31" s="206"/>
      <c r="L31" s="200"/>
      <c r="M31" s="201">
        <f>+G31+H31+I31+J31+K31+L31</f>
        <v>-73</v>
      </c>
      <c r="N31" s="9"/>
    </row>
    <row r="32" spans="1:14" s="128" customFormat="1" ht="15" customHeight="1" x14ac:dyDescent="0.25">
      <c r="A32" s="190" t="s">
        <v>216</v>
      </c>
      <c r="B32" s="149" t="s">
        <v>305</v>
      </c>
      <c r="C32" s="149" t="s">
        <v>19</v>
      </c>
      <c r="D32" s="149" t="s">
        <v>303</v>
      </c>
      <c r="E32" s="149" t="s">
        <v>302</v>
      </c>
      <c r="F32" s="199">
        <v>6479.06</v>
      </c>
      <c r="G32" s="200">
        <f>858154/1000</f>
        <v>858.154</v>
      </c>
      <c r="H32" s="207">
        <f>-105300/1000</f>
        <v>-105.3</v>
      </c>
      <c r="I32" s="200"/>
      <c r="J32" s="206">
        <v>-18.326000000000001</v>
      </c>
      <c r="K32" s="206"/>
      <c r="L32" s="200"/>
      <c r="M32" s="201">
        <f>+G32+H32+I32+J32+K32+L32</f>
        <v>734.52800000000002</v>
      </c>
      <c r="N32" s="9"/>
    </row>
    <row r="33" spans="1:14" s="128" customFormat="1" ht="15" customHeight="1" x14ac:dyDescent="0.25">
      <c r="A33" s="191" t="s">
        <v>166</v>
      </c>
      <c r="B33" s="180" t="s">
        <v>305</v>
      </c>
      <c r="C33" s="180" t="s">
        <v>304</v>
      </c>
      <c r="D33" s="180" t="s">
        <v>303</v>
      </c>
      <c r="E33" s="180" t="s">
        <v>302</v>
      </c>
      <c r="F33" s="202">
        <v>48.668999999999997</v>
      </c>
      <c r="G33" s="203">
        <f>57570/1000</f>
        <v>57.57</v>
      </c>
      <c r="H33" s="203">
        <v>-7.6280000000000001</v>
      </c>
      <c r="I33" s="203"/>
      <c r="J33" s="204">
        <v>-1.272</v>
      </c>
      <c r="K33" s="204"/>
      <c r="L33" s="203"/>
      <c r="M33" s="205">
        <f>+G33+H33+I33+J33+K33+L33</f>
        <v>48.67</v>
      </c>
      <c r="N33" s="9"/>
    </row>
    <row r="34" spans="1:14" s="128" customFormat="1" ht="5.0999999999999996" customHeight="1" x14ac:dyDescent="0.25">
      <c r="B34" s="149"/>
      <c r="C34" s="149"/>
      <c r="D34" s="149"/>
      <c r="E34" s="149"/>
      <c r="F34" s="199"/>
      <c r="G34" s="200"/>
      <c r="H34" s="200"/>
      <c r="I34" s="200"/>
      <c r="J34" s="206"/>
      <c r="K34" s="206"/>
      <c r="L34" s="200"/>
      <c r="M34" s="201"/>
      <c r="N34" s="9"/>
    </row>
    <row r="35" spans="1:14" s="128" customFormat="1" ht="15" customHeight="1" x14ac:dyDescent="0.25">
      <c r="A35" s="182" t="s">
        <v>339</v>
      </c>
      <c r="B35" s="149"/>
      <c r="C35" s="149"/>
      <c r="D35" s="149"/>
      <c r="E35" s="149"/>
      <c r="F35" s="199">
        <f>SUM(F29:F33)</f>
        <v>6527.7290000000003</v>
      </c>
      <c r="G35" s="200">
        <f>SUM(G29:G33)</f>
        <v>920.15200000000004</v>
      </c>
      <c r="H35" s="200">
        <f t="shared" ref="H35:M35" si="2">SUM(H29:H33)</f>
        <v>-185.928</v>
      </c>
      <c r="I35" s="200">
        <f t="shared" si="2"/>
        <v>0</v>
      </c>
      <c r="J35" s="206">
        <f t="shared" si="2"/>
        <v>-19.597999999999999</v>
      </c>
      <c r="K35" s="206">
        <f t="shared" si="2"/>
        <v>0</v>
      </c>
      <c r="L35" s="200">
        <f t="shared" si="2"/>
        <v>0</v>
      </c>
      <c r="M35" s="201">
        <f t="shared" si="2"/>
        <v>714.62599999999998</v>
      </c>
      <c r="N35" s="9"/>
    </row>
    <row r="36" spans="1:14" s="128" customFormat="1" ht="15" customHeight="1" x14ac:dyDescent="0.25">
      <c r="A36" s="190"/>
      <c r="B36" s="149"/>
      <c r="C36" s="149"/>
      <c r="D36" s="149"/>
      <c r="E36" s="149"/>
      <c r="F36" s="199"/>
      <c r="G36" s="200"/>
      <c r="H36" s="200"/>
      <c r="I36" s="200"/>
      <c r="J36" s="206"/>
      <c r="K36" s="206"/>
      <c r="L36" s="200"/>
      <c r="M36" s="201"/>
      <c r="N36" s="9"/>
    </row>
    <row r="37" spans="1:14" s="128" customFormat="1" ht="15" customHeight="1" x14ac:dyDescent="0.25">
      <c r="A37" s="178" t="s">
        <v>319</v>
      </c>
      <c r="B37" s="149"/>
      <c r="C37" s="149"/>
      <c r="D37" s="149"/>
      <c r="E37" s="149"/>
      <c r="F37" s="199"/>
      <c r="G37" s="200"/>
      <c r="H37" s="200"/>
      <c r="I37" s="200"/>
      <c r="J37" s="200"/>
      <c r="K37" s="200"/>
      <c r="L37" s="200"/>
      <c r="M37" s="201"/>
      <c r="N37" s="9"/>
    </row>
    <row r="38" spans="1:14" s="128" customFormat="1" ht="15" customHeight="1" x14ac:dyDescent="0.25">
      <c r="A38" s="178"/>
      <c r="B38" s="149"/>
      <c r="C38" s="149"/>
      <c r="D38" s="149"/>
      <c r="E38" s="149"/>
      <c r="F38" s="199"/>
      <c r="G38" s="200"/>
      <c r="H38" s="200"/>
      <c r="I38" s="200"/>
      <c r="J38" s="200"/>
      <c r="K38" s="200"/>
      <c r="L38" s="200"/>
      <c r="M38" s="201"/>
      <c r="N38" s="9"/>
    </row>
    <row r="39" spans="1:14" s="128" customFormat="1" ht="15" customHeight="1" x14ac:dyDescent="0.25">
      <c r="A39" s="178" t="s">
        <v>320</v>
      </c>
      <c r="B39" s="149"/>
      <c r="C39" s="149"/>
      <c r="D39" s="149"/>
      <c r="E39" s="149"/>
      <c r="F39" s="199"/>
      <c r="G39" s="200"/>
      <c r="H39" s="200"/>
      <c r="I39" s="200"/>
      <c r="J39" s="200"/>
      <c r="K39" s="200"/>
      <c r="L39" s="200"/>
      <c r="M39" s="201"/>
      <c r="N39" s="9"/>
    </row>
    <row r="40" spans="1:14" s="128" customFormat="1" ht="15" customHeight="1" x14ac:dyDescent="0.25">
      <c r="A40" s="178"/>
      <c r="B40" s="149"/>
      <c r="C40" s="149"/>
      <c r="D40" s="149"/>
      <c r="E40" s="149"/>
      <c r="F40" s="199"/>
      <c r="G40" s="200"/>
      <c r="H40" s="200"/>
      <c r="I40" s="200"/>
      <c r="J40" s="200"/>
      <c r="K40" s="200"/>
      <c r="L40" s="200"/>
      <c r="M40" s="201"/>
      <c r="N40" s="9"/>
    </row>
    <row r="41" spans="1:14" s="128" customFormat="1" ht="15" customHeight="1" x14ac:dyDescent="0.25">
      <c r="A41" s="183" t="s">
        <v>321</v>
      </c>
      <c r="B41" s="149"/>
      <c r="C41" s="149"/>
      <c r="D41" s="149"/>
      <c r="E41" s="149"/>
      <c r="F41" s="199"/>
      <c r="G41" s="200"/>
      <c r="H41" s="200"/>
      <c r="I41" s="200"/>
      <c r="J41" s="200"/>
      <c r="K41" s="200"/>
      <c r="L41" s="200"/>
      <c r="M41" s="201"/>
      <c r="N41" s="9"/>
    </row>
    <row r="42" spans="1:14" s="128" customFormat="1" ht="15" customHeight="1" x14ac:dyDescent="0.25">
      <c r="A42" s="183"/>
      <c r="B42" s="149"/>
      <c r="C42" s="149"/>
      <c r="D42" s="149"/>
      <c r="E42" s="149"/>
      <c r="F42" s="199"/>
      <c r="G42" s="200"/>
      <c r="H42" s="200"/>
      <c r="I42" s="200"/>
      <c r="J42" s="200"/>
      <c r="K42" s="200"/>
      <c r="L42" s="200"/>
      <c r="M42" s="201"/>
      <c r="N42" s="9"/>
    </row>
    <row r="43" spans="1:14" s="128" customFormat="1" ht="15" customHeight="1" x14ac:dyDescent="0.25">
      <c r="A43" s="183" t="s">
        <v>322</v>
      </c>
      <c r="B43" s="149"/>
      <c r="C43" s="149"/>
      <c r="D43" s="149"/>
      <c r="E43" s="149"/>
      <c r="F43" s="199"/>
      <c r="G43" s="200"/>
      <c r="H43" s="200"/>
      <c r="I43" s="200"/>
      <c r="J43" s="200"/>
      <c r="K43" s="200"/>
      <c r="L43" s="200"/>
      <c r="M43" s="201"/>
      <c r="N43" s="9"/>
    </row>
    <row r="44" spans="1:14" s="128" customFormat="1" ht="15" customHeight="1" x14ac:dyDescent="0.25">
      <c r="A44" s="190" t="s">
        <v>217</v>
      </c>
      <c r="B44" s="149"/>
      <c r="C44" s="149" t="s">
        <v>19</v>
      </c>
      <c r="D44" s="149" t="s">
        <v>303</v>
      </c>
      <c r="E44" s="149" t="s">
        <v>302</v>
      </c>
      <c r="F44" s="199"/>
      <c r="G44" s="200">
        <f>1000000/1000</f>
        <v>1000</v>
      </c>
      <c r="H44" s="200">
        <v>0</v>
      </c>
      <c r="I44" s="200">
        <v>0</v>
      </c>
      <c r="J44" s="200">
        <v>0</v>
      </c>
      <c r="K44" s="200">
        <v>0</v>
      </c>
      <c r="L44" s="200"/>
      <c r="M44" s="201">
        <f>+G44+H44+I44+J44+K44+L44</f>
        <v>1000</v>
      </c>
      <c r="N44" s="9"/>
    </row>
    <row r="45" spans="1:14" s="128" customFormat="1" ht="15" customHeight="1" x14ac:dyDescent="0.25">
      <c r="A45" s="190"/>
      <c r="B45" s="149"/>
      <c r="C45" s="149"/>
      <c r="D45" s="149"/>
      <c r="E45" s="149"/>
      <c r="F45" s="199"/>
      <c r="G45" s="200"/>
      <c r="H45" s="207"/>
      <c r="I45" s="200"/>
      <c r="J45" s="206"/>
      <c r="K45" s="206"/>
      <c r="L45" s="200"/>
      <c r="M45" s="201"/>
      <c r="N45" s="9"/>
    </row>
    <row r="46" spans="1:14" s="128" customFormat="1" ht="15" customHeight="1" x14ac:dyDescent="0.25">
      <c r="A46" s="183" t="s">
        <v>323</v>
      </c>
      <c r="B46" s="149"/>
      <c r="C46" s="149"/>
      <c r="D46" s="149"/>
      <c r="E46" s="149"/>
      <c r="F46" s="199"/>
      <c r="G46" s="200"/>
      <c r="H46" s="200"/>
      <c r="I46" s="200"/>
      <c r="J46" s="200"/>
      <c r="K46" s="200"/>
      <c r="L46" s="200"/>
      <c r="M46" s="201"/>
      <c r="N46" s="9"/>
    </row>
    <row r="47" spans="1:14" s="128" customFormat="1" ht="15" customHeight="1" x14ac:dyDescent="0.25">
      <c r="A47" s="183"/>
      <c r="B47" s="149"/>
      <c r="C47" s="149"/>
      <c r="D47" s="149"/>
      <c r="E47" s="149"/>
      <c r="F47" s="199"/>
      <c r="G47" s="200"/>
      <c r="H47" s="200"/>
      <c r="I47" s="200"/>
      <c r="J47" s="200"/>
      <c r="K47" s="200"/>
      <c r="L47" s="200"/>
      <c r="M47" s="201"/>
      <c r="N47" s="9"/>
    </row>
    <row r="48" spans="1:14" s="128" customFormat="1" ht="15" customHeight="1" x14ac:dyDescent="0.25">
      <c r="A48" s="183" t="s">
        <v>324</v>
      </c>
      <c r="B48" s="149"/>
      <c r="C48" s="149"/>
      <c r="D48" s="149"/>
      <c r="E48" s="149"/>
      <c r="F48" s="199"/>
      <c r="G48" s="200"/>
      <c r="H48" s="200"/>
      <c r="I48" s="200"/>
      <c r="J48" s="200"/>
      <c r="K48" s="200"/>
      <c r="L48" s="200"/>
      <c r="M48" s="201"/>
      <c r="N48" s="9"/>
    </row>
    <row r="49" spans="1:14" s="128" customFormat="1" ht="15" customHeight="1" x14ac:dyDescent="0.25">
      <c r="A49" s="224"/>
      <c r="B49" s="180"/>
      <c r="C49" s="180"/>
      <c r="D49" s="180"/>
      <c r="E49" s="180"/>
      <c r="F49" s="202"/>
      <c r="G49" s="203"/>
      <c r="H49" s="203"/>
      <c r="I49" s="203"/>
      <c r="J49" s="203"/>
      <c r="K49" s="203"/>
      <c r="L49" s="203"/>
      <c r="M49" s="205"/>
      <c r="N49" s="9"/>
    </row>
    <row r="50" spans="1:14" s="128" customFormat="1" ht="15" customHeight="1" x14ac:dyDescent="0.25">
      <c r="A50" s="183" t="s">
        <v>347</v>
      </c>
      <c r="B50" s="149"/>
      <c r="C50" s="149"/>
      <c r="D50" s="149"/>
      <c r="E50" s="149"/>
      <c r="F50" s="199">
        <f>+F44</f>
        <v>0</v>
      </c>
      <c r="G50" s="200">
        <f>+G44</f>
        <v>1000</v>
      </c>
      <c r="H50" s="200">
        <f t="shared" ref="H50:M50" si="3">+H44</f>
        <v>0</v>
      </c>
      <c r="I50" s="200">
        <f t="shared" si="3"/>
        <v>0</v>
      </c>
      <c r="J50" s="200">
        <f t="shared" si="3"/>
        <v>0</v>
      </c>
      <c r="K50" s="200">
        <f t="shared" si="3"/>
        <v>0</v>
      </c>
      <c r="L50" s="200">
        <f t="shared" si="3"/>
        <v>0</v>
      </c>
      <c r="M50" s="201">
        <f t="shared" si="3"/>
        <v>1000</v>
      </c>
      <c r="N50" s="9"/>
    </row>
    <row r="51" spans="1:14" s="128" customFormat="1" ht="15" customHeight="1" x14ac:dyDescent="0.25">
      <c r="A51" s="183"/>
      <c r="B51" s="149"/>
      <c r="C51" s="149"/>
      <c r="D51" s="149"/>
      <c r="E51" s="149"/>
      <c r="F51" s="199"/>
      <c r="G51" s="200"/>
      <c r="H51" s="200"/>
      <c r="I51" s="200"/>
      <c r="J51" s="200"/>
      <c r="K51" s="200"/>
      <c r="L51" s="200"/>
      <c r="M51" s="201"/>
      <c r="N51" s="9"/>
    </row>
    <row r="52" spans="1:14" s="128" customFormat="1" ht="15" customHeight="1" x14ac:dyDescent="0.25">
      <c r="A52" s="196" t="s">
        <v>325</v>
      </c>
      <c r="B52" s="10"/>
      <c r="C52" s="10"/>
      <c r="D52" s="10"/>
      <c r="E52" s="10"/>
      <c r="F52" s="208">
        <f t="shared" ref="F52:L52" si="4">+F35+F18+F50+F27</f>
        <v>25020.197</v>
      </c>
      <c r="G52" s="209">
        <f t="shared" si="4"/>
        <v>2952.3820000000001</v>
      </c>
      <c r="H52" s="209">
        <f t="shared" si="4"/>
        <v>-475.678</v>
      </c>
      <c r="I52" s="209">
        <f t="shared" si="4"/>
        <v>0</v>
      </c>
      <c r="J52" s="209">
        <f t="shared" si="4"/>
        <v>-21.070999999999998</v>
      </c>
      <c r="K52" s="209">
        <f t="shared" si="4"/>
        <v>0</v>
      </c>
      <c r="L52" s="209">
        <f t="shared" si="4"/>
        <v>0</v>
      </c>
      <c r="M52" s="210">
        <f>+M35+M18+M50+M27</f>
        <v>2455.6329999999998</v>
      </c>
      <c r="N52" s="197"/>
    </row>
    <row r="53" spans="1:14" s="128" customFormat="1" ht="15" customHeight="1" x14ac:dyDescent="0.25">
      <c r="A53" s="177"/>
      <c r="B53" s="149"/>
      <c r="C53" s="149"/>
      <c r="D53" s="149"/>
      <c r="E53" s="149"/>
      <c r="F53" s="199"/>
      <c r="G53" s="200"/>
      <c r="H53" s="200"/>
      <c r="I53" s="200"/>
      <c r="J53" s="200"/>
      <c r="K53" s="200"/>
      <c r="L53" s="200"/>
      <c r="M53" s="201"/>
      <c r="N53" s="9"/>
    </row>
    <row r="54" spans="1:14" s="128" customFormat="1" ht="15" customHeight="1" x14ac:dyDescent="0.25">
      <c r="A54" s="177" t="s">
        <v>326</v>
      </c>
      <c r="B54" s="149"/>
      <c r="C54" s="149"/>
      <c r="D54" s="149"/>
      <c r="E54" s="149"/>
      <c r="F54" s="199"/>
      <c r="G54" s="200"/>
      <c r="H54" s="200"/>
      <c r="I54" s="200"/>
      <c r="J54" s="200"/>
      <c r="K54" s="200"/>
      <c r="L54" s="200"/>
      <c r="M54" s="201"/>
      <c r="N54" s="9"/>
    </row>
    <row r="55" spans="1:14" s="128" customFormat="1" ht="15" customHeight="1" x14ac:dyDescent="0.25">
      <c r="A55" s="178" t="s">
        <v>327</v>
      </c>
      <c r="B55" s="149"/>
      <c r="C55" s="149"/>
      <c r="D55" s="149"/>
      <c r="E55" s="149"/>
      <c r="F55" s="199"/>
      <c r="G55" s="200"/>
      <c r="H55" s="200"/>
      <c r="I55" s="200"/>
      <c r="J55" s="200"/>
      <c r="K55" s="200"/>
      <c r="L55" s="200"/>
      <c r="M55" s="201"/>
      <c r="N55" s="9"/>
    </row>
    <row r="56" spans="1:14" s="128" customFormat="1" ht="15" customHeight="1" x14ac:dyDescent="0.25">
      <c r="A56" s="183" t="s">
        <v>328</v>
      </c>
      <c r="B56" s="149"/>
      <c r="C56" s="149"/>
      <c r="D56" s="149"/>
      <c r="E56" s="149"/>
      <c r="F56" s="199"/>
      <c r="G56" s="200"/>
      <c r="H56" s="200"/>
      <c r="I56" s="200"/>
      <c r="J56" s="200"/>
      <c r="K56" s="200"/>
      <c r="L56" s="200"/>
      <c r="M56" s="201"/>
      <c r="N56" s="9"/>
    </row>
    <row r="57" spans="1:14" s="128" customFormat="1" ht="13.5" customHeight="1" x14ac:dyDescent="0.25">
      <c r="A57" s="181" t="s">
        <v>256</v>
      </c>
      <c r="B57" s="149" t="s">
        <v>313</v>
      </c>
      <c r="C57" s="149" t="s">
        <v>309</v>
      </c>
      <c r="D57" s="149" t="s">
        <v>310</v>
      </c>
      <c r="E57" s="149" t="s">
        <v>302</v>
      </c>
      <c r="F57" s="199">
        <v>21.094000000000001</v>
      </c>
      <c r="G57" s="200">
        <f>29556/1000</f>
        <v>29.556000000000001</v>
      </c>
      <c r="H57" s="207">
        <v>-2.6</v>
      </c>
      <c r="I57" s="200"/>
      <c r="J57" s="206">
        <v>-5.8620000000000001</v>
      </c>
      <c r="K57" s="206"/>
      <c r="L57" s="200"/>
      <c r="M57" s="201">
        <f t="shared" ref="M57:M86" si="5">+G57+H57+I57+J57+K57+L57</f>
        <v>21.094000000000001</v>
      </c>
      <c r="N57" s="9"/>
    </row>
    <row r="58" spans="1:14" s="128" customFormat="1" ht="15" customHeight="1" x14ac:dyDescent="0.25">
      <c r="A58" s="181" t="s">
        <v>80</v>
      </c>
      <c r="B58" s="149" t="s">
        <v>313</v>
      </c>
      <c r="C58" s="149" t="s">
        <v>309</v>
      </c>
      <c r="D58" s="149" t="s">
        <v>310</v>
      </c>
      <c r="E58" s="149" t="s">
        <v>302</v>
      </c>
      <c r="F58" s="199"/>
      <c r="G58" s="200">
        <f>59628/1000</f>
        <v>59.628</v>
      </c>
      <c r="H58" s="200">
        <v>-15.997</v>
      </c>
      <c r="I58" s="200"/>
      <c r="J58" s="206">
        <v>-2.0179999999999998</v>
      </c>
      <c r="K58" s="206">
        <v>-5</v>
      </c>
      <c r="L58" s="200"/>
      <c r="M58" s="201">
        <f t="shared" si="5"/>
        <v>36.613</v>
      </c>
      <c r="N58" s="9"/>
    </row>
    <row r="59" spans="1:14" s="128" customFormat="1" ht="13.5" customHeight="1" x14ac:dyDescent="0.25">
      <c r="A59" s="181" t="s">
        <v>238</v>
      </c>
      <c r="B59" s="149" t="s">
        <v>313</v>
      </c>
      <c r="C59" s="149" t="s">
        <v>309</v>
      </c>
      <c r="D59" s="149" t="s">
        <v>310</v>
      </c>
      <c r="E59" s="149" t="s">
        <v>302</v>
      </c>
      <c r="F59" s="199">
        <v>72.183999999999997</v>
      </c>
      <c r="G59" s="200">
        <f>99138/1000</f>
        <v>99.138000000000005</v>
      </c>
      <c r="H59" s="207">
        <v>-21</v>
      </c>
      <c r="I59" s="200"/>
      <c r="J59" s="206">
        <v>-5.9539999999999997</v>
      </c>
      <c r="K59" s="206"/>
      <c r="L59" s="200"/>
      <c r="M59" s="201">
        <f t="shared" si="5"/>
        <v>72.184000000000012</v>
      </c>
      <c r="N59" s="9"/>
    </row>
    <row r="60" spans="1:14" s="128" customFormat="1" ht="15" customHeight="1" x14ac:dyDescent="0.25">
      <c r="A60" s="181" t="s">
        <v>120</v>
      </c>
      <c r="B60" s="149" t="s">
        <v>313</v>
      </c>
      <c r="C60" s="149" t="s">
        <v>309</v>
      </c>
      <c r="D60" s="149" t="s">
        <v>310</v>
      </c>
      <c r="E60" s="149" t="s">
        <v>302</v>
      </c>
      <c r="F60" s="199">
        <v>95.373000000000005</v>
      </c>
      <c r="G60" s="200">
        <f>178252/1000</f>
        <v>178.25200000000001</v>
      </c>
      <c r="H60" s="200">
        <f>-87800/1000</f>
        <v>-87.8</v>
      </c>
      <c r="I60" s="200"/>
      <c r="J60" s="206">
        <v>-5.5890000000000004</v>
      </c>
      <c r="K60" s="206"/>
      <c r="L60" s="200"/>
      <c r="M60" s="201">
        <f t="shared" si="5"/>
        <v>84.863000000000014</v>
      </c>
      <c r="N60" s="9"/>
    </row>
    <row r="61" spans="1:14" s="128" customFormat="1" ht="15" customHeight="1" x14ac:dyDescent="0.25">
      <c r="A61" s="181" t="s">
        <v>110</v>
      </c>
      <c r="B61" s="149" t="s">
        <v>313</v>
      </c>
      <c r="C61" s="149" t="s">
        <v>309</v>
      </c>
      <c r="D61" s="149" t="s">
        <v>310</v>
      </c>
      <c r="E61" s="149" t="s">
        <v>302</v>
      </c>
      <c r="F61" s="199"/>
      <c r="G61" s="200">
        <f>45309/1000</f>
        <v>45.308999999999997</v>
      </c>
      <c r="H61" s="200">
        <v>-6.8490000000000002</v>
      </c>
      <c r="I61" s="200"/>
      <c r="J61" s="206">
        <v>-3.5329999999999999</v>
      </c>
      <c r="K61" s="206">
        <v>-5</v>
      </c>
      <c r="L61" s="200"/>
      <c r="M61" s="201">
        <f t="shared" si="5"/>
        <v>29.926999999999992</v>
      </c>
      <c r="N61" s="9"/>
    </row>
    <row r="62" spans="1:14" s="128" customFormat="1" ht="15" customHeight="1" x14ac:dyDescent="0.25">
      <c r="A62" s="181" t="s">
        <v>124</v>
      </c>
      <c r="B62" s="149" t="s">
        <v>313</v>
      </c>
      <c r="C62" s="149" t="s">
        <v>309</v>
      </c>
      <c r="D62" s="149" t="s">
        <v>310</v>
      </c>
      <c r="E62" s="149" t="s">
        <v>302</v>
      </c>
      <c r="F62" s="199"/>
      <c r="G62" s="200">
        <f>153546/1000</f>
        <v>153.54599999999999</v>
      </c>
      <c r="H62" s="200">
        <v>-14.061</v>
      </c>
      <c r="I62" s="200"/>
      <c r="J62" s="206">
        <v>-7.0670000000000002</v>
      </c>
      <c r="K62" s="206">
        <v>-5</v>
      </c>
      <c r="L62" s="200"/>
      <c r="M62" s="201">
        <f t="shared" si="5"/>
        <v>127.41799999999998</v>
      </c>
      <c r="N62" s="9"/>
    </row>
    <row r="63" spans="1:14" s="128" customFormat="1" ht="13.5" customHeight="1" x14ac:dyDescent="0.25">
      <c r="A63" s="181" t="s">
        <v>277</v>
      </c>
      <c r="B63" s="149" t="s">
        <v>313</v>
      </c>
      <c r="C63" s="149" t="s">
        <v>309</v>
      </c>
      <c r="D63" s="149" t="s">
        <v>310</v>
      </c>
      <c r="E63" s="149" t="s">
        <v>302</v>
      </c>
      <c r="F63" s="199"/>
      <c r="G63" s="200">
        <f>205018/1000</f>
        <v>205.018</v>
      </c>
      <c r="H63" s="207">
        <v>-13.923</v>
      </c>
      <c r="I63" s="200"/>
      <c r="J63" s="206">
        <v>-1.5149999999999999</v>
      </c>
      <c r="K63" s="206">
        <v>-5</v>
      </c>
      <c r="L63" s="200"/>
      <c r="M63" s="201">
        <f t="shared" si="5"/>
        <v>184.58</v>
      </c>
      <c r="N63" s="9"/>
    </row>
    <row r="64" spans="1:14" s="128" customFormat="1" ht="15" customHeight="1" x14ac:dyDescent="0.25">
      <c r="A64" s="181" t="s">
        <v>75</v>
      </c>
      <c r="B64" s="149" t="s">
        <v>313</v>
      </c>
      <c r="C64" s="149" t="s">
        <v>309</v>
      </c>
      <c r="D64" s="149" t="s">
        <v>310</v>
      </c>
      <c r="E64" s="149" t="s">
        <v>302</v>
      </c>
      <c r="F64" s="199"/>
      <c r="G64" s="200">
        <f>68469/1000</f>
        <v>68.468999999999994</v>
      </c>
      <c r="H64" s="200">
        <v>-18.388000000000002</v>
      </c>
      <c r="I64" s="200"/>
      <c r="J64" s="206">
        <v>-2.0179999999999998</v>
      </c>
      <c r="K64" s="206">
        <v>-5</v>
      </c>
      <c r="L64" s="200"/>
      <c r="M64" s="201">
        <f t="shared" si="5"/>
        <v>43.062999999999988</v>
      </c>
      <c r="N64" s="9"/>
    </row>
    <row r="65" spans="1:14" s="128" customFormat="1" ht="15" customHeight="1" x14ac:dyDescent="0.25">
      <c r="A65" s="181" t="s">
        <v>141</v>
      </c>
      <c r="B65" s="149" t="s">
        <v>313</v>
      </c>
      <c r="C65" s="149" t="s">
        <v>309</v>
      </c>
      <c r="D65" s="149" t="s">
        <v>310</v>
      </c>
      <c r="E65" s="149" t="s">
        <v>302</v>
      </c>
      <c r="F65" s="199"/>
      <c r="G65" s="200">
        <f>876388/1000</f>
        <v>876.38800000000003</v>
      </c>
      <c r="H65" s="200">
        <f>-86400/1000</f>
        <v>-86.4</v>
      </c>
      <c r="I65" s="200"/>
      <c r="J65" s="206">
        <f>-47389/1000</f>
        <v>-47.389000000000003</v>
      </c>
      <c r="K65" s="206"/>
      <c r="L65" s="200"/>
      <c r="M65" s="201">
        <f t="shared" si="5"/>
        <v>742.59900000000005</v>
      </c>
      <c r="N65" s="9"/>
    </row>
    <row r="66" spans="1:14" s="128" customFormat="1" ht="15" customHeight="1" x14ac:dyDescent="0.25">
      <c r="A66" s="181" t="s">
        <v>215</v>
      </c>
      <c r="B66" s="149" t="s">
        <v>313</v>
      </c>
      <c r="C66" s="149" t="s">
        <v>309</v>
      </c>
      <c r="D66" s="149" t="s">
        <v>310</v>
      </c>
      <c r="E66" s="149" t="s">
        <v>302</v>
      </c>
      <c r="F66" s="199"/>
      <c r="G66" s="200">
        <f>99231/1000</f>
        <v>99.230999999999995</v>
      </c>
      <c r="H66" s="207">
        <v>-9.6620000000000008</v>
      </c>
      <c r="I66" s="200"/>
      <c r="J66" s="206">
        <v>-0.53600000000000003</v>
      </c>
      <c r="K66" s="206"/>
      <c r="L66" s="200"/>
      <c r="M66" s="201">
        <f t="shared" si="5"/>
        <v>89.032999999999987</v>
      </c>
      <c r="N66" s="9"/>
    </row>
    <row r="67" spans="1:14" s="128" customFormat="1" ht="13.5" customHeight="1" x14ac:dyDescent="0.25">
      <c r="A67" s="181" t="s">
        <v>230</v>
      </c>
      <c r="B67" s="149" t="s">
        <v>313</v>
      </c>
      <c r="C67" s="149" t="s">
        <v>309</v>
      </c>
      <c r="D67" s="149" t="s">
        <v>310</v>
      </c>
      <c r="E67" s="149" t="s">
        <v>302</v>
      </c>
      <c r="F67" s="199"/>
      <c r="G67" s="200">
        <f>67770/1000</f>
        <v>67.77</v>
      </c>
      <c r="H67" s="207">
        <v>-11.263999999999999</v>
      </c>
      <c r="I67" s="200"/>
      <c r="J67" s="206">
        <v>-5.5060000000000002</v>
      </c>
      <c r="K67" s="206"/>
      <c r="L67" s="200"/>
      <c r="M67" s="201">
        <f t="shared" si="5"/>
        <v>51</v>
      </c>
      <c r="N67" s="9"/>
    </row>
    <row r="68" spans="1:14" s="128" customFormat="1" ht="15" customHeight="1" x14ac:dyDescent="0.25">
      <c r="A68" s="181" t="s">
        <v>189</v>
      </c>
      <c r="B68" s="149" t="s">
        <v>313</v>
      </c>
      <c r="C68" s="149" t="s">
        <v>309</v>
      </c>
      <c r="D68" s="149" t="s">
        <v>310</v>
      </c>
      <c r="E68" s="149" t="s">
        <v>302</v>
      </c>
      <c r="F68" s="199">
        <v>101.703</v>
      </c>
      <c r="G68" s="200">
        <f>129579/1000</f>
        <v>129.57900000000001</v>
      </c>
      <c r="H68" s="200">
        <v>-18</v>
      </c>
      <c r="I68" s="200"/>
      <c r="J68" s="206">
        <v>-9.8759999999999994</v>
      </c>
      <c r="K68" s="206"/>
      <c r="L68" s="200"/>
      <c r="M68" s="201">
        <f t="shared" si="5"/>
        <v>101.703</v>
      </c>
      <c r="N68" s="9"/>
    </row>
    <row r="69" spans="1:14" s="128" customFormat="1" ht="15" customHeight="1" x14ac:dyDescent="0.25">
      <c r="A69" s="181" t="s">
        <v>204</v>
      </c>
      <c r="B69" s="149" t="s">
        <v>313</v>
      </c>
      <c r="C69" s="149" t="s">
        <v>309</v>
      </c>
      <c r="D69" s="149" t="s">
        <v>310</v>
      </c>
      <c r="E69" s="149" t="s">
        <v>302</v>
      </c>
      <c r="F69" s="199"/>
      <c r="G69" s="200">
        <f>107441/1000</f>
        <v>107.441</v>
      </c>
      <c r="H69" s="200">
        <v>-8.141</v>
      </c>
      <c r="I69" s="200"/>
      <c r="J69" s="206"/>
      <c r="K69" s="206">
        <v>-5</v>
      </c>
      <c r="L69" s="200"/>
      <c r="M69" s="201">
        <f t="shared" si="5"/>
        <v>94.3</v>
      </c>
      <c r="N69" s="9"/>
    </row>
    <row r="70" spans="1:14" s="128" customFormat="1" ht="13.5" customHeight="1" x14ac:dyDescent="0.25">
      <c r="A70" s="181" t="s">
        <v>241</v>
      </c>
      <c r="B70" s="149" t="s">
        <v>313</v>
      </c>
      <c r="C70" s="149" t="s">
        <v>309</v>
      </c>
      <c r="D70" s="149" t="s">
        <v>310</v>
      </c>
      <c r="E70" s="149" t="s">
        <v>302</v>
      </c>
      <c r="F70" s="199">
        <v>16.677</v>
      </c>
      <c r="G70" s="200">
        <f>28081/1000</f>
        <v>28.081</v>
      </c>
      <c r="H70" s="207">
        <v>-5.45</v>
      </c>
      <c r="I70" s="200"/>
      <c r="J70" s="206">
        <v>-5.9539999999999997</v>
      </c>
      <c r="K70" s="206"/>
      <c r="L70" s="200"/>
      <c r="M70" s="201">
        <f t="shared" si="5"/>
        <v>16.677</v>
      </c>
      <c r="N70" s="9"/>
    </row>
    <row r="71" spans="1:14" s="128" customFormat="1" ht="13.5" customHeight="1" x14ac:dyDescent="0.25">
      <c r="A71" s="181" t="s">
        <v>264</v>
      </c>
      <c r="B71" s="149" t="s">
        <v>313</v>
      </c>
      <c r="C71" s="149" t="s">
        <v>309</v>
      </c>
      <c r="D71" s="149" t="s">
        <v>310</v>
      </c>
      <c r="E71" s="149" t="s">
        <v>302</v>
      </c>
      <c r="F71" s="199"/>
      <c r="G71" s="200">
        <f>18740/1000</f>
        <v>18.739999999999998</v>
      </c>
      <c r="H71" s="207">
        <v>-1.4650000000000001</v>
      </c>
      <c r="I71" s="200"/>
      <c r="J71" s="206">
        <v>-0.50800000000000001</v>
      </c>
      <c r="K71" s="206">
        <v>-5</v>
      </c>
      <c r="L71" s="200"/>
      <c r="M71" s="201">
        <f t="shared" si="5"/>
        <v>11.766999999999999</v>
      </c>
      <c r="N71" s="9"/>
    </row>
    <row r="72" spans="1:14" s="128" customFormat="1" ht="15" customHeight="1" x14ac:dyDescent="0.25">
      <c r="A72" s="181" t="s">
        <v>123</v>
      </c>
      <c r="B72" s="149" t="s">
        <v>313</v>
      </c>
      <c r="C72" s="149" t="s">
        <v>309</v>
      </c>
      <c r="D72" s="149" t="s">
        <v>310</v>
      </c>
      <c r="E72" s="149" t="s">
        <v>302</v>
      </c>
      <c r="F72" s="199"/>
      <c r="G72" s="200">
        <f>19246/1000</f>
        <v>19.245999999999999</v>
      </c>
      <c r="H72" s="200">
        <v>-1.5169999999999999</v>
      </c>
      <c r="I72" s="200"/>
      <c r="J72" s="206">
        <v>-0.505</v>
      </c>
      <c r="K72" s="206">
        <v>-5</v>
      </c>
      <c r="L72" s="200"/>
      <c r="M72" s="201">
        <f t="shared" si="5"/>
        <v>12.224</v>
      </c>
      <c r="N72" s="9"/>
    </row>
    <row r="73" spans="1:14" s="128" customFormat="1" ht="15" customHeight="1" x14ac:dyDescent="0.25">
      <c r="A73" s="181" t="s">
        <v>203</v>
      </c>
      <c r="B73" s="149" t="s">
        <v>313</v>
      </c>
      <c r="C73" s="149" t="s">
        <v>309</v>
      </c>
      <c r="D73" s="149" t="s">
        <v>310</v>
      </c>
      <c r="E73" s="149" t="s">
        <v>302</v>
      </c>
      <c r="F73" s="199"/>
      <c r="G73" s="200">
        <f>142033/1000</f>
        <v>142.03299999999999</v>
      </c>
      <c r="H73" s="200">
        <v>-1.786</v>
      </c>
      <c r="I73" s="200"/>
      <c r="J73" s="206">
        <v>-8.6029999999999998</v>
      </c>
      <c r="K73" s="206">
        <v>-5</v>
      </c>
      <c r="L73" s="200"/>
      <c r="M73" s="201">
        <f t="shared" si="5"/>
        <v>126.64399999999998</v>
      </c>
      <c r="N73" s="9"/>
    </row>
    <row r="74" spans="1:14" s="128" customFormat="1" ht="15" customHeight="1" x14ac:dyDescent="0.25">
      <c r="A74" s="181" t="s">
        <v>170</v>
      </c>
      <c r="B74" s="149" t="s">
        <v>313</v>
      </c>
      <c r="C74" s="149" t="s">
        <v>309</v>
      </c>
      <c r="D74" s="149" t="s">
        <v>310</v>
      </c>
      <c r="E74" s="149" t="s">
        <v>302</v>
      </c>
      <c r="F74" s="199"/>
      <c r="G74" s="200">
        <v>0</v>
      </c>
      <c r="H74" s="200">
        <f>14752/1000</f>
        <v>14.752000000000001</v>
      </c>
      <c r="I74" s="200"/>
      <c r="J74" s="206"/>
      <c r="K74" s="206"/>
      <c r="L74" s="200"/>
      <c r="M74" s="201">
        <f t="shared" si="5"/>
        <v>14.752000000000001</v>
      </c>
      <c r="N74" s="9"/>
    </row>
    <row r="75" spans="1:14" s="128" customFormat="1" ht="15" customHeight="1" x14ac:dyDescent="0.25">
      <c r="A75" s="181" t="s">
        <v>97</v>
      </c>
      <c r="B75" s="149" t="s">
        <v>313</v>
      </c>
      <c r="C75" s="149" t="s">
        <v>309</v>
      </c>
      <c r="D75" s="149" t="s">
        <v>310</v>
      </c>
      <c r="E75" s="149" t="s">
        <v>302</v>
      </c>
      <c r="F75" s="199"/>
      <c r="G75" s="200">
        <f>98499/1000</f>
        <v>98.498999999999995</v>
      </c>
      <c r="H75" s="200">
        <v>-25.602</v>
      </c>
      <c r="I75" s="200"/>
      <c r="J75" s="206">
        <v>-3.5270000000000001</v>
      </c>
      <c r="K75" s="206">
        <v>-5</v>
      </c>
      <c r="L75" s="200"/>
      <c r="M75" s="201">
        <f t="shared" si="5"/>
        <v>64.36999999999999</v>
      </c>
      <c r="N75" s="9"/>
    </row>
    <row r="76" spans="1:14" s="128" customFormat="1" ht="15" customHeight="1" x14ac:dyDescent="0.25">
      <c r="A76" s="181" t="s">
        <v>169</v>
      </c>
      <c r="B76" s="149" t="s">
        <v>313</v>
      </c>
      <c r="C76" s="149" t="s">
        <v>309</v>
      </c>
      <c r="D76" s="149" t="s">
        <v>310</v>
      </c>
      <c r="E76" s="149" t="s">
        <v>302</v>
      </c>
      <c r="F76" s="199"/>
      <c r="G76" s="200">
        <v>0</v>
      </c>
      <c r="H76" s="200">
        <v>-1.248</v>
      </c>
      <c r="I76" s="200"/>
      <c r="J76" s="206"/>
      <c r="K76" s="206"/>
      <c r="L76" s="200"/>
      <c r="M76" s="201">
        <f t="shared" si="5"/>
        <v>-1.248</v>
      </c>
      <c r="N76" s="9"/>
    </row>
    <row r="77" spans="1:14" s="128" customFormat="1" ht="15" customHeight="1" x14ac:dyDescent="0.25">
      <c r="A77" s="181" t="s">
        <v>168</v>
      </c>
      <c r="B77" s="149" t="s">
        <v>313</v>
      </c>
      <c r="C77" s="149" t="s">
        <v>309</v>
      </c>
      <c r="D77" s="149" t="s">
        <v>310</v>
      </c>
      <c r="E77" s="149" t="s">
        <v>302</v>
      </c>
      <c r="F77" s="199"/>
      <c r="G77" s="200">
        <v>0</v>
      </c>
      <c r="H77" s="211">
        <f>5253/1000</f>
        <v>5.2530000000000001</v>
      </c>
      <c r="I77" s="200"/>
      <c r="J77" s="206"/>
      <c r="K77" s="206"/>
      <c r="L77" s="200"/>
      <c r="M77" s="201">
        <f t="shared" si="5"/>
        <v>5.2530000000000001</v>
      </c>
      <c r="N77" s="9"/>
    </row>
    <row r="78" spans="1:14" s="128" customFormat="1" ht="15" customHeight="1" x14ac:dyDescent="0.25">
      <c r="A78" s="181" t="s">
        <v>171</v>
      </c>
      <c r="B78" s="149" t="s">
        <v>313</v>
      </c>
      <c r="C78" s="149" t="s">
        <v>309</v>
      </c>
      <c r="D78" s="149" t="s">
        <v>310</v>
      </c>
      <c r="E78" s="149" t="s">
        <v>302</v>
      </c>
      <c r="F78" s="199"/>
      <c r="G78" s="200">
        <v>0</v>
      </c>
      <c r="H78" s="200">
        <f>2259/1000</f>
        <v>2.2589999999999999</v>
      </c>
      <c r="I78" s="200"/>
      <c r="J78" s="206"/>
      <c r="K78" s="206"/>
      <c r="L78" s="200"/>
      <c r="M78" s="201">
        <f t="shared" si="5"/>
        <v>2.2589999999999999</v>
      </c>
      <c r="N78" s="9"/>
    </row>
    <row r="79" spans="1:14" s="128" customFormat="1" ht="15" customHeight="1" x14ac:dyDescent="0.25">
      <c r="A79" s="181" t="s">
        <v>98</v>
      </c>
      <c r="B79" s="149" t="s">
        <v>313</v>
      </c>
      <c r="C79" s="149" t="s">
        <v>309</v>
      </c>
      <c r="D79" s="149" t="s">
        <v>310</v>
      </c>
      <c r="E79" s="149" t="s">
        <v>302</v>
      </c>
      <c r="F79" s="199"/>
      <c r="G79" s="200">
        <f>20391/1000</f>
        <v>20.390999999999998</v>
      </c>
      <c r="H79" s="200">
        <v>-5.3929999999999998</v>
      </c>
      <c r="I79" s="200"/>
      <c r="J79" s="206">
        <v>-1.008</v>
      </c>
      <c r="K79" s="206">
        <v>-5</v>
      </c>
      <c r="L79" s="200"/>
      <c r="M79" s="201">
        <f t="shared" si="5"/>
        <v>8.9899999999999984</v>
      </c>
      <c r="N79" s="9"/>
    </row>
    <row r="80" spans="1:14" s="128" customFormat="1" ht="15" customHeight="1" x14ac:dyDescent="0.25">
      <c r="A80" s="181" t="s">
        <v>173</v>
      </c>
      <c r="B80" s="149" t="s">
        <v>313</v>
      </c>
      <c r="C80" s="149" t="s">
        <v>309</v>
      </c>
      <c r="D80" s="149" t="s">
        <v>310</v>
      </c>
      <c r="E80" s="149" t="s">
        <v>302</v>
      </c>
      <c r="F80" s="199"/>
      <c r="G80" s="200">
        <v>0</v>
      </c>
      <c r="H80" s="200">
        <f>3085/1000</f>
        <v>3.085</v>
      </c>
      <c r="I80" s="200"/>
      <c r="J80" s="206"/>
      <c r="K80" s="206"/>
      <c r="L80" s="200"/>
      <c r="M80" s="201">
        <f t="shared" si="5"/>
        <v>3.085</v>
      </c>
      <c r="N80" s="9"/>
    </row>
    <row r="81" spans="1:14" s="128" customFormat="1" ht="15" customHeight="1" x14ac:dyDescent="0.25">
      <c r="A81" s="181" t="s">
        <v>99</v>
      </c>
      <c r="B81" s="149" t="s">
        <v>313</v>
      </c>
      <c r="C81" s="149" t="s">
        <v>309</v>
      </c>
      <c r="D81" s="149" t="s">
        <v>310</v>
      </c>
      <c r="E81" s="149" t="s">
        <v>302</v>
      </c>
      <c r="F81" s="199"/>
      <c r="G81" s="200">
        <f>45485/1000</f>
        <v>45.484999999999999</v>
      </c>
      <c r="H81" s="200">
        <v>-12.342000000000001</v>
      </c>
      <c r="I81" s="200"/>
      <c r="J81" s="206">
        <v>-1.512</v>
      </c>
      <c r="K81" s="206">
        <v>-5</v>
      </c>
      <c r="L81" s="200"/>
      <c r="M81" s="201">
        <f t="shared" si="5"/>
        <v>26.631</v>
      </c>
      <c r="N81" s="9"/>
    </row>
    <row r="82" spans="1:14" s="128" customFormat="1" ht="15" customHeight="1" x14ac:dyDescent="0.25">
      <c r="A82" s="181" t="s">
        <v>172</v>
      </c>
      <c r="B82" s="149" t="s">
        <v>313</v>
      </c>
      <c r="C82" s="149" t="s">
        <v>309</v>
      </c>
      <c r="D82" s="149" t="s">
        <v>310</v>
      </c>
      <c r="E82" s="149" t="s">
        <v>302</v>
      </c>
      <c r="F82" s="199"/>
      <c r="G82" s="200">
        <v>0</v>
      </c>
      <c r="H82" s="200">
        <f>4833/1000</f>
        <v>4.8330000000000002</v>
      </c>
      <c r="I82" s="200"/>
      <c r="J82" s="206"/>
      <c r="K82" s="206"/>
      <c r="L82" s="200"/>
      <c r="M82" s="201">
        <f t="shared" si="5"/>
        <v>4.8330000000000002</v>
      </c>
      <c r="N82" s="9"/>
    </row>
    <row r="83" spans="1:14" s="128" customFormat="1" ht="15" customHeight="1" x14ac:dyDescent="0.25">
      <c r="A83" s="181" t="s">
        <v>100</v>
      </c>
      <c r="B83" s="149" t="s">
        <v>313</v>
      </c>
      <c r="C83" s="149" t="s">
        <v>309</v>
      </c>
      <c r="D83" s="149" t="s">
        <v>310</v>
      </c>
      <c r="E83" s="149" t="s">
        <v>302</v>
      </c>
      <c r="F83" s="199"/>
      <c r="G83" s="200">
        <f>34612/1000</f>
        <v>34.612000000000002</v>
      </c>
      <c r="H83" s="200">
        <v>-9.0329999999999995</v>
      </c>
      <c r="I83" s="200"/>
      <c r="J83" s="206">
        <v>-0.504</v>
      </c>
      <c r="K83" s="206">
        <v>-5</v>
      </c>
      <c r="L83" s="200"/>
      <c r="M83" s="201">
        <f t="shared" si="5"/>
        <v>20.074999999999999</v>
      </c>
      <c r="N83" s="9"/>
    </row>
    <row r="84" spans="1:14" s="128" customFormat="1" ht="15" customHeight="1" x14ac:dyDescent="0.25">
      <c r="A84" s="181" t="s">
        <v>167</v>
      </c>
      <c r="B84" s="149" t="s">
        <v>313</v>
      </c>
      <c r="C84" s="149" t="s">
        <v>309</v>
      </c>
      <c r="D84" s="149" t="s">
        <v>310</v>
      </c>
      <c r="E84" s="149" t="s">
        <v>302</v>
      </c>
      <c r="F84" s="199">
        <v>459.53399999999999</v>
      </c>
      <c r="G84" s="200">
        <f>494423/1000</f>
        <v>494.423</v>
      </c>
      <c r="H84" s="200">
        <v>-10.7</v>
      </c>
      <c r="I84" s="200"/>
      <c r="J84" s="206">
        <v>-24.189</v>
      </c>
      <c r="K84" s="206"/>
      <c r="L84" s="200"/>
      <c r="M84" s="201">
        <f t="shared" si="5"/>
        <v>459.53399999999999</v>
      </c>
      <c r="N84" s="9"/>
    </row>
    <row r="85" spans="1:14" s="128" customFormat="1" ht="15" customHeight="1" x14ac:dyDescent="0.25">
      <c r="A85" s="181" t="s">
        <v>425</v>
      </c>
      <c r="B85" s="149" t="s">
        <v>313</v>
      </c>
      <c r="C85" s="149" t="s">
        <v>306</v>
      </c>
      <c r="D85" s="149"/>
      <c r="E85" s="149" t="s">
        <v>357</v>
      </c>
      <c r="F85" s="199"/>
      <c r="G85" s="200">
        <v>-396.16699999999997</v>
      </c>
      <c r="H85" s="200"/>
      <c r="I85" s="200"/>
      <c r="J85" s="206"/>
      <c r="K85" s="206"/>
      <c r="L85" s="200"/>
      <c r="M85" s="201">
        <f>+G85+H85+I85+J85+K85+L85</f>
        <v>-396.16699999999997</v>
      </c>
      <c r="N85" s="9"/>
    </row>
    <row r="86" spans="1:14" s="128" customFormat="1" ht="15" customHeight="1" x14ac:dyDescent="0.25">
      <c r="A86" s="179" t="s">
        <v>438</v>
      </c>
      <c r="B86" s="180" t="s">
        <v>313</v>
      </c>
      <c r="C86" s="180" t="s">
        <v>306</v>
      </c>
      <c r="D86" s="180"/>
      <c r="E86" s="180" t="s">
        <v>357</v>
      </c>
      <c r="F86" s="202"/>
      <c r="G86" s="203">
        <v>0</v>
      </c>
      <c r="H86" s="203"/>
      <c r="I86" s="203"/>
      <c r="J86" s="204"/>
      <c r="K86" s="204">
        <v>-40.451000000000001</v>
      </c>
      <c r="L86" s="203"/>
      <c r="M86" s="205">
        <f t="shared" si="5"/>
        <v>-40.451000000000001</v>
      </c>
      <c r="N86" s="9"/>
    </row>
    <row r="87" spans="1:14" s="128" customFormat="1" ht="5.0999999999999996" customHeight="1" x14ac:dyDescent="0.25">
      <c r="A87" s="181"/>
      <c r="B87" s="149"/>
      <c r="C87" s="149"/>
      <c r="D87" s="149"/>
      <c r="E87" s="149"/>
      <c r="F87" s="199"/>
      <c r="G87" s="200"/>
      <c r="H87" s="200"/>
      <c r="I87" s="200"/>
      <c r="J87" s="206"/>
      <c r="K87" s="206"/>
      <c r="L87" s="200"/>
      <c r="M87" s="201"/>
      <c r="N87" s="9"/>
    </row>
    <row r="88" spans="1:14" s="128" customFormat="1" ht="15" customHeight="1" x14ac:dyDescent="0.25">
      <c r="A88" s="182" t="s">
        <v>337</v>
      </c>
      <c r="B88" s="149"/>
      <c r="C88" s="149"/>
      <c r="D88" s="149"/>
      <c r="E88" s="149"/>
      <c r="F88" s="199">
        <f>SUM(F56:F87)</f>
        <v>766.56500000000005</v>
      </c>
      <c r="G88" s="200">
        <f t="shared" ref="G88:M88" si="6">SUM(G56:G87)</f>
        <v>2624.6680000000001</v>
      </c>
      <c r="H88" s="200">
        <f t="shared" si="6"/>
        <v>-358.43899999999991</v>
      </c>
      <c r="I88" s="200">
        <f t="shared" si="6"/>
        <v>0</v>
      </c>
      <c r="J88" s="206">
        <f t="shared" si="6"/>
        <v>-143.173</v>
      </c>
      <c r="K88" s="206">
        <f t="shared" si="6"/>
        <v>-105.45099999999999</v>
      </c>
      <c r="L88" s="200">
        <f t="shared" si="6"/>
        <v>0</v>
      </c>
      <c r="M88" s="201">
        <f t="shared" si="6"/>
        <v>2017.6049999999996</v>
      </c>
      <c r="N88" s="9"/>
    </row>
    <row r="89" spans="1:14" s="128" customFormat="1" ht="15" customHeight="1" x14ac:dyDescent="0.25">
      <c r="A89" s="182"/>
      <c r="B89" s="149"/>
      <c r="C89" s="149"/>
      <c r="D89" s="149"/>
      <c r="E89" s="149"/>
      <c r="F89" s="199"/>
      <c r="G89" s="200"/>
      <c r="H89" s="200"/>
      <c r="I89" s="200"/>
      <c r="J89" s="206"/>
      <c r="K89" s="206"/>
      <c r="L89" s="200"/>
      <c r="M89" s="201"/>
      <c r="N89" s="9"/>
    </row>
    <row r="90" spans="1:14" s="128" customFormat="1" ht="15" customHeight="1" x14ac:dyDescent="0.25">
      <c r="A90" s="183" t="s">
        <v>329</v>
      </c>
      <c r="B90" s="149"/>
      <c r="C90" s="149"/>
      <c r="D90" s="149"/>
      <c r="E90" s="149"/>
      <c r="F90" s="199"/>
      <c r="G90" s="200"/>
      <c r="H90" s="200"/>
      <c r="I90" s="200"/>
      <c r="J90" s="200"/>
      <c r="K90" s="200"/>
      <c r="L90" s="200"/>
      <c r="M90" s="201"/>
      <c r="N90" s="9"/>
    </row>
    <row r="91" spans="1:14" s="128" customFormat="1" ht="15" customHeight="1" x14ac:dyDescent="0.25">
      <c r="A91" s="354" t="s">
        <v>420</v>
      </c>
      <c r="B91" s="184" t="s">
        <v>299</v>
      </c>
      <c r="C91" s="184" t="s">
        <v>300</v>
      </c>
      <c r="D91" s="184" t="s">
        <v>421</v>
      </c>
      <c r="E91" s="149" t="s">
        <v>357</v>
      </c>
      <c r="F91" s="199"/>
      <c r="G91" s="200">
        <v>-3.65</v>
      </c>
      <c r="H91" s="200"/>
      <c r="I91" s="200"/>
      <c r="J91" s="200"/>
      <c r="K91" s="200"/>
      <c r="L91" s="200"/>
      <c r="M91" s="201">
        <f t="shared" ref="M91:M119" si="7">+G91+H91+I91+J91+K91+L91</f>
        <v>-3.65</v>
      </c>
      <c r="N91" s="9"/>
    </row>
    <row r="92" spans="1:14" s="176" customFormat="1" ht="15" customHeight="1" x14ac:dyDescent="0.25">
      <c r="A92" s="181" t="s">
        <v>156</v>
      </c>
      <c r="B92" s="184" t="s">
        <v>299</v>
      </c>
      <c r="C92" s="184" t="s">
        <v>314</v>
      </c>
      <c r="D92" s="184" t="s">
        <v>316</v>
      </c>
      <c r="E92" s="184" t="s">
        <v>302</v>
      </c>
      <c r="F92" s="199"/>
      <c r="G92" s="200">
        <v>-8.2859999999999996</v>
      </c>
      <c r="H92" s="200">
        <f>13950/1000</f>
        <v>13.95</v>
      </c>
      <c r="I92" s="200"/>
      <c r="J92" s="206">
        <f>1184/1000</f>
        <v>1.1839999999999999</v>
      </c>
      <c r="K92" s="206"/>
      <c r="L92" s="200"/>
      <c r="M92" s="201">
        <f t="shared" si="7"/>
        <v>6.8479999999999999</v>
      </c>
      <c r="N92" s="175"/>
    </row>
    <row r="93" spans="1:14" s="176" customFormat="1" ht="15" customHeight="1" x14ac:dyDescent="0.25">
      <c r="A93" s="181" t="s">
        <v>133</v>
      </c>
      <c r="B93" s="184" t="s">
        <v>299</v>
      </c>
      <c r="C93" s="184" t="s">
        <v>314</v>
      </c>
      <c r="D93" s="184" t="s">
        <v>315</v>
      </c>
      <c r="E93" s="184" t="s">
        <v>302</v>
      </c>
      <c r="F93" s="199"/>
      <c r="G93" s="200"/>
      <c r="H93" s="200"/>
      <c r="I93" s="200"/>
      <c r="J93" s="206"/>
      <c r="K93" s="206">
        <v>-66.596999999999994</v>
      </c>
      <c r="L93" s="200"/>
      <c r="M93" s="201">
        <f t="shared" si="7"/>
        <v>-66.596999999999994</v>
      </c>
      <c r="N93" s="175"/>
    </row>
    <row r="94" spans="1:14" s="176" customFormat="1" ht="15" customHeight="1" x14ac:dyDescent="0.25">
      <c r="A94" s="181" t="s">
        <v>127</v>
      </c>
      <c r="B94" s="184" t="s">
        <v>299</v>
      </c>
      <c r="C94" s="184" t="s">
        <v>314</v>
      </c>
      <c r="D94" s="184" t="s">
        <v>315</v>
      </c>
      <c r="E94" s="184" t="s">
        <v>302</v>
      </c>
      <c r="F94" s="199"/>
      <c r="G94" s="200"/>
      <c r="H94" s="200"/>
      <c r="I94" s="200"/>
      <c r="J94" s="206"/>
      <c r="K94" s="206">
        <v>-79.527000000000001</v>
      </c>
      <c r="L94" s="200"/>
      <c r="M94" s="201">
        <f t="shared" si="7"/>
        <v>-79.527000000000001</v>
      </c>
      <c r="N94" s="175"/>
    </row>
    <row r="95" spans="1:14" s="176" customFormat="1" ht="15" customHeight="1" x14ac:dyDescent="0.25">
      <c r="A95" s="181" t="s">
        <v>129</v>
      </c>
      <c r="B95" s="184" t="s">
        <v>299</v>
      </c>
      <c r="C95" s="184" t="s">
        <v>314</v>
      </c>
      <c r="D95" s="184" t="s">
        <v>315</v>
      </c>
      <c r="E95" s="184" t="s">
        <v>302</v>
      </c>
      <c r="F95" s="199"/>
      <c r="G95" s="200"/>
      <c r="H95" s="200"/>
      <c r="I95" s="200"/>
      <c r="J95" s="206"/>
      <c r="K95" s="206">
        <v>-63.905999999999999</v>
      </c>
      <c r="L95" s="200"/>
      <c r="M95" s="201">
        <f t="shared" si="7"/>
        <v>-63.905999999999999</v>
      </c>
      <c r="N95" s="175"/>
    </row>
    <row r="96" spans="1:14" s="176" customFormat="1" ht="15" customHeight="1" x14ac:dyDescent="0.25">
      <c r="A96" s="181" t="s">
        <v>134</v>
      </c>
      <c r="B96" s="184" t="s">
        <v>299</v>
      </c>
      <c r="C96" s="184" t="s">
        <v>314</v>
      </c>
      <c r="D96" s="184" t="s">
        <v>315</v>
      </c>
      <c r="E96" s="184" t="s">
        <v>302</v>
      </c>
      <c r="F96" s="199"/>
      <c r="G96" s="200"/>
      <c r="H96" s="200"/>
      <c r="I96" s="200"/>
      <c r="J96" s="206"/>
      <c r="K96" s="206">
        <v>-326.81</v>
      </c>
      <c r="L96" s="200"/>
      <c r="M96" s="201">
        <f t="shared" si="7"/>
        <v>-326.81</v>
      </c>
      <c r="N96" s="175"/>
    </row>
    <row r="97" spans="1:14" s="176" customFormat="1" ht="15" customHeight="1" x14ac:dyDescent="0.25">
      <c r="A97" s="181" t="s">
        <v>128</v>
      </c>
      <c r="B97" s="184" t="s">
        <v>299</v>
      </c>
      <c r="C97" s="184" t="s">
        <v>314</v>
      </c>
      <c r="D97" s="184" t="s">
        <v>315</v>
      </c>
      <c r="E97" s="184" t="s">
        <v>302</v>
      </c>
      <c r="F97" s="199"/>
      <c r="G97" s="200"/>
      <c r="H97" s="200"/>
      <c r="I97" s="200"/>
      <c r="J97" s="206"/>
      <c r="K97" s="206">
        <v>-438.93900000000002</v>
      </c>
      <c r="L97" s="200"/>
      <c r="M97" s="201">
        <f t="shared" si="7"/>
        <v>-438.93900000000002</v>
      </c>
      <c r="N97" s="175"/>
    </row>
    <row r="98" spans="1:14" s="176" customFormat="1" ht="15" customHeight="1" x14ac:dyDescent="0.25">
      <c r="A98" s="181" t="s">
        <v>135</v>
      </c>
      <c r="B98" s="184" t="s">
        <v>299</v>
      </c>
      <c r="C98" s="184" t="s">
        <v>314</v>
      </c>
      <c r="D98" s="184" t="s">
        <v>315</v>
      </c>
      <c r="E98" s="184" t="s">
        <v>302</v>
      </c>
      <c r="F98" s="199"/>
      <c r="G98" s="200"/>
      <c r="H98" s="200"/>
      <c r="I98" s="200"/>
      <c r="J98" s="206"/>
      <c r="K98" s="206">
        <v>-51.798000000000002</v>
      </c>
      <c r="L98" s="200"/>
      <c r="M98" s="201">
        <f t="shared" si="7"/>
        <v>-51.798000000000002</v>
      </c>
      <c r="N98" s="175"/>
    </row>
    <row r="99" spans="1:14" s="176" customFormat="1" ht="15" customHeight="1" x14ac:dyDescent="0.25">
      <c r="A99" s="181" t="s">
        <v>136</v>
      </c>
      <c r="B99" s="184" t="s">
        <v>299</v>
      </c>
      <c r="C99" s="184" t="s">
        <v>314</v>
      </c>
      <c r="D99" s="184" t="s">
        <v>315</v>
      </c>
      <c r="E99" s="184" t="s">
        <v>302</v>
      </c>
      <c r="F99" s="199"/>
      <c r="G99" s="200"/>
      <c r="H99" s="200"/>
      <c r="I99" s="200"/>
      <c r="J99" s="206"/>
      <c r="K99" s="206">
        <v>-109.803</v>
      </c>
      <c r="L99" s="200"/>
      <c r="M99" s="201">
        <f t="shared" si="7"/>
        <v>-109.803</v>
      </c>
      <c r="N99" s="175"/>
    </row>
    <row r="100" spans="1:14" s="176" customFormat="1" ht="15" customHeight="1" x14ac:dyDescent="0.25">
      <c r="A100" s="181" t="s">
        <v>137</v>
      </c>
      <c r="B100" s="184" t="s">
        <v>299</v>
      </c>
      <c r="C100" s="184" t="s">
        <v>314</v>
      </c>
      <c r="D100" s="184" t="s">
        <v>315</v>
      </c>
      <c r="E100" s="184" t="s">
        <v>302</v>
      </c>
      <c r="F100" s="199"/>
      <c r="G100" s="200"/>
      <c r="H100" s="200"/>
      <c r="I100" s="200"/>
      <c r="J100" s="206"/>
      <c r="K100" s="206">
        <v>-56.061</v>
      </c>
      <c r="L100" s="200"/>
      <c r="M100" s="201">
        <f t="shared" si="7"/>
        <v>-56.061</v>
      </c>
      <c r="N100" s="175"/>
    </row>
    <row r="101" spans="1:14" s="176" customFormat="1" ht="15" customHeight="1" x14ac:dyDescent="0.25">
      <c r="A101" s="181" t="s">
        <v>130</v>
      </c>
      <c r="B101" s="184" t="s">
        <v>299</v>
      </c>
      <c r="C101" s="184" t="s">
        <v>314</v>
      </c>
      <c r="D101" s="184" t="s">
        <v>315</v>
      </c>
      <c r="E101" s="184" t="s">
        <v>302</v>
      </c>
      <c r="F101" s="199"/>
      <c r="G101" s="200"/>
      <c r="H101" s="200"/>
      <c r="I101" s="200"/>
      <c r="J101" s="206"/>
      <c r="K101" s="206">
        <v>-118.824</v>
      </c>
      <c r="L101" s="200"/>
      <c r="M101" s="201">
        <f t="shared" si="7"/>
        <v>-118.824</v>
      </c>
      <c r="N101" s="175"/>
    </row>
    <row r="102" spans="1:14" s="176" customFormat="1" ht="15" customHeight="1" x14ac:dyDescent="0.25">
      <c r="A102" s="181" t="s">
        <v>126</v>
      </c>
      <c r="B102" s="184" t="s">
        <v>299</v>
      </c>
      <c r="C102" s="184" t="s">
        <v>314</v>
      </c>
      <c r="D102" s="184" t="s">
        <v>315</v>
      </c>
      <c r="E102" s="184" t="s">
        <v>302</v>
      </c>
      <c r="F102" s="199"/>
      <c r="G102" s="200"/>
      <c r="H102" s="200"/>
      <c r="I102" s="200"/>
      <c r="J102" s="206"/>
      <c r="K102" s="206">
        <v>-38.871000000000002</v>
      </c>
      <c r="L102" s="200"/>
      <c r="M102" s="201">
        <f t="shared" si="7"/>
        <v>-38.871000000000002</v>
      </c>
      <c r="N102" s="175"/>
    </row>
    <row r="103" spans="1:14" s="176" customFormat="1" ht="15" customHeight="1" x14ac:dyDescent="0.25">
      <c r="A103" s="181" t="s">
        <v>132</v>
      </c>
      <c r="B103" s="184" t="s">
        <v>299</v>
      </c>
      <c r="C103" s="184" t="s">
        <v>314</v>
      </c>
      <c r="D103" s="184" t="s">
        <v>315</v>
      </c>
      <c r="E103" s="184" t="s">
        <v>302</v>
      </c>
      <c r="F103" s="199"/>
      <c r="G103" s="200"/>
      <c r="H103" s="200"/>
      <c r="I103" s="200"/>
      <c r="J103" s="206"/>
      <c r="K103" s="206">
        <v>-82.073999999999998</v>
      </c>
      <c r="L103" s="200"/>
      <c r="M103" s="201">
        <f t="shared" si="7"/>
        <v>-82.073999999999998</v>
      </c>
      <c r="N103" s="175"/>
    </row>
    <row r="104" spans="1:14" s="176" customFormat="1" ht="15" customHeight="1" x14ac:dyDescent="0.25">
      <c r="A104" s="181" t="s">
        <v>131</v>
      </c>
      <c r="B104" s="184" t="s">
        <v>299</v>
      </c>
      <c r="C104" s="184" t="s">
        <v>314</v>
      </c>
      <c r="D104" s="184" t="s">
        <v>315</v>
      </c>
      <c r="E104" s="184" t="s">
        <v>302</v>
      </c>
      <c r="F104" s="199"/>
      <c r="G104" s="200"/>
      <c r="H104" s="200"/>
      <c r="I104" s="200"/>
      <c r="J104" s="206"/>
      <c r="K104" s="206">
        <v>-48.39</v>
      </c>
      <c r="L104" s="200"/>
      <c r="M104" s="201">
        <f t="shared" si="7"/>
        <v>-48.39</v>
      </c>
      <c r="N104" s="175"/>
    </row>
    <row r="105" spans="1:14" s="176" customFormat="1" ht="15" customHeight="1" x14ac:dyDescent="0.25">
      <c r="A105" s="181" t="s">
        <v>90</v>
      </c>
      <c r="B105" s="184" t="s">
        <v>299</v>
      </c>
      <c r="C105" s="184" t="s">
        <v>19</v>
      </c>
      <c r="D105" s="184" t="s">
        <v>303</v>
      </c>
      <c r="E105" s="184" t="s">
        <v>302</v>
      </c>
      <c r="F105" s="199"/>
      <c r="G105" s="200">
        <f>80610/1000</f>
        <v>80.61</v>
      </c>
      <c r="H105" s="200">
        <f>0/1000</f>
        <v>0</v>
      </c>
      <c r="I105" s="200"/>
      <c r="J105" s="206">
        <v>-1.4830000000000001</v>
      </c>
      <c r="K105" s="206"/>
      <c r="L105" s="200"/>
      <c r="M105" s="201">
        <f t="shared" si="7"/>
        <v>79.126999999999995</v>
      </c>
      <c r="N105" s="175"/>
    </row>
    <row r="106" spans="1:14" s="176" customFormat="1" ht="13.5" customHeight="1" x14ac:dyDescent="0.25">
      <c r="A106" s="181" t="s">
        <v>287</v>
      </c>
      <c r="B106" s="184" t="s">
        <v>299</v>
      </c>
      <c r="C106" s="184" t="s">
        <v>19</v>
      </c>
      <c r="D106" s="184" t="s">
        <v>303</v>
      </c>
      <c r="E106" s="184" t="s">
        <v>302</v>
      </c>
      <c r="F106" s="199"/>
      <c r="G106" s="200">
        <f>23240/1000</f>
        <v>23.24</v>
      </c>
      <c r="H106" s="207">
        <v>-3.5</v>
      </c>
      <c r="I106" s="200"/>
      <c r="J106" s="206">
        <v>-0.25800000000000001</v>
      </c>
      <c r="K106" s="206"/>
      <c r="L106" s="200"/>
      <c r="M106" s="201">
        <f t="shared" si="7"/>
        <v>19.481999999999999</v>
      </c>
      <c r="N106" s="175"/>
    </row>
    <row r="107" spans="1:14" s="176" customFormat="1" ht="13.5" customHeight="1" x14ac:dyDescent="0.25">
      <c r="A107" s="181" t="s">
        <v>242</v>
      </c>
      <c r="B107" s="184" t="s">
        <v>299</v>
      </c>
      <c r="C107" s="184" t="s">
        <v>300</v>
      </c>
      <c r="D107" s="184" t="s">
        <v>301</v>
      </c>
      <c r="E107" s="184" t="s">
        <v>302</v>
      </c>
      <c r="F107" s="199"/>
      <c r="G107" s="200">
        <f>28337/1000</f>
        <v>28.337</v>
      </c>
      <c r="H107" s="207">
        <v>-13</v>
      </c>
      <c r="I107" s="200"/>
      <c r="J107" s="206">
        <v>-0.54300000000000004</v>
      </c>
      <c r="K107" s="206">
        <v>-4.181</v>
      </c>
      <c r="L107" s="200"/>
      <c r="M107" s="201">
        <f t="shared" si="7"/>
        <v>10.613</v>
      </c>
      <c r="N107" s="175"/>
    </row>
    <row r="108" spans="1:14" s="176" customFormat="1" ht="15" customHeight="1" x14ac:dyDescent="0.25">
      <c r="A108" s="181" t="s">
        <v>190</v>
      </c>
      <c r="B108" s="184" t="s">
        <v>299</v>
      </c>
      <c r="C108" s="184" t="s">
        <v>300</v>
      </c>
      <c r="D108" s="184" t="s">
        <v>301</v>
      </c>
      <c r="E108" s="184" t="s">
        <v>302</v>
      </c>
      <c r="F108" s="199"/>
      <c r="G108" s="200">
        <f>68765/1000</f>
        <v>68.765000000000001</v>
      </c>
      <c r="H108" s="200">
        <v>-18.5</v>
      </c>
      <c r="I108" s="200"/>
      <c r="J108" s="206">
        <v>-2.4500000000000002</v>
      </c>
      <c r="K108" s="206">
        <v>-12.298999999999999</v>
      </c>
      <c r="L108" s="200"/>
      <c r="M108" s="201">
        <f t="shared" si="7"/>
        <v>35.515999999999998</v>
      </c>
      <c r="N108" s="175"/>
    </row>
    <row r="109" spans="1:14" s="176" customFormat="1" ht="15" customHeight="1" x14ac:dyDescent="0.25">
      <c r="A109" s="181" t="s">
        <v>183</v>
      </c>
      <c r="B109" s="184" t="s">
        <v>299</v>
      </c>
      <c r="C109" s="184" t="s">
        <v>300</v>
      </c>
      <c r="D109" s="184" t="s">
        <v>301</v>
      </c>
      <c r="E109" s="184" t="s">
        <v>302</v>
      </c>
      <c r="F109" s="199"/>
      <c r="G109" s="200">
        <f>84662/1000</f>
        <v>84.662000000000006</v>
      </c>
      <c r="H109" s="200">
        <v>-1.454</v>
      </c>
      <c r="I109" s="200"/>
      <c r="J109" s="206">
        <v>-1.323</v>
      </c>
      <c r="K109" s="206"/>
      <c r="L109" s="200"/>
      <c r="M109" s="201">
        <f t="shared" si="7"/>
        <v>81.885000000000019</v>
      </c>
      <c r="N109" s="175"/>
    </row>
    <row r="110" spans="1:14" s="176" customFormat="1" ht="13.5" customHeight="1" x14ac:dyDescent="0.25">
      <c r="A110" s="181" t="s">
        <v>229</v>
      </c>
      <c r="B110" s="184" t="s">
        <v>299</v>
      </c>
      <c r="C110" s="184" t="s">
        <v>300</v>
      </c>
      <c r="D110" s="184" t="s">
        <v>301</v>
      </c>
      <c r="E110" s="184" t="s">
        <v>302</v>
      </c>
      <c r="F110" s="199"/>
      <c r="G110" s="200">
        <f>69574/1000</f>
        <v>69.573999999999998</v>
      </c>
      <c r="H110" s="207">
        <v>-2.077</v>
      </c>
      <c r="I110" s="200"/>
      <c r="J110" s="206">
        <v>-0.92300000000000004</v>
      </c>
      <c r="K110" s="206"/>
      <c r="L110" s="200"/>
      <c r="M110" s="201">
        <f t="shared" si="7"/>
        <v>66.573999999999998</v>
      </c>
      <c r="N110" s="175"/>
    </row>
    <row r="111" spans="1:14" s="176" customFormat="1" ht="13.5" customHeight="1" x14ac:dyDescent="0.25">
      <c r="A111" s="181" t="s">
        <v>218</v>
      </c>
      <c r="B111" s="184" t="s">
        <v>299</v>
      </c>
      <c r="C111" s="184"/>
      <c r="D111" s="184"/>
      <c r="E111" s="184" t="s">
        <v>302</v>
      </c>
      <c r="F111" s="199"/>
      <c r="G111" s="200"/>
      <c r="H111" s="207"/>
      <c r="I111" s="200"/>
      <c r="J111" s="206"/>
      <c r="K111" s="206">
        <v>-10</v>
      </c>
      <c r="L111" s="200"/>
      <c r="M111" s="201">
        <f>+G111+H111+I111+J111+K111+L111</f>
        <v>-10</v>
      </c>
      <c r="N111" s="175"/>
    </row>
    <row r="112" spans="1:14" s="176" customFormat="1" ht="13.5" customHeight="1" x14ac:dyDescent="0.25">
      <c r="A112" s="181" t="s">
        <v>223</v>
      </c>
      <c r="B112" s="184" t="s">
        <v>299</v>
      </c>
      <c r="C112" s="184"/>
      <c r="D112" s="184"/>
      <c r="E112" s="184" t="s">
        <v>302</v>
      </c>
      <c r="F112" s="199"/>
      <c r="G112" s="200"/>
      <c r="H112" s="207"/>
      <c r="I112" s="200"/>
      <c r="J112" s="206"/>
      <c r="K112" s="206">
        <v>-8.2910000000000004</v>
      </c>
      <c r="L112" s="200"/>
      <c r="M112" s="201">
        <f>+G112+H112+I112+J112+K112+L112</f>
        <v>-8.2910000000000004</v>
      </c>
      <c r="N112" s="175"/>
    </row>
    <row r="113" spans="1:14" s="176" customFormat="1" ht="13.5" customHeight="1" x14ac:dyDescent="0.25">
      <c r="A113" s="181" t="s">
        <v>222</v>
      </c>
      <c r="B113" s="184" t="s">
        <v>299</v>
      </c>
      <c r="C113" s="184"/>
      <c r="D113" s="184"/>
      <c r="E113" s="184" t="s">
        <v>302</v>
      </c>
      <c r="F113" s="199"/>
      <c r="G113" s="200"/>
      <c r="H113" s="207"/>
      <c r="I113" s="200"/>
      <c r="J113" s="206"/>
      <c r="K113" s="206">
        <v>-18</v>
      </c>
      <c r="L113" s="200"/>
      <c r="M113" s="201">
        <f>+G113+H113+I113+J113+K113+L113</f>
        <v>-18</v>
      </c>
      <c r="N113" s="175"/>
    </row>
    <row r="114" spans="1:14" s="176" customFormat="1" ht="13.5" customHeight="1" x14ac:dyDescent="0.25">
      <c r="A114" s="181" t="s">
        <v>221</v>
      </c>
      <c r="B114" s="184" t="s">
        <v>299</v>
      </c>
      <c r="C114" s="184"/>
      <c r="D114" s="184"/>
      <c r="E114" s="184" t="s">
        <v>302</v>
      </c>
      <c r="F114" s="199"/>
      <c r="G114" s="200"/>
      <c r="H114" s="207"/>
      <c r="I114" s="200"/>
      <c r="J114" s="206"/>
      <c r="K114" s="206">
        <v>-21.478000000000002</v>
      </c>
      <c r="L114" s="200"/>
      <c r="M114" s="201">
        <f>+G114+H114+I114+J114+K114+L114</f>
        <v>-21.478000000000002</v>
      </c>
      <c r="N114" s="175"/>
    </row>
    <row r="115" spans="1:14" s="176" customFormat="1" ht="13.5" customHeight="1" x14ac:dyDescent="0.25">
      <c r="A115" s="181" t="s">
        <v>220</v>
      </c>
      <c r="B115" s="184" t="s">
        <v>299</v>
      </c>
      <c r="C115" s="184" t="s">
        <v>300</v>
      </c>
      <c r="D115" s="184" t="s">
        <v>301</v>
      </c>
      <c r="E115" s="184" t="s">
        <v>302</v>
      </c>
      <c r="F115" s="199"/>
      <c r="G115" s="200"/>
      <c r="H115" s="207"/>
      <c r="I115" s="200"/>
      <c r="J115" s="206"/>
      <c r="K115" s="206">
        <v>-22</v>
      </c>
      <c r="L115" s="200"/>
      <c r="M115" s="201">
        <f t="shared" si="7"/>
        <v>-22</v>
      </c>
      <c r="N115" s="175"/>
    </row>
    <row r="116" spans="1:14" s="176" customFormat="1" ht="13.5" customHeight="1" x14ac:dyDescent="0.25">
      <c r="A116" s="181" t="s">
        <v>219</v>
      </c>
      <c r="B116" s="184" t="s">
        <v>299</v>
      </c>
      <c r="C116" s="184" t="s">
        <v>300</v>
      </c>
      <c r="D116" s="184" t="s">
        <v>301</v>
      </c>
      <c r="E116" s="184" t="s">
        <v>302</v>
      </c>
      <c r="F116" s="199"/>
      <c r="G116" s="200"/>
      <c r="H116" s="207"/>
      <c r="I116" s="200"/>
      <c r="J116" s="206"/>
      <c r="K116" s="206">
        <v>-5.3890000000000002</v>
      </c>
      <c r="L116" s="200"/>
      <c r="M116" s="201">
        <f t="shared" si="7"/>
        <v>-5.3890000000000002</v>
      </c>
      <c r="N116" s="175"/>
    </row>
    <row r="117" spans="1:14" s="176" customFormat="1" ht="15" customHeight="1" x14ac:dyDescent="0.25">
      <c r="A117" s="356" t="s">
        <v>422</v>
      </c>
      <c r="B117" s="184" t="s">
        <v>299</v>
      </c>
      <c r="C117" s="184" t="s">
        <v>314</v>
      </c>
      <c r="D117" s="184"/>
      <c r="E117" s="184" t="s">
        <v>357</v>
      </c>
      <c r="F117" s="199"/>
      <c r="G117" s="200">
        <v>67.263999999999996</v>
      </c>
      <c r="H117" s="207"/>
      <c r="I117" s="200"/>
      <c r="J117" s="206"/>
      <c r="K117" s="206"/>
      <c r="L117" s="200"/>
      <c r="M117" s="201">
        <f t="shared" si="7"/>
        <v>67.263999999999996</v>
      </c>
      <c r="N117" s="175"/>
    </row>
    <row r="118" spans="1:14" s="176" customFormat="1" ht="15" customHeight="1" x14ac:dyDescent="0.25">
      <c r="A118" s="356" t="s">
        <v>424</v>
      </c>
      <c r="B118" s="184" t="s">
        <v>299</v>
      </c>
      <c r="C118" s="184"/>
      <c r="D118" s="184"/>
      <c r="E118" s="184" t="s">
        <v>357</v>
      </c>
      <c r="F118" s="199"/>
      <c r="G118" s="200">
        <v>141.73400000000001</v>
      </c>
      <c r="H118" s="207"/>
      <c r="I118" s="200"/>
      <c r="J118" s="206"/>
      <c r="K118" s="206"/>
      <c r="L118" s="200"/>
      <c r="M118" s="201">
        <f t="shared" si="7"/>
        <v>141.73400000000001</v>
      </c>
      <c r="N118" s="175"/>
    </row>
    <row r="119" spans="1:14" s="176" customFormat="1" ht="15" customHeight="1" x14ac:dyDescent="0.25">
      <c r="A119" s="179" t="s">
        <v>423</v>
      </c>
      <c r="B119" s="184" t="s">
        <v>299</v>
      </c>
      <c r="C119" s="185" t="s">
        <v>19</v>
      </c>
      <c r="D119" s="185"/>
      <c r="E119" s="185" t="s">
        <v>357</v>
      </c>
      <c r="F119" s="202"/>
      <c r="G119" s="203">
        <v>232.1</v>
      </c>
      <c r="H119" s="212"/>
      <c r="I119" s="203"/>
      <c r="J119" s="204"/>
      <c r="K119" s="204"/>
      <c r="L119" s="203"/>
      <c r="M119" s="205">
        <f t="shared" si="7"/>
        <v>232.1</v>
      </c>
      <c r="N119" s="175"/>
    </row>
    <row r="120" spans="1:14" s="176" customFormat="1" ht="5.0999999999999996" customHeight="1" x14ac:dyDescent="0.25">
      <c r="A120" s="181"/>
      <c r="B120" s="184"/>
      <c r="C120" s="184"/>
      <c r="D120" s="184"/>
      <c r="E120" s="184"/>
      <c r="F120" s="199"/>
      <c r="G120" s="200"/>
      <c r="H120" s="207"/>
      <c r="I120" s="200"/>
      <c r="J120" s="206"/>
      <c r="K120" s="206"/>
      <c r="L120" s="200"/>
      <c r="M120" s="201"/>
      <c r="N120" s="175"/>
    </row>
    <row r="121" spans="1:14" s="176" customFormat="1" ht="15" customHeight="1" x14ac:dyDescent="0.25">
      <c r="A121" s="181" t="s">
        <v>338</v>
      </c>
      <c r="B121" s="184"/>
      <c r="C121" s="184"/>
      <c r="D121" s="184"/>
      <c r="E121" s="184"/>
      <c r="F121" s="199">
        <f>SUM(F90:F120)</f>
        <v>0</v>
      </c>
      <c r="G121" s="200">
        <f>SUM(G90:G120)</f>
        <v>784.35</v>
      </c>
      <c r="H121" s="207">
        <f t="shared" ref="H121:M121" si="8">SUM(H90:H120)</f>
        <v>-24.581000000000003</v>
      </c>
      <c r="I121" s="200">
        <f t="shared" si="8"/>
        <v>0</v>
      </c>
      <c r="J121" s="206">
        <f t="shared" si="8"/>
        <v>-5.7960000000000003</v>
      </c>
      <c r="K121" s="206">
        <f t="shared" si="8"/>
        <v>-1583.2380000000003</v>
      </c>
      <c r="L121" s="200">
        <f t="shared" si="8"/>
        <v>0</v>
      </c>
      <c r="M121" s="201">
        <f t="shared" si="8"/>
        <v>-829.26500000000044</v>
      </c>
      <c r="N121" s="175"/>
    </row>
    <row r="122" spans="1:14" s="176" customFormat="1" ht="15" customHeight="1" x14ac:dyDescent="0.25">
      <c r="A122" s="181"/>
      <c r="B122" s="184"/>
      <c r="C122" s="184"/>
      <c r="D122" s="184"/>
      <c r="E122" s="184"/>
      <c r="F122" s="199"/>
      <c r="G122" s="200"/>
      <c r="H122" s="207"/>
      <c r="I122" s="200"/>
      <c r="J122" s="206"/>
      <c r="K122" s="206"/>
      <c r="L122" s="200"/>
      <c r="M122" s="201"/>
      <c r="N122" s="175"/>
    </row>
    <row r="123" spans="1:14" s="128" customFormat="1" ht="15" customHeight="1" x14ac:dyDescent="0.25">
      <c r="A123" s="178" t="s">
        <v>312</v>
      </c>
      <c r="B123" s="149"/>
      <c r="C123" s="149"/>
      <c r="D123" s="149"/>
      <c r="E123" s="149"/>
      <c r="F123" s="199"/>
      <c r="G123" s="200"/>
      <c r="H123" s="200"/>
      <c r="I123" s="200"/>
      <c r="J123" s="200"/>
      <c r="K123" s="200"/>
      <c r="L123" s="200"/>
      <c r="M123" s="201"/>
      <c r="N123" s="9"/>
    </row>
    <row r="124" spans="1:14" s="128" customFormat="1" ht="13.5" hidden="1" customHeight="1" x14ac:dyDescent="0.25">
      <c r="A124" s="182" t="s">
        <v>243</v>
      </c>
      <c r="B124" s="149" t="s">
        <v>312</v>
      </c>
      <c r="C124" s="149" t="s">
        <v>19</v>
      </c>
      <c r="D124" s="149" t="s">
        <v>303</v>
      </c>
      <c r="E124" s="149" t="s">
        <v>302</v>
      </c>
      <c r="F124" s="199"/>
      <c r="G124" s="200">
        <f>4903/1000</f>
        <v>4.9029999999999996</v>
      </c>
      <c r="H124" s="207">
        <v>-1.863</v>
      </c>
      <c r="I124" s="200"/>
      <c r="J124" s="206">
        <v>-0.29299999999999998</v>
      </c>
      <c r="K124" s="206"/>
      <c r="L124" s="200"/>
      <c r="M124" s="201">
        <f t="shared" ref="M124:M151" si="9">+G124+H124+I124+J124+K124+L124</f>
        <v>2.7469999999999994</v>
      </c>
      <c r="N124" s="9"/>
    </row>
    <row r="125" spans="1:14" s="128" customFormat="1" ht="13.5" hidden="1" customHeight="1" x14ac:dyDescent="0.25">
      <c r="A125" s="182" t="s">
        <v>261</v>
      </c>
      <c r="B125" s="149" t="s">
        <v>312</v>
      </c>
      <c r="C125" s="149" t="s">
        <v>19</v>
      </c>
      <c r="D125" s="149" t="s">
        <v>303</v>
      </c>
      <c r="E125" s="149" t="s">
        <v>302</v>
      </c>
      <c r="F125" s="199"/>
      <c r="G125" s="200">
        <f>2470/1000</f>
        <v>2.4700000000000002</v>
      </c>
      <c r="H125" s="207">
        <v>-0.82899999999999996</v>
      </c>
      <c r="I125" s="200"/>
      <c r="J125" s="206">
        <v>-0.29199999999999998</v>
      </c>
      <c r="K125" s="206"/>
      <c r="L125" s="200"/>
      <c r="M125" s="201">
        <f t="shared" si="9"/>
        <v>1.3490000000000002</v>
      </c>
      <c r="N125" s="9"/>
    </row>
    <row r="126" spans="1:14" s="128" customFormat="1" ht="13.5" hidden="1" customHeight="1" x14ac:dyDescent="0.25">
      <c r="A126" s="182" t="s">
        <v>288</v>
      </c>
      <c r="B126" s="149" t="s">
        <v>312</v>
      </c>
      <c r="C126" s="149" t="s">
        <v>19</v>
      </c>
      <c r="D126" s="149" t="s">
        <v>303</v>
      </c>
      <c r="E126" s="149" t="s">
        <v>302</v>
      </c>
      <c r="F126" s="199"/>
      <c r="G126" s="200">
        <f>712/1000</f>
        <v>0.71199999999999997</v>
      </c>
      <c r="H126" s="207">
        <v>-0.154</v>
      </c>
      <c r="I126" s="200"/>
      <c r="J126" s="206">
        <v>-0.125</v>
      </c>
      <c r="K126" s="206"/>
      <c r="L126" s="200"/>
      <c r="M126" s="201">
        <f t="shared" si="9"/>
        <v>0.43299999999999994</v>
      </c>
      <c r="N126" s="9"/>
    </row>
    <row r="127" spans="1:14" s="128" customFormat="1" ht="13.5" hidden="1" customHeight="1" x14ac:dyDescent="0.25">
      <c r="A127" s="182" t="s">
        <v>289</v>
      </c>
      <c r="B127" s="149" t="s">
        <v>312</v>
      </c>
      <c r="C127" s="149" t="s">
        <v>19</v>
      </c>
      <c r="D127" s="149" t="s">
        <v>303</v>
      </c>
      <c r="E127" s="149" t="s">
        <v>302</v>
      </c>
      <c r="F127" s="199"/>
      <c r="G127" s="200">
        <f>26344/1000</f>
        <v>26.344000000000001</v>
      </c>
      <c r="H127" s="207">
        <v>-10.837</v>
      </c>
      <c r="I127" s="200"/>
      <c r="J127" s="206">
        <v>-1.1679999999999999</v>
      </c>
      <c r="K127" s="206"/>
      <c r="L127" s="200"/>
      <c r="M127" s="201">
        <f t="shared" si="9"/>
        <v>14.339000000000002</v>
      </c>
      <c r="N127" s="9"/>
    </row>
    <row r="128" spans="1:14" s="128" customFormat="1" ht="13.5" hidden="1" customHeight="1" x14ac:dyDescent="0.25">
      <c r="A128" s="182" t="s">
        <v>279</v>
      </c>
      <c r="B128" s="149" t="s">
        <v>312</v>
      </c>
      <c r="C128" s="149" t="s">
        <v>19</v>
      </c>
      <c r="D128" s="149" t="s">
        <v>303</v>
      </c>
      <c r="E128" s="149" t="s">
        <v>302</v>
      </c>
      <c r="F128" s="199"/>
      <c r="G128" s="200">
        <f>1722/1000</f>
        <v>1.722</v>
      </c>
      <c r="H128" s="207">
        <v>-0.64300000000000002</v>
      </c>
      <c r="I128" s="200"/>
      <c r="J128" s="206">
        <v>-0.29199999999999998</v>
      </c>
      <c r="K128" s="206"/>
      <c r="L128" s="200"/>
      <c r="M128" s="201">
        <f t="shared" si="9"/>
        <v>0.78699999999999992</v>
      </c>
      <c r="N128" s="9"/>
    </row>
    <row r="129" spans="1:14" s="128" customFormat="1" ht="13.5" hidden="1" customHeight="1" x14ac:dyDescent="0.25">
      <c r="A129" s="182" t="s">
        <v>296</v>
      </c>
      <c r="B129" s="149" t="s">
        <v>312</v>
      </c>
      <c r="C129" s="149" t="s">
        <v>19</v>
      </c>
      <c r="D129" s="149" t="s">
        <v>303</v>
      </c>
      <c r="E129" s="149" t="s">
        <v>302</v>
      </c>
      <c r="F129" s="199"/>
      <c r="G129" s="200">
        <f>1022/1000</f>
        <v>1.022</v>
      </c>
      <c r="H129" s="207">
        <v>-0.20399999999999999</v>
      </c>
      <c r="I129" s="200"/>
      <c r="J129" s="206">
        <v>-0.125</v>
      </c>
      <c r="K129" s="206"/>
      <c r="L129" s="200"/>
      <c r="M129" s="201">
        <f t="shared" si="9"/>
        <v>0.69300000000000006</v>
      </c>
      <c r="N129" s="9"/>
    </row>
    <row r="130" spans="1:14" s="128" customFormat="1" ht="13.5" hidden="1" customHeight="1" x14ac:dyDescent="0.25">
      <c r="A130" s="182" t="s">
        <v>294</v>
      </c>
      <c r="B130" s="149" t="s">
        <v>312</v>
      </c>
      <c r="C130" s="149" t="s">
        <v>19</v>
      </c>
      <c r="D130" s="149" t="s">
        <v>303</v>
      </c>
      <c r="E130" s="149" t="s">
        <v>302</v>
      </c>
      <c r="F130" s="199"/>
      <c r="G130" s="200">
        <f>2121/1000</f>
        <v>2.121</v>
      </c>
      <c r="H130" s="207">
        <v>-0.76500000000000001</v>
      </c>
      <c r="I130" s="200"/>
      <c r="J130" s="206">
        <v>-0.29299999999999998</v>
      </c>
      <c r="K130" s="206"/>
      <c r="L130" s="200"/>
      <c r="M130" s="201">
        <f t="shared" si="9"/>
        <v>1.0629999999999999</v>
      </c>
      <c r="N130" s="9"/>
    </row>
    <row r="131" spans="1:14" s="128" customFormat="1" ht="13.5" hidden="1" customHeight="1" x14ac:dyDescent="0.25">
      <c r="A131" s="182" t="s">
        <v>293</v>
      </c>
      <c r="B131" s="149" t="s">
        <v>312</v>
      </c>
      <c r="C131" s="149" t="s">
        <v>19</v>
      </c>
      <c r="D131" s="149" t="s">
        <v>303</v>
      </c>
      <c r="E131" s="149" t="s">
        <v>302</v>
      </c>
      <c r="F131" s="199"/>
      <c r="G131" s="200">
        <f>5484/1000</f>
        <v>5.484</v>
      </c>
      <c r="H131" s="207">
        <v>-1.0640000000000001</v>
      </c>
      <c r="I131" s="200"/>
      <c r="J131" s="206">
        <v>-0.376</v>
      </c>
      <c r="K131" s="206"/>
      <c r="L131" s="200"/>
      <c r="M131" s="201">
        <f t="shared" si="9"/>
        <v>4.0439999999999996</v>
      </c>
      <c r="N131" s="9"/>
    </row>
    <row r="132" spans="1:14" s="128" customFormat="1" ht="13.5" hidden="1" customHeight="1" x14ac:dyDescent="0.25">
      <c r="A132" s="182" t="s">
        <v>298</v>
      </c>
      <c r="B132" s="149" t="s">
        <v>312</v>
      </c>
      <c r="C132" s="149" t="s">
        <v>19</v>
      </c>
      <c r="D132" s="149" t="s">
        <v>303</v>
      </c>
      <c r="E132" s="149" t="s">
        <v>302</v>
      </c>
      <c r="F132" s="199"/>
      <c r="G132" s="200">
        <f>18981/1000</f>
        <v>18.981000000000002</v>
      </c>
      <c r="H132" s="207">
        <v>-4.4870000000000001</v>
      </c>
      <c r="I132" s="200"/>
      <c r="J132" s="206">
        <v>-0.125</v>
      </c>
      <c r="K132" s="206"/>
      <c r="L132" s="200"/>
      <c r="M132" s="201">
        <f t="shared" si="9"/>
        <v>14.369000000000002</v>
      </c>
      <c r="N132" s="9"/>
    </row>
    <row r="133" spans="1:14" s="128" customFormat="1" ht="13.5" hidden="1" customHeight="1" x14ac:dyDescent="0.25">
      <c r="A133" s="182" t="s">
        <v>297</v>
      </c>
      <c r="B133" s="149" t="s">
        <v>312</v>
      </c>
      <c r="C133" s="149" t="s">
        <v>19</v>
      </c>
      <c r="D133" s="149" t="s">
        <v>303</v>
      </c>
      <c r="E133" s="149" t="s">
        <v>302</v>
      </c>
      <c r="F133" s="199"/>
      <c r="G133" s="200">
        <f>840/1000</f>
        <v>0.84</v>
      </c>
      <c r="H133" s="207">
        <v>-0.16400000000000001</v>
      </c>
      <c r="I133" s="200"/>
      <c r="J133" s="206">
        <v>-0.125</v>
      </c>
      <c r="K133" s="206"/>
      <c r="L133" s="200"/>
      <c r="M133" s="201">
        <f t="shared" si="9"/>
        <v>0.55099999999999993</v>
      </c>
      <c r="N133" s="9"/>
    </row>
    <row r="134" spans="1:14" s="128" customFormat="1" ht="15" hidden="1" customHeight="1" x14ac:dyDescent="0.25">
      <c r="A134" s="182" t="s">
        <v>145</v>
      </c>
      <c r="B134" s="149" t="s">
        <v>312</v>
      </c>
      <c r="C134" s="149" t="s">
        <v>19</v>
      </c>
      <c r="D134" s="149" t="s">
        <v>303</v>
      </c>
      <c r="E134" s="149" t="s">
        <v>302</v>
      </c>
      <c r="F134" s="199"/>
      <c r="G134" s="200">
        <f>1459/1000</f>
        <v>1.4590000000000001</v>
      </c>
      <c r="H134" s="200">
        <v>-0.442</v>
      </c>
      <c r="I134" s="200"/>
      <c r="J134" s="206">
        <v>-0.29299999999999998</v>
      </c>
      <c r="K134" s="206"/>
      <c r="L134" s="200"/>
      <c r="M134" s="201">
        <f t="shared" si="9"/>
        <v>0.7240000000000002</v>
      </c>
      <c r="N134" s="9"/>
    </row>
    <row r="135" spans="1:14" s="128" customFormat="1" ht="15" hidden="1" customHeight="1" x14ac:dyDescent="0.25">
      <c r="A135" s="182" t="s">
        <v>165</v>
      </c>
      <c r="B135" s="149" t="s">
        <v>312</v>
      </c>
      <c r="C135" s="149" t="s">
        <v>19</v>
      </c>
      <c r="D135" s="149" t="s">
        <v>303</v>
      </c>
      <c r="E135" s="149" t="s">
        <v>302</v>
      </c>
      <c r="F135" s="199"/>
      <c r="G135" s="200">
        <f>12611/1000</f>
        <v>12.611000000000001</v>
      </c>
      <c r="H135" s="200">
        <v>-4.2279999999999998</v>
      </c>
      <c r="I135" s="200"/>
      <c r="J135" s="206">
        <v>-0.29299999999999998</v>
      </c>
      <c r="K135" s="206"/>
      <c r="L135" s="200"/>
      <c r="M135" s="201">
        <f t="shared" si="9"/>
        <v>8.0900000000000016</v>
      </c>
      <c r="N135" s="9"/>
    </row>
    <row r="136" spans="1:14" s="128" customFormat="1" ht="15" hidden="1" customHeight="1" x14ac:dyDescent="0.25">
      <c r="A136" s="182" t="s">
        <v>175</v>
      </c>
      <c r="B136" s="149" t="s">
        <v>312</v>
      </c>
      <c r="C136" s="149" t="s">
        <v>19</v>
      </c>
      <c r="D136" s="149" t="s">
        <v>303</v>
      </c>
      <c r="E136" s="149" t="s">
        <v>302</v>
      </c>
      <c r="F136" s="199"/>
      <c r="G136" s="200">
        <f>6958/1000</f>
        <v>6.9580000000000002</v>
      </c>
      <c r="H136" s="200">
        <v>-1.18</v>
      </c>
      <c r="I136" s="200"/>
      <c r="J136" s="206">
        <v>-0.25</v>
      </c>
      <c r="K136" s="206"/>
      <c r="L136" s="200"/>
      <c r="M136" s="201">
        <f t="shared" si="9"/>
        <v>5.5280000000000005</v>
      </c>
      <c r="N136" s="9"/>
    </row>
    <row r="137" spans="1:14" s="128" customFormat="1" ht="15" hidden="1" customHeight="1" x14ac:dyDescent="0.25">
      <c r="A137" s="182" t="s">
        <v>174</v>
      </c>
      <c r="B137" s="149" t="s">
        <v>312</v>
      </c>
      <c r="C137" s="149" t="s">
        <v>19</v>
      </c>
      <c r="D137" s="149" t="s">
        <v>303</v>
      </c>
      <c r="E137" s="149" t="s">
        <v>302</v>
      </c>
      <c r="F137" s="199"/>
      <c r="G137" s="200">
        <f>1956/1000</f>
        <v>1.956</v>
      </c>
      <c r="H137" s="200">
        <v>-0.54300000000000004</v>
      </c>
      <c r="I137" s="200"/>
      <c r="J137" s="206">
        <v>-0.29199999999999998</v>
      </c>
      <c r="K137" s="206"/>
      <c r="L137" s="200"/>
      <c r="M137" s="201">
        <f t="shared" si="9"/>
        <v>1.1209999999999998</v>
      </c>
      <c r="N137" s="9"/>
    </row>
    <row r="138" spans="1:14" s="128" customFormat="1" ht="15" hidden="1" customHeight="1" x14ac:dyDescent="0.25">
      <c r="A138" s="182" t="s">
        <v>111</v>
      </c>
      <c r="B138" s="149" t="s">
        <v>312</v>
      </c>
      <c r="C138" s="149" t="s">
        <v>19</v>
      </c>
      <c r="D138" s="149" t="s">
        <v>303</v>
      </c>
      <c r="E138" s="149" t="s">
        <v>302</v>
      </c>
      <c r="F138" s="199"/>
      <c r="G138" s="200">
        <f>386/1000</f>
        <v>0.38600000000000001</v>
      </c>
      <c r="H138" s="200">
        <v>-7.6999999999999999E-2</v>
      </c>
      <c r="I138" s="200"/>
      <c r="J138" s="206">
        <v>-0.125</v>
      </c>
      <c r="K138" s="206"/>
      <c r="L138" s="200"/>
      <c r="M138" s="201">
        <f t="shared" si="9"/>
        <v>0.184</v>
      </c>
      <c r="N138" s="9"/>
    </row>
    <row r="139" spans="1:14" s="128" customFormat="1" ht="15" hidden="1" customHeight="1" x14ac:dyDescent="0.25">
      <c r="A139" s="182" t="s">
        <v>149</v>
      </c>
      <c r="B139" s="149" t="s">
        <v>312</v>
      </c>
      <c r="C139" s="149" t="s">
        <v>19</v>
      </c>
      <c r="D139" s="149" t="s">
        <v>303</v>
      </c>
      <c r="E139" s="149" t="s">
        <v>302</v>
      </c>
      <c r="F139" s="199"/>
      <c r="G139" s="200">
        <f>3336/1000</f>
        <v>3.3359999999999999</v>
      </c>
      <c r="H139" s="200">
        <v>-0.77300000000000002</v>
      </c>
      <c r="I139" s="200"/>
      <c r="J139" s="206">
        <v>-0.184</v>
      </c>
      <c r="K139" s="206"/>
      <c r="L139" s="200"/>
      <c r="M139" s="201">
        <f t="shared" si="9"/>
        <v>2.3789999999999996</v>
      </c>
      <c r="N139" s="9"/>
    </row>
    <row r="140" spans="1:14" s="128" customFormat="1" ht="15" hidden="1" customHeight="1" x14ac:dyDescent="0.25">
      <c r="A140" s="182" t="s">
        <v>112</v>
      </c>
      <c r="B140" s="149" t="s">
        <v>312</v>
      </c>
      <c r="C140" s="149" t="s">
        <v>19</v>
      </c>
      <c r="D140" s="149" t="s">
        <v>303</v>
      </c>
      <c r="E140" s="149" t="s">
        <v>302</v>
      </c>
      <c r="F140" s="199"/>
      <c r="G140" s="200">
        <f>1008/1000</f>
        <v>1.008</v>
      </c>
      <c r="H140" s="200">
        <v>-0.38</v>
      </c>
      <c r="I140" s="200"/>
      <c r="J140" s="206">
        <v>-0.29099999999999998</v>
      </c>
      <c r="K140" s="206"/>
      <c r="L140" s="200"/>
      <c r="M140" s="201">
        <f t="shared" si="9"/>
        <v>0.33700000000000002</v>
      </c>
      <c r="N140" s="9"/>
    </row>
    <row r="141" spans="1:14" s="128" customFormat="1" ht="15" hidden="1" customHeight="1" x14ac:dyDescent="0.25">
      <c r="A141" s="182" t="s">
        <v>118</v>
      </c>
      <c r="B141" s="149" t="s">
        <v>312</v>
      </c>
      <c r="C141" s="149" t="s">
        <v>19</v>
      </c>
      <c r="D141" s="149" t="s">
        <v>303</v>
      </c>
      <c r="E141" s="149" t="s">
        <v>302</v>
      </c>
      <c r="F141" s="199"/>
      <c r="G141" s="200">
        <f>1541/1000</f>
        <v>1.5409999999999999</v>
      </c>
      <c r="H141" s="200">
        <v>-0.45200000000000001</v>
      </c>
      <c r="I141" s="200"/>
      <c r="J141" s="206">
        <v>-0.58199999999999996</v>
      </c>
      <c r="K141" s="206"/>
      <c r="L141" s="200"/>
      <c r="M141" s="201">
        <f t="shared" si="9"/>
        <v>0.50700000000000001</v>
      </c>
      <c r="N141" s="9"/>
    </row>
    <row r="142" spans="1:14" s="128" customFormat="1" ht="15" hidden="1" customHeight="1" x14ac:dyDescent="0.25">
      <c r="A142" s="182" t="s">
        <v>86</v>
      </c>
      <c r="B142" s="149" t="s">
        <v>312</v>
      </c>
      <c r="C142" s="149" t="s">
        <v>19</v>
      </c>
      <c r="D142" s="149" t="s">
        <v>303</v>
      </c>
      <c r="E142" s="149" t="s">
        <v>302</v>
      </c>
      <c r="F142" s="199"/>
      <c r="G142" s="200">
        <f>1740/1000</f>
        <v>1.74</v>
      </c>
      <c r="H142" s="200">
        <v>-0.29499999999999998</v>
      </c>
      <c r="I142" s="200"/>
      <c r="J142" s="206">
        <v>-0.125</v>
      </c>
      <c r="K142" s="206"/>
      <c r="L142" s="200"/>
      <c r="M142" s="201">
        <f t="shared" si="9"/>
        <v>1.32</v>
      </c>
      <c r="N142" s="9"/>
    </row>
    <row r="143" spans="1:14" s="128" customFormat="1" ht="15" hidden="1" customHeight="1" x14ac:dyDescent="0.25">
      <c r="A143" s="182" t="s">
        <v>92</v>
      </c>
      <c r="B143" s="149" t="s">
        <v>312</v>
      </c>
      <c r="C143" s="149" t="s">
        <v>19</v>
      </c>
      <c r="D143" s="149" t="s">
        <v>303</v>
      </c>
      <c r="E143" s="149" t="s">
        <v>302</v>
      </c>
      <c r="F143" s="199"/>
      <c r="G143" s="200">
        <f>2700/1000</f>
        <v>2.7</v>
      </c>
      <c r="H143" s="200">
        <v>-0.435</v>
      </c>
      <c r="I143" s="200"/>
      <c r="J143" s="206">
        <v>-0.25</v>
      </c>
      <c r="K143" s="206"/>
      <c r="L143" s="200"/>
      <c r="M143" s="201">
        <f t="shared" si="9"/>
        <v>2.0150000000000001</v>
      </c>
      <c r="N143" s="9"/>
    </row>
    <row r="144" spans="1:14" s="128" customFormat="1" ht="15" hidden="1" customHeight="1" x14ac:dyDescent="0.25">
      <c r="A144" s="182" t="s">
        <v>85</v>
      </c>
      <c r="B144" s="149" t="s">
        <v>312</v>
      </c>
      <c r="C144" s="149" t="s">
        <v>19</v>
      </c>
      <c r="D144" s="149" t="s">
        <v>303</v>
      </c>
      <c r="E144" s="149" t="s">
        <v>302</v>
      </c>
      <c r="F144" s="199"/>
      <c r="G144" s="200">
        <f>3782/1000</f>
        <v>3.782</v>
      </c>
      <c r="H144" s="200">
        <v>-0.98199999999999998</v>
      </c>
      <c r="I144" s="200"/>
      <c r="J144" s="206">
        <v>-0.29199999999999998</v>
      </c>
      <c r="K144" s="206"/>
      <c r="L144" s="200"/>
      <c r="M144" s="201">
        <f t="shared" si="9"/>
        <v>2.508</v>
      </c>
      <c r="N144" s="9"/>
    </row>
    <row r="145" spans="1:14" s="128" customFormat="1" ht="15" hidden="1" customHeight="1" x14ac:dyDescent="0.25">
      <c r="A145" s="182" t="s">
        <v>84</v>
      </c>
      <c r="B145" s="149" t="s">
        <v>312</v>
      </c>
      <c r="C145" s="149" t="s">
        <v>19</v>
      </c>
      <c r="D145" s="149" t="s">
        <v>303</v>
      </c>
      <c r="E145" s="149" t="s">
        <v>302</v>
      </c>
      <c r="F145" s="199"/>
      <c r="G145" s="200">
        <f>1484/1000</f>
        <v>1.484</v>
      </c>
      <c r="H145" s="200">
        <v>-0.255</v>
      </c>
      <c r="I145" s="200"/>
      <c r="J145" s="206">
        <v>-0.29199999999999998</v>
      </c>
      <c r="K145" s="206"/>
      <c r="L145" s="200"/>
      <c r="M145" s="201">
        <f t="shared" si="9"/>
        <v>0.93700000000000006</v>
      </c>
      <c r="N145" s="9"/>
    </row>
    <row r="146" spans="1:14" s="128" customFormat="1" ht="15" hidden="1" customHeight="1" x14ac:dyDescent="0.25">
      <c r="A146" s="182" t="s">
        <v>73</v>
      </c>
      <c r="B146" s="149" t="s">
        <v>312</v>
      </c>
      <c r="C146" s="149" t="s">
        <v>19</v>
      </c>
      <c r="D146" s="149" t="s">
        <v>303</v>
      </c>
      <c r="E146" s="149" t="s">
        <v>302</v>
      </c>
      <c r="F146" s="199"/>
      <c r="G146" s="200">
        <f>1992/1000</f>
        <v>1.992</v>
      </c>
      <c r="H146" s="200">
        <v>-0.33300000000000002</v>
      </c>
      <c r="I146" s="200"/>
      <c r="J146" s="206">
        <v>-0.125</v>
      </c>
      <c r="K146" s="206"/>
      <c r="L146" s="200"/>
      <c r="M146" s="201">
        <f t="shared" si="9"/>
        <v>1.534</v>
      </c>
      <c r="N146" s="9"/>
    </row>
    <row r="147" spans="1:14" s="128" customFormat="1" ht="15" hidden="1" customHeight="1" x14ac:dyDescent="0.25">
      <c r="A147" s="182" t="s">
        <v>72</v>
      </c>
      <c r="B147" s="149" t="s">
        <v>312</v>
      </c>
      <c r="C147" s="149" t="s">
        <v>19</v>
      </c>
      <c r="D147" s="149" t="s">
        <v>303</v>
      </c>
      <c r="E147" s="149" t="s">
        <v>302</v>
      </c>
      <c r="F147" s="199"/>
      <c r="G147" s="200">
        <f>4331/1000</f>
        <v>4.3310000000000004</v>
      </c>
      <c r="H147" s="200">
        <v>-0.72299999999999998</v>
      </c>
      <c r="I147" s="200"/>
      <c r="J147" s="206">
        <v>-0.125</v>
      </c>
      <c r="K147" s="206"/>
      <c r="L147" s="200"/>
      <c r="M147" s="201">
        <f t="shared" si="9"/>
        <v>3.4830000000000005</v>
      </c>
      <c r="N147" s="9"/>
    </row>
    <row r="148" spans="1:14" s="128" customFormat="1" ht="15" hidden="1" customHeight="1" x14ac:dyDescent="0.25">
      <c r="A148" s="182" t="s">
        <v>83</v>
      </c>
      <c r="B148" s="149" t="s">
        <v>312</v>
      </c>
      <c r="C148" s="149" t="s">
        <v>19</v>
      </c>
      <c r="D148" s="149" t="s">
        <v>303</v>
      </c>
      <c r="E148" s="149" t="s">
        <v>302</v>
      </c>
      <c r="F148" s="199"/>
      <c r="G148" s="200">
        <f>1652/1000</f>
        <v>1.6519999999999999</v>
      </c>
      <c r="H148" s="200">
        <v>-0.47299999999999998</v>
      </c>
      <c r="I148" s="200"/>
      <c r="J148" s="206">
        <v>-0.29199999999999998</v>
      </c>
      <c r="K148" s="206"/>
      <c r="L148" s="200"/>
      <c r="M148" s="201">
        <f t="shared" si="9"/>
        <v>0.88699999999999979</v>
      </c>
      <c r="N148" s="9"/>
    </row>
    <row r="149" spans="1:14" s="128" customFormat="1" ht="15" hidden="1" customHeight="1" x14ac:dyDescent="0.25">
      <c r="A149" s="182" t="s">
        <v>144</v>
      </c>
      <c r="B149" s="149" t="s">
        <v>312</v>
      </c>
      <c r="C149" s="149" t="s">
        <v>19</v>
      </c>
      <c r="D149" s="149" t="s">
        <v>303</v>
      </c>
      <c r="E149" s="149" t="s">
        <v>302</v>
      </c>
      <c r="F149" s="199"/>
      <c r="G149" s="200">
        <f>1254/1000</f>
        <v>1.254</v>
      </c>
      <c r="H149" s="200">
        <v>-0.42</v>
      </c>
      <c r="I149" s="200"/>
      <c r="J149" s="206">
        <v>-0.125</v>
      </c>
      <c r="K149" s="206"/>
      <c r="L149" s="200"/>
      <c r="M149" s="201">
        <f t="shared" si="9"/>
        <v>0.70900000000000007</v>
      </c>
      <c r="N149" s="9"/>
    </row>
    <row r="150" spans="1:14" s="128" customFormat="1" ht="15" hidden="1" customHeight="1" x14ac:dyDescent="0.25">
      <c r="A150" s="182" t="s">
        <v>139</v>
      </c>
      <c r="B150" s="149" t="s">
        <v>312</v>
      </c>
      <c r="C150" s="149" t="s">
        <v>19</v>
      </c>
      <c r="D150" s="149" t="s">
        <v>303</v>
      </c>
      <c r="E150" s="149" t="s">
        <v>302</v>
      </c>
      <c r="F150" s="199"/>
      <c r="G150" s="200">
        <f>1510/1000</f>
        <v>1.51</v>
      </c>
      <c r="H150" s="200">
        <v>-0.31900000000000001</v>
      </c>
      <c r="I150" s="200"/>
      <c r="J150" s="206">
        <v>-0.183</v>
      </c>
      <c r="K150" s="206"/>
      <c r="L150" s="200"/>
      <c r="M150" s="201">
        <f t="shared" si="9"/>
        <v>1.008</v>
      </c>
      <c r="N150" s="9"/>
    </row>
    <row r="151" spans="1:14" s="128" customFormat="1" ht="15" hidden="1" customHeight="1" x14ac:dyDescent="0.25">
      <c r="A151" s="182" t="s">
        <v>154</v>
      </c>
      <c r="B151" s="149" t="s">
        <v>312</v>
      </c>
      <c r="C151" s="149" t="s">
        <v>19</v>
      </c>
      <c r="D151" s="149" t="s">
        <v>303</v>
      </c>
      <c r="E151" s="149" t="s">
        <v>302</v>
      </c>
      <c r="F151" s="199"/>
      <c r="G151" s="200">
        <f>2347/1000</f>
        <v>2.347</v>
      </c>
      <c r="H151" s="200">
        <v>-0.499</v>
      </c>
      <c r="I151" s="200"/>
      <c r="J151" s="206">
        <v>-0.23899999999999999</v>
      </c>
      <c r="K151" s="206"/>
      <c r="L151" s="200"/>
      <c r="M151" s="201">
        <f t="shared" si="9"/>
        <v>1.609</v>
      </c>
      <c r="N151" s="9"/>
    </row>
    <row r="152" spans="1:14" s="128" customFormat="1" ht="15" customHeight="1" x14ac:dyDescent="0.25">
      <c r="A152" s="182" t="s">
        <v>426</v>
      </c>
      <c r="B152" s="149"/>
      <c r="C152" s="149"/>
      <c r="D152" s="149"/>
      <c r="E152" s="149"/>
      <c r="F152" s="199"/>
      <c r="G152" s="200">
        <f>SUM(G123:G151)</f>
        <v>116.646</v>
      </c>
      <c r="H152" s="200">
        <f t="shared" ref="H152:M152" si="10">SUM(H123:H151)</f>
        <v>-33.81900000000001</v>
      </c>
      <c r="I152" s="200">
        <f t="shared" si="10"/>
        <v>0</v>
      </c>
      <c r="J152" s="206">
        <f t="shared" si="10"/>
        <v>-7.5720000000000001</v>
      </c>
      <c r="K152" s="200">
        <f t="shared" si="10"/>
        <v>0</v>
      </c>
      <c r="L152" s="200">
        <f t="shared" si="10"/>
        <v>0</v>
      </c>
      <c r="M152" s="201">
        <f t="shared" si="10"/>
        <v>75.25500000000001</v>
      </c>
      <c r="N152" s="9"/>
    </row>
    <row r="153" spans="1:14" s="128" customFormat="1" ht="15" customHeight="1" x14ac:dyDescent="0.25">
      <c r="A153" s="182" t="s">
        <v>427</v>
      </c>
      <c r="B153" s="149"/>
      <c r="C153" s="149"/>
      <c r="D153" s="149"/>
      <c r="E153" s="149"/>
      <c r="F153" s="199"/>
      <c r="G153" s="200">
        <v>60.988999999999997</v>
      </c>
      <c r="H153" s="200">
        <v>0</v>
      </c>
      <c r="I153" s="200">
        <v>0</v>
      </c>
      <c r="J153" s="206">
        <v>0</v>
      </c>
      <c r="K153" s="206">
        <v>0</v>
      </c>
      <c r="L153" s="200">
        <v>0</v>
      </c>
      <c r="M153" s="201">
        <f>SUM(G153:L153)</f>
        <v>60.988999999999997</v>
      </c>
      <c r="N153" s="9"/>
    </row>
    <row r="154" spans="1:14" s="128" customFormat="1" ht="15" customHeight="1" x14ac:dyDescent="0.25">
      <c r="A154" s="182" t="s">
        <v>437</v>
      </c>
      <c r="B154" s="149"/>
      <c r="C154" s="149"/>
      <c r="D154" s="149"/>
      <c r="E154" s="149"/>
      <c r="F154" s="199"/>
      <c r="G154" s="200">
        <v>0</v>
      </c>
      <c r="H154" s="200">
        <v>0</v>
      </c>
      <c r="I154" s="200">
        <v>0</v>
      </c>
      <c r="J154" s="206">
        <v>0</v>
      </c>
      <c r="K154" s="206">
        <v>-26.861999999999998</v>
      </c>
      <c r="L154" s="200">
        <v>0</v>
      </c>
      <c r="M154" s="201">
        <f>SUM(G154:L154)</f>
        <v>-26.861999999999998</v>
      </c>
      <c r="N154" s="9"/>
    </row>
    <row r="155" spans="1:14" s="128" customFormat="1" ht="5.0999999999999996" customHeight="1" x14ac:dyDescent="0.25">
      <c r="A155" s="192"/>
      <c r="B155" s="180"/>
      <c r="C155" s="180"/>
      <c r="D155" s="180"/>
      <c r="E155" s="180"/>
      <c r="F155" s="202"/>
      <c r="G155" s="203"/>
      <c r="H155" s="203"/>
      <c r="I155" s="203"/>
      <c r="J155" s="204"/>
      <c r="K155" s="204"/>
      <c r="L155" s="203"/>
      <c r="M155" s="205"/>
      <c r="N155" s="9"/>
    </row>
    <row r="156" spans="1:14" s="128" customFormat="1" ht="15" customHeight="1" x14ac:dyDescent="0.25">
      <c r="A156" s="198" t="s">
        <v>428</v>
      </c>
      <c r="B156" s="149"/>
      <c r="C156" s="149"/>
      <c r="D156" s="149"/>
      <c r="E156" s="149"/>
      <c r="F156" s="199"/>
      <c r="G156" s="200">
        <f t="shared" ref="G156:L156" si="11">SUM(G123:G155)</f>
        <v>294.28100000000001</v>
      </c>
      <c r="H156" s="200">
        <f t="shared" si="11"/>
        <v>-67.638000000000019</v>
      </c>
      <c r="I156" s="200">
        <f t="shared" si="11"/>
        <v>0</v>
      </c>
      <c r="J156" s="206">
        <f t="shared" si="11"/>
        <v>-15.144</v>
      </c>
      <c r="K156" s="206">
        <f t="shared" si="11"/>
        <v>-26.861999999999998</v>
      </c>
      <c r="L156" s="200">
        <f t="shared" si="11"/>
        <v>0</v>
      </c>
      <c r="M156" s="201">
        <f>SUM(M123:M155)</f>
        <v>184.63700000000003</v>
      </c>
      <c r="N156" s="9"/>
    </row>
    <row r="157" spans="1:14" s="128" customFormat="1" ht="15" customHeight="1" x14ac:dyDescent="0.25">
      <c r="A157" s="182"/>
      <c r="B157" s="149"/>
      <c r="C157" s="149"/>
      <c r="D157" s="149"/>
      <c r="E157" s="149"/>
      <c r="F157" s="199"/>
      <c r="G157" s="200"/>
      <c r="H157" s="200"/>
      <c r="I157" s="200"/>
      <c r="J157" s="206"/>
      <c r="K157" s="206"/>
      <c r="L157" s="200"/>
      <c r="M157" s="201"/>
      <c r="N157" s="9"/>
    </row>
    <row r="158" spans="1:14" s="128" customFormat="1" ht="15" customHeight="1" x14ac:dyDescent="0.25">
      <c r="A158" s="178" t="s">
        <v>330</v>
      </c>
      <c r="B158" s="149"/>
      <c r="C158" s="149"/>
      <c r="D158" s="149"/>
      <c r="E158" s="149"/>
      <c r="F158" s="199"/>
      <c r="G158" s="200"/>
      <c r="H158" s="200"/>
      <c r="I158" s="200"/>
      <c r="J158" s="200"/>
      <c r="K158" s="200"/>
      <c r="L158" s="200"/>
      <c r="M158" s="201"/>
      <c r="N158" s="9"/>
    </row>
    <row r="159" spans="1:14" s="128" customFormat="1" ht="15" customHeight="1" x14ac:dyDescent="0.25">
      <c r="A159" s="178" t="s">
        <v>311</v>
      </c>
      <c r="B159" s="149"/>
      <c r="C159" s="149"/>
      <c r="D159" s="149"/>
      <c r="E159" s="149"/>
      <c r="F159" s="199"/>
      <c r="G159" s="200"/>
      <c r="H159" s="200"/>
      <c r="I159" s="200"/>
      <c r="J159" s="200"/>
      <c r="K159" s="200"/>
      <c r="L159" s="200"/>
      <c r="M159" s="201"/>
      <c r="N159" s="9"/>
    </row>
    <row r="160" spans="1:14" s="128" customFormat="1" ht="15" hidden="1" customHeight="1" x14ac:dyDescent="0.25">
      <c r="A160" s="186" t="s">
        <v>329</v>
      </c>
      <c r="B160" s="187"/>
      <c r="C160" s="187"/>
      <c r="D160" s="187"/>
      <c r="E160" s="149"/>
      <c r="F160" s="199"/>
      <c r="G160" s="200"/>
      <c r="H160" s="200"/>
      <c r="I160" s="200"/>
      <c r="J160" s="200"/>
      <c r="K160" s="200"/>
      <c r="L160" s="200"/>
      <c r="M160" s="201"/>
      <c r="N160" s="9"/>
    </row>
    <row r="161" spans="1:14" s="128" customFormat="1" ht="13.5" hidden="1" customHeight="1" x14ac:dyDescent="0.25">
      <c r="A161" s="181" t="s">
        <v>266</v>
      </c>
      <c r="B161" s="149" t="s">
        <v>311</v>
      </c>
      <c r="C161" s="149" t="s">
        <v>314</v>
      </c>
      <c r="D161" s="149" t="s">
        <v>315</v>
      </c>
      <c r="E161" s="149" t="s">
        <v>302</v>
      </c>
      <c r="F161" s="199"/>
      <c r="G161" s="200">
        <f>1635/1000</f>
        <v>1.635</v>
      </c>
      <c r="H161" s="207">
        <v>-0.46800000000000003</v>
      </c>
      <c r="I161" s="200"/>
      <c r="J161" s="206">
        <v>-0.316</v>
      </c>
      <c r="K161" s="206"/>
      <c r="L161" s="200"/>
      <c r="M161" s="201">
        <f t="shared" ref="M161:M192" si="12">+G161+H161+I161+J161+K161+L161</f>
        <v>0.85099999999999998</v>
      </c>
      <c r="N161" s="9"/>
    </row>
    <row r="162" spans="1:14" s="128" customFormat="1" ht="15" hidden="1" customHeight="1" x14ac:dyDescent="0.25">
      <c r="A162" s="181" t="s">
        <v>159</v>
      </c>
      <c r="B162" s="149" t="s">
        <v>311</v>
      </c>
      <c r="C162" s="149" t="s">
        <v>19</v>
      </c>
      <c r="D162" s="149" t="s">
        <v>303</v>
      </c>
      <c r="E162" s="149" t="s">
        <v>302</v>
      </c>
      <c r="F162" s="199"/>
      <c r="G162" s="200">
        <v>-1.2609999999999999</v>
      </c>
      <c r="H162" s="200">
        <f>106/1000</f>
        <v>0.106</v>
      </c>
      <c r="I162" s="200"/>
      <c r="J162" s="206">
        <f>287/1000</f>
        <v>0.28699999999999998</v>
      </c>
      <c r="K162" s="206"/>
      <c r="L162" s="200"/>
      <c r="M162" s="201">
        <f t="shared" si="12"/>
        <v>-0.86799999999999988</v>
      </c>
      <c r="N162" s="9"/>
    </row>
    <row r="163" spans="1:14" s="128" customFormat="1" ht="13.5" hidden="1" customHeight="1" x14ac:dyDescent="0.25">
      <c r="A163" s="181" t="s">
        <v>283</v>
      </c>
      <c r="B163" s="149" t="s">
        <v>311</v>
      </c>
      <c r="C163" s="149" t="s">
        <v>19</v>
      </c>
      <c r="D163" s="149" t="s">
        <v>303</v>
      </c>
      <c r="E163" s="149" t="s">
        <v>302</v>
      </c>
      <c r="F163" s="199"/>
      <c r="G163" s="200">
        <f>12144/1000</f>
        <v>12.144</v>
      </c>
      <c r="H163" s="207">
        <v>-3.59</v>
      </c>
      <c r="I163" s="200"/>
      <c r="J163" s="206">
        <v>-1.579</v>
      </c>
      <c r="K163" s="206"/>
      <c r="L163" s="200"/>
      <c r="M163" s="201">
        <f t="shared" si="12"/>
        <v>6.9750000000000005</v>
      </c>
      <c r="N163" s="9"/>
    </row>
    <row r="164" spans="1:14" s="128" customFormat="1" ht="15" hidden="1" customHeight="1" x14ac:dyDescent="0.25">
      <c r="A164" s="181" t="s">
        <v>181</v>
      </c>
      <c r="B164" s="149" t="s">
        <v>311</v>
      </c>
      <c r="C164" s="149" t="s">
        <v>19</v>
      </c>
      <c r="D164" s="149" t="s">
        <v>303</v>
      </c>
      <c r="E164" s="149" t="s">
        <v>302</v>
      </c>
      <c r="F164" s="199"/>
      <c r="G164" s="200">
        <f>11786/1000</f>
        <v>11.786</v>
      </c>
      <c r="H164" s="200">
        <v>-3.39</v>
      </c>
      <c r="I164" s="200"/>
      <c r="J164" s="206">
        <v>-0.66</v>
      </c>
      <c r="K164" s="206"/>
      <c r="L164" s="200"/>
      <c r="M164" s="201">
        <f t="shared" si="12"/>
        <v>7.7359999999999989</v>
      </c>
      <c r="N164" s="9"/>
    </row>
    <row r="165" spans="1:14" s="128" customFormat="1" ht="15" hidden="1" customHeight="1" x14ac:dyDescent="0.25">
      <c r="A165" s="181" t="s">
        <v>142</v>
      </c>
      <c r="B165" s="149" t="s">
        <v>311</v>
      </c>
      <c r="C165" s="149" t="s">
        <v>19</v>
      </c>
      <c r="D165" s="149" t="s">
        <v>303</v>
      </c>
      <c r="E165" s="149" t="s">
        <v>302</v>
      </c>
      <c r="F165" s="199"/>
      <c r="G165" s="200">
        <f>243/1000</f>
        <v>0.24299999999999999</v>
      </c>
      <c r="H165" s="200">
        <v>-6.6000000000000003E-2</v>
      </c>
      <c r="I165" s="200"/>
      <c r="J165" s="206">
        <v>-0.29199999999999998</v>
      </c>
      <c r="K165" s="206"/>
      <c r="L165" s="200"/>
      <c r="M165" s="201">
        <f t="shared" si="12"/>
        <v>-0.11499999999999999</v>
      </c>
      <c r="N165" s="9"/>
    </row>
    <row r="166" spans="1:14" s="128" customFormat="1" ht="15" hidden="1" customHeight="1" x14ac:dyDescent="0.25">
      <c r="A166" s="181" t="s">
        <v>91</v>
      </c>
      <c r="B166" s="149" t="s">
        <v>311</v>
      </c>
      <c r="C166" s="149" t="s">
        <v>19</v>
      </c>
      <c r="D166" s="149" t="s">
        <v>303</v>
      </c>
      <c r="E166" s="149" t="s">
        <v>302</v>
      </c>
      <c r="F166" s="199"/>
      <c r="G166" s="200">
        <f>1681/1000</f>
        <v>1.681</v>
      </c>
      <c r="H166" s="200">
        <v>-0.45600000000000002</v>
      </c>
      <c r="I166" s="200"/>
      <c r="J166" s="206">
        <v>-0.36699999999999999</v>
      </c>
      <c r="K166" s="206"/>
      <c r="L166" s="200"/>
      <c r="M166" s="201">
        <f t="shared" si="12"/>
        <v>0.8580000000000001</v>
      </c>
      <c r="N166" s="9"/>
    </row>
    <row r="167" spans="1:14" s="128" customFormat="1" ht="13.5" hidden="1" customHeight="1" x14ac:dyDescent="0.25">
      <c r="A167" s="181" t="s">
        <v>265</v>
      </c>
      <c r="B167" s="149" t="s">
        <v>311</v>
      </c>
      <c r="C167" s="149" t="s">
        <v>19</v>
      </c>
      <c r="D167" s="149" t="s">
        <v>303</v>
      </c>
      <c r="E167" s="149" t="s">
        <v>302</v>
      </c>
      <c r="F167" s="199"/>
      <c r="G167" s="200">
        <f>137739/1000</f>
        <v>137.739</v>
      </c>
      <c r="H167" s="207">
        <f>-40700/1000</f>
        <v>-40.700000000000003</v>
      </c>
      <c r="I167" s="200"/>
      <c r="J167" s="206">
        <v>-20.344000000000001</v>
      </c>
      <c r="K167" s="206"/>
      <c r="L167" s="200"/>
      <c r="M167" s="201">
        <f t="shared" si="12"/>
        <v>76.694999999999993</v>
      </c>
      <c r="N167" s="9"/>
    </row>
    <row r="168" spans="1:14" s="128" customFormat="1" ht="13.5" hidden="1" customHeight="1" x14ac:dyDescent="0.25">
      <c r="A168" s="181" t="s">
        <v>282</v>
      </c>
      <c r="B168" s="149" t="s">
        <v>311</v>
      </c>
      <c r="C168" s="149" t="s">
        <v>19</v>
      </c>
      <c r="D168" s="149" t="s">
        <v>303</v>
      </c>
      <c r="E168" s="149" t="s">
        <v>302</v>
      </c>
      <c r="F168" s="199"/>
      <c r="G168" s="200">
        <f>151014/1000</f>
        <v>151.01400000000001</v>
      </c>
      <c r="H168" s="207">
        <f>-45596/1000</f>
        <v>-45.595999999999997</v>
      </c>
      <c r="I168" s="200"/>
      <c r="J168" s="206">
        <v>-21.015999999999998</v>
      </c>
      <c r="K168" s="206"/>
      <c r="L168" s="200"/>
      <c r="M168" s="201">
        <f t="shared" si="12"/>
        <v>84.402000000000015</v>
      </c>
      <c r="N168" s="9"/>
    </row>
    <row r="169" spans="1:14" s="128" customFormat="1" ht="13.5" hidden="1" customHeight="1" x14ac:dyDescent="0.25">
      <c r="A169" s="181" t="s">
        <v>254</v>
      </c>
      <c r="B169" s="149" t="s">
        <v>311</v>
      </c>
      <c r="C169" s="149" t="s">
        <v>19</v>
      </c>
      <c r="D169" s="149" t="s">
        <v>303</v>
      </c>
      <c r="E169" s="149" t="s">
        <v>302</v>
      </c>
      <c r="F169" s="199"/>
      <c r="G169" s="200">
        <f>250872/1000</f>
        <v>250.87200000000001</v>
      </c>
      <c r="H169" s="207">
        <f>-70128/1000</f>
        <v>-70.128</v>
      </c>
      <c r="I169" s="200"/>
      <c r="J169" s="206">
        <v>-25.82</v>
      </c>
      <c r="K169" s="206"/>
      <c r="L169" s="200"/>
      <c r="M169" s="201">
        <f t="shared" si="12"/>
        <v>154.92400000000004</v>
      </c>
      <c r="N169" s="9"/>
    </row>
    <row r="170" spans="1:14" s="128" customFormat="1" ht="15" hidden="1" customHeight="1" x14ac:dyDescent="0.25">
      <c r="A170" s="181" t="s">
        <v>207</v>
      </c>
      <c r="B170" s="149" t="s">
        <v>311</v>
      </c>
      <c r="C170" s="149" t="s">
        <v>19</v>
      </c>
      <c r="D170" s="149" t="s">
        <v>303</v>
      </c>
      <c r="E170" s="149" t="s">
        <v>302</v>
      </c>
      <c r="F170" s="199"/>
      <c r="G170" s="200">
        <f>116067/1000</f>
        <v>116.06699999999999</v>
      </c>
      <c r="H170" s="200">
        <f>-34261/1000</f>
        <v>-34.261000000000003</v>
      </c>
      <c r="I170" s="200"/>
      <c r="J170" s="206">
        <v>-9.952</v>
      </c>
      <c r="K170" s="206"/>
      <c r="L170" s="200"/>
      <c r="M170" s="201">
        <f t="shared" si="12"/>
        <v>71.853999999999985</v>
      </c>
      <c r="N170" s="9"/>
    </row>
    <row r="171" spans="1:14" s="128" customFormat="1" ht="15" hidden="1" customHeight="1" x14ac:dyDescent="0.25">
      <c r="A171" s="181" t="s">
        <v>196</v>
      </c>
      <c r="B171" s="149" t="s">
        <v>311</v>
      </c>
      <c r="C171" s="149" t="s">
        <v>19</v>
      </c>
      <c r="D171" s="149" t="s">
        <v>303</v>
      </c>
      <c r="E171" s="149" t="s">
        <v>302</v>
      </c>
      <c r="F171" s="199"/>
      <c r="G171" s="200">
        <f>152320/1000</f>
        <v>152.32</v>
      </c>
      <c r="H171" s="200">
        <f>-43654/1000</f>
        <v>-43.654000000000003</v>
      </c>
      <c r="I171" s="200"/>
      <c r="J171" s="206">
        <v>-17.126999999999999</v>
      </c>
      <c r="K171" s="206"/>
      <c r="L171" s="200"/>
      <c r="M171" s="201">
        <f t="shared" si="12"/>
        <v>91.539000000000001</v>
      </c>
      <c r="N171" s="9"/>
    </row>
    <row r="172" spans="1:14" s="128" customFormat="1" ht="15" hidden="1" customHeight="1" x14ac:dyDescent="0.25">
      <c r="A172" s="181" t="s">
        <v>184</v>
      </c>
      <c r="B172" s="149" t="s">
        <v>311</v>
      </c>
      <c r="C172" s="149" t="s">
        <v>19</v>
      </c>
      <c r="D172" s="149" t="s">
        <v>303</v>
      </c>
      <c r="E172" s="149" t="s">
        <v>302</v>
      </c>
      <c r="F172" s="199"/>
      <c r="G172" s="200">
        <f>385212/1000</f>
        <v>385.21199999999999</v>
      </c>
      <c r="H172" s="200">
        <f>-110139/1000</f>
        <v>-110.139</v>
      </c>
      <c r="I172" s="200"/>
      <c r="J172" s="206">
        <f>-38905/1000</f>
        <v>-38.905000000000001</v>
      </c>
      <c r="K172" s="206"/>
      <c r="L172" s="200"/>
      <c r="M172" s="201">
        <f t="shared" si="12"/>
        <v>236.16799999999998</v>
      </c>
      <c r="N172" s="9"/>
    </row>
    <row r="173" spans="1:14" s="128" customFormat="1" ht="15" hidden="1" customHeight="1" x14ac:dyDescent="0.25">
      <c r="A173" s="181" t="s">
        <v>178</v>
      </c>
      <c r="B173" s="149" t="s">
        <v>311</v>
      </c>
      <c r="C173" s="149" t="s">
        <v>19</v>
      </c>
      <c r="D173" s="149" t="s">
        <v>303</v>
      </c>
      <c r="E173" s="149" t="s">
        <v>302</v>
      </c>
      <c r="F173" s="199"/>
      <c r="G173" s="200">
        <f>53216/1000</f>
        <v>53.216000000000001</v>
      </c>
      <c r="H173" s="200">
        <v>-15.061</v>
      </c>
      <c r="I173" s="200"/>
      <c r="J173" s="206">
        <v>-4.6820000000000004</v>
      </c>
      <c r="K173" s="206"/>
      <c r="L173" s="200"/>
      <c r="M173" s="201">
        <f t="shared" si="12"/>
        <v>33.472999999999999</v>
      </c>
      <c r="N173" s="9"/>
    </row>
    <row r="174" spans="1:14" s="128" customFormat="1" ht="15" hidden="1" customHeight="1" x14ac:dyDescent="0.25">
      <c r="A174" s="181" t="s">
        <v>180</v>
      </c>
      <c r="B174" s="149" t="s">
        <v>311</v>
      </c>
      <c r="C174" s="149" t="s">
        <v>19</v>
      </c>
      <c r="D174" s="149" t="s">
        <v>303</v>
      </c>
      <c r="E174" s="149" t="s">
        <v>302</v>
      </c>
      <c r="F174" s="199"/>
      <c r="G174" s="200">
        <f>101888/1000</f>
        <v>101.88800000000001</v>
      </c>
      <c r="H174" s="200">
        <v>-30.158999999999999</v>
      </c>
      <c r="I174" s="200"/>
      <c r="J174" s="206">
        <v>-10.016999999999999</v>
      </c>
      <c r="K174" s="206"/>
      <c r="L174" s="200"/>
      <c r="M174" s="201">
        <f t="shared" si="12"/>
        <v>61.712000000000018</v>
      </c>
      <c r="N174" s="9"/>
    </row>
    <row r="175" spans="1:14" s="128" customFormat="1" ht="15" hidden="1" customHeight="1" x14ac:dyDescent="0.25">
      <c r="A175" s="181" t="s">
        <v>140</v>
      </c>
      <c r="B175" s="149" t="s">
        <v>311</v>
      </c>
      <c r="C175" s="149" t="s">
        <v>19</v>
      </c>
      <c r="D175" s="149" t="s">
        <v>303</v>
      </c>
      <c r="E175" s="149" t="s">
        <v>302</v>
      </c>
      <c r="F175" s="199"/>
      <c r="G175" s="200">
        <f>116361/1000</f>
        <v>116.361</v>
      </c>
      <c r="H175" s="200">
        <f>-33378/1000</f>
        <v>-33.378</v>
      </c>
      <c r="I175" s="200"/>
      <c r="J175" s="206">
        <v>-10.224</v>
      </c>
      <c r="K175" s="206"/>
      <c r="L175" s="200"/>
      <c r="M175" s="201">
        <f t="shared" si="12"/>
        <v>72.759</v>
      </c>
      <c r="N175" s="9"/>
    </row>
    <row r="176" spans="1:14" s="128" customFormat="1" ht="15" hidden="1" customHeight="1" x14ac:dyDescent="0.25">
      <c r="A176" s="181" t="s">
        <v>107</v>
      </c>
      <c r="B176" s="149" t="s">
        <v>311</v>
      </c>
      <c r="C176" s="149" t="s">
        <v>19</v>
      </c>
      <c r="D176" s="149" t="s">
        <v>303</v>
      </c>
      <c r="E176" s="149" t="s">
        <v>302</v>
      </c>
      <c r="F176" s="199"/>
      <c r="G176" s="200">
        <f>122581/1000</f>
        <v>122.581</v>
      </c>
      <c r="H176" s="200">
        <f>-34243/1000</f>
        <v>-34.243000000000002</v>
      </c>
      <c r="I176" s="200"/>
      <c r="J176" s="206">
        <v>-13.069000000000001</v>
      </c>
      <c r="K176" s="206"/>
      <c r="L176" s="200"/>
      <c r="M176" s="201">
        <f t="shared" si="12"/>
        <v>75.268999999999991</v>
      </c>
      <c r="N176" s="9"/>
    </row>
    <row r="177" spans="1:14" s="128" customFormat="1" ht="15" hidden="1" customHeight="1" x14ac:dyDescent="0.25">
      <c r="A177" s="181" t="s">
        <v>81</v>
      </c>
      <c r="B177" s="149" t="s">
        <v>311</v>
      </c>
      <c r="C177" s="149" t="s">
        <v>19</v>
      </c>
      <c r="D177" s="149" t="s">
        <v>303</v>
      </c>
      <c r="E177" s="149" t="s">
        <v>302</v>
      </c>
      <c r="F177" s="199"/>
      <c r="G177" s="200">
        <f>286823/1000</f>
        <v>286.82299999999998</v>
      </c>
      <c r="H177" s="200">
        <f>-83923/1000</f>
        <v>-83.923000000000002</v>
      </c>
      <c r="I177" s="200"/>
      <c r="J177" s="206">
        <v>-21.529</v>
      </c>
      <c r="K177" s="206"/>
      <c r="L177" s="200"/>
      <c r="M177" s="201">
        <f t="shared" si="12"/>
        <v>181.37099999999998</v>
      </c>
      <c r="N177" s="9"/>
    </row>
    <row r="178" spans="1:14" s="128" customFormat="1" ht="13.5" hidden="1" customHeight="1" x14ac:dyDescent="0.25">
      <c r="A178" s="181" t="s">
        <v>248</v>
      </c>
      <c r="B178" s="149" t="s">
        <v>311</v>
      </c>
      <c r="C178" s="149" t="s">
        <v>19</v>
      </c>
      <c r="D178" s="149" t="s">
        <v>303</v>
      </c>
      <c r="E178" s="149" t="s">
        <v>302</v>
      </c>
      <c r="F178" s="199"/>
      <c r="G178" s="200">
        <f>65/1000</f>
        <v>6.5000000000000002E-2</v>
      </c>
      <c r="H178" s="207"/>
      <c r="I178" s="200"/>
      <c r="J178" s="206"/>
      <c r="K178" s="206"/>
      <c r="L178" s="200"/>
      <c r="M178" s="201">
        <f t="shared" si="12"/>
        <v>6.5000000000000002E-2</v>
      </c>
      <c r="N178" s="9"/>
    </row>
    <row r="179" spans="1:14" s="128" customFormat="1" ht="15" hidden="1" customHeight="1" x14ac:dyDescent="0.25">
      <c r="A179" s="181" t="s">
        <v>102</v>
      </c>
      <c r="B179" s="149" t="s">
        <v>311</v>
      </c>
      <c r="C179" s="149" t="s">
        <v>19</v>
      </c>
      <c r="D179" s="149" t="s">
        <v>303</v>
      </c>
      <c r="E179" s="149" t="s">
        <v>302</v>
      </c>
      <c r="F179" s="199"/>
      <c r="G179" s="200">
        <f>524/1000</f>
        <v>0.52400000000000002</v>
      </c>
      <c r="H179" s="200">
        <v>-0.16700000000000001</v>
      </c>
      <c r="I179" s="200"/>
      <c r="J179" s="206">
        <v>-0.29199999999999998</v>
      </c>
      <c r="K179" s="206"/>
      <c r="L179" s="200"/>
      <c r="M179" s="201">
        <f t="shared" si="12"/>
        <v>6.5000000000000002E-2</v>
      </c>
      <c r="N179" s="9"/>
    </row>
    <row r="180" spans="1:14" s="128" customFormat="1" ht="13.5" hidden="1" customHeight="1" x14ac:dyDescent="0.25">
      <c r="A180" s="181" t="s">
        <v>237</v>
      </c>
      <c r="B180" s="149" t="s">
        <v>311</v>
      </c>
      <c r="C180" s="149" t="s">
        <v>19</v>
      </c>
      <c r="D180" s="149" t="s">
        <v>303</v>
      </c>
      <c r="E180" s="149" t="s">
        <v>302</v>
      </c>
      <c r="F180" s="199"/>
      <c r="G180" s="200">
        <f>69322/1000</f>
        <v>69.322000000000003</v>
      </c>
      <c r="H180" s="207">
        <v>-19.885000000000002</v>
      </c>
      <c r="I180" s="200"/>
      <c r="J180" s="206">
        <v>-18.14</v>
      </c>
      <c r="K180" s="206"/>
      <c r="L180" s="200"/>
      <c r="M180" s="201">
        <f t="shared" si="12"/>
        <v>31.296999999999997</v>
      </c>
      <c r="N180" s="9"/>
    </row>
    <row r="181" spans="1:14" s="128" customFormat="1" ht="13.5" hidden="1" customHeight="1" x14ac:dyDescent="0.25">
      <c r="A181" s="181" t="s">
        <v>267</v>
      </c>
      <c r="B181" s="149" t="s">
        <v>311</v>
      </c>
      <c r="C181" s="149" t="s">
        <v>19</v>
      </c>
      <c r="D181" s="149" t="s">
        <v>303</v>
      </c>
      <c r="E181" s="149" t="s">
        <v>302</v>
      </c>
      <c r="F181" s="199"/>
      <c r="G181" s="200">
        <f>70417/1000</f>
        <v>70.417000000000002</v>
      </c>
      <c r="H181" s="207">
        <v>-20.686</v>
      </c>
      <c r="I181" s="200"/>
      <c r="J181" s="206">
        <v>-5.55</v>
      </c>
      <c r="K181" s="206"/>
      <c r="L181" s="200"/>
      <c r="M181" s="201">
        <f t="shared" si="12"/>
        <v>44.181000000000004</v>
      </c>
      <c r="N181" s="9"/>
    </row>
    <row r="182" spans="1:14" s="128" customFormat="1" ht="13.5" hidden="1" customHeight="1" x14ac:dyDescent="0.25">
      <c r="A182" s="181" t="s">
        <v>284</v>
      </c>
      <c r="B182" s="149" t="s">
        <v>311</v>
      </c>
      <c r="C182" s="149" t="s">
        <v>19</v>
      </c>
      <c r="D182" s="149" t="s">
        <v>303</v>
      </c>
      <c r="E182" s="149" t="s">
        <v>302</v>
      </c>
      <c r="F182" s="199"/>
      <c r="G182" s="200">
        <f>46831/1000</f>
        <v>46.831000000000003</v>
      </c>
      <c r="H182" s="207">
        <v>-14.103999999999999</v>
      </c>
      <c r="I182" s="200"/>
      <c r="J182" s="206">
        <v>-7.5890000000000004</v>
      </c>
      <c r="K182" s="206"/>
      <c r="L182" s="200"/>
      <c r="M182" s="201">
        <f t="shared" si="12"/>
        <v>25.138000000000005</v>
      </c>
      <c r="N182" s="9"/>
    </row>
    <row r="183" spans="1:14" s="128" customFormat="1" ht="13.5" hidden="1" customHeight="1" x14ac:dyDescent="0.25">
      <c r="A183" s="181" t="s">
        <v>295</v>
      </c>
      <c r="B183" s="149" t="s">
        <v>311</v>
      </c>
      <c r="C183" s="149" t="s">
        <v>19</v>
      </c>
      <c r="D183" s="149" t="s">
        <v>303</v>
      </c>
      <c r="E183" s="149" t="s">
        <v>302</v>
      </c>
      <c r="F183" s="199"/>
      <c r="G183" s="200">
        <f>33537/1000</f>
        <v>33.536999999999999</v>
      </c>
      <c r="H183" s="207">
        <v>-10.215</v>
      </c>
      <c r="I183" s="200"/>
      <c r="J183" s="206">
        <v>-7.9009999999999998</v>
      </c>
      <c r="K183" s="206"/>
      <c r="L183" s="200"/>
      <c r="M183" s="201">
        <f t="shared" si="12"/>
        <v>15.420999999999999</v>
      </c>
      <c r="N183" s="9"/>
    </row>
    <row r="184" spans="1:14" s="128" customFormat="1" ht="15" hidden="1" customHeight="1" x14ac:dyDescent="0.25">
      <c r="A184" s="181" t="s">
        <v>206</v>
      </c>
      <c r="B184" s="149" t="s">
        <v>311</v>
      </c>
      <c r="C184" s="149" t="s">
        <v>19</v>
      </c>
      <c r="D184" s="149" t="s">
        <v>303</v>
      </c>
      <c r="E184" s="149" t="s">
        <v>302</v>
      </c>
      <c r="F184" s="199"/>
      <c r="G184" s="200">
        <f>58436/1000</f>
        <v>58.436</v>
      </c>
      <c r="H184" s="200">
        <v>-17.468</v>
      </c>
      <c r="I184" s="200"/>
      <c r="J184" s="206">
        <v>-8.1959999999999997</v>
      </c>
      <c r="K184" s="206"/>
      <c r="L184" s="200"/>
      <c r="M184" s="201">
        <f t="shared" si="12"/>
        <v>32.772000000000006</v>
      </c>
      <c r="N184" s="9"/>
    </row>
    <row r="185" spans="1:14" s="128" customFormat="1" ht="15" hidden="1" customHeight="1" x14ac:dyDescent="0.25">
      <c r="A185" s="181" t="s">
        <v>191</v>
      </c>
      <c r="B185" s="149" t="s">
        <v>311</v>
      </c>
      <c r="C185" s="149" t="s">
        <v>19</v>
      </c>
      <c r="D185" s="149" t="s">
        <v>303</v>
      </c>
      <c r="E185" s="149" t="s">
        <v>302</v>
      </c>
      <c r="F185" s="199"/>
      <c r="G185" s="200">
        <f>46031/1000</f>
        <v>46.030999999999999</v>
      </c>
      <c r="H185" s="200">
        <v>-13.863</v>
      </c>
      <c r="I185" s="200"/>
      <c r="J185" s="206">
        <v>-8.2029999999999994</v>
      </c>
      <c r="K185" s="206"/>
      <c r="L185" s="200"/>
      <c r="M185" s="201">
        <f t="shared" si="12"/>
        <v>23.965</v>
      </c>
      <c r="N185" s="9"/>
    </row>
    <row r="186" spans="1:14" s="128" customFormat="1" ht="15" hidden="1" customHeight="1" x14ac:dyDescent="0.25">
      <c r="A186" s="181" t="s">
        <v>164</v>
      </c>
      <c r="B186" s="149" t="s">
        <v>311</v>
      </c>
      <c r="C186" s="149" t="s">
        <v>19</v>
      </c>
      <c r="D186" s="149" t="s">
        <v>303</v>
      </c>
      <c r="E186" s="149" t="s">
        <v>302</v>
      </c>
      <c r="F186" s="199"/>
      <c r="G186" s="200">
        <f>60822/1000</f>
        <v>60.822000000000003</v>
      </c>
      <c r="H186" s="200">
        <v>-18.294</v>
      </c>
      <c r="I186" s="200"/>
      <c r="J186" s="206">
        <v>-8.7780000000000005</v>
      </c>
      <c r="K186" s="206"/>
      <c r="L186" s="200"/>
      <c r="M186" s="201">
        <f t="shared" si="12"/>
        <v>33.750000000000007</v>
      </c>
      <c r="N186" s="9"/>
    </row>
    <row r="187" spans="1:14" s="128" customFormat="1" ht="15" hidden="1" customHeight="1" x14ac:dyDescent="0.25">
      <c r="A187" s="181" t="s">
        <v>177</v>
      </c>
      <c r="B187" s="149" t="s">
        <v>311</v>
      </c>
      <c r="C187" s="149" t="s">
        <v>19</v>
      </c>
      <c r="D187" s="149" t="s">
        <v>303</v>
      </c>
      <c r="E187" s="149" t="s">
        <v>302</v>
      </c>
      <c r="F187" s="199"/>
      <c r="G187" s="200">
        <f>74898/1000</f>
        <v>74.897999999999996</v>
      </c>
      <c r="H187" s="200">
        <v>-22.009</v>
      </c>
      <c r="I187" s="200"/>
      <c r="J187" s="206">
        <v>-6.4370000000000003</v>
      </c>
      <c r="K187" s="206"/>
      <c r="L187" s="200"/>
      <c r="M187" s="201">
        <f t="shared" si="12"/>
        <v>46.451999999999998</v>
      </c>
      <c r="N187" s="9"/>
    </row>
    <row r="188" spans="1:14" s="128" customFormat="1" ht="15" hidden="1" customHeight="1" x14ac:dyDescent="0.25">
      <c r="A188" s="181" t="s">
        <v>179</v>
      </c>
      <c r="B188" s="149" t="s">
        <v>311</v>
      </c>
      <c r="C188" s="149" t="s">
        <v>19</v>
      </c>
      <c r="D188" s="149" t="s">
        <v>303</v>
      </c>
      <c r="E188" s="149" t="s">
        <v>302</v>
      </c>
      <c r="F188" s="199"/>
      <c r="G188" s="200">
        <f>71727/1000</f>
        <v>71.727000000000004</v>
      </c>
      <c r="H188" s="200">
        <v>-21.51</v>
      </c>
      <c r="I188" s="200"/>
      <c r="J188" s="206">
        <v>-14.026</v>
      </c>
      <c r="K188" s="206"/>
      <c r="L188" s="200"/>
      <c r="M188" s="201">
        <f t="shared" si="12"/>
        <v>36.191000000000003</v>
      </c>
      <c r="N188" s="9"/>
    </row>
    <row r="189" spans="1:14" s="128" customFormat="1" ht="15" hidden="1" customHeight="1" x14ac:dyDescent="0.25">
      <c r="A189" s="181" t="s">
        <v>109</v>
      </c>
      <c r="B189" s="149" t="s">
        <v>311</v>
      </c>
      <c r="C189" s="149" t="s">
        <v>19</v>
      </c>
      <c r="D189" s="149" t="s">
        <v>303</v>
      </c>
      <c r="E189" s="149" t="s">
        <v>302</v>
      </c>
      <c r="F189" s="199"/>
      <c r="G189" s="200">
        <f>59443/1000</f>
        <v>59.442999999999998</v>
      </c>
      <c r="H189" s="200">
        <v>-17.606000000000002</v>
      </c>
      <c r="I189" s="200"/>
      <c r="J189" s="206">
        <v>-7.8869999999999996</v>
      </c>
      <c r="K189" s="206"/>
      <c r="L189" s="200"/>
      <c r="M189" s="201">
        <f t="shared" si="12"/>
        <v>33.949999999999996</v>
      </c>
      <c r="N189" s="9"/>
    </row>
    <row r="190" spans="1:14" s="128" customFormat="1" ht="15" hidden="1" customHeight="1" x14ac:dyDescent="0.25">
      <c r="A190" s="181" t="s">
        <v>93</v>
      </c>
      <c r="B190" s="149" t="s">
        <v>311</v>
      </c>
      <c r="C190" s="149" t="s">
        <v>19</v>
      </c>
      <c r="D190" s="149" t="s">
        <v>303</v>
      </c>
      <c r="E190" s="149" t="s">
        <v>302</v>
      </c>
      <c r="F190" s="199"/>
      <c r="G190" s="200">
        <f>70978/1000</f>
        <v>70.977999999999994</v>
      </c>
      <c r="H190" s="200">
        <v>-21.268999999999998</v>
      </c>
      <c r="I190" s="200"/>
      <c r="J190" s="206">
        <v>-11.955</v>
      </c>
      <c r="K190" s="206"/>
      <c r="L190" s="200"/>
      <c r="M190" s="201">
        <f t="shared" si="12"/>
        <v>37.753999999999998</v>
      </c>
      <c r="N190" s="9"/>
    </row>
    <row r="191" spans="1:14" s="128" customFormat="1" ht="15" hidden="1" customHeight="1" x14ac:dyDescent="0.25">
      <c r="A191" s="181" t="s">
        <v>82</v>
      </c>
      <c r="B191" s="149" t="s">
        <v>311</v>
      </c>
      <c r="C191" s="149" t="s">
        <v>19</v>
      </c>
      <c r="D191" s="149" t="s">
        <v>303</v>
      </c>
      <c r="E191" s="149" t="s">
        <v>302</v>
      </c>
      <c r="F191" s="199"/>
      <c r="G191" s="200">
        <f>141298/1000</f>
        <v>141.298</v>
      </c>
      <c r="H191" s="200">
        <f>-42589/1000</f>
        <v>-42.588999999999999</v>
      </c>
      <c r="I191" s="200"/>
      <c r="J191" s="206">
        <v>-18.373000000000001</v>
      </c>
      <c r="K191" s="206"/>
      <c r="L191" s="200"/>
      <c r="M191" s="201">
        <f t="shared" si="12"/>
        <v>80.335999999999999</v>
      </c>
      <c r="N191" s="9"/>
    </row>
    <row r="192" spans="1:14" s="128" customFormat="1" ht="15" hidden="1" customHeight="1" x14ac:dyDescent="0.25">
      <c r="A192" s="181" t="s">
        <v>157</v>
      </c>
      <c r="B192" s="149" t="s">
        <v>311</v>
      </c>
      <c r="C192" s="149" t="s">
        <v>300</v>
      </c>
      <c r="D192" s="149" t="s">
        <v>303</v>
      </c>
      <c r="E192" s="149" t="s">
        <v>302</v>
      </c>
      <c r="F192" s="199"/>
      <c r="G192" s="200">
        <f>-568342/1000</f>
        <v>-568.34199999999998</v>
      </c>
      <c r="H192" s="200">
        <f>89616/1000</f>
        <v>89.616</v>
      </c>
      <c r="I192" s="200"/>
      <c r="J192" s="206">
        <f>23132/1000</f>
        <v>23.132000000000001</v>
      </c>
      <c r="K192" s="206"/>
      <c r="L192" s="200"/>
      <c r="M192" s="201">
        <f t="shared" si="12"/>
        <v>-455.59399999999999</v>
      </c>
      <c r="N192" s="9"/>
    </row>
    <row r="193" spans="1:14" s="128" customFormat="1" ht="13.5" hidden="1" customHeight="1" x14ac:dyDescent="0.25">
      <c r="A193" s="181" t="s">
        <v>272</v>
      </c>
      <c r="B193" s="149" t="s">
        <v>311</v>
      </c>
      <c r="C193" s="149" t="s">
        <v>300</v>
      </c>
      <c r="D193" s="149" t="s">
        <v>301</v>
      </c>
      <c r="E193" s="149" t="s">
        <v>302</v>
      </c>
      <c r="F193" s="199"/>
      <c r="G193" s="200">
        <f>2145/1000</f>
        <v>2.145</v>
      </c>
      <c r="H193" s="207">
        <v>-0.59599999999999997</v>
      </c>
      <c r="I193" s="200"/>
      <c r="J193" s="206">
        <v>-0.52800000000000002</v>
      </c>
      <c r="K193" s="206"/>
      <c r="L193" s="200"/>
      <c r="M193" s="201">
        <f t="shared" ref="M193:M220" si="13">+G193+H193+I193+J193+K193+L193</f>
        <v>1.0209999999999999</v>
      </c>
      <c r="N193" s="9"/>
    </row>
    <row r="194" spans="1:14" s="128" customFormat="1" ht="13.5" hidden="1" customHeight="1" x14ac:dyDescent="0.25">
      <c r="A194" s="181" t="s">
        <v>271</v>
      </c>
      <c r="B194" s="149" t="s">
        <v>311</v>
      </c>
      <c r="C194" s="149" t="s">
        <v>300</v>
      </c>
      <c r="D194" s="149" t="s">
        <v>301</v>
      </c>
      <c r="E194" s="149" t="s">
        <v>302</v>
      </c>
      <c r="F194" s="199"/>
      <c r="G194" s="200">
        <f>98992/1000</f>
        <v>98.992000000000004</v>
      </c>
      <c r="H194" s="207">
        <v>-26.564</v>
      </c>
      <c r="I194" s="200"/>
      <c r="J194" s="206">
        <v>-6.1609999999999996</v>
      </c>
      <c r="K194" s="206"/>
      <c r="L194" s="200"/>
      <c r="M194" s="201">
        <f t="shared" si="13"/>
        <v>66.266999999999996</v>
      </c>
      <c r="N194" s="9"/>
    </row>
    <row r="195" spans="1:14" s="128" customFormat="1" ht="13.5" hidden="1" customHeight="1" x14ac:dyDescent="0.25">
      <c r="A195" s="181" t="s">
        <v>258</v>
      </c>
      <c r="B195" s="149" t="s">
        <v>311</v>
      </c>
      <c r="C195" s="149" t="s">
        <v>300</v>
      </c>
      <c r="D195" s="149" t="s">
        <v>301</v>
      </c>
      <c r="E195" s="149" t="s">
        <v>302</v>
      </c>
      <c r="F195" s="199"/>
      <c r="G195" s="200">
        <f>60022/1000</f>
        <v>60.021999999999998</v>
      </c>
      <c r="H195" s="207">
        <v>-16.341000000000001</v>
      </c>
      <c r="I195" s="200"/>
      <c r="J195" s="206">
        <v>-2.6949999999999998</v>
      </c>
      <c r="K195" s="206"/>
      <c r="L195" s="200"/>
      <c r="M195" s="201">
        <f t="shared" si="13"/>
        <v>40.985999999999997</v>
      </c>
      <c r="N195" s="9"/>
    </row>
    <row r="196" spans="1:14" s="128" customFormat="1" ht="13.5" hidden="1" customHeight="1" x14ac:dyDescent="0.25">
      <c r="A196" s="181" t="s">
        <v>257</v>
      </c>
      <c r="B196" s="149" t="s">
        <v>311</v>
      </c>
      <c r="C196" s="149" t="s">
        <v>300</v>
      </c>
      <c r="D196" s="149" t="s">
        <v>301</v>
      </c>
      <c r="E196" s="149" t="s">
        <v>302</v>
      </c>
      <c r="F196" s="199"/>
      <c r="G196" s="200">
        <f>2515/1000</f>
        <v>2.5150000000000001</v>
      </c>
      <c r="H196" s="207">
        <v>-0.75</v>
      </c>
      <c r="I196" s="200"/>
      <c r="J196" s="206">
        <v>-0.62</v>
      </c>
      <c r="K196" s="206"/>
      <c r="L196" s="200"/>
      <c r="M196" s="201">
        <f t="shared" si="13"/>
        <v>1.145</v>
      </c>
      <c r="N196" s="9"/>
    </row>
    <row r="197" spans="1:14" s="128" customFormat="1" ht="15" hidden="1" customHeight="1" x14ac:dyDescent="0.25">
      <c r="A197" s="181" t="s">
        <v>198</v>
      </c>
      <c r="B197" s="149" t="s">
        <v>311</v>
      </c>
      <c r="C197" s="149" t="s">
        <v>300</v>
      </c>
      <c r="D197" s="149" t="s">
        <v>301</v>
      </c>
      <c r="E197" s="149" t="s">
        <v>302</v>
      </c>
      <c r="F197" s="199"/>
      <c r="G197" s="200">
        <f>21033/1000</f>
        <v>21.033000000000001</v>
      </c>
      <c r="H197" s="200">
        <v>-0.496</v>
      </c>
      <c r="I197" s="200"/>
      <c r="J197" s="206">
        <v>-1.294</v>
      </c>
      <c r="K197" s="206"/>
      <c r="L197" s="200"/>
      <c r="M197" s="201">
        <f t="shared" si="13"/>
        <v>19.243000000000002</v>
      </c>
      <c r="N197" s="9"/>
    </row>
    <row r="198" spans="1:14" s="128" customFormat="1" ht="15" hidden="1" customHeight="1" x14ac:dyDescent="0.25">
      <c r="A198" s="181" t="s">
        <v>197</v>
      </c>
      <c r="B198" s="149" t="s">
        <v>311</v>
      </c>
      <c r="C198" s="149" t="s">
        <v>300</v>
      </c>
      <c r="D198" s="149" t="s">
        <v>301</v>
      </c>
      <c r="E198" s="149" t="s">
        <v>302</v>
      </c>
      <c r="F198" s="199"/>
      <c r="G198" s="200">
        <f>316469/1000</f>
        <v>316.46899999999999</v>
      </c>
      <c r="H198" s="200">
        <f>-81685/1000</f>
        <v>-81.685000000000002</v>
      </c>
      <c r="I198" s="200"/>
      <c r="J198" s="206">
        <v>-22.638000000000002</v>
      </c>
      <c r="K198" s="206"/>
      <c r="L198" s="200"/>
      <c r="M198" s="201">
        <f t="shared" si="13"/>
        <v>212.14599999999999</v>
      </c>
      <c r="N198" s="9"/>
    </row>
    <row r="199" spans="1:14" s="128" customFormat="1" ht="15" hidden="1" customHeight="1" x14ac:dyDescent="0.25">
      <c r="A199" s="181" t="s">
        <v>182</v>
      </c>
      <c r="B199" s="149" t="s">
        <v>311</v>
      </c>
      <c r="C199" s="149" t="s">
        <v>300</v>
      </c>
      <c r="D199" s="149" t="s">
        <v>301</v>
      </c>
      <c r="E199" s="149" t="s">
        <v>302</v>
      </c>
      <c r="F199" s="199"/>
      <c r="G199" s="200">
        <f>352717/1000</f>
        <v>352.71699999999998</v>
      </c>
      <c r="H199" s="200">
        <f>-94925/1000</f>
        <v>-94.924999999999997</v>
      </c>
      <c r="I199" s="200"/>
      <c r="J199" s="206">
        <v>-25.198</v>
      </c>
      <c r="K199" s="206"/>
      <c r="L199" s="200"/>
      <c r="M199" s="201">
        <f t="shared" si="13"/>
        <v>232.59399999999997</v>
      </c>
      <c r="N199" s="9"/>
    </row>
    <row r="200" spans="1:14" s="128" customFormat="1" ht="15" hidden="1" customHeight="1" x14ac:dyDescent="0.25">
      <c r="A200" s="181" t="s">
        <v>148</v>
      </c>
      <c r="B200" s="149" t="s">
        <v>311</v>
      </c>
      <c r="C200" s="149" t="s">
        <v>300</v>
      </c>
      <c r="D200" s="149" t="s">
        <v>301</v>
      </c>
      <c r="E200" s="149" t="s">
        <v>302</v>
      </c>
      <c r="F200" s="199"/>
      <c r="G200" s="200">
        <f>499407/1000</f>
        <v>499.40699999999998</v>
      </c>
      <c r="H200" s="200">
        <f>-133944/1000</f>
        <v>-133.94399999999999</v>
      </c>
      <c r="I200" s="200"/>
      <c r="J200" s="206">
        <v>-23.931999999999999</v>
      </c>
      <c r="K200" s="206"/>
      <c r="L200" s="200"/>
      <c r="M200" s="201">
        <f t="shared" si="13"/>
        <v>341.53099999999995</v>
      </c>
      <c r="N200" s="9"/>
    </row>
    <row r="201" spans="1:14" s="128" customFormat="1" ht="15" hidden="1" customHeight="1" x14ac:dyDescent="0.25">
      <c r="A201" s="181" t="s">
        <v>202</v>
      </c>
      <c r="B201" s="149" t="s">
        <v>311</v>
      </c>
      <c r="C201" s="149" t="s">
        <v>300</v>
      </c>
      <c r="D201" s="149" t="s">
        <v>301</v>
      </c>
      <c r="E201" s="149" t="s">
        <v>302</v>
      </c>
      <c r="F201" s="199"/>
      <c r="G201" s="200">
        <f>262023/1000</f>
        <v>262.02300000000002</v>
      </c>
      <c r="H201" s="200">
        <f>-72542/1000</f>
        <v>-72.542000000000002</v>
      </c>
      <c r="I201" s="200"/>
      <c r="J201" s="206">
        <v>-20.698</v>
      </c>
      <c r="K201" s="206"/>
      <c r="L201" s="200"/>
      <c r="M201" s="201">
        <f t="shared" si="13"/>
        <v>168.78300000000002</v>
      </c>
      <c r="N201" s="9"/>
    </row>
    <row r="202" spans="1:14" s="128" customFormat="1" ht="15" hidden="1" customHeight="1" x14ac:dyDescent="0.25">
      <c r="A202" s="181" t="s">
        <v>160</v>
      </c>
      <c r="B202" s="149" t="s">
        <v>311</v>
      </c>
      <c r="C202" s="149" t="s">
        <v>300</v>
      </c>
      <c r="D202" s="149" t="s">
        <v>301</v>
      </c>
      <c r="E202" s="149" t="s">
        <v>302</v>
      </c>
      <c r="F202" s="199"/>
      <c r="G202" s="200">
        <f>308124/1000</f>
        <v>308.12400000000002</v>
      </c>
      <c r="H202" s="200">
        <f>-84385/1000</f>
        <v>-84.385000000000005</v>
      </c>
      <c r="I202" s="200"/>
      <c r="J202" s="206">
        <v>-14.875999999999999</v>
      </c>
      <c r="K202" s="206"/>
      <c r="L202" s="200"/>
      <c r="M202" s="201">
        <f t="shared" si="13"/>
        <v>208.86300000000003</v>
      </c>
      <c r="N202" s="9"/>
    </row>
    <row r="203" spans="1:14" s="128" customFormat="1" ht="15" hidden="1" customHeight="1" x14ac:dyDescent="0.25">
      <c r="A203" s="181" t="s">
        <v>147</v>
      </c>
      <c r="B203" s="149" t="s">
        <v>311</v>
      </c>
      <c r="C203" s="149" t="s">
        <v>300</v>
      </c>
      <c r="D203" s="149" t="s">
        <v>301</v>
      </c>
      <c r="E203" s="149" t="s">
        <v>302</v>
      </c>
      <c r="F203" s="199"/>
      <c r="G203" s="200">
        <f>183534/1000</f>
        <v>183.53399999999999</v>
      </c>
      <c r="H203" s="200">
        <f>-51063/1000</f>
        <v>-51.063000000000002</v>
      </c>
      <c r="I203" s="200"/>
      <c r="J203" s="206">
        <v>-15.717000000000001</v>
      </c>
      <c r="K203" s="206"/>
      <c r="L203" s="200"/>
      <c r="M203" s="201">
        <f t="shared" si="13"/>
        <v>116.754</v>
      </c>
      <c r="N203" s="9"/>
    </row>
    <row r="204" spans="1:14" s="128" customFormat="1" ht="15" hidden="1" customHeight="1" x14ac:dyDescent="0.25">
      <c r="A204" s="181" t="s">
        <v>121</v>
      </c>
      <c r="B204" s="149" t="s">
        <v>311</v>
      </c>
      <c r="C204" s="149" t="s">
        <v>300</v>
      </c>
      <c r="D204" s="149" t="s">
        <v>301</v>
      </c>
      <c r="E204" s="149" t="s">
        <v>302</v>
      </c>
      <c r="F204" s="199"/>
      <c r="G204" s="200">
        <f>343298/1000</f>
        <v>343.298</v>
      </c>
      <c r="H204" s="200">
        <f>-94111/1000</f>
        <v>-94.111000000000004</v>
      </c>
      <c r="I204" s="200"/>
      <c r="J204" s="206">
        <v>-17.463999999999999</v>
      </c>
      <c r="K204" s="206"/>
      <c r="L204" s="200"/>
      <c r="M204" s="201">
        <f t="shared" si="13"/>
        <v>231.72300000000001</v>
      </c>
      <c r="N204" s="9"/>
    </row>
    <row r="205" spans="1:14" s="128" customFormat="1" ht="13.5" hidden="1" customHeight="1" x14ac:dyDescent="0.25">
      <c r="A205" s="181" t="s">
        <v>236</v>
      </c>
      <c r="B205" s="149" t="s">
        <v>311</v>
      </c>
      <c r="C205" s="149" t="s">
        <v>300</v>
      </c>
      <c r="D205" s="149" t="s">
        <v>301</v>
      </c>
      <c r="E205" s="149" t="s">
        <v>302</v>
      </c>
      <c r="F205" s="199"/>
      <c r="G205" s="200">
        <f>16871/1000</f>
        <v>16.870999999999999</v>
      </c>
      <c r="H205" s="207">
        <v>-0.48499999999999999</v>
      </c>
      <c r="I205" s="200"/>
      <c r="J205" s="206">
        <v>-0.64700000000000002</v>
      </c>
      <c r="K205" s="206"/>
      <c r="L205" s="200"/>
      <c r="M205" s="201">
        <f t="shared" si="13"/>
        <v>15.738999999999999</v>
      </c>
      <c r="N205" s="9"/>
    </row>
    <row r="206" spans="1:14" s="128" customFormat="1" ht="13.5" hidden="1" customHeight="1" x14ac:dyDescent="0.25">
      <c r="A206" s="181" t="s">
        <v>263</v>
      </c>
      <c r="B206" s="149" t="s">
        <v>311</v>
      </c>
      <c r="C206" s="149" t="s">
        <v>300</v>
      </c>
      <c r="D206" s="149" t="s">
        <v>301</v>
      </c>
      <c r="E206" s="149" t="s">
        <v>302</v>
      </c>
      <c r="F206" s="199"/>
      <c r="G206" s="200">
        <f>16309/1000</f>
        <v>16.309000000000001</v>
      </c>
      <c r="H206" s="207">
        <v>-0.48499999999999999</v>
      </c>
      <c r="I206" s="200"/>
      <c r="J206" s="206">
        <v>-0.64700000000000002</v>
      </c>
      <c r="K206" s="206"/>
      <c r="L206" s="200"/>
      <c r="M206" s="201">
        <f t="shared" si="13"/>
        <v>15.177000000000001</v>
      </c>
      <c r="N206" s="9"/>
    </row>
    <row r="207" spans="1:14" s="128" customFormat="1" ht="13.5" hidden="1" customHeight="1" x14ac:dyDescent="0.25">
      <c r="A207" s="181" t="s">
        <v>276</v>
      </c>
      <c r="B207" s="149" t="s">
        <v>311</v>
      </c>
      <c r="C207" s="149" t="s">
        <v>300</v>
      </c>
      <c r="D207" s="149" t="s">
        <v>301</v>
      </c>
      <c r="E207" s="149" t="s">
        <v>302</v>
      </c>
      <c r="F207" s="199"/>
      <c r="G207" s="200">
        <f>8227/1000</f>
        <v>8.2270000000000003</v>
      </c>
      <c r="H207" s="207">
        <v>-0.16400000000000001</v>
      </c>
      <c r="I207" s="200"/>
      <c r="J207" s="206">
        <v>-0.32300000000000001</v>
      </c>
      <c r="K207" s="206"/>
      <c r="L207" s="200"/>
      <c r="M207" s="201">
        <f t="shared" si="13"/>
        <v>7.74</v>
      </c>
      <c r="N207" s="9"/>
    </row>
    <row r="208" spans="1:14" s="128" customFormat="1" ht="15" hidden="1" customHeight="1" x14ac:dyDescent="0.25">
      <c r="A208" s="181" t="s">
        <v>101</v>
      </c>
      <c r="B208" s="149" t="s">
        <v>311</v>
      </c>
      <c r="C208" s="149" t="s">
        <v>300</v>
      </c>
      <c r="D208" s="149" t="s">
        <v>301</v>
      </c>
      <c r="E208" s="149" t="s">
        <v>302</v>
      </c>
      <c r="F208" s="199"/>
      <c r="G208" s="200">
        <f>20829/1000</f>
        <v>20.829000000000001</v>
      </c>
      <c r="H208" s="200">
        <v>-0.57999999999999996</v>
      </c>
      <c r="I208" s="200"/>
      <c r="J208" s="206">
        <v>-0.64700000000000002</v>
      </c>
      <c r="K208" s="206"/>
      <c r="L208" s="200"/>
      <c r="M208" s="201">
        <f t="shared" si="13"/>
        <v>19.602000000000004</v>
      </c>
      <c r="N208" s="9"/>
    </row>
    <row r="209" spans="1:14" s="128" customFormat="1" ht="13.5" hidden="1" customHeight="1" x14ac:dyDescent="0.25">
      <c r="A209" s="181" t="s">
        <v>262</v>
      </c>
      <c r="B209" s="149" t="s">
        <v>311</v>
      </c>
      <c r="C209" s="149" t="s">
        <v>300</v>
      </c>
      <c r="D209" s="149" t="s">
        <v>301</v>
      </c>
      <c r="E209" s="149" t="s">
        <v>302</v>
      </c>
      <c r="F209" s="199"/>
      <c r="G209" s="200">
        <f>539611/1000</f>
        <v>539.61099999999999</v>
      </c>
      <c r="H209" s="207">
        <f>-136651/1000</f>
        <v>-136.65100000000001</v>
      </c>
      <c r="I209" s="200"/>
      <c r="J209" s="206">
        <f>-35897/1000</f>
        <v>-35.896999999999998</v>
      </c>
      <c r="K209" s="206"/>
      <c r="L209" s="200"/>
      <c r="M209" s="201">
        <f t="shared" si="13"/>
        <v>367.06299999999999</v>
      </c>
      <c r="N209" s="9"/>
    </row>
    <row r="210" spans="1:14" s="128" customFormat="1" ht="13.5" hidden="1" customHeight="1" x14ac:dyDescent="0.25">
      <c r="A210" s="181" t="s">
        <v>273</v>
      </c>
      <c r="B210" s="149" t="s">
        <v>311</v>
      </c>
      <c r="C210" s="149" t="s">
        <v>300</v>
      </c>
      <c r="D210" s="149" t="s">
        <v>301</v>
      </c>
      <c r="E210" s="149" t="s">
        <v>302</v>
      </c>
      <c r="F210" s="199"/>
      <c r="G210" s="200">
        <f>716740/1000</f>
        <v>716.74</v>
      </c>
      <c r="H210" s="207">
        <f>-191279/1000</f>
        <v>-191.279</v>
      </c>
      <c r="I210" s="200"/>
      <c r="J210" s="206">
        <f>-46117/1000</f>
        <v>-46.116999999999997</v>
      </c>
      <c r="K210" s="206"/>
      <c r="L210" s="200"/>
      <c r="M210" s="201">
        <f t="shared" si="13"/>
        <v>479.34399999999999</v>
      </c>
      <c r="N210" s="9"/>
    </row>
    <row r="211" spans="1:14" s="128" customFormat="1" ht="13.5" hidden="1" customHeight="1" x14ac:dyDescent="0.25">
      <c r="A211" s="181" t="s">
        <v>290</v>
      </c>
      <c r="B211" s="149" t="s">
        <v>311</v>
      </c>
      <c r="C211" s="149" t="s">
        <v>300</v>
      </c>
      <c r="D211" s="149" t="s">
        <v>301</v>
      </c>
      <c r="E211" s="149" t="s">
        <v>302</v>
      </c>
      <c r="F211" s="199"/>
      <c r="G211" s="200">
        <f>717118/1000</f>
        <v>717.11800000000005</v>
      </c>
      <c r="H211" s="207">
        <f>-197592/1000</f>
        <v>-197.59200000000001</v>
      </c>
      <c r="I211" s="200"/>
      <c r="J211" s="206">
        <f>-46052/1000</f>
        <v>-46.052</v>
      </c>
      <c r="K211" s="206"/>
      <c r="L211" s="200"/>
      <c r="M211" s="201">
        <f t="shared" si="13"/>
        <v>473.47400000000005</v>
      </c>
      <c r="N211" s="9"/>
    </row>
    <row r="212" spans="1:14" s="128" customFormat="1" ht="13.5" hidden="1" customHeight="1" x14ac:dyDescent="0.25">
      <c r="A212" s="181" t="s">
        <v>226</v>
      </c>
      <c r="B212" s="149" t="s">
        <v>311</v>
      </c>
      <c r="C212" s="149" t="s">
        <v>300</v>
      </c>
      <c r="D212" s="149" t="s">
        <v>301</v>
      </c>
      <c r="E212" s="149" t="s">
        <v>302</v>
      </c>
      <c r="F212" s="199"/>
      <c r="G212" s="200">
        <f>575528/1000</f>
        <v>575.52800000000002</v>
      </c>
      <c r="H212" s="207">
        <f>-140461/1000</f>
        <v>-140.46100000000001</v>
      </c>
      <c r="I212" s="200"/>
      <c r="J212" s="206">
        <f>-42559/1000</f>
        <v>-42.558999999999997</v>
      </c>
      <c r="K212" s="206"/>
      <c r="L212" s="200"/>
      <c r="M212" s="201">
        <f t="shared" si="13"/>
        <v>392.50800000000004</v>
      </c>
      <c r="N212" s="9"/>
    </row>
    <row r="213" spans="1:14" s="128" customFormat="1" ht="13.5" hidden="1" customHeight="1" x14ac:dyDescent="0.25">
      <c r="A213" s="181" t="s">
        <v>231</v>
      </c>
      <c r="B213" s="149" t="s">
        <v>311</v>
      </c>
      <c r="C213" s="149" t="s">
        <v>300</v>
      </c>
      <c r="D213" s="149" t="s">
        <v>301</v>
      </c>
      <c r="E213" s="149" t="s">
        <v>302</v>
      </c>
      <c r="F213" s="199"/>
      <c r="G213" s="200">
        <f>528343/1000</f>
        <v>528.34299999999996</v>
      </c>
      <c r="H213" s="207">
        <f>-141581/1000</f>
        <v>-141.58099999999999</v>
      </c>
      <c r="I213" s="200"/>
      <c r="J213" s="206">
        <f>-40813/1000</f>
        <v>-40.813000000000002</v>
      </c>
      <c r="K213" s="206"/>
      <c r="L213" s="200"/>
      <c r="M213" s="201">
        <f t="shared" si="13"/>
        <v>345.94899999999996</v>
      </c>
      <c r="N213" s="9"/>
    </row>
    <row r="214" spans="1:14" s="128" customFormat="1" ht="15" hidden="1" customHeight="1" x14ac:dyDescent="0.25">
      <c r="A214" s="181" t="s">
        <v>146</v>
      </c>
      <c r="B214" s="149" t="s">
        <v>311</v>
      </c>
      <c r="C214" s="149" t="s">
        <v>300</v>
      </c>
      <c r="D214" s="149" t="s">
        <v>301</v>
      </c>
      <c r="E214" s="149" t="s">
        <v>302</v>
      </c>
      <c r="F214" s="199"/>
      <c r="G214" s="200">
        <f>9267/1000</f>
        <v>9.2669999999999995</v>
      </c>
      <c r="H214" s="200">
        <v>-0.2</v>
      </c>
      <c r="I214" s="200"/>
      <c r="J214" s="206">
        <v>-0.32300000000000001</v>
      </c>
      <c r="K214" s="206"/>
      <c r="L214" s="200"/>
      <c r="M214" s="201">
        <f t="shared" si="13"/>
        <v>8.7439999999999998</v>
      </c>
      <c r="N214" s="9"/>
    </row>
    <row r="215" spans="1:14" s="128" customFormat="1" ht="15" hidden="1" customHeight="1" x14ac:dyDescent="0.25">
      <c r="A215" s="181" t="s">
        <v>119</v>
      </c>
      <c r="B215" s="149" t="s">
        <v>311</v>
      </c>
      <c r="C215" s="149" t="s">
        <v>300</v>
      </c>
      <c r="D215" s="149" t="s">
        <v>301</v>
      </c>
      <c r="E215" s="149" t="s">
        <v>302</v>
      </c>
      <c r="F215" s="199"/>
      <c r="G215" s="200">
        <f>404471/1000</f>
        <v>404.471</v>
      </c>
      <c r="H215" s="200">
        <f>-104691/1000</f>
        <v>-104.691</v>
      </c>
      <c r="I215" s="200"/>
      <c r="J215" s="206">
        <v>-28.690999999999999</v>
      </c>
      <c r="K215" s="206"/>
      <c r="L215" s="200"/>
      <c r="M215" s="201">
        <f t="shared" si="13"/>
        <v>271.089</v>
      </c>
      <c r="N215" s="9"/>
    </row>
    <row r="216" spans="1:14" s="128" customFormat="1" ht="15" hidden="1" customHeight="1" x14ac:dyDescent="0.25">
      <c r="A216" s="181" t="s">
        <v>94</v>
      </c>
      <c r="B216" s="149" t="s">
        <v>311</v>
      </c>
      <c r="C216" s="149" t="s">
        <v>300</v>
      </c>
      <c r="D216" s="149" t="s">
        <v>301</v>
      </c>
      <c r="E216" s="149" t="s">
        <v>302</v>
      </c>
      <c r="F216" s="199"/>
      <c r="G216" s="200">
        <f>660044/1000</f>
        <v>660.04399999999998</v>
      </c>
      <c r="H216" s="200">
        <f>-169088/1000</f>
        <v>-169.08799999999999</v>
      </c>
      <c r="I216" s="200"/>
      <c r="J216" s="206">
        <f>-41147/1000</f>
        <v>-41.146999999999998</v>
      </c>
      <c r="K216" s="206"/>
      <c r="L216" s="200"/>
      <c r="M216" s="201">
        <f t="shared" si="13"/>
        <v>449.80900000000003</v>
      </c>
      <c r="N216" s="9"/>
    </row>
    <row r="217" spans="1:14" s="128" customFormat="1" ht="15" hidden="1" customHeight="1" x14ac:dyDescent="0.25">
      <c r="A217" s="181" t="s">
        <v>77</v>
      </c>
      <c r="B217" s="149" t="s">
        <v>311</v>
      </c>
      <c r="C217" s="149" t="s">
        <v>300</v>
      </c>
      <c r="D217" s="149" t="s">
        <v>301</v>
      </c>
      <c r="E217" s="149" t="s">
        <v>302</v>
      </c>
      <c r="F217" s="199"/>
      <c r="G217" s="200">
        <f>291915/1000</f>
        <v>291.91500000000002</v>
      </c>
      <c r="H217" s="200">
        <f>-80856/1000</f>
        <v>-80.855999999999995</v>
      </c>
      <c r="I217" s="200"/>
      <c r="J217" s="206">
        <v>-22.443999999999999</v>
      </c>
      <c r="K217" s="206"/>
      <c r="L217" s="200"/>
      <c r="M217" s="201">
        <f t="shared" si="13"/>
        <v>188.61500000000004</v>
      </c>
      <c r="N217" s="9"/>
    </row>
    <row r="218" spans="1:14" s="128" customFormat="1" ht="15" hidden="1" customHeight="1" x14ac:dyDescent="0.25">
      <c r="A218" s="181" t="s">
        <v>76</v>
      </c>
      <c r="B218" s="149" t="s">
        <v>311</v>
      </c>
      <c r="C218" s="149" t="s">
        <v>300</v>
      </c>
      <c r="D218" s="149" t="s">
        <v>301</v>
      </c>
      <c r="E218" s="149" t="s">
        <v>302</v>
      </c>
      <c r="F218" s="199"/>
      <c r="G218" s="200">
        <f>398373/1000</f>
        <v>398.37299999999999</v>
      </c>
      <c r="H218" s="200">
        <f>-108560/1000</f>
        <v>-108.56</v>
      </c>
      <c r="I218" s="200"/>
      <c r="J218" s="206">
        <v>-22.960999999999999</v>
      </c>
      <c r="K218" s="206"/>
      <c r="L218" s="200"/>
      <c r="M218" s="201">
        <f t="shared" si="13"/>
        <v>266.85199999999998</v>
      </c>
      <c r="N218" s="9"/>
    </row>
    <row r="219" spans="1:14" s="128" customFormat="1" ht="13.5" hidden="1" customHeight="1" x14ac:dyDescent="0.25">
      <c r="A219" s="181" t="s">
        <v>270</v>
      </c>
      <c r="B219" s="149" t="s">
        <v>311</v>
      </c>
      <c r="C219" s="149" t="s">
        <v>300</v>
      </c>
      <c r="D219" s="149" t="s">
        <v>301</v>
      </c>
      <c r="E219" s="149" t="s">
        <v>302</v>
      </c>
      <c r="F219" s="199"/>
      <c r="G219" s="200">
        <f>548/1000</f>
        <v>0.54800000000000004</v>
      </c>
      <c r="H219" s="207">
        <v>-0.14799999999999999</v>
      </c>
      <c r="I219" s="200"/>
      <c r="J219" s="206">
        <v>-5.3999999999999999E-2</v>
      </c>
      <c r="K219" s="206"/>
      <c r="L219" s="200"/>
      <c r="M219" s="201">
        <f t="shared" si="13"/>
        <v>0.34600000000000003</v>
      </c>
      <c r="N219" s="9"/>
    </row>
    <row r="220" spans="1:14" s="128" customFormat="1" ht="13.5" hidden="1" customHeight="1" x14ac:dyDescent="0.25">
      <c r="A220" s="181" t="s">
        <v>247</v>
      </c>
      <c r="B220" s="149" t="s">
        <v>311</v>
      </c>
      <c r="C220" s="149" t="s">
        <v>300</v>
      </c>
      <c r="D220" s="149" t="s">
        <v>301</v>
      </c>
      <c r="E220" s="149" t="s">
        <v>302</v>
      </c>
      <c r="F220" s="199"/>
      <c r="G220" s="200">
        <f>4325/1000</f>
        <v>4.3250000000000002</v>
      </c>
      <c r="H220" s="207"/>
      <c r="I220" s="200"/>
      <c r="J220" s="206"/>
      <c r="K220" s="206"/>
      <c r="L220" s="200"/>
      <c r="M220" s="201">
        <f t="shared" si="13"/>
        <v>4.3250000000000002</v>
      </c>
      <c r="N220" s="9"/>
    </row>
    <row r="221" spans="1:14" s="128" customFormat="1" ht="15" customHeight="1" x14ac:dyDescent="0.25">
      <c r="A221" s="182" t="s">
        <v>334</v>
      </c>
      <c r="B221" s="149"/>
      <c r="C221" s="149"/>
      <c r="D221" s="149"/>
      <c r="E221" s="149"/>
      <c r="F221" s="199"/>
      <c r="G221" s="200">
        <f>SUM(G160:G220)</f>
        <v>9495.1060000000016</v>
      </c>
      <c r="H221" s="200">
        <f t="shared" ref="H221:M221" si="14">SUM(H160:H220)</f>
        <v>-2629.3780000000002</v>
      </c>
      <c r="I221" s="200">
        <f t="shared" si="14"/>
        <v>0</v>
      </c>
      <c r="J221" s="206">
        <f t="shared" si="14"/>
        <v>-776.94999999999982</v>
      </c>
      <c r="K221" s="200">
        <f t="shared" si="14"/>
        <v>0</v>
      </c>
      <c r="L221" s="200">
        <f t="shared" si="14"/>
        <v>0</v>
      </c>
      <c r="M221" s="201">
        <f t="shared" si="14"/>
        <v>6088.7779999999975</v>
      </c>
      <c r="N221" s="9"/>
    </row>
    <row r="222" spans="1:14" s="128" customFormat="1" ht="13.5" hidden="1" customHeight="1" x14ac:dyDescent="0.25">
      <c r="A222" s="188" t="s">
        <v>328</v>
      </c>
      <c r="B222" s="187"/>
      <c r="C222" s="187"/>
      <c r="D222" s="187"/>
      <c r="E222" s="149"/>
      <c r="F222" s="199"/>
      <c r="G222" s="200"/>
      <c r="H222" s="207"/>
      <c r="I222" s="200"/>
      <c r="J222" s="206"/>
      <c r="K222" s="200"/>
      <c r="L222" s="200"/>
      <c r="M222" s="201"/>
      <c r="N222" s="9"/>
    </row>
    <row r="223" spans="1:14" s="128" customFormat="1" ht="15" hidden="1" customHeight="1" x14ac:dyDescent="0.25">
      <c r="A223" s="182" t="s">
        <v>158</v>
      </c>
      <c r="B223" s="149" t="s">
        <v>311</v>
      </c>
      <c r="C223" s="149" t="s">
        <v>309</v>
      </c>
      <c r="D223" s="149" t="s">
        <v>310</v>
      </c>
      <c r="E223" s="149" t="s">
        <v>302</v>
      </c>
      <c r="F223" s="199"/>
      <c r="G223" s="200">
        <f>-157259/1000</f>
        <v>-157.25899999999999</v>
      </c>
      <c r="H223" s="200">
        <f>27843/1000</f>
        <v>27.843</v>
      </c>
      <c r="I223" s="200"/>
      <c r="J223" s="206">
        <f>8759/1000</f>
        <v>8.7590000000000003</v>
      </c>
      <c r="K223" s="200"/>
      <c r="L223" s="200"/>
      <c r="M223" s="201">
        <f t="shared" ref="M223:M254" si="15">+G223+H223+I223+J223+K223+L223</f>
        <v>-120.657</v>
      </c>
      <c r="N223" s="9"/>
    </row>
    <row r="224" spans="1:14" s="128" customFormat="1" ht="13.5" hidden="1" customHeight="1" x14ac:dyDescent="0.25">
      <c r="A224" s="182" t="s">
        <v>291</v>
      </c>
      <c r="B224" s="149" t="s">
        <v>311</v>
      </c>
      <c r="C224" s="149" t="s">
        <v>309</v>
      </c>
      <c r="D224" s="149" t="s">
        <v>310</v>
      </c>
      <c r="E224" s="149" t="s">
        <v>302</v>
      </c>
      <c r="F224" s="199"/>
      <c r="G224" s="200">
        <f>68647/1000</f>
        <v>68.647000000000006</v>
      </c>
      <c r="H224" s="207">
        <v>-19.109000000000002</v>
      </c>
      <c r="I224" s="200"/>
      <c r="J224" s="206">
        <v>-4.9009999999999998</v>
      </c>
      <c r="K224" s="200"/>
      <c r="L224" s="200"/>
      <c r="M224" s="201">
        <f t="shared" si="15"/>
        <v>44.637</v>
      </c>
      <c r="N224" s="9"/>
    </row>
    <row r="225" spans="1:14" s="128" customFormat="1" ht="13.5" hidden="1" customHeight="1" x14ac:dyDescent="0.25">
      <c r="A225" s="182" t="s">
        <v>249</v>
      </c>
      <c r="B225" s="149" t="s">
        <v>311</v>
      </c>
      <c r="C225" s="149" t="s">
        <v>309</v>
      </c>
      <c r="D225" s="149" t="s">
        <v>310</v>
      </c>
      <c r="E225" s="149" t="s">
        <v>302</v>
      </c>
      <c r="F225" s="199"/>
      <c r="G225" s="200">
        <f>699996/1000</f>
        <v>699.99599999999998</v>
      </c>
      <c r="H225" s="207">
        <f>-187770/1000</f>
        <v>-187.77</v>
      </c>
      <c r="I225" s="200"/>
      <c r="J225" s="206">
        <v>-32.057000000000002</v>
      </c>
      <c r="K225" s="200"/>
      <c r="L225" s="200"/>
      <c r="M225" s="201">
        <f t="shared" si="15"/>
        <v>480.16899999999998</v>
      </c>
      <c r="N225" s="9"/>
    </row>
    <row r="226" spans="1:14" s="128" customFormat="1" ht="13.5" hidden="1" customHeight="1" x14ac:dyDescent="0.25">
      <c r="A226" s="182" t="s">
        <v>259</v>
      </c>
      <c r="B226" s="149" t="s">
        <v>311</v>
      </c>
      <c r="C226" s="149" t="s">
        <v>309</v>
      </c>
      <c r="D226" s="149" t="s">
        <v>310</v>
      </c>
      <c r="E226" s="149" t="s">
        <v>302</v>
      </c>
      <c r="F226" s="199"/>
      <c r="G226" s="200">
        <f>109379/1000</f>
        <v>109.379</v>
      </c>
      <c r="H226" s="207">
        <v>-29.622</v>
      </c>
      <c r="I226" s="200"/>
      <c r="J226" s="206">
        <v>-6.88</v>
      </c>
      <c r="K226" s="200"/>
      <c r="L226" s="200"/>
      <c r="M226" s="201">
        <f t="shared" si="15"/>
        <v>72.87700000000001</v>
      </c>
      <c r="N226" s="9"/>
    </row>
    <row r="227" spans="1:14" s="128" customFormat="1" ht="13.5" hidden="1" customHeight="1" x14ac:dyDescent="0.25">
      <c r="A227" s="182" t="s">
        <v>260</v>
      </c>
      <c r="B227" s="149" t="s">
        <v>311</v>
      </c>
      <c r="C227" s="149" t="s">
        <v>309</v>
      </c>
      <c r="D227" s="149" t="s">
        <v>310</v>
      </c>
      <c r="E227" s="149" t="s">
        <v>302</v>
      </c>
      <c r="F227" s="199"/>
      <c r="G227" s="200">
        <f>663281/1000</f>
        <v>663.28099999999995</v>
      </c>
      <c r="H227" s="207">
        <f>-179673/1000</f>
        <v>-179.673</v>
      </c>
      <c r="I227" s="200"/>
      <c r="J227" s="206">
        <f>-34662/1000</f>
        <v>-34.661999999999999</v>
      </c>
      <c r="K227" s="200"/>
      <c r="L227" s="200"/>
      <c r="M227" s="201">
        <f t="shared" si="15"/>
        <v>448.94599999999997</v>
      </c>
      <c r="N227" s="9"/>
    </row>
    <row r="228" spans="1:14" s="128" customFormat="1" ht="13.5" hidden="1" customHeight="1" x14ac:dyDescent="0.25">
      <c r="A228" s="182" t="s">
        <v>292</v>
      </c>
      <c r="B228" s="149" t="s">
        <v>311</v>
      </c>
      <c r="C228" s="149" t="s">
        <v>309</v>
      </c>
      <c r="D228" s="149" t="s">
        <v>310</v>
      </c>
      <c r="E228" s="149" t="s">
        <v>302</v>
      </c>
      <c r="F228" s="199"/>
      <c r="G228" s="200">
        <f>400189/1000</f>
        <v>400.18900000000002</v>
      </c>
      <c r="H228" s="207">
        <f>-104742/1000</f>
        <v>-104.742</v>
      </c>
      <c r="I228" s="200"/>
      <c r="J228" s="206">
        <v>-31.33</v>
      </c>
      <c r="K228" s="200"/>
      <c r="L228" s="200"/>
      <c r="M228" s="201">
        <f t="shared" si="15"/>
        <v>264.11700000000002</v>
      </c>
      <c r="N228" s="9"/>
    </row>
    <row r="229" spans="1:14" s="128" customFormat="1" ht="13.5" hidden="1" customHeight="1" x14ac:dyDescent="0.25">
      <c r="A229" s="182" t="s">
        <v>227</v>
      </c>
      <c r="B229" s="149" t="s">
        <v>311</v>
      </c>
      <c r="C229" s="149" t="s">
        <v>309</v>
      </c>
      <c r="D229" s="149" t="s">
        <v>310</v>
      </c>
      <c r="E229" s="149" t="s">
        <v>302</v>
      </c>
      <c r="F229" s="199"/>
      <c r="G229" s="200">
        <f>720688/1000</f>
        <v>720.68799999999999</v>
      </c>
      <c r="H229" s="207">
        <f>-194021/1000</f>
        <v>-194.02099999999999</v>
      </c>
      <c r="I229" s="200"/>
      <c r="J229" s="206">
        <f>-40640/1000</f>
        <v>-40.64</v>
      </c>
      <c r="K229" s="200"/>
      <c r="L229" s="200"/>
      <c r="M229" s="201">
        <f t="shared" si="15"/>
        <v>486.02700000000004</v>
      </c>
      <c r="N229" s="9"/>
    </row>
    <row r="230" spans="1:14" s="128" customFormat="1" ht="15" hidden="1" customHeight="1" x14ac:dyDescent="0.25">
      <c r="A230" s="182" t="s">
        <v>211</v>
      </c>
      <c r="B230" s="149" t="s">
        <v>311</v>
      </c>
      <c r="C230" s="149" t="s">
        <v>309</v>
      </c>
      <c r="D230" s="149" t="s">
        <v>310</v>
      </c>
      <c r="E230" s="149" t="s">
        <v>302</v>
      </c>
      <c r="F230" s="199"/>
      <c r="G230" s="200">
        <f>556165/1000</f>
        <v>556.16499999999996</v>
      </c>
      <c r="H230" s="200">
        <f>-138432/1000</f>
        <v>-138.43199999999999</v>
      </c>
      <c r="I230" s="200"/>
      <c r="J230" s="206">
        <f>-36501/1000</f>
        <v>-36.500999999999998</v>
      </c>
      <c r="K230" s="200"/>
      <c r="L230" s="200"/>
      <c r="M230" s="201">
        <f t="shared" si="15"/>
        <v>381.23199999999997</v>
      </c>
      <c r="N230" s="9"/>
    </row>
    <row r="231" spans="1:14" s="128" customFormat="1" ht="15" hidden="1" customHeight="1" x14ac:dyDescent="0.25">
      <c r="A231" s="182" t="s">
        <v>200</v>
      </c>
      <c r="B231" s="149" t="s">
        <v>311</v>
      </c>
      <c r="C231" s="149" t="s">
        <v>309</v>
      </c>
      <c r="D231" s="149" t="s">
        <v>310</v>
      </c>
      <c r="E231" s="149" t="s">
        <v>302</v>
      </c>
      <c r="F231" s="199"/>
      <c r="G231" s="200">
        <f>403799/1000</f>
        <v>403.79899999999998</v>
      </c>
      <c r="H231" s="200">
        <f>-100741/1000</f>
        <v>-100.741</v>
      </c>
      <c r="I231" s="200"/>
      <c r="J231" s="206">
        <v>-29.992000000000001</v>
      </c>
      <c r="K231" s="200"/>
      <c r="L231" s="200"/>
      <c r="M231" s="201">
        <f t="shared" si="15"/>
        <v>273.06599999999997</v>
      </c>
      <c r="N231" s="9"/>
    </row>
    <row r="232" spans="1:14" s="128" customFormat="1" ht="15" hidden="1" customHeight="1" x14ac:dyDescent="0.25">
      <c r="A232" s="182" t="s">
        <v>161</v>
      </c>
      <c r="B232" s="149" t="s">
        <v>311</v>
      </c>
      <c r="C232" s="149" t="s">
        <v>309</v>
      </c>
      <c r="D232" s="149" t="s">
        <v>310</v>
      </c>
      <c r="E232" s="149" t="s">
        <v>302</v>
      </c>
      <c r="F232" s="199"/>
      <c r="G232" s="200">
        <f>449830/1000</f>
        <v>449.83</v>
      </c>
      <c r="H232" s="200">
        <f>-120723/1000</f>
        <v>-120.723</v>
      </c>
      <c r="I232" s="200"/>
      <c r="J232" s="206">
        <v>-30.968</v>
      </c>
      <c r="K232" s="200"/>
      <c r="L232" s="200"/>
      <c r="M232" s="201">
        <f t="shared" si="15"/>
        <v>298.13899999999995</v>
      </c>
      <c r="N232" s="9"/>
    </row>
    <row r="233" spans="1:14" s="128" customFormat="1" ht="15" hidden="1" customHeight="1" x14ac:dyDescent="0.25">
      <c r="A233" s="182" t="s">
        <v>152</v>
      </c>
      <c r="B233" s="149" t="s">
        <v>311</v>
      </c>
      <c r="C233" s="149" t="s">
        <v>309</v>
      </c>
      <c r="D233" s="149" t="s">
        <v>310</v>
      </c>
      <c r="E233" s="149" t="s">
        <v>302</v>
      </c>
      <c r="F233" s="199"/>
      <c r="G233" s="200">
        <f>483680/1000</f>
        <v>483.68</v>
      </c>
      <c r="H233" s="200">
        <f>-121173/1000</f>
        <v>-121.173</v>
      </c>
      <c r="I233" s="200"/>
      <c r="J233" s="206">
        <f>-37330/1000</f>
        <v>-37.33</v>
      </c>
      <c r="K233" s="200"/>
      <c r="L233" s="200"/>
      <c r="M233" s="201">
        <f t="shared" si="15"/>
        <v>325.17700000000002</v>
      </c>
      <c r="N233" s="9"/>
    </row>
    <row r="234" spans="1:14" s="128" customFormat="1" ht="15" hidden="1" customHeight="1" x14ac:dyDescent="0.25">
      <c r="A234" s="182" t="s">
        <v>113</v>
      </c>
      <c r="B234" s="149" t="s">
        <v>311</v>
      </c>
      <c r="C234" s="149" t="s">
        <v>309</v>
      </c>
      <c r="D234" s="149" t="s">
        <v>310</v>
      </c>
      <c r="E234" s="149" t="s">
        <v>302</v>
      </c>
      <c r="F234" s="199"/>
      <c r="G234" s="200">
        <f>569804/1000</f>
        <v>569.80399999999997</v>
      </c>
      <c r="H234" s="200">
        <f>-143471/1000</f>
        <v>-143.471</v>
      </c>
      <c r="I234" s="200"/>
      <c r="J234" s="206">
        <f>-39603/1000</f>
        <v>-39.603000000000002</v>
      </c>
      <c r="K234" s="200"/>
      <c r="L234" s="200"/>
      <c r="M234" s="201">
        <f t="shared" si="15"/>
        <v>386.72999999999996</v>
      </c>
      <c r="N234" s="9"/>
    </row>
    <row r="235" spans="1:14" s="128" customFormat="1" ht="15" hidden="1" customHeight="1" x14ac:dyDescent="0.25">
      <c r="A235" s="182" t="s">
        <v>103</v>
      </c>
      <c r="B235" s="149" t="s">
        <v>311</v>
      </c>
      <c r="C235" s="149" t="s">
        <v>309</v>
      </c>
      <c r="D235" s="149" t="s">
        <v>310</v>
      </c>
      <c r="E235" s="149" t="s">
        <v>302</v>
      </c>
      <c r="F235" s="199"/>
      <c r="G235" s="200">
        <f>252626/1000</f>
        <v>252.626</v>
      </c>
      <c r="H235" s="200">
        <f>-61721/1000</f>
        <v>-61.720999999999997</v>
      </c>
      <c r="I235" s="200"/>
      <c r="J235" s="206">
        <v>-23.364999999999998</v>
      </c>
      <c r="K235" s="200"/>
      <c r="L235" s="200"/>
      <c r="M235" s="201">
        <f t="shared" si="15"/>
        <v>167.54</v>
      </c>
      <c r="N235" s="9"/>
    </row>
    <row r="236" spans="1:14" s="128" customFormat="1" ht="15" hidden="1" customHeight="1" x14ac:dyDescent="0.25">
      <c r="A236" s="182" t="s">
        <v>89</v>
      </c>
      <c r="B236" s="149" t="s">
        <v>311</v>
      </c>
      <c r="C236" s="149" t="s">
        <v>309</v>
      </c>
      <c r="D236" s="149" t="s">
        <v>310</v>
      </c>
      <c r="E236" s="149" t="s">
        <v>302</v>
      </c>
      <c r="F236" s="199"/>
      <c r="G236" s="200">
        <f>69622/1000</f>
        <v>69.622</v>
      </c>
      <c r="H236" s="200">
        <v>-20.364000000000001</v>
      </c>
      <c r="I236" s="200"/>
      <c r="J236" s="206">
        <v>-11.372</v>
      </c>
      <c r="K236" s="200"/>
      <c r="L236" s="200"/>
      <c r="M236" s="201">
        <f t="shared" si="15"/>
        <v>37.885999999999996</v>
      </c>
      <c r="N236" s="9"/>
    </row>
    <row r="237" spans="1:14" s="128" customFormat="1" ht="15" hidden="1" customHeight="1" x14ac:dyDescent="0.25">
      <c r="A237" s="182" t="s">
        <v>71</v>
      </c>
      <c r="B237" s="149" t="s">
        <v>311</v>
      </c>
      <c r="C237" s="149" t="s">
        <v>309</v>
      </c>
      <c r="D237" s="149" t="s">
        <v>310</v>
      </c>
      <c r="E237" s="149" t="s">
        <v>302</v>
      </c>
      <c r="F237" s="199"/>
      <c r="G237" s="200">
        <f>222894/1000</f>
        <v>222.89400000000001</v>
      </c>
      <c r="H237" s="200">
        <f>-53848/1000</f>
        <v>-53.847999999999999</v>
      </c>
      <c r="I237" s="200"/>
      <c r="J237" s="206">
        <v>-21.297000000000001</v>
      </c>
      <c r="K237" s="200"/>
      <c r="L237" s="200"/>
      <c r="M237" s="201">
        <f t="shared" si="15"/>
        <v>147.749</v>
      </c>
      <c r="N237" s="9"/>
    </row>
    <row r="238" spans="1:14" s="128" customFormat="1" ht="15" hidden="1" customHeight="1" x14ac:dyDescent="0.25">
      <c r="A238" s="182" t="s">
        <v>79</v>
      </c>
      <c r="B238" s="149" t="s">
        <v>311</v>
      </c>
      <c r="C238" s="149" t="s">
        <v>309</v>
      </c>
      <c r="D238" s="149" t="s">
        <v>310</v>
      </c>
      <c r="E238" s="149" t="s">
        <v>302</v>
      </c>
      <c r="F238" s="199"/>
      <c r="G238" s="200">
        <f>508585/1000</f>
        <v>508.58499999999998</v>
      </c>
      <c r="H238" s="200">
        <f>-142798/1000</f>
        <v>-142.798</v>
      </c>
      <c r="I238" s="200"/>
      <c r="J238" s="206">
        <v>-30.349</v>
      </c>
      <c r="K238" s="200"/>
      <c r="L238" s="200"/>
      <c r="M238" s="201">
        <f t="shared" si="15"/>
        <v>335.43799999999999</v>
      </c>
      <c r="N238" s="9"/>
    </row>
    <row r="239" spans="1:14" s="128" customFormat="1" ht="13.5" hidden="1" customHeight="1" x14ac:dyDescent="0.25">
      <c r="A239" s="182" t="s">
        <v>245</v>
      </c>
      <c r="B239" s="149" t="s">
        <v>311</v>
      </c>
      <c r="C239" s="149" t="s">
        <v>309</v>
      </c>
      <c r="D239" s="149" t="s">
        <v>310</v>
      </c>
      <c r="E239" s="149" t="s">
        <v>302</v>
      </c>
      <c r="F239" s="199"/>
      <c r="G239" s="200">
        <f>308309/1000</f>
        <v>308.30900000000003</v>
      </c>
      <c r="H239" s="207">
        <f>-79432/1000</f>
        <v>-79.432000000000002</v>
      </c>
      <c r="I239" s="200"/>
      <c r="J239" s="206">
        <v>-4.8499999999999996</v>
      </c>
      <c r="K239" s="200"/>
      <c r="L239" s="200"/>
      <c r="M239" s="201">
        <f t="shared" si="15"/>
        <v>224.02700000000002</v>
      </c>
      <c r="N239" s="9"/>
    </row>
    <row r="240" spans="1:14" s="128" customFormat="1" ht="13.5" hidden="1" customHeight="1" x14ac:dyDescent="0.25">
      <c r="A240" s="182" t="s">
        <v>239</v>
      </c>
      <c r="B240" s="149" t="s">
        <v>311</v>
      </c>
      <c r="C240" s="149" t="s">
        <v>309</v>
      </c>
      <c r="D240" s="149" t="s">
        <v>310</v>
      </c>
      <c r="E240" s="149" t="s">
        <v>302</v>
      </c>
      <c r="F240" s="199"/>
      <c r="G240" s="200">
        <f>91686/1000</f>
        <v>91.686000000000007</v>
      </c>
      <c r="H240" s="207">
        <v>-23.689</v>
      </c>
      <c r="I240" s="200"/>
      <c r="J240" s="206">
        <v>-3.44</v>
      </c>
      <c r="K240" s="200"/>
      <c r="L240" s="200"/>
      <c r="M240" s="201">
        <f t="shared" si="15"/>
        <v>64.557000000000016</v>
      </c>
      <c r="N240" s="9"/>
    </row>
    <row r="241" spans="1:14" s="128" customFormat="1" ht="13.5" hidden="1" customHeight="1" x14ac:dyDescent="0.25">
      <c r="A241" s="182" t="s">
        <v>255</v>
      </c>
      <c r="B241" s="149" t="s">
        <v>311</v>
      </c>
      <c r="C241" s="149" t="s">
        <v>309</v>
      </c>
      <c r="D241" s="149" t="s">
        <v>310</v>
      </c>
      <c r="E241" s="149" t="s">
        <v>302</v>
      </c>
      <c r="F241" s="199"/>
      <c r="G241" s="200">
        <f>218754/1000</f>
        <v>218.75399999999999</v>
      </c>
      <c r="H241" s="207">
        <f>-56173/1000</f>
        <v>-56.173000000000002</v>
      </c>
      <c r="I241" s="200"/>
      <c r="J241" s="206">
        <v>-5.0039999999999996</v>
      </c>
      <c r="K241" s="200"/>
      <c r="L241" s="200"/>
      <c r="M241" s="201">
        <f t="shared" si="15"/>
        <v>157.577</v>
      </c>
      <c r="N241" s="9"/>
    </row>
    <row r="242" spans="1:14" s="128" customFormat="1" ht="15" hidden="1" customHeight="1" x14ac:dyDescent="0.25">
      <c r="A242" s="182" t="s">
        <v>185</v>
      </c>
      <c r="B242" s="149" t="s">
        <v>311</v>
      </c>
      <c r="C242" s="149" t="s">
        <v>309</v>
      </c>
      <c r="D242" s="149" t="s">
        <v>310</v>
      </c>
      <c r="E242" s="149" t="s">
        <v>302</v>
      </c>
      <c r="F242" s="199"/>
      <c r="G242" s="200">
        <f>134482/1000</f>
        <v>134.482</v>
      </c>
      <c r="H242" s="200">
        <f>-34582/1000</f>
        <v>-34.582000000000001</v>
      </c>
      <c r="I242" s="200"/>
      <c r="J242" s="206">
        <v>-4.032</v>
      </c>
      <c r="K242" s="200"/>
      <c r="L242" s="200"/>
      <c r="M242" s="201">
        <f t="shared" si="15"/>
        <v>95.868000000000009</v>
      </c>
      <c r="N242" s="9"/>
    </row>
    <row r="243" spans="1:14" s="128" customFormat="1" ht="15" hidden="1" customHeight="1" x14ac:dyDescent="0.25">
      <c r="A243" s="182" t="s">
        <v>186</v>
      </c>
      <c r="B243" s="149" t="s">
        <v>311</v>
      </c>
      <c r="C243" s="149" t="s">
        <v>309</v>
      </c>
      <c r="D243" s="149" t="s">
        <v>310</v>
      </c>
      <c r="E243" s="149" t="s">
        <v>302</v>
      </c>
      <c r="F243" s="199"/>
      <c r="G243" s="200">
        <f>256719/1000</f>
        <v>256.71899999999999</v>
      </c>
      <c r="H243" s="200">
        <f>-65923/1000</f>
        <v>-65.923000000000002</v>
      </c>
      <c r="I243" s="200"/>
      <c r="J243" s="206">
        <v>-4.9630000000000001</v>
      </c>
      <c r="K243" s="200"/>
      <c r="L243" s="200"/>
      <c r="M243" s="201">
        <f t="shared" si="15"/>
        <v>185.833</v>
      </c>
      <c r="N243" s="9"/>
    </row>
    <row r="244" spans="1:14" s="128" customFormat="1" ht="15" hidden="1" customHeight="1" x14ac:dyDescent="0.25">
      <c r="A244" s="182" t="s">
        <v>95</v>
      </c>
      <c r="B244" s="149" t="s">
        <v>311</v>
      </c>
      <c r="C244" s="149" t="s">
        <v>309</v>
      </c>
      <c r="D244" s="149" t="s">
        <v>310</v>
      </c>
      <c r="E244" s="149" t="s">
        <v>302</v>
      </c>
      <c r="F244" s="199"/>
      <c r="G244" s="200">
        <f>43355/1000</f>
        <v>43.354999999999997</v>
      </c>
      <c r="H244" s="200">
        <v>-11.175000000000001</v>
      </c>
      <c r="I244" s="200"/>
      <c r="J244" s="206">
        <v>-2.4820000000000002</v>
      </c>
      <c r="K244" s="200"/>
      <c r="L244" s="200"/>
      <c r="M244" s="201">
        <f t="shared" si="15"/>
        <v>29.697999999999993</v>
      </c>
      <c r="N244" s="9"/>
    </row>
    <row r="245" spans="1:14" s="128" customFormat="1" ht="15" hidden="1" customHeight="1" x14ac:dyDescent="0.25">
      <c r="A245" s="182" t="s">
        <v>96</v>
      </c>
      <c r="B245" s="149" t="s">
        <v>311</v>
      </c>
      <c r="C245" s="149" t="s">
        <v>309</v>
      </c>
      <c r="D245" s="149" t="s">
        <v>310</v>
      </c>
      <c r="E245" s="149" t="s">
        <v>302</v>
      </c>
      <c r="F245" s="199"/>
      <c r="G245" s="200">
        <f>116131/1000</f>
        <v>116.131</v>
      </c>
      <c r="H245" s="200">
        <v>-29.916</v>
      </c>
      <c r="I245" s="200"/>
      <c r="J245" s="206">
        <v>-2.7919999999999998</v>
      </c>
      <c r="K245" s="200"/>
      <c r="L245" s="200"/>
      <c r="M245" s="201">
        <f t="shared" si="15"/>
        <v>83.423000000000002</v>
      </c>
      <c r="N245" s="9"/>
    </row>
    <row r="246" spans="1:14" s="128" customFormat="1" ht="13.5" hidden="1" customHeight="1" x14ac:dyDescent="0.25">
      <c r="A246" s="182" t="s">
        <v>244</v>
      </c>
      <c r="B246" s="149" t="s">
        <v>311</v>
      </c>
      <c r="C246" s="149" t="s">
        <v>309</v>
      </c>
      <c r="D246" s="149" t="s">
        <v>310</v>
      </c>
      <c r="E246" s="149" t="s">
        <v>302</v>
      </c>
      <c r="F246" s="199"/>
      <c r="G246" s="200">
        <f>230156/1000</f>
        <v>230.15600000000001</v>
      </c>
      <c r="H246" s="207">
        <f>-59380/1000</f>
        <v>-59.38</v>
      </c>
      <c r="I246" s="200"/>
      <c r="J246" s="206">
        <v>-2.8149999999999999</v>
      </c>
      <c r="K246" s="200"/>
      <c r="L246" s="200"/>
      <c r="M246" s="201">
        <f t="shared" si="15"/>
        <v>167.96100000000001</v>
      </c>
      <c r="N246" s="9"/>
    </row>
    <row r="247" spans="1:14" s="128" customFormat="1" ht="13.5" hidden="1" customHeight="1" x14ac:dyDescent="0.25">
      <c r="A247" s="182" t="s">
        <v>240</v>
      </c>
      <c r="B247" s="149" t="s">
        <v>311</v>
      </c>
      <c r="C247" s="149" t="s">
        <v>309</v>
      </c>
      <c r="D247" s="149" t="s">
        <v>310</v>
      </c>
      <c r="E247" s="149" t="s">
        <v>302</v>
      </c>
      <c r="F247" s="199"/>
      <c r="G247" s="200">
        <f>19550/1000</f>
        <v>19.55</v>
      </c>
      <c r="H247" s="207">
        <v>-5.0449999999999999</v>
      </c>
      <c r="I247" s="200"/>
      <c r="J247" s="206">
        <v>-0.93799999999999994</v>
      </c>
      <c r="K247" s="200"/>
      <c r="L247" s="200"/>
      <c r="M247" s="201">
        <f t="shared" si="15"/>
        <v>13.567</v>
      </c>
      <c r="N247" s="9"/>
    </row>
    <row r="248" spans="1:14" s="128" customFormat="1" ht="13.5" hidden="1" customHeight="1" x14ac:dyDescent="0.25">
      <c r="A248" s="182" t="s">
        <v>281</v>
      </c>
      <c r="B248" s="149" t="s">
        <v>311</v>
      </c>
      <c r="C248" s="149" t="s">
        <v>309</v>
      </c>
      <c r="D248" s="149" t="s">
        <v>310</v>
      </c>
      <c r="E248" s="149" t="s">
        <v>302</v>
      </c>
      <c r="F248" s="199"/>
      <c r="G248" s="200">
        <f>116278/1000</f>
        <v>116.27800000000001</v>
      </c>
      <c r="H248" s="207">
        <v>-30.009</v>
      </c>
      <c r="I248" s="200"/>
      <c r="J248" s="206">
        <v>-4.0650000000000004</v>
      </c>
      <c r="K248" s="200"/>
      <c r="L248" s="200"/>
      <c r="M248" s="201">
        <f t="shared" si="15"/>
        <v>82.204000000000008</v>
      </c>
      <c r="N248" s="9"/>
    </row>
    <row r="249" spans="1:14" s="128" customFormat="1" ht="15" hidden="1" customHeight="1" x14ac:dyDescent="0.25">
      <c r="A249" s="182" t="s">
        <v>192</v>
      </c>
      <c r="B249" s="149" t="s">
        <v>311</v>
      </c>
      <c r="C249" s="149" t="s">
        <v>309</v>
      </c>
      <c r="D249" s="149" t="s">
        <v>310</v>
      </c>
      <c r="E249" s="149" t="s">
        <v>302</v>
      </c>
      <c r="F249" s="199"/>
      <c r="G249" s="200">
        <f>7855/1000</f>
        <v>7.8550000000000004</v>
      </c>
      <c r="H249" s="200">
        <v>-2.0249999999999999</v>
      </c>
      <c r="I249" s="200"/>
      <c r="J249" s="206">
        <v>-0.93100000000000005</v>
      </c>
      <c r="K249" s="200"/>
      <c r="L249" s="200"/>
      <c r="M249" s="201">
        <f t="shared" si="15"/>
        <v>4.899</v>
      </c>
      <c r="N249" s="9"/>
    </row>
    <row r="250" spans="1:14" s="128" customFormat="1" ht="15" hidden="1" customHeight="1" x14ac:dyDescent="0.25">
      <c r="A250" s="182" t="s">
        <v>187</v>
      </c>
      <c r="B250" s="149" t="s">
        <v>311</v>
      </c>
      <c r="C250" s="149" t="s">
        <v>309</v>
      </c>
      <c r="D250" s="149" t="s">
        <v>310</v>
      </c>
      <c r="E250" s="149" t="s">
        <v>302</v>
      </c>
      <c r="F250" s="199"/>
      <c r="G250" s="200">
        <f>184067/1000</f>
        <v>184.06700000000001</v>
      </c>
      <c r="H250" s="200">
        <f>-47544/1000</f>
        <v>-47.543999999999997</v>
      </c>
      <c r="I250" s="200"/>
      <c r="J250" s="206">
        <v>-2.1709999999999998</v>
      </c>
      <c r="K250" s="200"/>
      <c r="L250" s="200"/>
      <c r="M250" s="201">
        <f t="shared" si="15"/>
        <v>134.35200000000003</v>
      </c>
      <c r="N250" s="9"/>
    </row>
    <row r="251" spans="1:14" s="128" customFormat="1" ht="15" hidden="1" customHeight="1" x14ac:dyDescent="0.25">
      <c r="A251" s="182" t="s">
        <v>106</v>
      </c>
      <c r="B251" s="149" t="s">
        <v>311</v>
      </c>
      <c r="C251" s="149" t="s">
        <v>309</v>
      </c>
      <c r="D251" s="149" t="s">
        <v>310</v>
      </c>
      <c r="E251" s="149" t="s">
        <v>302</v>
      </c>
      <c r="F251" s="199"/>
      <c r="G251" s="200">
        <f>13228/1000</f>
        <v>13.228</v>
      </c>
      <c r="H251" s="200">
        <v>-3.431</v>
      </c>
      <c r="I251" s="200"/>
      <c r="J251" s="206">
        <v>-0.93100000000000005</v>
      </c>
      <c r="K251" s="200"/>
      <c r="L251" s="200"/>
      <c r="M251" s="201">
        <f t="shared" si="15"/>
        <v>8.8659999999999997</v>
      </c>
      <c r="N251" s="9"/>
    </row>
    <row r="252" spans="1:14" s="128" customFormat="1" ht="15" hidden="1" customHeight="1" x14ac:dyDescent="0.25">
      <c r="A252" s="182" t="s">
        <v>105</v>
      </c>
      <c r="B252" s="149" t="s">
        <v>311</v>
      </c>
      <c r="C252" s="149" t="s">
        <v>309</v>
      </c>
      <c r="D252" s="149" t="s">
        <v>310</v>
      </c>
      <c r="E252" s="149" t="s">
        <v>302</v>
      </c>
      <c r="F252" s="199"/>
      <c r="G252" s="200">
        <f>37055/1000</f>
        <v>37.055</v>
      </c>
      <c r="H252" s="200">
        <v>-9.6199999999999992</v>
      </c>
      <c r="I252" s="200"/>
      <c r="J252" s="206">
        <v>-1.5509999999999999</v>
      </c>
      <c r="K252" s="200"/>
      <c r="L252" s="200"/>
      <c r="M252" s="201">
        <f t="shared" si="15"/>
        <v>25.884000000000004</v>
      </c>
      <c r="N252" s="9"/>
    </row>
    <row r="253" spans="1:14" s="128" customFormat="1" ht="15" hidden="1" customHeight="1" x14ac:dyDescent="0.25">
      <c r="A253" s="182" t="s">
        <v>104</v>
      </c>
      <c r="B253" s="149" t="s">
        <v>311</v>
      </c>
      <c r="C253" s="149" t="s">
        <v>309</v>
      </c>
      <c r="D253" s="149" t="s">
        <v>310</v>
      </c>
      <c r="E253" s="149" t="s">
        <v>302</v>
      </c>
      <c r="F253" s="199"/>
      <c r="G253" s="200">
        <f>44508/1000</f>
        <v>44.508000000000003</v>
      </c>
      <c r="H253" s="200">
        <v>-11.861000000000001</v>
      </c>
      <c r="I253" s="200"/>
      <c r="J253" s="206">
        <v>-1.2410000000000001</v>
      </c>
      <c r="K253" s="200"/>
      <c r="L253" s="200"/>
      <c r="M253" s="201">
        <f t="shared" si="15"/>
        <v>31.406000000000006</v>
      </c>
      <c r="N253" s="9"/>
    </row>
    <row r="254" spans="1:14" s="128" customFormat="1" ht="13.5" hidden="1" customHeight="1" x14ac:dyDescent="0.25">
      <c r="A254" s="182" t="s">
        <v>275</v>
      </c>
      <c r="B254" s="149" t="s">
        <v>311</v>
      </c>
      <c r="C254" s="149" t="s">
        <v>309</v>
      </c>
      <c r="D254" s="149" t="s">
        <v>310</v>
      </c>
      <c r="E254" s="149" t="s">
        <v>302</v>
      </c>
      <c r="F254" s="199"/>
      <c r="G254" s="200">
        <f>168450/1000</f>
        <v>168.45</v>
      </c>
      <c r="H254" s="207">
        <f>-43288/1000</f>
        <v>-43.287999999999997</v>
      </c>
      <c r="I254" s="200"/>
      <c r="J254" s="206">
        <v>-5.3159999999999998</v>
      </c>
      <c r="K254" s="200"/>
      <c r="L254" s="200"/>
      <c r="M254" s="201">
        <f t="shared" si="15"/>
        <v>119.84599999999999</v>
      </c>
      <c r="N254" s="9"/>
    </row>
    <row r="255" spans="1:14" s="128" customFormat="1" ht="13.5" hidden="1" customHeight="1" x14ac:dyDescent="0.25">
      <c r="A255" s="182" t="s">
        <v>274</v>
      </c>
      <c r="B255" s="149" t="s">
        <v>311</v>
      </c>
      <c r="C255" s="149" t="s">
        <v>309</v>
      </c>
      <c r="D255" s="149" t="s">
        <v>310</v>
      </c>
      <c r="E255" s="149" t="s">
        <v>302</v>
      </c>
      <c r="F255" s="199"/>
      <c r="G255" s="200">
        <f>49820/1000</f>
        <v>49.82</v>
      </c>
      <c r="H255" s="207">
        <v>-12.925000000000001</v>
      </c>
      <c r="I255" s="200"/>
      <c r="J255" s="206">
        <v>-1.8759999999999999</v>
      </c>
      <c r="K255" s="200"/>
      <c r="L255" s="200"/>
      <c r="M255" s="201">
        <f t="shared" ref="M255:M286" si="16">+G255+H255+I255+J255+K255+L255</f>
        <v>35.018999999999998</v>
      </c>
      <c r="N255" s="9"/>
    </row>
    <row r="256" spans="1:14" s="128" customFormat="1" ht="15" hidden="1" customHeight="1" x14ac:dyDescent="0.25">
      <c r="A256" s="182" t="s">
        <v>210</v>
      </c>
      <c r="B256" s="149" t="s">
        <v>311</v>
      </c>
      <c r="C256" s="149" t="s">
        <v>309</v>
      </c>
      <c r="D256" s="149" t="s">
        <v>310</v>
      </c>
      <c r="E256" s="149" t="s">
        <v>302</v>
      </c>
      <c r="F256" s="199"/>
      <c r="G256" s="200">
        <f>113161/1000</f>
        <v>113.161</v>
      </c>
      <c r="H256" s="200">
        <v>-29.437000000000001</v>
      </c>
      <c r="I256" s="200"/>
      <c r="J256" s="206">
        <v>-2.7919999999999998</v>
      </c>
      <c r="K256" s="200"/>
      <c r="L256" s="200"/>
      <c r="M256" s="201">
        <f t="shared" si="16"/>
        <v>80.932000000000002</v>
      </c>
      <c r="N256" s="9"/>
    </row>
    <row r="257" spans="1:14" s="128" customFormat="1" ht="15" hidden="1" customHeight="1" x14ac:dyDescent="0.25">
      <c r="A257" s="182" t="s">
        <v>153</v>
      </c>
      <c r="B257" s="149" t="s">
        <v>311</v>
      </c>
      <c r="C257" s="149" t="s">
        <v>309</v>
      </c>
      <c r="D257" s="149" t="s">
        <v>310</v>
      </c>
      <c r="E257" s="149" t="s">
        <v>302</v>
      </c>
      <c r="F257" s="199"/>
      <c r="G257" s="200">
        <f>115240/1000</f>
        <v>115.24</v>
      </c>
      <c r="H257" s="200">
        <v>-29.760999999999999</v>
      </c>
      <c r="I257" s="200"/>
      <c r="J257" s="206">
        <v>-2.7919999999999998</v>
      </c>
      <c r="K257" s="200"/>
      <c r="L257" s="200"/>
      <c r="M257" s="201">
        <f t="shared" si="16"/>
        <v>82.686999999999998</v>
      </c>
      <c r="N257" s="9"/>
    </row>
    <row r="258" spans="1:14" s="128" customFormat="1" ht="15" hidden="1" customHeight="1" x14ac:dyDescent="0.25">
      <c r="A258" s="182" t="s">
        <v>108</v>
      </c>
      <c r="B258" s="149" t="s">
        <v>311</v>
      </c>
      <c r="C258" s="149" t="s">
        <v>309</v>
      </c>
      <c r="D258" s="149" t="s">
        <v>310</v>
      </c>
      <c r="E258" s="149" t="s">
        <v>302</v>
      </c>
      <c r="F258" s="199"/>
      <c r="G258" s="200">
        <f>138734/1000</f>
        <v>138.73400000000001</v>
      </c>
      <c r="H258" s="200">
        <f>-35642/1000</f>
        <v>-35.642000000000003</v>
      </c>
      <c r="I258" s="200"/>
      <c r="J258" s="206">
        <v>-3.722</v>
      </c>
      <c r="K258" s="200"/>
      <c r="L258" s="200"/>
      <c r="M258" s="201">
        <f t="shared" si="16"/>
        <v>99.370000000000019</v>
      </c>
      <c r="N258" s="9"/>
    </row>
    <row r="259" spans="1:14" s="128" customFormat="1" ht="15" hidden="1" customHeight="1" x14ac:dyDescent="0.25">
      <c r="A259" s="182" t="s">
        <v>209</v>
      </c>
      <c r="B259" s="149" t="s">
        <v>311</v>
      </c>
      <c r="C259" s="149" t="s">
        <v>309</v>
      </c>
      <c r="D259" s="149" t="s">
        <v>310</v>
      </c>
      <c r="E259" s="149" t="s">
        <v>302</v>
      </c>
      <c r="F259" s="199"/>
      <c r="G259" s="200">
        <f>59052/1000</f>
        <v>59.052</v>
      </c>
      <c r="H259" s="200">
        <v>-15.218999999999999</v>
      </c>
      <c r="I259" s="200"/>
      <c r="J259" s="206">
        <v>-3.1019999999999999</v>
      </c>
      <c r="K259" s="200"/>
      <c r="L259" s="200"/>
      <c r="M259" s="201">
        <f t="shared" si="16"/>
        <v>40.731000000000002</v>
      </c>
      <c r="N259" s="9"/>
    </row>
    <row r="260" spans="1:14" s="128" customFormat="1" ht="15" hidden="1" customHeight="1" x14ac:dyDescent="0.25">
      <c r="A260" s="182" t="s">
        <v>151</v>
      </c>
      <c r="B260" s="149" t="s">
        <v>311</v>
      </c>
      <c r="C260" s="149" t="s">
        <v>309</v>
      </c>
      <c r="D260" s="149" t="s">
        <v>310</v>
      </c>
      <c r="E260" s="149" t="s">
        <v>302</v>
      </c>
      <c r="F260" s="199"/>
      <c r="G260" s="200">
        <f>30283/1000</f>
        <v>30.283000000000001</v>
      </c>
      <c r="H260" s="200">
        <v>-7.8170000000000002</v>
      </c>
      <c r="I260" s="200"/>
      <c r="J260" s="206">
        <v>-2.1709999999999998</v>
      </c>
      <c r="K260" s="200"/>
      <c r="L260" s="200"/>
      <c r="M260" s="201">
        <f t="shared" si="16"/>
        <v>20.295000000000002</v>
      </c>
      <c r="N260" s="9"/>
    </row>
    <row r="261" spans="1:14" s="128" customFormat="1" ht="15" hidden="1" customHeight="1" x14ac:dyDescent="0.25">
      <c r="A261" s="182" t="s">
        <v>115</v>
      </c>
      <c r="B261" s="149" t="s">
        <v>311</v>
      </c>
      <c r="C261" s="149" t="s">
        <v>309</v>
      </c>
      <c r="D261" s="149" t="s">
        <v>310</v>
      </c>
      <c r="E261" s="149" t="s">
        <v>302</v>
      </c>
      <c r="F261" s="199"/>
      <c r="G261" s="200">
        <f>78830/1000</f>
        <v>78.83</v>
      </c>
      <c r="H261" s="200">
        <v>-20.356999999999999</v>
      </c>
      <c r="I261" s="200"/>
      <c r="J261" s="206">
        <v>-1.5509999999999999</v>
      </c>
      <c r="K261" s="200"/>
      <c r="L261" s="200"/>
      <c r="M261" s="201">
        <f t="shared" si="16"/>
        <v>56.921999999999997</v>
      </c>
      <c r="N261" s="9"/>
    </row>
    <row r="262" spans="1:14" s="128" customFormat="1" ht="15" hidden="1" customHeight="1" x14ac:dyDescent="0.25">
      <c r="A262" s="182" t="s">
        <v>193</v>
      </c>
      <c r="B262" s="149" t="s">
        <v>311</v>
      </c>
      <c r="C262" s="149" t="s">
        <v>309</v>
      </c>
      <c r="D262" s="149" t="s">
        <v>310</v>
      </c>
      <c r="E262" s="149" t="s">
        <v>302</v>
      </c>
      <c r="F262" s="199"/>
      <c r="G262" s="200">
        <f>22599/1000</f>
        <v>22.599</v>
      </c>
      <c r="H262" s="200">
        <v>-1.1439999999999999</v>
      </c>
      <c r="I262" s="200"/>
      <c r="J262" s="206">
        <v>-0.40799999999999997</v>
      </c>
      <c r="K262" s="200"/>
      <c r="L262" s="200"/>
      <c r="M262" s="201">
        <f t="shared" si="16"/>
        <v>21.047000000000001</v>
      </c>
      <c r="N262" s="9"/>
    </row>
    <row r="263" spans="1:14" s="128" customFormat="1" ht="13.5" hidden="1" customHeight="1" x14ac:dyDescent="0.25">
      <c r="A263" s="182" t="s">
        <v>235</v>
      </c>
      <c r="B263" s="149" t="s">
        <v>311</v>
      </c>
      <c r="C263" s="149" t="s">
        <v>309</v>
      </c>
      <c r="D263" s="149" t="s">
        <v>310</v>
      </c>
      <c r="E263" s="149" t="s">
        <v>302</v>
      </c>
      <c r="F263" s="199"/>
      <c r="G263" s="200">
        <f>98205/1000</f>
        <v>98.204999999999998</v>
      </c>
      <c r="H263" s="207">
        <v>-26.425000000000001</v>
      </c>
      <c r="I263" s="200"/>
      <c r="J263" s="206">
        <v>-8.1310000000000002</v>
      </c>
      <c r="K263" s="200"/>
      <c r="L263" s="200"/>
      <c r="M263" s="201">
        <f t="shared" si="16"/>
        <v>63.649000000000001</v>
      </c>
      <c r="N263" s="9"/>
    </row>
    <row r="264" spans="1:14" s="128" customFormat="1" ht="13.5" hidden="1" customHeight="1" x14ac:dyDescent="0.25">
      <c r="A264" s="182" t="s">
        <v>251</v>
      </c>
      <c r="B264" s="149" t="s">
        <v>311</v>
      </c>
      <c r="C264" s="149" t="s">
        <v>309</v>
      </c>
      <c r="D264" s="149" t="s">
        <v>310</v>
      </c>
      <c r="E264" s="149" t="s">
        <v>302</v>
      </c>
      <c r="F264" s="199"/>
      <c r="G264" s="200">
        <f>53725/1000</f>
        <v>53.725000000000001</v>
      </c>
      <c r="H264" s="207">
        <v>-14.307</v>
      </c>
      <c r="I264" s="200"/>
      <c r="J264" s="206">
        <v>-5.3159999999999998</v>
      </c>
      <c r="K264" s="200"/>
      <c r="L264" s="200"/>
      <c r="M264" s="201">
        <f t="shared" si="16"/>
        <v>34.101999999999997</v>
      </c>
      <c r="N264" s="9"/>
    </row>
    <row r="265" spans="1:14" s="128" customFormat="1" ht="13.5" hidden="1" customHeight="1" x14ac:dyDescent="0.25">
      <c r="A265" s="182" t="s">
        <v>286</v>
      </c>
      <c r="B265" s="149" t="s">
        <v>311</v>
      </c>
      <c r="C265" s="149" t="s">
        <v>309</v>
      </c>
      <c r="D265" s="149" t="s">
        <v>310</v>
      </c>
      <c r="E265" s="149" t="s">
        <v>302</v>
      </c>
      <c r="F265" s="199"/>
      <c r="G265" s="200">
        <f>147518/1000</f>
        <v>147.518</v>
      </c>
      <c r="H265" s="207">
        <f>-39509/1000</f>
        <v>-39.509</v>
      </c>
      <c r="I265" s="200"/>
      <c r="J265" s="206">
        <v>-10.946</v>
      </c>
      <c r="K265" s="200"/>
      <c r="L265" s="200"/>
      <c r="M265" s="201">
        <f t="shared" si="16"/>
        <v>97.063000000000002</v>
      </c>
      <c r="N265" s="9"/>
    </row>
    <row r="266" spans="1:14" s="128" customFormat="1" ht="13.5" hidden="1" customHeight="1" x14ac:dyDescent="0.25">
      <c r="A266" s="182" t="s">
        <v>234</v>
      </c>
      <c r="B266" s="149" t="s">
        <v>311</v>
      </c>
      <c r="C266" s="149" t="s">
        <v>309</v>
      </c>
      <c r="D266" s="149" t="s">
        <v>310</v>
      </c>
      <c r="E266" s="149" t="s">
        <v>302</v>
      </c>
      <c r="F266" s="199"/>
      <c r="G266" s="200">
        <f>893950/1000</f>
        <v>893.95</v>
      </c>
      <c r="H266" s="207">
        <f>-198.074/1000</f>
        <v>-0.198074</v>
      </c>
      <c r="I266" s="200"/>
      <c r="J266" s="206">
        <f>-40552/1000</f>
        <v>-40.552</v>
      </c>
      <c r="K266" s="200"/>
      <c r="L266" s="200"/>
      <c r="M266" s="201">
        <f t="shared" si="16"/>
        <v>853.199926</v>
      </c>
      <c r="N266" s="9"/>
    </row>
    <row r="267" spans="1:14" s="128" customFormat="1" ht="13.5" hidden="1" customHeight="1" x14ac:dyDescent="0.25">
      <c r="A267" s="182" t="s">
        <v>252</v>
      </c>
      <c r="B267" s="149" t="s">
        <v>311</v>
      </c>
      <c r="C267" s="149" t="s">
        <v>309</v>
      </c>
      <c r="D267" s="149" t="s">
        <v>310</v>
      </c>
      <c r="E267" s="149" t="s">
        <v>302</v>
      </c>
      <c r="F267" s="199"/>
      <c r="G267" s="200">
        <f>758765/1000</f>
        <v>758.76499999999999</v>
      </c>
      <c r="H267" s="207">
        <f>-159357/1000</f>
        <v>-159.357</v>
      </c>
      <c r="I267" s="200"/>
      <c r="J267" s="206">
        <f>-38625/1000</f>
        <v>-38.625</v>
      </c>
      <c r="K267" s="200"/>
      <c r="L267" s="200"/>
      <c r="M267" s="201">
        <f t="shared" si="16"/>
        <v>560.78300000000002</v>
      </c>
      <c r="N267" s="9"/>
    </row>
    <row r="268" spans="1:14" s="128" customFormat="1" ht="13.5" hidden="1" customHeight="1" x14ac:dyDescent="0.25">
      <c r="A268" s="182" t="s">
        <v>268</v>
      </c>
      <c r="B268" s="149" t="s">
        <v>311</v>
      </c>
      <c r="C268" s="149" t="s">
        <v>309</v>
      </c>
      <c r="D268" s="149" t="s">
        <v>310</v>
      </c>
      <c r="E268" s="149" t="s">
        <v>302</v>
      </c>
      <c r="F268" s="199"/>
      <c r="G268" s="200">
        <f>83957/1000</f>
        <v>83.956999999999994</v>
      </c>
      <c r="H268" s="207">
        <v>-22.498000000000001</v>
      </c>
      <c r="I268" s="200"/>
      <c r="J268" s="206">
        <v>-7.5049999999999999</v>
      </c>
      <c r="K268" s="200"/>
      <c r="L268" s="200"/>
      <c r="M268" s="201">
        <f t="shared" si="16"/>
        <v>53.953999999999986</v>
      </c>
      <c r="N268" s="9"/>
    </row>
    <row r="269" spans="1:14" s="128" customFormat="1" ht="13.5" hidden="1" customHeight="1" x14ac:dyDescent="0.25">
      <c r="A269" s="182" t="s">
        <v>269</v>
      </c>
      <c r="B269" s="149" t="s">
        <v>311</v>
      </c>
      <c r="C269" s="149" t="s">
        <v>309</v>
      </c>
      <c r="D269" s="149" t="s">
        <v>310</v>
      </c>
      <c r="E269" s="149" t="s">
        <v>302</v>
      </c>
      <c r="F269" s="199"/>
      <c r="G269" s="200">
        <f>640989/1000</f>
        <v>640.98900000000003</v>
      </c>
      <c r="H269" s="207">
        <f>-115549/1000</f>
        <v>-115.54900000000001</v>
      </c>
      <c r="I269" s="200"/>
      <c r="J269" s="206">
        <f>-39927/1000</f>
        <v>-39.927</v>
      </c>
      <c r="K269" s="200"/>
      <c r="L269" s="200"/>
      <c r="M269" s="201">
        <f t="shared" si="16"/>
        <v>485.51300000000003</v>
      </c>
      <c r="N269" s="9"/>
    </row>
    <row r="270" spans="1:14" s="128" customFormat="1" ht="13.5" hidden="1" customHeight="1" x14ac:dyDescent="0.25">
      <c r="A270" s="182" t="s">
        <v>285</v>
      </c>
      <c r="B270" s="149" t="s">
        <v>311</v>
      </c>
      <c r="C270" s="149" t="s">
        <v>309</v>
      </c>
      <c r="D270" s="149" t="s">
        <v>310</v>
      </c>
      <c r="E270" s="149" t="s">
        <v>302</v>
      </c>
      <c r="F270" s="199"/>
      <c r="G270" s="200">
        <f>497512/1000</f>
        <v>497.512</v>
      </c>
      <c r="H270" s="207">
        <f>-100951/1000</f>
        <v>-100.95099999999999</v>
      </c>
      <c r="I270" s="200"/>
      <c r="J270" s="206">
        <f>-37476/1000</f>
        <v>-37.475999999999999</v>
      </c>
      <c r="K270" s="200"/>
      <c r="L270" s="200"/>
      <c r="M270" s="201">
        <f t="shared" si="16"/>
        <v>359.08500000000004</v>
      </c>
      <c r="N270" s="9"/>
    </row>
    <row r="271" spans="1:14" s="128" customFormat="1" ht="13.5" hidden="1" customHeight="1" x14ac:dyDescent="0.25">
      <c r="A271" s="182" t="s">
        <v>225</v>
      </c>
      <c r="B271" s="149" t="s">
        <v>311</v>
      </c>
      <c r="C271" s="149" t="s">
        <v>309</v>
      </c>
      <c r="D271" s="149" t="s">
        <v>310</v>
      </c>
      <c r="E271" s="149" t="s">
        <v>302</v>
      </c>
      <c r="F271" s="199"/>
      <c r="G271" s="200">
        <f>96391/1000</f>
        <v>96.391000000000005</v>
      </c>
      <c r="H271" s="207">
        <v>-26.556000000000001</v>
      </c>
      <c r="I271" s="200"/>
      <c r="J271" s="206">
        <v>-5.9420000000000002</v>
      </c>
      <c r="K271" s="200"/>
      <c r="L271" s="200"/>
      <c r="M271" s="201">
        <f t="shared" si="16"/>
        <v>63.893000000000008</v>
      </c>
      <c r="N271" s="9"/>
    </row>
    <row r="272" spans="1:14" s="128" customFormat="1" ht="13.5" hidden="1" customHeight="1" x14ac:dyDescent="0.25">
      <c r="A272" s="182" t="s">
        <v>228</v>
      </c>
      <c r="B272" s="149" t="s">
        <v>311</v>
      </c>
      <c r="C272" s="149" t="s">
        <v>309</v>
      </c>
      <c r="D272" s="149" t="s">
        <v>310</v>
      </c>
      <c r="E272" s="149" t="s">
        <v>302</v>
      </c>
      <c r="F272" s="199"/>
      <c r="G272" s="200">
        <f>560725/1000</f>
        <v>560.72500000000002</v>
      </c>
      <c r="H272" s="207">
        <f>-125466/1000</f>
        <v>-125.46599999999999</v>
      </c>
      <c r="I272" s="200"/>
      <c r="J272" s="206">
        <f>-40029/1000</f>
        <v>-40.029000000000003</v>
      </c>
      <c r="K272" s="200"/>
      <c r="L272" s="200"/>
      <c r="M272" s="201">
        <f t="shared" si="16"/>
        <v>395.23</v>
      </c>
      <c r="N272" s="9"/>
    </row>
    <row r="273" spans="1:14" s="128" customFormat="1" ht="15" hidden="1" customHeight="1" x14ac:dyDescent="0.25">
      <c r="A273" s="182" t="s">
        <v>208</v>
      </c>
      <c r="B273" s="149" t="s">
        <v>311</v>
      </c>
      <c r="C273" s="149" t="s">
        <v>309</v>
      </c>
      <c r="D273" s="149" t="s">
        <v>310</v>
      </c>
      <c r="E273" s="149" t="s">
        <v>302</v>
      </c>
      <c r="F273" s="199"/>
      <c r="G273" s="200">
        <f>741431/1000</f>
        <v>741.43100000000004</v>
      </c>
      <c r="H273" s="200">
        <f>-161126/1000</f>
        <v>-161.126</v>
      </c>
      <c r="I273" s="200"/>
      <c r="J273" s="206">
        <f>-43376/1000</f>
        <v>-43.375999999999998</v>
      </c>
      <c r="K273" s="200"/>
      <c r="L273" s="200"/>
      <c r="M273" s="201">
        <f t="shared" si="16"/>
        <v>536.92900000000009</v>
      </c>
      <c r="N273" s="9"/>
    </row>
    <row r="274" spans="1:14" s="128" customFormat="1" ht="15" hidden="1" customHeight="1" x14ac:dyDescent="0.25">
      <c r="A274" s="182" t="s">
        <v>201</v>
      </c>
      <c r="B274" s="149" t="s">
        <v>311</v>
      </c>
      <c r="C274" s="149" t="s">
        <v>309</v>
      </c>
      <c r="D274" s="149" t="s">
        <v>310</v>
      </c>
      <c r="E274" s="149" t="s">
        <v>302</v>
      </c>
      <c r="F274" s="199"/>
      <c r="G274" s="200">
        <f>171141/1000</f>
        <v>171.14099999999999</v>
      </c>
      <c r="H274" s="200">
        <f>-45791/1000</f>
        <v>-45.790999999999997</v>
      </c>
      <c r="I274" s="200"/>
      <c r="J274" s="206">
        <v>-9.3059999999999992</v>
      </c>
      <c r="K274" s="200"/>
      <c r="L274" s="200"/>
      <c r="M274" s="201">
        <f t="shared" si="16"/>
        <v>116.044</v>
      </c>
      <c r="N274" s="9"/>
    </row>
    <row r="275" spans="1:14" s="128" customFormat="1" ht="15" hidden="1" customHeight="1" x14ac:dyDescent="0.25">
      <c r="A275" s="182" t="s">
        <v>199</v>
      </c>
      <c r="B275" s="149" t="s">
        <v>311</v>
      </c>
      <c r="C275" s="149" t="s">
        <v>309</v>
      </c>
      <c r="D275" s="149" t="s">
        <v>310</v>
      </c>
      <c r="E275" s="149" t="s">
        <v>302</v>
      </c>
      <c r="F275" s="199"/>
      <c r="G275" s="200">
        <f>854396/1000</f>
        <v>854.39599999999996</v>
      </c>
      <c r="H275" s="200">
        <f>-206701/1000</f>
        <v>-206.70099999999999</v>
      </c>
      <c r="I275" s="200"/>
      <c r="J275" s="206">
        <f>-42705/1000</f>
        <v>-42.704999999999998</v>
      </c>
      <c r="K275" s="200"/>
      <c r="L275" s="200"/>
      <c r="M275" s="201">
        <f t="shared" si="16"/>
        <v>604.9899999999999</v>
      </c>
      <c r="N275" s="9"/>
    </row>
    <row r="276" spans="1:14" s="128" customFormat="1" ht="15" hidden="1" customHeight="1" x14ac:dyDescent="0.25">
      <c r="A276" s="182" t="s">
        <v>163</v>
      </c>
      <c r="B276" s="149" t="s">
        <v>311</v>
      </c>
      <c r="C276" s="149" t="s">
        <v>309</v>
      </c>
      <c r="D276" s="149" t="s">
        <v>310</v>
      </c>
      <c r="E276" s="149" t="s">
        <v>302</v>
      </c>
      <c r="F276" s="199"/>
      <c r="G276" s="200">
        <f>482557/1000</f>
        <v>482.55700000000002</v>
      </c>
      <c r="H276" s="200">
        <f>-113049/1000</f>
        <v>-113.04900000000001</v>
      </c>
      <c r="I276" s="200"/>
      <c r="J276" s="206">
        <v>-30.399000000000001</v>
      </c>
      <c r="K276" s="200"/>
      <c r="L276" s="200"/>
      <c r="M276" s="201">
        <f t="shared" si="16"/>
        <v>339.10900000000004</v>
      </c>
      <c r="N276" s="9"/>
    </row>
    <row r="277" spans="1:14" s="128" customFormat="1" ht="15" hidden="1" customHeight="1" x14ac:dyDescent="0.25">
      <c r="A277" s="182" t="s">
        <v>143</v>
      </c>
      <c r="B277" s="149" t="s">
        <v>311</v>
      </c>
      <c r="C277" s="149" t="s">
        <v>309</v>
      </c>
      <c r="D277" s="149" t="s">
        <v>310</v>
      </c>
      <c r="E277" s="149" t="s">
        <v>302</v>
      </c>
      <c r="F277" s="199"/>
      <c r="G277" s="200">
        <f>133265/1000</f>
        <v>133.26499999999999</v>
      </c>
      <c r="H277" s="200">
        <f>-36452/1000</f>
        <v>-36.451999999999998</v>
      </c>
      <c r="I277" s="200"/>
      <c r="J277" s="206">
        <v>-4.343</v>
      </c>
      <c r="K277" s="200"/>
      <c r="L277" s="200"/>
      <c r="M277" s="201">
        <f t="shared" si="16"/>
        <v>92.469999999999985</v>
      </c>
      <c r="N277" s="9"/>
    </row>
    <row r="278" spans="1:14" s="128" customFormat="1" ht="15" hidden="1" customHeight="1" x14ac:dyDescent="0.25">
      <c r="A278" s="182" t="s">
        <v>125</v>
      </c>
      <c r="B278" s="149" t="s">
        <v>311</v>
      </c>
      <c r="C278" s="149" t="s">
        <v>309</v>
      </c>
      <c r="D278" s="149" t="s">
        <v>310</v>
      </c>
      <c r="E278" s="149" t="s">
        <v>302</v>
      </c>
      <c r="F278" s="199"/>
      <c r="G278" s="200">
        <f>80961/1000</f>
        <v>80.960999999999999</v>
      </c>
      <c r="H278" s="200">
        <v>-21.908000000000001</v>
      </c>
      <c r="I278" s="200"/>
      <c r="J278" s="206">
        <v>-6.2039999999999997</v>
      </c>
      <c r="K278" s="200"/>
      <c r="L278" s="200"/>
      <c r="M278" s="201">
        <f t="shared" si="16"/>
        <v>52.848999999999997</v>
      </c>
      <c r="N278" s="9"/>
    </row>
    <row r="279" spans="1:14" s="128" customFormat="1" ht="15" hidden="1" customHeight="1" x14ac:dyDescent="0.25">
      <c r="A279" s="182" t="s">
        <v>122</v>
      </c>
      <c r="B279" s="149" t="s">
        <v>311</v>
      </c>
      <c r="C279" s="149" t="s">
        <v>309</v>
      </c>
      <c r="D279" s="149" t="s">
        <v>310</v>
      </c>
      <c r="E279" s="149" t="s">
        <v>302</v>
      </c>
      <c r="F279" s="199"/>
      <c r="G279" s="200">
        <f>541861/1000</f>
        <v>541.86099999999999</v>
      </c>
      <c r="H279" s="200">
        <f>-128567/1000</f>
        <v>-128.56700000000001</v>
      </c>
      <c r="I279" s="200"/>
      <c r="J279" s="206">
        <f>-42445/1000</f>
        <v>-42.445</v>
      </c>
      <c r="K279" s="200"/>
      <c r="L279" s="200"/>
      <c r="M279" s="201">
        <f t="shared" si="16"/>
        <v>370.84899999999999</v>
      </c>
      <c r="N279" s="9"/>
    </row>
    <row r="280" spans="1:14" s="128" customFormat="1" ht="15" hidden="1" customHeight="1" x14ac:dyDescent="0.25">
      <c r="A280" s="182" t="s">
        <v>117</v>
      </c>
      <c r="B280" s="149" t="s">
        <v>311</v>
      </c>
      <c r="C280" s="149" t="s">
        <v>309</v>
      </c>
      <c r="D280" s="149" t="s">
        <v>310</v>
      </c>
      <c r="E280" s="149" t="s">
        <v>302</v>
      </c>
      <c r="F280" s="199"/>
      <c r="G280" s="200">
        <f>808196/1000</f>
        <v>808.19600000000003</v>
      </c>
      <c r="H280" s="200">
        <f>-195542/1000</f>
        <v>-195.542</v>
      </c>
      <c r="I280" s="200"/>
      <c r="J280" s="206">
        <f>-42186/1000</f>
        <v>-42.186</v>
      </c>
      <c r="K280" s="200"/>
      <c r="L280" s="200"/>
      <c r="M280" s="201">
        <f t="shared" si="16"/>
        <v>570.46799999999996</v>
      </c>
      <c r="N280" s="9"/>
    </row>
    <row r="281" spans="1:14" s="128" customFormat="1" ht="15" hidden="1" customHeight="1" x14ac:dyDescent="0.25">
      <c r="A281" s="182" t="s">
        <v>88</v>
      </c>
      <c r="B281" s="149" t="s">
        <v>311</v>
      </c>
      <c r="C281" s="149" t="s">
        <v>309</v>
      </c>
      <c r="D281" s="149" t="s">
        <v>310</v>
      </c>
      <c r="E281" s="149" t="s">
        <v>302</v>
      </c>
      <c r="F281" s="199"/>
      <c r="G281" s="200">
        <f>611000/1000</f>
        <v>611</v>
      </c>
      <c r="H281" s="200">
        <f>-157135/1000</f>
        <v>-157.13499999999999</v>
      </c>
      <c r="I281" s="200"/>
      <c r="J281" s="206">
        <f>-41747/1000</f>
        <v>-41.747</v>
      </c>
      <c r="K281" s="200"/>
      <c r="L281" s="200"/>
      <c r="M281" s="201">
        <f t="shared" si="16"/>
        <v>412.11799999999999</v>
      </c>
      <c r="N281" s="9"/>
    </row>
    <row r="282" spans="1:14" s="128" customFormat="1" ht="15" hidden="1" customHeight="1" x14ac:dyDescent="0.25">
      <c r="A282" s="182" t="s">
        <v>87</v>
      </c>
      <c r="B282" s="149" t="s">
        <v>311</v>
      </c>
      <c r="C282" s="149" t="s">
        <v>309</v>
      </c>
      <c r="D282" s="149" t="s">
        <v>310</v>
      </c>
      <c r="E282" s="149" t="s">
        <v>302</v>
      </c>
      <c r="F282" s="199"/>
      <c r="G282" s="200">
        <f>30968/1000</f>
        <v>30.968</v>
      </c>
      <c r="H282" s="200">
        <v>-8.1910000000000007</v>
      </c>
      <c r="I282" s="200"/>
      <c r="J282" s="206">
        <v>-3.1019999999999999</v>
      </c>
      <c r="K282" s="200"/>
      <c r="L282" s="200"/>
      <c r="M282" s="201">
        <f t="shared" si="16"/>
        <v>19.675000000000001</v>
      </c>
      <c r="N282" s="9"/>
    </row>
    <row r="283" spans="1:14" s="128" customFormat="1" ht="15" hidden="1" customHeight="1" x14ac:dyDescent="0.25">
      <c r="A283" s="182" t="s">
        <v>78</v>
      </c>
      <c r="B283" s="149" t="s">
        <v>311</v>
      </c>
      <c r="C283" s="149" t="s">
        <v>309</v>
      </c>
      <c r="D283" s="149" t="s">
        <v>310</v>
      </c>
      <c r="E283" s="149" t="s">
        <v>302</v>
      </c>
      <c r="F283" s="199"/>
      <c r="G283" s="200">
        <f>94155/1000</f>
        <v>94.155000000000001</v>
      </c>
      <c r="H283" s="200">
        <v>-25.779</v>
      </c>
      <c r="I283" s="200"/>
      <c r="J283" s="206">
        <v>-11.186999999999999</v>
      </c>
      <c r="K283" s="200"/>
      <c r="L283" s="200"/>
      <c r="M283" s="201">
        <f t="shared" si="16"/>
        <v>57.189000000000007</v>
      </c>
      <c r="N283" s="9"/>
    </row>
    <row r="284" spans="1:14" s="128" customFormat="1" ht="15" hidden="1" customHeight="1" x14ac:dyDescent="0.25">
      <c r="A284" s="182" t="s">
        <v>74</v>
      </c>
      <c r="B284" s="149" t="s">
        <v>311</v>
      </c>
      <c r="C284" s="149" t="s">
        <v>309</v>
      </c>
      <c r="D284" s="149" t="s">
        <v>310</v>
      </c>
      <c r="E284" s="149" t="s">
        <v>302</v>
      </c>
      <c r="F284" s="199"/>
      <c r="G284" s="200">
        <f>554267/1000</f>
        <v>554.26700000000005</v>
      </c>
      <c r="H284" s="200">
        <f>-135306/1000</f>
        <v>-135.30600000000001</v>
      </c>
      <c r="I284" s="200"/>
      <c r="J284" s="206">
        <f>-38778/1000</f>
        <v>-38.777999999999999</v>
      </c>
      <c r="K284" s="200"/>
      <c r="L284" s="200"/>
      <c r="M284" s="201">
        <f t="shared" si="16"/>
        <v>380.18299999999999</v>
      </c>
      <c r="N284" s="9"/>
    </row>
    <row r="285" spans="1:14" s="128" customFormat="1" ht="13.5" hidden="1" customHeight="1" x14ac:dyDescent="0.25">
      <c r="A285" s="182" t="s">
        <v>253</v>
      </c>
      <c r="B285" s="149" t="s">
        <v>311</v>
      </c>
      <c r="C285" s="149" t="s">
        <v>309</v>
      </c>
      <c r="D285" s="149" t="s">
        <v>310</v>
      </c>
      <c r="E285" s="149" t="s">
        <v>302</v>
      </c>
      <c r="F285" s="199"/>
      <c r="G285" s="200">
        <f>24492/1000</f>
        <v>24.492000000000001</v>
      </c>
      <c r="H285" s="207">
        <v>-6.7060000000000004</v>
      </c>
      <c r="I285" s="200"/>
      <c r="J285" s="206">
        <v>-0.313</v>
      </c>
      <c r="K285" s="200"/>
      <c r="L285" s="200"/>
      <c r="M285" s="201">
        <f t="shared" si="16"/>
        <v>17.473000000000003</v>
      </c>
      <c r="N285" s="9"/>
    </row>
    <row r="286" spans="1:14" s="128" customFormat="1" ht="15" hidden="1" customHeight="1" x14ac:dyDescent="0.25">
      <c r="A286" s="182" t="s">
        <v>162</v>
      </c>
      <c r="B286" s="149" t="s">
        <v>311</v>
      </c>
      <c r="C286" s="149" t="s">
        <v>309</v>
      </c>
      <c r="D286" s="149" t="s">
        <v>310</v>
      </c>
      <c r="E286" s="149" t="s">
        <v>302</v>
      </c>
      <c r="F286" s="199"/>
      <c r="G286" s="200">
        <f>22538/1000</f>
        <v>22.538</v>
      </c>
      <c r="H286" s="200">
        <v>-0.91</v>
      </c>
      <c r="I286" s="200"/>
      <c r="J286" s="206">
        <v>-1.2410000000000001</v>
      </c>
      <c r="K286" s="200"/>
      <c r="L286" s="200"/>
      <c r="M286" s="201">
        <f t="shared" si="16"/>
        <v>20.387</v>
      </c>
      <c r="N286" s="9"/>
    </row>
    <row r="287" spans="1:14" s="128" customFormat="1" ht="15" hidden="1" customHeight="1" x14ac:dyDescent="0.25">
      <c r="A287" s="182" t="s">
        <v>150</v>
      </c>
      <c r="B287" s="149" t="s">
        <v>311</v>
      </c>
      <c r="C287" s="149" t="s">
        <v>309</v>
      </c>
      <c r="D287" s="149" t="s">
        <v>310</v>
      </c>
      <c r="E287" s="149" t="s">
        <v>302</v>
      </c>
      <c r="F287" s="199"/>
      <c r="G287" s="200">
        <f>9489/1000</f>
        <v>9.4890000000000008</v>
      </c>
      <c r="H287" s="200">
        <v>-0.53700000000000003</v>
      </c>
      <c r="I287" s="200"/>
      <c r="J287" s="206">
        <v>-0.31</v>
      </c>
      <c r="K287" s="200"/>
      <c r="L287" s="200"/>
      <c r="M287" s="201">
        <f t="shared" ref="M287:M301" si="17">+G287+H287+I287+J287+K287+L287</f>
        <v>8.6419999999999995</v>
      </c>
      <c r="N287" s="9"/>
    </row>
    <row r="288" spans="1:14" s="128" customFormat="1" ht="15" hidden="1" customHeight="1" x14ac:dyDescent="0.25">
      <c r="A288" s="182" t="s">
        <v>114</v>
      </c>
      <c r="B288" s="149" t="s">
        <v>311</v>
      </c>
      <c r="C288" s="149" t="s">
        <v>309</v>
      </c>
      <c r="D288" s="149" t="s">
        <v>310</v>
      </c>
      <c r="E288" s="149" t="s">
        <v>302</v>
      </c>
      <c r="F288" s="199"/>
      <c r="G288" s="200">
        <f>3772/1000</f>
        <v>3.7719999999999998</v>
      </c>
      <c r="H288" s="200">
        <v>-0.97599999999999998</v>
      </c>
      <c r="I288" s="200"/>
      <c r="J288" s="206">
        <v>-0.31</v>
      </c>
      <c r="K288" s="200"/>
      <c r="L288" s="200"/>
      <c r="M288" s="201">
        <f t="shared" si="17"/>
        <v>2.4859999999999998</v>
      </c>
      <c r="N288" s="9"/>
    </row>
    <row r="289" spans="1:14" s="128" customFormat="1" ht="13.5" hidden="1" customHeight="1" x14ac:dyDescent="0.25">
      <c r="A289" s="182" t="s">
        <v>250</v>
      </c>
      <c r="B289" s="149" t="s">
        <v>311</v>
      </c>
      <c r="C289" s="149" t="s">
        <v>309</v>
      </c>
      <c r="D289" s="149" t="s">
        <v>310</v>
      </c>
      <c r="E289" s="149" t="s">
        <v>302</v>
      </c>
      <c r="F289" s="199"/>
      <c r="G289" s="200">
        <f>84993/1000</f>
        <v>84.992999999999995</v>
      </c>
      <c r="H289" s="207">
        <v>-18.54</v>
      </c>
      <c r="I289" s="200"/>
      <c r="J289" s="206">
        <v>-3.44</v>
      </c>
      <c r="K289" s="200"/>
      <c r="L289" s="200"/>
      <c r="M289" s="201">
        <f t="shared" si="17"/>
        <v>63.013000000000005</v>
      </c>
      <c r="N289" s="9"/>
    </row>
    <row r="290" spans="1:14" s="128" customFormat="1" ht="13.5" hidden="1" customHeight="1" x14ac:dyDescent="0.25">
      <c r="A290" s="182" t="s">
        <v>278</v>
      </c>
      <c r="B290" s="149" t="s">
        <v>311</v>
      </c>
      <c r="C290" s="149" t="s">
        <v>309</v>
      </c>
      <c r="D290" s="149" t="s">
        <v>310</v>
      </c>
      <c r="E290" s="149" t="s">
        <v>302</v>
      </c>
      <c r="F290" s="199"/>
      <c r="G290" s="200">
        <f>100265/1000</f>
        <v>100.265</v>
      </c>
      <c r="H290" s="207">
        <v>-14.77</v>
      </c>
      <c r="I290" s="200"/>
      <c r="J290" s="206">
        <v>-2.1379999999999999</v>
      </c>
      <c r="K290" s="200"/>
      <c r="L290" s="200"/>
      <c r="M290" s="201">
        <f t="shared" si="17"/>
        <v>83.356999999999999</v>
      </c>
      <c r="N290" s="9"/>
    </row>
    <row r="291" spans="1:14" s="128" customFormat="1" ht="13.5" hidden="1" customHeight="1" x14ac:dyDescent="0.25">
      <c r="A291" s="182" t="s">
        <v>224</v>
      </c>
      <c r="B291" s="149" t="s">
        <v>311</v>
      </c>
      <c r="C291" s="149" t="s">
        <v>309</v>
      </c>
      <c r="D291" s="149" t="s">
        <v>310</v>
      </c>
      <c r="E291" s="149" t="s">
        <v>302</v>
      </c>
      <c r="F291" s="199"/>
      <c r="G291" s="200">
        <f>135969/1000</f>
        <v>135.96899999999999</v>
      </c>
      <c r="H291" s="207">
        <v>-32.360999999999997</v>
      </c>
      <c r="I291" s="200"/>
      <c r="J291" s="206">
        <v>-3.722</v>
      </c>
      <c r="K291" s="200"/>
      <c r="L291" s="200"/>
      <c r="M291" s="201">
        <f t="shared" si="17"/>
        <v>99.88600000000001</v>
      </c>
      <c r="N291" s="9"/>
    </row>
    <row r="292" spans="1:14" s="128" customFormat="1" ht="15" hidden="1" customHeight="1" x14ac:dyDescent="0.25">
      <c r="A292" s="182" t="s">
        <v>214</v>
      </c>
      <c r="B292" s="149" t="s">
        <v>311</v>
      </c>
      <c r="C292" s="149" t="s">
        <v>309</v>
      </c>
      <c r="D292" s="149" t="s">
        <v>310</v>
      </c>
      <c r="E292" s="149" t="s">
        <v>302</v>
      </c>
      <c r="F292" s="199"/>
      <c r="G292" s="200">
        <f>44836/1000</f>
        <v>44.835999999999999</v>
      </c>
      <c r="H292" s="200">
        <v>-3.8839999999999999</v>
      </c>
      <c r="I292" s="200"/>
      <c r="J292" s="206">
        <v>-0.93100000000000005</v>
      </c>
      <c r="K292" s="200"/>
      <c r="L292" s="200"/>
      <c r="M292" s="201">
        <f t="shared" si="17"/>
        <v>40.021000000000001</v>
      </c>
      <c r="N292" s="9"/>
    </row>
    <row r="293" spans="1:14" s="128" customFormat="1" ht="15" hidden="1" customHeight="1" x14ac:dyDescent="0.25">
      <c r="A293" s="182" t="s">
        <v>194</v>
      </c>
      <c r="B293" s="149" t="s">
        <v>311</v>
      </c>
      <c r="C293" s="149" t="s">
        <v>309</v>
      </c>
      <c r="D293" s="149" t="s">
        <v>310</v>
      </c>
      <c r="E293" s="149" t="s">
        <v>302</v>
      </c>
      <c r="F293" s="199"/>
      <c r="G293" s="200">
        <f>15443/1000</f>
        <v>15.443</v>
      </c>
      <c r="H293" s="200">
        <v>-3.9710000000000001</v>
      </c>
      <c r="I293" s="200"/>
      <c r="J293" s="206">
        <v>-1.2410000000000001</v>
      </c>
      <c r="K293" s="200"/>
      <c r="L293" s="200"/>
      <c r="M293" s="201">
        <f t="shared" si="17"/>
        <v>10.231</v>
      </c>
      <c r="N293" s="9"/>
    </row>
    <row r="294" spans="1:14" s="128" customFormat="1" ht="15" hidden="1" customHeight="1" x14ac:dyDescent="0.25">
      <c r="A294" s="182" t="s">
        <v>195</v>
      </c>
      <c r="B294" s="149" t="s">
        <v>311</v>
      </c>
      <c r="C294" s="149" t="s">
        <v>309</v>
      </c>
      <c r="D294" s="149" t="s">
        <v>310</v>
      </c>
      <c r="E294" s="149" t="s">
        <v>302</v>
      </c>
      <c r="F294" s="199"/>
      <c r="G294" s="200">
        <f>34541/1000</f>
        <v>34.540999999999997</v>
      </c>
      <c r="H294" s="200">
        <v>-7.7439999999999998</v>
      </c>
      <c r="I294" s="200"/>
      <c r="J294" s="206">
        <v>-1.5509999999999999</v>
      </c>
      <c r="K294" s="200"/>
      <c r="L294" s="200"/>
      <c r="M294" s="201">
        <f t="shared" si="17"/>
        <v>25.245999999999999</v>
      </c>
      <c r="N294" s="9"/>
    </row>
    <row r="295" spans="1:14" s="128" customFormat="1" ht="15" hidden="1" customHeight="1" x14ac:dyDescent="0.25">
      <c r="A295" s="182" t="s">
        <v>212</v>
      </c>
      <c r="B295" s="149" t="s">
        <v>311</v>
      </c>
      <c r="C295" s="149" t="s">
        <v>309</v>
      </c>
      <c r="D295" s="149" t="s">
        <v>310</v>
      </c>
      <c r="E295" s="149" t="s">
        <v>302</v>
      </c>
      <c r="F295" s="199"/>
      <c r="G295" s="200">
        <f>111489/1000</f>
        <v>111.489</v>
      </c>
      <c r="H295" s="200">
        <v>-29.184000000000001</v>
      </c>
      <c r="I295" s="200"/>
      <c r="J295" s="206">
        <v>-1.5509999999999999</v>
      </c>
      <c r="K295" s="200"/>
      <c r="L295" s="200"/>
      <c r="M295" s="201">
        <f t="shared" si="17"/>
        <v>80.754000000000005</v>
      </c>
      <c r="N295" s="9"/>
    </row>
    <row r="296" spans="1:14" s="128" customFormat="1" ht="15" hidden="1" customHeight="1" x14ac:dyDescent="0.25">
      <c r="A296" s="182" t="s">
        <v>213</v>
      </c>
      <c r="B296" s="149" t="s">
        <v>311</v>
      </c>
      <c r="C296" s="149" t="s">
        <v>309</v>
      </c>
      <c r="D296" s="149" t="s">
        <v>310</v>
      </c>
      <c r="E296" s="149" t="s">
        <v>302</v>
      </c>
      <c r="F296" s="199"/>
      <c r="G296" s="200">
        <f>45174/1000</f>
        <v>45.173999999999999</v>
      </c>
      <c r="H296" s="200">
        <v>-8.6</v>
      </c>
      <c r="I296" s="200"/>
      <c r="J296" s="206">
        <v>-3.6709999999999998</v>
      </c>
      <c r="K296" s="200"/>
      <c r="L296" s="200"/>
      <c r="M296" s="201">
        <f t="shared" si="17"/>
        <v>32.902999999999999</v>
      </c>
      <c r="N296" s="9"/>
    </row>
    <row r="297" spans="1:14" s="128" customFormat="1" ht="15" hidden="1" customHeight="1" x14ac:dyDescent="0.25">
      <c r="A297" s="182" t="s">
        <v>116</v>
      </c>
      <c r="B297" s="149" t="s">
        <v>311</v>
      </c>
      <c r="C297" s="149" t="s">
        <v>309</v>
      </c>
      <c r="D297" s="149" t="s">
        <v>310</v>
      </c>
      <c r="E297" s="149" t="s">
        <v>302</v>
      </c>
      <c r="F297" s="199"/>
      <c r="G297" s="200">
        <f>57783/1000</f>
        <v>57.783000000000001</v>
      </c>
      <c r="H297" s="200">
        <v>-2.2629999999999999</v>
      </c>
      <c r="I297" s="200"/>
      <c r="J297" s="206">
        <v>-2.7080000000000002</v>
      </c>
      <c r="K297" s="200"/>
      <c r="L297" s="200"/>
      <c r="M297" s="201">
        <f t="shared" si="17"/>
        <v>52.812000000000005</v>
      </c>
      <c r="N297" s="9"/>
    </row>
    <row r="298" spans="1:14" s="128" customFormat="1" ht="13.5" hidden="1" customHeight="1" x14ac:dyDescent="0.25">
      <c r="A298" s="182" t="s">
        <v>280</v>
      </c>
      <c r="B298" s="149" t="s">
        <v>311</v>
      </c>
      <c r="C298" s="149" t="s">
        <v>309</v>
      </c>
      <c r="D298" s="149" t="s">
        <v>310</v>
      </c>
      <c r="E298" s="149" t="s">
        <v>302</v>
      </c>
      <c r="F298" s="199"/>
      <c r="G298" s="200">
        <f>2751/1000</f>
        <v>2.7509999999999999</v>
      </c>
      <c r="H298" s="207">
        <v>-0.1</v>
      </c>
      <c r="I298" s="200"/>
      <c r="J298" s="206">
        <v>-0.15</v>
      </c>
      <c r="K298" s="200"/>
      <c r="L298" s="200"/>
      <c r="M298" s="201">
        <f t="shared" si="17"/>
        <v>2.5009999999999999</v>
      </c>
      <c r="N298" s="9"/>
    </row>
    <row r="299" spans="1:14" s="128" customFormat="1" ht="15" hidden="1" customHeight="1" x14ac:dyDescent="0.25">
      <c r="A299" s="182" t="s">
        <v>176</v>
      </c>
      <c r="B299" s="149" t="s">
        <v>311</v>
      </c>
      <c r="C299" s="149" t="s">
        <v>309</v>
      </c>
      <c r="D299" s="149" t="s">
        <v>310</v>
      </c>
      <c r="E299" s="149" t="s">
        <v>302</v>
      </c>
      <c r="F299" s="199"/>
      <c r="G299" s="200">
        <f>597862/1000</f>
        <v>597.86199999999997</v>
      </c>
      <c r="H299" s="200">
        <f>-143890/1000</f>
        <v>-143.88999999999999</v>
      </c>
      <c r="I299" s="200"/>
      <c r="J299" s="206">
        <f>-43066/1000</f>
        <v>-43.066000000000003</v>
      </c>
      <c r="K299" s="200"/>
      <c r="L299" s="200"/>
      <c r="M299" s="201">
        <f t="shared" si="17"/>
        <v>410.90599999999995</v>
      </c>
      <c r="N299" s="9"/>
    </row>
    <row r="300" spans="1:14" s="128" customFormat="1" ht="13.5" hidden="1" customHeight="1" x14ac:dyDescent="0.25">
      <c r="A300" s="182" t="s">
        <v>246</v>
      </c>
      <c r="B300" s="149" t="s">
        <v>311</v>
      </c>
      <c r="C300" s="149" t="s">
        <v>309</v>
      </c>
      <c r="D300" s="149" t="s">
        <v>310</v>
      </c>
      <c r="E300" s="149" t="s">
        <v>302</v>
      </c>
      <c r="F300" s="199"/>
      <c r="G300" s="200">
        <v>-3.3000000000000002E-2</v>
      </c>
      <c r="H300" s="207"/>
      <c r="I300" s="200"/>
      <c r="J300" s="206"/>
      <c r="K300" s="200"/>
      <c r="L300" s="200"/>
      <c r="M300" s="201">
        <f t="shared" si="17"/>
        <v>-3.3000000000000002E-2</v>
      </c>
      <c r="N300" s="9"/>
    </row>
    <row r="301" spans="1:14" s="128" customFormat="1" ht="15" hidden="1" customHeight="1" x14ac:dyDescent="0.25">
      <c r="A301" s="182" t="s">
        <v>155</v>
      </c>
      <c r="B301" s="149" t="s">
        <v>311</v>
      </c>
      <c r="C301" s="149" t="s">
        <v>309</v>
      </c>
      <c r="D301" s="149" t="s">
        <v>310</v>
      </c>
      <c r="E301" s="149" t="s">
        <v>302</v>
      </c>
      <c r="F301" s="199"/>
      <c r="G301" s="200">
        <f>22731/1000</f>
        <v>22.731000000000002</v>
      </c>
      <c r="H301" s="200">
        <f>0/1000</f>
        <v>0</v>
      </c>
      <c r="I301" s="200"/>
      <c r="J301" s="206"/>
      <c r="K301" s="200"/>
      <c r="L301" s="200"/>
      <c r="M301" s="201">
        <f t="shared" si="17"/>
        <v>22.731000000000002</v>
      </c>
      <c r="N301" s="9"/>
    </row>
    <row r="302" spans="1:14" s="128" customFormat="1" ht="13.5" customHeight="1" x14ac:dyDescent="0.25">
      <c r="A302" s="192" t="s">
        <v>335</v>
      </c>
      <c r="B302" s="180"/>
      <c r="C302" s="180"/>
      <c r="D302" s="180"/>
      <c r="E302" s="180"/>
      <c r="F302" s="202"/>
      <c r="G302" s="203">
        <f>SUM(G222:G301)</f>
        <v>18870.258000000002</v>
      </c>
      <c r="H302" s="212">
        <f t="shared" ref="H302:M302" si="18">SUM(H222:H301)</f>
        <v>-4396.5590740000007</v>
      </c>
      <c r="I302" s="203">
        <f t="shared" si="18"/>
        <v>0</v>
      </c>
      <c r="J302" s="204">
        <f t="shared" si="18"/>
        <v>-1084.9939999999997</v>
      </c>
      <c r="K302" s="203">
        <f t="shared" si="18"/>
        <v>0</v>
      </c>
      <c r="L302" s="203">
        <f t="shared" si="18"/>
        <v>0</v>
      </c>
      <c r="M302" s="205">
        <f t="shared" si="18"/>
        <v>13388.704926000002</v>
      </c>
      <c r="N302" s="9"/>
    </row>
    <row r="303" spans="1:14" s="128" customFormat="1" ht="5.0999999999999996" customHeight="1" x14ac:dyDescent="0.25">
      <c r="A303" s="182"/>
      <c r="B303" s="149"/>
      <c r="C303" s="149"/>
      <c r="D303" s="149"/>
      <c r="E303" s="149"/>
      <c r="F303" s="199"/>
      <c r="G303" s="200"/>
      <c r="H303" s="207"/>
      <c r="I303" s="200"/>
      <c r="J303" s="206"/>
      <c r="K303" s="200"/>
      <c r="L303" s="200"/>
      <c r="M303" s="201"/>
      <c r="N303" s="9"/>
    </row>
    <row r="304" spans="1:14" s="128" customFormat="1" ht="13.5" customHeight="1" x14ac:dyDescent="0.25">
      <c r="A304" s="198" t="s">
        <v>341</v>
      </c>
      <c r="B304" s="149"/>
      <c r="C304" s="149"/>
      <c r="D304" s="149"/>
      <c r="E304" s="149"/>
      <c r="F304" s="199">
        <f>SUM(F302,F221)</f>
        <v>0</v>
      </c>
      <c r="G304" s="200">
        <f>SUM(G302,G221)</f>
        <v>28365.364000000001</v>
      </c>
      <c r="H304" s="207">
        <f t="shared" ref="H304:M304" si="19">SUM(H302,H221)</f>
        <v>-7025.9370740000013</v>
      </c>
      <c r="I304" s="200">
        <f t="shared" si="19"/>
        <v>0</v>
      </c>
      <c r="J304" s="206">
        <f t="shared" si="19"/>
        <v>-1861.9439999999995</v>
      </c>
      <c r="K304" s="200">
        <f t="shared" si="19"/>
        <v>0</v>
      </c>
      <c r="L304" s="200">
        <f t="shared" si="19"/>
        <v>0</v>
      </c>
      <c r="M304" s="201">
        <f t="shared" si="19"/>
        <v>19477.482926000001</v>
      </c>
      <c r="N304" s="9"/>
    </row>
    <row r="305" spans="1:14" s="128" customFormat="1" ht="13.5" customHeight="1" x14ac:dyDescent="0.25">
      <c r="A305" s="182"/>
      <c r="B305" s="149"/>
      <c r="C305" s="149"/>
      <c r="D305" s="149"/>
      <c r="E305" s="149"/>
      <c r="F305" s="199"/>
      <c r="G305" s="200"/>
      <c r="H305" s="207"/>
      <c r="I305" s="200"/>
      <c r="J305" s="206"/>
      <c r="K305" s="206"/>
      <c r="L305" s="200"/>
      <c r="M305" s="201"/>
      <c r="N305" s="9"/>
    </row>
    <row r="306" spans="1:14" s="128" customFormat="1" ht="15" customHeight="1" x14ac:dyDescent="0.25">
      <c r="A306" s="178" t="s">
        <v>20</v>
      </c>
      <c r="B306" s="149"/>
      <c r="C306" s="149"/>
      <c r="D306" s="149"/>
      <c r="E306" s="149"/>
      <c r="F306" s="199"/>
      <c r="G306" s="200">
        <v>571.77099999999996</v>
      </c>
      <c r="H306" s="200"/>
      <c r="I306" s="200"/>
      <c r="J306" s="200"/>
      <c r="K306" s="200"/>
      <c r="L306" s="200"/>
      <c r="M306" s="201">
        <f>SUM(G306:L306)</f>
        <v>571.77099999999996</v>
      </c>
      <c r="N306" s="9"/>
    </row>
    <row r="307" spans="1:14" s="128" customFormat="1" ht="15" customHeight="1" x14ac:dyDescent="0.25">
      <c r="A307" s="178"/>
      <c r="B307" s="149"/>
      <c r="C307" s="149"/>
      <c r="D307" s="149"/>
      <c r="E307" s="149"/>
      <c r="F307" s="199"/>
      <c r="G307" s="200"/>
      <c r="H307" s="200"/>
      <c r="I307" s="200"/>
      <c r="J307" s="200"/>
      <c r="K307" s="200"/>
      <c r="L307" s="200"/>
      <c r="M307" s="201"/>
      <c r="N307" s="9"/>
    </row>
    <row r="308" spans="1:14" s="128" customFormat="1" ht="15" customHeight="1" x14ac:dyDescent="0.25">
      <c r="A308" s="178" t="s">
        <v>331</v>
      </c>
      <c r="B308" s="149"/>
      <c r="C308" s="149"/>
      <c r="D308" s="149"/>
      <c r="E308" s="149"/>
      <c r="F308" s="199"/>
      <c r="G308" s="200"/>
      <c r="H308" s="200"/>
      <c r="I308" s="200"/>
      <c r="J308" s="200"/>
      <c r="K308" s="200"/>
      <c r="L308" s="200"/>
      <c r="M308" s="201"/>
      <c r="N308" s="9"/>
    </row>
    <row r="309" spans="1:14" s="128" customFormat="1" ht="15" customHeight="1" x14ac:dyDescent="0.25">
      <c r="A309" s="178"/>
      <c r="B309" s="149"/>
      <c r="C309" s="149"/>
      <c r="D309" s="149"/>
      <c r="E309" s="149"/>
      <c r="F309" s="199"/>
      <c r="G309" s="200"/>
      <c r="H309" s="200"/>
      <c r="I309" s="200"/>
      <c r="J309" s="200"/>
      <c r="K309" s="200"/>
      <c r="L309" s="200"/>
      <c r="M309" s="201"/>
      <c r="N309" s="9"/>
    </row>
    <row r="310" spans="1:14" s="128" customFormat="1" ht="15" customHeight="1" x14ac:dyDescent="0.25">
      <c r="A310" s="178" t="s">
        <v>332</v>
      </c>
      <c r="B310" s="149"/>
      <c r="C310" s="149"/>
      <c r="D310" s="149"/>
      <c r="E310" s="149"/>
      <c r="F310" s="199"/>
      <c r="G310" s="200"/>
      <c r="H310" s="200"/>
      <c r="I310" s="200"/>
      <c r="J310" s="200"/>
      <c r="K310" s="200"/>
      <c r="L310" s="200"/>
      <c r="M310" s="201"/>
      <c r="N310" s="9"/>
    </row>
    <row r="311" spans="1:14" s="128" customFormat="1" ht="15" customHeight="1" x14ac:dyDescent="0.25">
      <c r="A311" s="183" t="s">
        <v>429</v>
      </c>
      <c r="B311" s="149"/>
      <c r="C311" s="149"/>
      <c r="D311" s="149"/>
      <c r="E311" s="149" t="s">
        <v>357</v>
      </c>
      <c r="F311" s="199"/>
      <c r="G311" s="200">
        <v>-17.321640599999998</v>
      </c>
      <c r="H311" s="200"/>
      <c r="I311" s="200"/>
      <c r="J311" s="200"/>
      <c r="K311" s="200"/>
      <c r="L311" s="200"/>
      <c r="M311" s="201">
        <f t="shared" ref="M311:M316" si="20">SUM(G311:L311)</f>
        <v>-17.321640599999998</v>
      </c>
      <c r="N311" s="9"/>
    </row>
    <row r="312" spans="1:14" s="128" customFormat="1" ht="15" customHeight="1" x14ac:dyDescent="0.25">
      <c r="A312" s="183" t="s">
        <v>429</v>
      </c>
      <c r="B312" s="149"/>
      <c r="C312" s="149"/>
      <c r="D312" s="149"/>
      <c r="E312" s="149" t="s">
        <v>357</v>
      </c>
      <c r="F312" s="199"/>
      <c r="G312" s="200">
        <v>26.944774200000001</v>
      </c>
      <c r="H312" s="200"/>
      <c r="I312" s="200"/>
      <c r="J312" s="200"/>
      <c r="K312" s="200"/>
      <c r="L312" s="200"/>
      <c r="M312" s="201">
        <f t="shared" si="20"/>
        <v>26.944774200000001</v>
      </c>
      <c r="N312" s="9"/>
    </row>
    <row r="313" spans="1:14" s="128" customFormat="1" ht="15" customHeight="1" x14ac:dyDescent="0.25">
      <c r="A313" s="183" t="s">
        <v>430</v>
      </c>
      <c r="B313" s="149"/>
      <c r="C313" s="149"/>
      <c r="D313" s="149"/>
      <c r="E313" s="149" t="s">
        <v>357</v>
      </c>
      <c r="F313" s="199"/>
      <c r="G313" s="200">
        <v>-417.30952000000002</v>
      </c>
      <c r="H313" s="200"/>
      <c r="I313" s="200"/>
      <c r="J313" s="200"/>
      <c r="K313" s="200"/>
      <c r="L313" s="200"/>
      <c r="M313" s="201">
        <f t="shared" si="20"/>
        <v>-417.30952000000002</v>
      </c>
      <c r="N313" s="9"/>
    </row>
    <row r="314" spans="1:14" s="128" customFormat="1" ht="15" customHeight="1" x14ac:dyDescent="0.25">
      <c r="A314" s="183" t="s">
        <v>430</v>
      </c>
      <c r="B314" s="149"/>
      <c r="C314" s="149"/>
      <c r="D314" s="149"/>
      <c r="E314" s="149" t="s">
        <v>357</v>
      </c>
      <c r="F314" s="199"/>
      <c r="G314" s="200">
        <v>372.23464999999999</v>
      </c>
      <c r="H314" s="200"/>
      <c r="I314" s="200"/>
      <c r="J314" s="200"/>
      <c r="K314" s="200"/>
      <c r="L314" s="200"/>
      <c r="M314" s="201">
        <f t="shared" si="20"/>
        <v>372.23464999999999</v>
      </c>
      <c r="N314" s="9"/>
    </row>
    <row r="315" spans="1:14" s="128" customFormat="1" ht="15" customHeight="1" x14ac:dyDescent="0.25">
      <c r="A315" s="183" t="s">
        <v>431</v>
      </c>
      <c r="B315" s="149"/>
      <c r="C315" s="149"/>
      <c r="D315" s="149"/>
      <c r="E315" s="149" t="s">
        <v>357</v>
      </c>
      <c r="F315" s="199"/>
      <c r="G315" s="200">
        <v>1.4235500000000001</v>
      </c>
      <c r="H315" s="200"/>
      <c r="I315" s="200"/>
      <c r="J315" s="200"/>
      <c r="K315" s="200"/>
      <c r="L315" s="200"/>
      <c r="M315" s="201">
        <f t="shared" si="20"/>
        <v>1.4235500000000001</v>
      </c>
      <c r="N315" s="9"/>
    </row>
    <row r="316" spans="1:14" s="128" customFormat="1" ht="15" customHeight="1" x14ac:dyDescent="0.25">
      <c r="A316" s="183" t="s">
        <v>431</v>
      </c>
      <c r="B316" s="149"/>
      <c r="C316" s="149"/>
      <c r="D316" s="149"/>
      <c r="E316" s="149" t="s">
        <v>357</v>
      </c>
      <c r="F316" s="199"/>
      <c r="G316" s="200">
        <v>-2.7031999999999998</v>
      </c>
      <c r="H316" s="200"/>
      <c r="I316" s="200"/>
      <c r="J316" s="200"/>
      <c r="K316" s="200"/>
      <c r="L316" s="200"/>
      <c r="M316" s="201">
        <f t="shared" si="20"/>
        <v>-2.7031999999999998</v>
      </c>
      <c r="N316" s="9"/>
    </row>
    <row r="317" spans="1:14" s="128" customFormat="1" ht="5.0999999999999996" customHeight="1" x14ac:dyDescent="0.25">
      <c r="A317" s="224"/>
      <c r="B317" s="180"/>
      <c r="C317" s="180"/>
      <c r="D317" s="180"/>
      <c r="E317" s="180"/>
      <c r="F317" s="202"/>
      <c r="G317" s="203"/>
      <c r="H317" s="203"/>
      <c r="I317" s="203"/>
      <c r="J317" s="203"/>
      <c r="K317" s="203"/>
      <c r="L317" s="203"/>
      <c r="M317" s="205"/>
      <c r="N317" s="9"/>
    </row>
    <row r="318" spans="1:14" s="128" customFormat="1" ht="15" customHeight="1" x14ac:dyDescent="0.25">
      <c r="A318" s="178" t="s">
        <v>340</v>
      </c>
      <c r="B318" s="149"/>
      <c r="C318" s="149"/>
      <c r="D318" s="149"/>
      <c r="E318" s="149"/>
      <c r="F318" s="199"/>
      <c r="G318" s="200">
        <f>SUM(G310:G317)</f>
        <v>-36.731386400000019</v>
      </c>
      <c r="H318" s="200">
        <f t="shared" ref="H318:M318" si="21">SUM(H310:H317)</f>
        <v>0</v>
      </c>
      <c r="I318" s="200">
        <f t="shared" si="21"/>
        <v>0</v>
      </c>
      <c r="J318" s="200">
        <f t="shared" si="21"/>
        <v>0</v>
      </c>
      <c r="K318" s="200">
        <f t="shared" si="21"/>
        <v>0</v>
      </c>
      <c r="L318" s="200">
        <f t="shared" si="21"/>
        <v>0</v>
      </c>
      <c r="M318" s="201">
        <f t="shared" si="21"/>
        <v>-36.731386400000019</v>
      </c>
      <c r="N318" s="9"/>
    </row>
    <row r="319" spans="1:14" s="128" customFormat="1" ht="15" customHeight="1" x14ac:dyDescent="0.25">
      <c r="A319" s="178"/>
      <c r="B319" s="149"/>
      <c r="C319" s="149"/>
      <c r="D319" s="149"/>
      <c r="E319" s="149"/>
      <c r="F319" s="199"/>
      <c r="G319" s="200"/>
      <c r="H319" s="200"/>
      <c r="I319" s="200"/>
      <c r="J319" s="200"/>
      <c r="K319" s="200"/>
      <c r="L319" s="200"/>
      <c r="M319" s="201"/>
      <c r="N319" s="9"/>
    </row>
    <row r="320" spans="1:14" s="128" customFormat="1" ht="15" customHeight="1" x14ac:dyDescent="0.25">
      <c r="A320" s="196" t="s">
        <v>333</v>
      </c>
      <c r="B320" s="10"/>
      <c r="C320" s="10"/>
      <c r="D320" s="10"/>
      <c r="E320" s="10"/>
      <c r="F320" s="208">
        <f t="shared" ref="F320:M320" si="22">+F304+F152+F121+F88</f>
        <v>766.56500000000005</v>
      </c>
      <c r="G320" s="209">
        <f t="shared" si="22"/>
        <v>31891.028000000002</v>
      </c>
      <c r="H320" s="209">
        <f t="shared" si="22"/>
        <v>-7442.7760740000022</v>
      </c>
      <c r="I320" s="209">
        <f t="shared" si="22"/>
        <v>0</v>
      </c>
      <c r="J320" s="209">
        <f t="shared" si="22"/>
        <v>-2018.4849999999994</v>
      </c>
      <c r="K320" s="209">
        <f t="shared" si="22"/>
        <v>-1688.6890000000003</v>
      </c>
      <c r="L320" s="209">
        <f t="shared" si="22"/>
        <v>0</v>
      </c>
      <c r="M320" s="210">
        <f t="shared" si="22"/>
        <v>20741.077926000002</v>
      </c>
      <c r="N320" s="197"/>
    </row>
    <row r="321" spans="1:22" s="128" customFormat="1" ht="15" customHeight="1" x14ac:dyDescent="0.25">
      <c r="A321" s="177"/>
      <c r="B321" s="149"/>
      <c r="C321" s="149"/>
      <c r="D321" s="149"/>
      <c r="E321" s="149"/>
      <c r="F321" s="199"/>
      <c r="G321" s="200"/>
      <c r="H321" s="200"/>
      <c r="I321" s="200"/>
      <c r="J321" s="200"/>
      <c r="K321" s="200"/>
      <c r="L321" s="200"/>
      <c r="M321" s="201"/>
      <c r="N321" s="9"/>
    </row>
    <row r="322" spans="1:22" s="128" customFormat="1" ht="15" customHeight="1" x14ac:dyDescent="0.25">
      <c r="A322" s="177" t="s">
        <v>332</v>
      </c>
      <c r="B322" s="149"/>
      <c r="C322" s="149"/>
      <c r="D322" s="149"/>
      <c r="E322" s="149"/>
      <c r="F322" s="199"/>
      <c r="G322" s="200"/>
      <c r="H322" s="200"/>
      <c r="I322" s="200"/>
      <c r="J322" s="200"/>
      <c r="K322" s="200"/>
      <c r="L322" s="200"/>
      <c r="M322" s="201"/>
      <c r="N322" s="9"/>
    </row>
    <row r="323" spans="1:22" s="128" customFormat="1" ht="15" customHeight="1" x14ac:dyDescent="0.25">
      <c r="A323" s="193" t="s">
        <v>340</v>
      </c>
      <c r="B323" s="194"/>
      <c r="C323" s="194"/>
      <c r="D323" s="194"/>
      <c r="E323" s="194"/>
      <c r="F323" s="213"/>
      <c r="G323" s="200">
        <f t="shared" ref="G323:M323" si="23">SUM(G322:G322)</f>
        <v>0</v>
      </c>
      <c r="H323" s="200">
        <f t="shared" si="23"/>
        <v>0</v>
      </c>
      <c r="I323" s="200">
        <f t="shared" si="23"/>
        <v>0</v>
      </c>
      <c r="J323" s="200">
        <f t="shared" si="23"/>
        <v>0</v>
      </c>
      <c r="K323" s="200">
        <f t="shared" si="23"/>
        <v>0</v>
      </c>
      <c r="L323" s="200">
        <f t="shared" si="23"/>
        <v>0</v>
      </c>
      <c r="M323" s="201">
        <f t="shared" si="23"/>
        <v>0</v>
      </c>
      <c r="N323" s="9"/>
    </row>
    <row r="324" spans="1:22" s="128" customFormat="1" ht="15" customHeight="1" x14ac:dyDescent="0.25">
      <c r="A324" s="195"/>
      <c r="B324" s="194"/>
      <c r="C324" s="194"/>
      <c r="D324" s="194"/>
      <c r="E324" s="194"/>
      <c r="F324" s="111"/>
      <c r="G324" s="216"/>
      <c r="H324" s="174"/>
      <c r="I324" s="174"/>
      <c r="J324" s="174"/>
      <c r="K324" s="174"/>
      <c r="L324" s="174"/>
      <c r="M324" s="119"/>
      <c r="N324" s="9"/>
    </row>
    <row r="325" spans="1:22" s="128" customFormat="1" ht="13.5" customHeight="1" x14ac:dyDescent="0.25">
      <c r="A325" s="182" t="s">
        <v>68</v>
      </c>
      <c r="B325" s="149"/>
      <c r="C325" s="149"/>
      <c r="D325" s="149"/>
      <c r="E325" s="149"/>
      <c r="F325" s="199">
        <f t="shared" ref="F325:M325" si="24">+F323+F320+F52</f>
        <v>25786.761999999999</v>
      </c>
      <c r="G325" s="200">
        <f t="shared" si="24"/>
        <v>34843.410000000003</v>
      </c>
      <c r="H325" s="207">
        <f t="shared" si="24"/>
        <v>-7918.454074000002</v>
      </c>
      <c r="I325" s="200">
        <f t="shared" si="24"/>
        <v>0</v>
      </c>
      <c r="J325" s="206">
        <f t="shared" si="24"/>
        <v>-2039.5559999999994</v>
      </c>
      <c r="K325" s="206">
        <f t="shared" si="24"/>
        <v>-1688.6890000000003</v>
      </c>
      <c r="L325" s="200">
        <f t="shared" si="24"/>
        <v>0</v>
      </c>
      <c r="M325" s="201">
        <f t="shared" si="24"/>
        <v>23196.710926</v>
      </c>
      <c r="N325" s="9"/>
      <c r="O325" s="217"/>
    </row>
    <row r="326" spans="1:22" s="95" customFormat="1" ht="15" customHeight="1" thickBot="1" x14ac:dyDescent="0.25">
      <c r="A326" s="139"/>
      <c r="B326" s="145"/>
      <c r="C326" s="145"/>
      <c r="D326" s="145"/>
      <c r="E326" s="145"/>
      <c r="F326" s="99"/>
      <c r="G326" s="15"/>
      <c r="H326" s="15"/>
      <c r="I326" s="15"/>
      <c r="J326" s="15"/>
      <c r="K326" s="15"/>
      <c r="L326" s="15"/>
      <c r="M326" s="100"/>
      <c r="N326" s="101"/>
      <c r="O326" s="129"/>
      <c r="P326" s="129"/>
      <c r="Q326" s="129"/>
      <c r="R326" s="129"/>
      <c r="S326" s="129"/>
      <c r="T326" s="129"/>
      <c r="U326" s="129"/>
      <c r="V326" s="129"/>
    </row>
    <row r="327" spans="1:22" s="130" customFormat="1" ht="15" customHeight="1" thickBot="1" x14ac:dyDescent="0.3">
      <c r="A327" s="140" t="s">
        <v>366</v>
      </c>
      <c r="B327" s="151"/>
      <c r="C327" s="151"/>
      <c r="D327" s="151"/>
      <c r="E327" s="151"/>
      <c r="F327" s="120">
        <f t="shared" ref="F327:L327" si="25">+F325</f>
        <v>25786.761999999999</v>
      </c>
      <c r="G327" s="102">
        <f t="shared" si="25"/>
        <v>34843.410000000003</v>
      </c>
      <c r="H327" s="102">
        <f t="shared" si="25"/>
        <v>-7918.454074000002</v>
      </c>
      <c r="I327" s="102">
        <f t="shared" si="25"/>
        <v>0</v>
      </c>
      <c r="J327" s="102">
        <f t="shared" si="25"/>
        <v>-2039.5559999999994</v>
      </c>
      <c r="K327" s="102">
        <f t="shared" si="25"/>
        <v>-1688.6890000000003</v>
      </c>
      <c r="L327" s="102">
        <f t="shared" si="25"/>
        <v>0</v>
      </c>
      <c r="M327" s="103">
        <f>+M325</f>
        <v>23196.710926</v>
      </c>
      <c r="N327" s="95"/>
      <c r="Q327" s="131"/>
    </row>
    <row r="328" spans="1:22" s="130" customFormat="1" ht="15" customHeight="1" thickBot="1" x14ac:dyDescent="0.3">
      <c r="A328" s="141"/>
      <c r="B328" s="173"/>
      <c r="C328" s="173"/>
      <c r="D328" s="173"/>
      <c r="E328" s="173"/>
      <c r="F328" s="105"/>
      <c r="G328" s="105"/>
      <c r="H328" s="105"/>
      <c r="I328" s="105"/>
      <c r="J328" s="105"/>
      <c r="K328" s="105"/>
      <c r="L328" s="105"/>
      <c r="M328" s="105"/>
      <c r="N328" s="95"/>
      <c r="Q328" s="131"/>
    </row>
    <row r="329" spans="1:22" s="95" customFormat="1" ht="15" customHeight="1" thickBot="1" x14ac:dyDescent="0.3">
      <c r="A329" s="140" t="s">
        <v>21</v>
      </c>
      <c r="B329" s="151"/>
      <c r="C329" s="151"/>
      <c r="D329" s="151"/>
      <c r="E329" s="151"/>
      <c r="F329" s="104">
        <v>5889675</v>
      </c>
      <c r="G329" s="102">
        <v>111764.913</v>
      </c>
      <c r="H329" s="102">
        <v>-38184.82</v>
      </c>
      <c r="I329" s="102">
        <v>0</v>
      </c>
      <c r="J329" s="102"/>
      <c r="K329" s="102"/>
      <c r="L329" s="102">
        <v>-10250.858999999999</v>
      </c>
      <c r="M329" s="103">
        <v>63329.233999999989</v>
      </c>
      <c r="Q329" s="132"/>
    </row>
    <row r="330" spans="1:22" s="95" customFormat="1" ht="15" customHeight="1" thickBot="1" x14ac:dyDescent="0.3">
      <c r="A330" s="140" t="s">
        <v>22</v>
      </c>
      <c r="B330" s="151"/>
      <c r="C330" s="151"/>
      <c r="D330" s="151"/>
      <c r="E330" s="151"/>
      <c r="F330" s="104">
        <v>4612571.7164447941</v>
      </c>
      <c r="G330" s="102">
        <v>138221.17372464499</v>
      </c>
      <c r="H330" s="102">
        <v>-21945.078000000001</v>
      </c>
      <c r="I330" s="102">
        <v>-16338.16</v>
      </c>
      <c r="J330" s="102"/>
      <c r="K330" s="102"/>
      <c r="L330" s="102">
        <v>14260.762999999999</v>
      </c>
      <c r="M330" s="103">
        <v>114198.42372464499</v>
      </c>
      <c r="Q330" s="132"/>
    </row>
    <row r="331" spans="1:22" s="95" customFormat="1" ht="15" customHeight="1" thickBot="1" x14ac:dyDescent="0.3">
      <c r="A331" s="140" t="s">
        <v>23</v>
      </c>
      <c r="B331" s="151"/>
      <c r="C331" s="151"/>
      <c r="D331" s="151"/>
      <c r="E331" s="151"/>
      <c r="F331" s="104">
        <v>5144419</v>
      </c>
      <c r="G331" s="102">
        <v>170916.20599999998</v>
      </c>
      <c r="H331" s="102">
        <v>-24302.493000000006</v>
      </c>
      <c r="I331" s="102">
        <v>2386.2060000000001</v>
      </c>
      <c r="J331" s="102"/>
      <c r="K331" s="102"/>
      <c r="L331" s="102">
        <v>0</v>
      </c>
      <c r="M331" s="103">
        <v>146613.71299999996</v>
      </c>
      <c r="Q331" s="132"/>
    </row>
    <row r="332" spans="1:22" s="95" customFormat="1" ht="15" customHeight="1" thickBot="1" x14ac:dyDescent="0.3">
      <c r="A332" s="140" t="s">
        <v>24</v>
      </c>
      <c r="B332" s="151"/>
      <c r="C332" s="151"/>
      <c r="D332" s="151"/>
      <c r="E332" s="151"/>
      <c r="F332" s="104">
        <f>+F327</f>
        <v>25786.761999999999</v>
      </c>
      <c r="G332" s="102">
        <f>G327</f>
        <v>34843.410000000003</v>
      </c>
      <c r="H332" s="102">
        <f t="shared" ref="H332:M332" si="26">H327</f>
        <v>-7918.454074000002</v>
      </c>
      <c r="I332" s="102">
        <f t="shared" si="26"/>
        <v>0</v>
      </c>
      <c r="J332" s="102">
        <f t="shared" si="26"/>
        <v>-2039.5559999999994</v>
      </c>
      <c r="K332" s="102">
        <f t="shared" si="26"/>
        <v>-1688.6890000000003</v>
      </c>
      <c r="L332" s="102">
        <f t="shared" si="26"/>
        <v>0</v>
      </c>
      <c r="M332" s="102">
        <f t="shared" si="26"/>
        <v>23196.710926</v>
      </c>
      <c r="Q332" s="132"/>
    </row>
    <row r="333" spans="1:22" s="95" customFormat="1" ht="15" customHeight="1" thickBot="1" x14ac:dyDescent="0.3">
      <c r="A333" s="140" t="s">
        <v>25</v>
      </c>
      <c r="B333" s="151"/>
      <c r="C333" s="151"/>
      <c r="D333" s="151"/>
      <c r="E333" s="151"/>
      <c r="F333" s="104">
        <f t="shared" ref="F333:M333" si="27">SUM(F329:F332)</f>
        <v>15672452.478444794</v>
      </c>
      <c r="G333" s="102">
        <f t="shared" si="27"/>
        <v>455745.70272464503</v>
      </c>
      <c r="H333" s="102">
        <f t="shared" si="27"/>
        <v>-92350.845074000012</v>
      </c>
      <c r="I333" s="102">
        <f t="shared" si="27"/>
        <v>-13951.954</v>
      </c>
      <c r="J333" s="102"/>
      <c r="K333" s="102"/>
      <c r="L333" s="102">
        <f t="shared" si="27"/>
        <v>4009.9040000000005</v>
      </c>
      <c r="M333" s="103">
        <f t="shared" si="27"/>
        <v>347338.08165064501</v>
      </c>
      <c r="Q333" s="132"/>
    </row>
    <row r="334" spans="1:22" s="95" customFormat="1" ht="21" customHeight="1" thickBot="1" x14ac:dyDescent="0.25">
      <c r="A334" s="133"/>
      <c r="B334" s="133"/>
      <c r="C334" s="133"/>
      <c r="D334" s="133"/>
      <c r="E334" s="133"/>
      <c r="F334" s="106"/>
      <c r="G334" s="7"/>
      <c r="H334" s="7"/>
      <c r="I334" s="7"/>
      <c r="J334" s="7"/>
      <c r="K334" s="7"/>
      <c r="L334" s="7"/>
      <c r="N334" s="39"/>
    </row>
    <row r="335" spans="1:22" s="95" customFormat="1" ht="21" customHeight="1" thickBot="1" x14ac:dyDescent="0.3">
      <c r="A335" s="142" t="s">
        <v>26</v>
      </c>
      <c r="B335" s="150"/>
      <c r="C335" s="150"/>
      <c r="D335" s="150"/>
      <c r="E335" s="151"/>
      <c r="F335" s="104">
        <v>853618</v>
      </c>
      <c r="G335" s="7"/>
      <c r="H335" s="7"/>
      <c r="M335" s="18"/>
      <c r="N335" s="39"/>
      <c r="Q335" s="132"/>
    </row>
    <row r="336" spans="1:22" s="95" customFormat="1" ht="15" hidden="1" customHeight="1" x14ac:dyDescent="0.25">
      <c r="A336" s="143"/>
      <c r="B336" s="152"/>
      <c r="C336" s="152"/>
      <c r="D336" s="152"/>
      <c r="E336" s="153"/>
      <c r="F336" s="107"/>
      <c r="G336" s="108" t="e">
        <f>+#REF!</f>
        <v>#REF!</v>
      </c>
      <c r="H336" s="7"/>
      <c r="M336" s="18"/>
      <c r="N336" s="39"/>
    </row>
    <row r="337" spans="1:72" s="95" customFormat="1" ht="21" customHeight="1" x14ac:dyDescent="0.2">
      <c r="A337" s="133"/>
      <c r="B337" s="154"/>
      <c r="C337" s="155"/>
      <c r="D337" s="156"/>
      <c r="E337" s="133"/>
      <c r="F337" s="98"/>
      <c r="G337" s="7"/>
      <c r="H337" s="7"/>
      <c r="I337" s="7"/>
      <c r="J337" s="7"/>
      <c r="K337" s="7"/>
      <c r="M337" s="18"/>
      <c r="N337" s="39"/>
    </row>
    <row r="338" spans="1:72" s="95" customFormat="1" ht="15" customHeight="1" thickBot="1" x14ac:dyDescent="0.25">
      <c r="A338" s="144" t="s">
        <v>52</v>
      </c>
      <c r="B338" s="157"/>
      <c r="C338" s="158"/>
      <c r="D338" s="159"/>
      <c r="E338" s="133"/>
      <c r="F338" s="98"/>
      <c r="G338" s="7"/>
      <c r="H338" s="7"/>
      <c r="I338" s="7"/>
      <c r="J338" s="7"/>
      <c r="K338" s="7"/>
      <c r="M338" s="18"/>
      <c r="N338" s="39"/>
    </row>
    <row r="339" spans="1:72" s="1" customFormat="1" ht="18.75" thickBot="1" x14ac:dyDescent="0.3">
      <c r="A339" s="365" t="s">
        <v>382</v>
      </c>
      <c r="B339" s="366"/>
      <c r="C339" s="366"/>
      <c r="D339" s="367"/>
      <c r="E339" s="7"/>
      <c r="F339" s="333"/>
      <c r="G339" s="7"/>
      <c r="H339" s="95"/>
      <c r="I339" s="18"/>
      <c r="J339" s="322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s="1" customFormat="1" ht="18" x14ac:dyDescent="0.25">
      <c r="A340" s="323" t="s">
        <v>383</v>
      </c>
      <c r="B340" s="324"/>
      <c r="C340" s="6"/>
      <c r="D340" s="325"/>
      <c r="E340" s="7"/>
      <c r="F340" s="334">
        <f>+F327</f>
        <v>25786.761999999999</v>
      </c>
      <c r="G340" s="7"/>
      <c r="H340" s="95"/>
      <c r="I340" s="18"/>
      <c r="J340" s="322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s="1" customFormat="1" ht="18" x14ac:dyDescent="0.25">
      <c r="A341" s="323" t="s">
        <v>384</v>
      </c>
      <c r="B341" s="324"/>
      <c r="C341" s="6"/>
      <c r="D341" s="325"/>
      <c r="E341" s="7"/>
      <c r="F341" s="334">
        <f>+Europe!H35</f>
        <v>30069.177956048261</v>
      </c>
      <c r="G341" s="7"/>
      <c r="H341" s="95"/>
      <c r="I341" s="18"/>
      <c r="J341" s="322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s="1" customFormat="1" ht="18" x14ac:dyDescent="0.25">
      <c r="A342" s="323" t="s">
        <v>385</v>
      </c>
      <c r="B342" s="324"/>
      <c r="C342" s="6"/>
      <c r="D342" s="325"/>
      <c r="E342" s="7"/>
      <c r="F342" s="334"/>
      <c r="G342" s="7"/>
      <c r="H342" s="95"/>
      <c r="I342" s="18"/>
      <c r="J342" s="322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s="1" customFormat="1" ht="18.75" thickBot="1" x14ac:dyDescent="0.3">
      <c r="A343" s="323" t="s">
        <v>386</v>
      </c>
      <c r="B343" s="324"/>
      <c r="C343" s="6"/>
      <c r="D343" s="325"/>
      <c r="E343" s="7"/>
      <c r="F343" s="334">
        <f>+F366</f>
        <v>30074.971000000001</v>
      </c>
      <c r="G343" s="7"/>
      <c r="H343" s="95"/>
      <c r="I343" s="18"/>
      <c r="J343" s="322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4" spans="1:72" s="1" customFormat="1" ht="18.75" thickBot="1" x14ac:dyDescent="0.3">
      <c r="A344" s="326" t="s">
        <v>387</v>
      </c>
      <c r="B344" s="327"/>
      <c r="C344" s="328"/>
      <c r="D344" s="329"/>
      <c r="E344" s="7"/>
      <c r="F344" s="326"/>
      <c r="G344" s="7"/>
      <c r="H344" s="95"/>
      <c r="I344" s="18"/>
      <c r="J344" s="322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</row>
    <row r="345" spans="1:72" s="1" customFormat="1" ht="18" x14ac:dyDescent="0.25">
      <c r="A345" s="324"/>
      <c r="B345" s="330"/>
      <c r="C345" s="331"/>
      <c r="D345" s="332"/>
      <c r="E345" s="7"/>
      <c r="F345" s="7"/>
      <c r="G345" s="7"/>
      <c r="H345" s="95"/>
      <c r="I345" s="18"/>
      <c r="J345" s="322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</row>
    <row r="346" spans="1:72" s="1" customFormat="1" ht="18.75" thickBot="1" x14ac:dyDescent="0.3">
      <c r="A346" s="324"/>
      <c r="B346" s="330"/>
      <c r="C346" s="331"/>
      <c r="D346" s="332"/>
      <c r="E346" s="7"/>
      <c r="F346" s="7"/>
      <c r="G346" s="7"/>
      <c r="H346" s="95"/>
      <c r="I346" s="18"/>
      <c r="J346" s="322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</row>
    <row r="347" spans="1:72" s="95" customFormat="1" ht="15" customHeight="1" thickBot="1" x14ac:dyDescent="0.25">
      <c r="A347" s="121"/>
      <c r="B347" s="160"/>
      <c r="C347" s="161"/>
      <c r="D347" s="162"/>
      <c r="E347" s="133"/>
      <c r="F347" s="121" t="s">
        <v>9</v>
      </c>
      <c r="G347" s="121" t="s">
        <v>10</v>
      </c>
      <c r="H347" s="121" t="s">
        <v>11</v>
      </c>
      <c r="I347" s="8" t="s">
        <v>344</v>
      </c>
      <c r="J347" s="121" t="s">
        <v>69</v>
      </c>
      <c r="K347" s="319" t="s">
        <v>232</v>
      </c>
      <c r="L347" s="91" t="s">
        <v>13</v>
      </c>
      <c r="M347" s="8" t="s">
        <v>342</v>
      </c>
      <c r="N347" s="39"/>
    </row>
    <row r="348" spans="1:72" s="95" customFormat="1" ht="15" customHeight="1" thickBot="1" x14ac:dyDescent="0.3">
      <c r="A348" s="123" t="s">
        <v>53</v>
      </c>
      <c r="B348" s="163"/>
      <c r="C348" s="164"/>
      <c r="D348" s="165"/>
      <c r="E348" s="166"/>
      <c r="F348" s="123"/>
      <c r="G348" s="223" t="s">
        <v>346</v>
      </c>
      <c r="H348" s="124"/>
      <c r="I348" s="124" t="s">
        <v>343</v>
      </c>
      <c r="J348" s="124"/>
      <c r="K348" s="320"/>
      <c r="L348" s="92"/>
      <c r="M348" s="90" t="s">
        <v>345</v>
      </c>
      <c r="N348" s="222"/>
    </row>
    <row r="349" spans="1:72" s="95" customFormat="1" ht="15" customHeight="1" x14ac:dyDescent="0.2">
      <c r="A349" s="313" t="s">
        <v>367</v>
      </c>
      <c r="B349" s="308"/>
      <c r="C349" s="309"/>
      <c r="D349" s="310"/>
      <c r="E349" s="129"/>
      <c r="F349" s="316">
        <v>496.24099999999999</v>
      </c>
      <c r="G349" s="316">
        <f>('[8]Q4 Pwr Deal Tickets'!$U6+'[8]Q4 Pwr Deal Tickets'!$V6)*0.001</f>
        <v>29.3</v>
      </c>
      <c r="H349" s="316">
        <v>-3.7</v>
      </c>
      <c r="I349" s="316">
        <v>0</v>
      </c>
      <c r="J349" s="316">
        <v>-0.44600000000000001</v>
      </c>
      <c r="K349" s="316">
        <v>-5.1210000000000004</v>
      </c>
      <c r="L349" s="314">
        <v>0</v>
      </c>
      <c r="M349" s="314">
        <f>(SUM(G349:K349))</f>
        <v>20.033000000000001</v>
      </c>
      <c r="N349" s="222"/>
    </row>
    <row r="350" spans="1:72" s="95" customFormat="1" ht="15" customHeight="1" x14ac:dyDescent="0.2">
      <c r="A350" s="313" t="s">
        <v>368</v>
      </c>
      <c r="B350" s="308"/>
      <c r="C350" s="309"/>
      <c r="D350" s="310"/>
      <c r="E350" s="129"/>
      <c r="F350" s="316">
        <v>142.048</v>
      </c>
      <c r="G350" s="316">
        <f>('[8]Q4 Pwr Deal Tickets'!$U7+'[8]Q4 Pwr Deal Tickets'!$V7)*0.001</f>
        <v>0</v>
      </c>
      <c r="H350" s="316">
        <v>-1</v>
      </c>
      <c r="I350" s="316">
        <v>0</v>
      </c>
      <c r="J350" s="316">
        <v>-0.223</v>
      </c>
      <c r="K350" s="316">
        <v>-1.466</v>
      </c>
      <c r="L350" s="314">
        <v>0</v>
      </c>
      <c r="M350" s="314">
        <f t="shared" ref="M350:M365" si="28">(SUM(G350:K350))</f>
        <v>-2.6890000000000001</v>
      </c>
      <c r="N350" s="222"/>
    </row>
    <row r="351" spans="1:72" s="95" customFormat="1" ht="15" customHeight="1" x14ac:dyDescent="0.2">
      <c r="A351" s="313" t="s">
        <v>369</v>
      </c>
      <c r="B351" s="308"/>
      <c r="C351" s="309"/>
      <c r="D351" s="310"/>
      <c r="E351" s="129"/>
      <c r="F351" s="316">
        <v>231.51599999999999</v>
      </c>
      <c r="G351" s="316">
        <f>('[8]Q4 Pwr Deal Tickets'!$U8+'[8]Q4 Pwr Deal Tickets'!$V8)*0.001</f>
        <v>0</v>
      </c>
      <c r="H351" s="316">
        <v>-1.95</v>
      </c>
      <c r="I351" s="316">
        <v>0</v>
      </c>
      <c r="J351" s="316">
        <v>-0.223</v>
      </c>
      <c r="K351" s="316">
        <v>-2.3890000000000002</v>
      </c>
      <c r="L351" s="314">
        <v>0</v>
      </c>
      <c r="M351" s="314">
        <f t="shared" si="28"/>
        <v>-4.5620000000000003</v>
      </c>
      <c r="N351" s="222"/>
    </row>
    <row r="352" spans="1:72" s="95" customFormat="1" ht="15" customHeight="1" x14ac:dyDescent="0.2">
      <c r="A352" s="313" t="s">
        <v>370</v>
      </c>
      <c r="B352" s="308"/>
      <c r="C352" s="309"/>
      <c r="D352" s="310"/>
      <c r="E352" s="129"/>
      <c r="F352" s="316">
        <v>824.50099999999998</v>
      </c>
      <c r="G352" s="316">
        <f>('[8]Q4 Pwr Deal Tickets'!$U9+'[8]Q4 Pwr Deal Tickets'!$V9)*0.001</f>
        <v>0</v>
      </c>
      <c r="H352" s="316">
        <v>-5.4</v>
      </c>
      <c r="I352" s="316">
        <v>0</v>
      </c>
      <c r="J352" s="316">
        <v>-0.223</v>
      </c>
      <c r="K352" s="316">
        <v>-8.51</v>
      </c>
      <c r="L352" s="314">
        <v>0</v>
      </c>
      <c r="M352" s="314">
        <f t="shared" si="28"/>
        <v>-14.132999999999999</v>
      </c>
      <c r="N352" s="222"/>
    </row>
    <row r="353" spans="1:17" s="95" customFormat="1" ht="15" customHeight="1" x14ac:dyDescent="0.2">
      <c r="A353" s="313" t="s">
        <v>371</v>
      </c>
      <c r="B353" s="308"/>
      <c r="C353" s="309"/>
      <c r="D353" s="310"/>
      <c r="E353" s="129"/>
      <c r="F353" s="316">
        <v>5783.5950000000003</v>
      </c>
      <c r="G353" s="316">
        <f>('[8]Q4 Pwr Deal Tickets'!$U10+'[8]Q4 Pwr Deal Tickets'!$V10)*0.001</f>
        <v>0</v>
      </c>
      <c r="H353" s="316">
        <v>-49.45</v>
      </c>
      <c r="I353" s="316">
        <v>0</v>
      </c>
      <c r="J353" s="316">
        <v>-0.33900000000000002</v>
      </c>
      <c r="K353" s="316">
        <v>-58.387</v>
      </c>
      <c r="L353" s="314">
        <v>0</v>
      </c>
      <c r="M353" s="314">
        <f t="shared" si="28"/>
        <v>-108.176</v>
      </c>
      <c r="N353" s="222"/>
    </row>
    <row r="354" spans="1:17" s="95" customFormat="1" ht="15" customHeight="1" x14ac:dyDescent="0.2">
      <c r="A354" s="313" t="s">
        <v>372</v>
      </c>
      <c r="B354" s="308"/>
      <c r="C354" s="309"/>
      <c r="D354" s="310"/>
      <c r="E354" s="129"/>
      <c r="F354" s="316">
        <v>193.53800000000001</v>
      </c>
      <c r="G354" s="316">
        <f>('[8]Q4 Pwr Deal Tickets'!$U11+'[8]Q4 Pwr Deal Tickets'!$V11)*0.001</f>
        <v>0</v>
      </c>
      <c r="H354" s="316">
        <v>-5.45</v>
      </c>
      <c r="I354" s="316">
        <v>0</v>
      </c>
      <c r="J354" s="316">
        <v>-5.9539999999999997</v>
      </c>
      <c r="K354" s="316">
        <v>0</v>
      </c>
      <c r="L354" s="314">
        <v>0</v>
      </c>
      <c r="M354" s="314">
        <f t="shared" si="28"/>
        <v>-11.404</v>
      </c>
      <c r="N354" s="222"/>
    </row>
    <row r="355" spans="1:17" s="95" customFormat="1" ht="15" customHeight="1" x14ac:dyDescent="0.2">
      <c r="A355" s="313" t="s">
        <v>373</v>
      </c>
      <c r="B355" s="308"/>
      <c r="C355" s="309"/>
      <c r="D355" s="310"/>
      <c r="E355" s="129"/>
      <c r="F355" s="316">
        <v>537.36500000000001</v>
      </c>
      <c r="G355" s="316">
        <f>('[8]Q4 Pwr Deal Tickets'!$U12+'[8]Q4 Pwr Deal Tickets'!$V12)*0.001</f>
        <v>0</v>
      </c>
      <c r="H355" s="316">
        <v>-21</v>
      </c>
      <c r="I355" s="316">
        <v>0</v>
      </c>
      <c r="J355" s="316">
        <v>-5.9539999999999997</v>
      </c>
      <c r="K355" s="316">
        <v>0</v>
      </c>
      <c r="L355" s="314">
        <v>0</v>
      </c>
      <c r="M355" s="314">
        <f t="shared" si="28"/>
        <v>-26.954000000000001</v>
      </c>
      <c r="N355" s="222"/>
    </row>
    <row r="356" spans="1:17" s="95" customFormat="1" ht="15" customHeight="1" x14ac:dyDescent="0.2">
      <c r="A356" s="313" t="s">
        <v>374</v>
      </c>
      <c r="B356" s="308"/>
      <c r="C356" s="309"/>
      <c r="D356" s="310"/>
      <c r="E356" s="129"/>
      <c r="F356" s="316">
        <v>132.81300000000002</v>
      </c>
      <c r="G356" s="316">
        <f>('[8]Q4 Pwr Deal Tickets'!$U13+'[8]Q4 Pwr Deal Tickets'!$V13)*0.001</f>
        <v>0</v>
      </c>
      <c r="H356" s="316">
        <v>-2.6</v>
      </c>
      <c r="I356" s="316">
        <v>0</v>
      </c>
      <c r="J356" s="316">
        <v>-5.8620000000000001</v>
      </c>
      <c r="K356" s="316">
        <v>0</v>
      </c>
      <c r="L356" s="314">
        <v>0</v>
      </c>
      <c r="M356" s="314">
        <f t="shared" si="28"/>
        <v>-8.4619999999999997</v>
      </c>
      <c r="N356" s="222"/>
    </row>
    <row r="357" spans="1:17" s="95" customFormat="1" ht="15" customHeight="1" x14ac:dyDescent="0.2">
      <c r="A357" s="313" t="s">
        <v>375</v>
      </c>
      <c r="B357" s="308"/>
      <c r="C357" s="309"/>
      <c r="D357" s="310"/>
      <c r="E357" s="129"/>
      <c r="F357" s="316">
        <v>7713.8330000000005</v>
      </c>
      <c r="G357" s="316">
        <f>('[8]Q4 Pwr Deal Tickets'!$U14+'[8]Q4 Pwr Deal Tickets'!$V14)*0.001</f>
        <v>0</v>
      </c>
      <c r="H357" s="316">
        <v>-204</v>
      </c>
      <c r="I357" s="316">
        <v>0</v>
      </c>
      <c r="J357" s="316">
        <v>-24.024000000000001</v>
      </c>
      <c r="K357" s="316">
        <v>0</v>
      </c>
      <c r="L357" s="314">
        <v>0</v>
      </c>
      <c r="M357" s="314">
        <f t="shared" si="28"/>
        <v>-228.024</v>
      </c>
      <c r="N357" s="222"/>
    </row>
    <row r="358" spans="1:17" s="95" customFormat="1" ht="15" customHeight="1" x14ac:dyDescent="0.2">
      <c r="A358" s="313" t="s">
        <v>376</v>
      </c>
      <c r="B358" s="308"/>
      <c r="C358" s="309"/>
      <c r="D358" s="310"/>
      <c r="E358" s="129"/>
      <c r="F358" s="316">
        <v>7511.2740000000003</v>
      </c>
      <c r="G358" s="316">
        <f>('[8]Q4 Pwr Deal Tickets'!$U15+'[8]Q4 Pwr Deal Tickets'!$V15)*0.001</f>
        <v>0</v>
      </c>
      <c r="H358" s="316">
        <v>-335</v>
      </c>
      <c r="I358" s="316">
        <v>0</v>
      </c>
      <c r="J358" s="316">
        <v>-36.387</v>
      </c>
      <c r="K358" s="316">
        <v>0</v>
      </c>
      <c r="L358" s="314">
        <v>0</v>
      </c>
      <c r="M358" s="314">
        <f t="shared" si="28"/>
        <v>-371.387</v>
      </c>
      <c r="N358" s="222"/>
    </row>
    <row r="359" spans="1:17" s="95" customFormat="1" ht="15" customHeight="1" x14ac:dyDescent="0.2">
      <c r="A359" s="313" t="s">
        <v>377</v>
      </c>
      <c r="B359" s="308"/>
      <c r="C359" s="309"/>
      <c r="D359" s="310"/>
      <c r="E359" s="129"/>
      <c r="F359" s="316">
        <v>196.53700000000001</v>
      </c>
      <c r="G359" s="316">
        <f>('[8]Q4 Pwr Deal Tickets'!$U16+'[8]Q4 Pwr Deal Tickets'!$V16)*0.001</f>
        <v>0</v>
      </c>
      <c r="H359" s="316">
        <v>-3.5</v>
      </c>
      <c r="I359" s="316">
        <v>0</v>
      </c>
      <c r="J359" s="316">
        <v>-0.25800000000000001</v>
      </c>
      <c r="K359" s="316">
        <v>0</v>
      </c>
      <c r="L359" s="314">
        <v>0</v>
      </c>
      <c r="M359" s="314">
        <f t="shared" si="28"/>
        <v>-3.758</v>
      </c>
      <c r="N359" s="222"/>
    </row>
    <row r="360" spans="1:17" s="95" customFormat="1" ht="15" customHeight="1" x14ac:dyDescent="0.2">
      <c r="A360" s="313" t="s">
        <v>378</v>
      </c>
      <c r="B360" s="308"/>
      <c r="C360" s="309"/>
      <c r="D360" s="310"/>
      <c r="E360" s="129"/>
      <c r="F360" s="316">
        <v>515.02200000000005</v>
      </c>
      <c r="G360" s="316">
        <f>('[8]Q4 Pwr Deal Tickets'!$U17+'[8]Q4 Pwr Deal Tickets'!$V17)*0.001</f>
        <v>0</v>
      </c>
      <c r="H360" s="316">
        <v>-18</v>
      </c>
      <c r="I360" s="316">
        <v>0</v>
      </c>
      <c r="J360" s="316">
        <v>-9.8759999999999994</v>
      </c>
      <c r="K360" s="316">
        <v>0</v>
      </c>
      <c r="L360" s="314">
        <v>0</v>
      </c>
      <c r="M360" s="314">
        <f t="shared" si="28"/>
        <v>-27.875999999999998</v>
      </c>
      <c r="N360" s="222"/>
    </row>
    <row r="361" spans="1:17" s="95" customFormat="1" ht="15" customHeight="1" x14ac:dyDescent="0.2">
      <c r="A361" s="313" t="s">
        <v>379</v>
      </c>
      <c r="B361" s="308"/>
      <c r="C361" s="309"/>
      <c r="D361" s="310"/>
      <c r="E361" s="129"/>
      <c r="F361" s="316">
        <v>783.48300000000006</v>
      </c>
      <c r="G361" s="316">
        <f>('[8]Q4 Pwr Deal Tickets'!$U18+'[8]Q4 Pwr Deal Tickets'!$V18)*0.001</f>
        <v>0</v>
      </c>
      <c r="H361" s="316">
        <v>-18.5</v>
      </c>
      <c r="I361" s="316">
        <v>0</v>
      </c>
      <c r="J361" s="316">
        <v>-2.4500000000000002</v>
      </c>
      <c r="K361" s="316">
        <v>-12.298999999999999</v>
      </c>
      <c r="L361" s="314">
        <v>0</v>
      </c>
      <c r="M361" s="314">
        <f t="shared" si="28"/>
        <v>-33.248999999999995</v>
      </c>
      <c r="N361" s="222"/>
    </row>
    <row r="362" spans="1:17" s="95" customFormat="1" ht="15" customHeight="1" x14ac:dyDescent="0.2">
      <c r="A362" s="313" t="s">
        <v>380</v>
      </c>
      <c r="B362" s="308"/>
      <c r="C362" s="309"/>
      <c r="D362" s="310"/>
      <c r="E362" s="129"/>
      <c r="F362" s="316">
        <v>4049.6759999999999</v>
      </c>
      <c r="G362" s="316">
        <f>('[8]Q4 Pwr Deal Tickets'!$U19+'[8]Q4 Pwr Deal Tickets'!$V19)*0.001</f>
        <v>0</v>
      </c>
      <c r="H362" s="316">
        <v>-77.2</v>
      </c>
      <c r="I362" s="316">
        <v>0</v>
      </c>
      <c r="J362" s="316">
        <v>-5.5880000000000001</v>
      </c>
      <c r="K362" s="316">
        <v>0</v>
      </c>
      <c r="L362" s="314">
        <v>0</v>
      </c>
      <c r="M362" s="314">
        <f t="shared" si="28"/>
        <v>-82.787999999999997</v>
      </c>
      <c r="N362" s="222"/>
    </row>
    <row r="363" spans="1:17" s="95" customFormat="1" ht="15" customHeight="1" x14ac:dyDescent="0.2">
      <c r="A363" s="313" t="s">
        <v>381</v>
      </c>
      <c r="B363" s="308"/>
      <c r="C363" s="309"/>
      <c r="D363" s="310"/>
      <c r="E363" s="129"/>
      <c r="F363" s="316">
        <v>963.529</v>
      </c>
      <c r="G363" s="316">
        <f>('[8]Q4 Pwr Deal Tickets'!$U20+'[8]Q4 Pwr Deal Tickets'!$V20)*0.001</f>
        <v>0</v>
      </c>
      <c r="H363" s="316">
        <v>0</v>
      </c>
      <c r="I363" s="316">
        <v>0</v>
      </c>
      <c r="J363" s="316">
        <v>-1.4830000000000001</v>
      </c>
      <c r="K363" s="316">
        <v>0</v>
      </c>
      <c r="L363" s="314">
        <v>0</v>
      </c>
      <c r="M363" s="314">
        <f t="shared" si="28"/>
        <v>-1.4830000000000001</v>
      </c>
      <c r="N363" s="222"/>
    </row>
    <row r="364" spans="1:17" s="95" customFormat="1" ht="15" customHeight="1" x14ac:dyDescent="0.2">
      <c r="A364" s="313"/>
      <c r="B364" s="308"/>
      <c r="C364" s="309"/>
      <c r="D364" s="310"/>
      <c r="E364" s="129"/>
      <c r="F364" s="317"/>
      <c r="G364" s="109"/>
      <c r="H364" s="109"/>
      <c r="I364" s="109"/>
      <c r="J364" s="109"/>
      <c r="K364" s="109"/>
      <c r="M364" s="95">
        <f t="shared" si="28"/>
        <v>0</v>
      </c>
      <c r="N364" s="222"/>
    </row>
    <row r="365" spans="1:17" s="95" customFormat="1" ht="15" customHeight="1" thickBot="1" x14ac:dyDescent="0.25">
      <c r="A365" s="311"/>
      <c r="B365" s="129"/>
      <c r="C365" s="129"/>
      <c r="D365" s="129"/>
      <c r="E365" s="129"/>
      <c r="F365" s="109"/>
      <c r="G365" s="318"/>
      <c r="H365" s="318"/>
      <c r="I365" s="97"/>
      <c r="J365" s="97"/>
      <c r="K365" s="321"/>
      <c r="L365" s="96"/>
      <c r="M365" s="312">
        <f t="shared" si="28"/>
        <v>0</v>
      </c>
      <c r="N365" s="127"/>
    </row>
    <row r="366" spans="1:17" s="95" customFormat="1" ht="15" customHeight="1" thickBot="1" x14ac:dyDescent="0.25">
      <c r="A366" s="146" t="s">
        <v>27</v>
      </c>
      <c r="B366" s="168"/>
      <c r="C366" s="168"/>
      <c r="D366" s="168"/>
      <c r="E366" s="168"/>
      <c r="F366" s="110">
        <f>SUM(F349:F365)</f>
        <v>30074.971000000001</v>
      </c>
      <c r="G366" s="315">
        <f t="shared" ref="G366:M366" si="29">SUM(G349:G365)</f>
        <v>29.3</v>
      </c>
      <c r="H366" s="315">
        <f t="shared" si="29"/>
        <v>-746.75</v>
      </c>
      <c r="I366" s="315">
        <f t="shared" si="29"/>
        <v>0</v>
      </c>
      <c r="J366" s="315">
        <f t="shared" si="29"/>
        <v>-99.289999999999992</v>
      </c>
      <c r="K366" s="315">
        <f t="shared" si="29"/>
        <v>-88.171999999999997</v>
      </c>
      <c r="L366" s="315">
        <f t="shared" si="29"/>
        <v>0</v>
      </c>
      <c r="M366" s="43">
        <f t="shared" si="29"/>
        <v>-904.91200000000003</v>
      </c>
      <c r="N366" s="127"/>
      <c r="Q366" s="132"/>
    </row>
    <row r="367" spans="1:17" ht="15" customHeight="1" x14ac:dyDescent="0.2">
      <c r="A367" s="147" t="s">
        <v>54</v>
      </c>
      <c r="F367" s="98"/>
      <c r="L367" s="95"/>
    </row>
    <row r="368" spans="1:17" ht="15" customHeight="1" x14ac:dyDescent="0.2">
      <c r="F368" s="98"/>
      <c r="L368" s="95"/>
    </row>
    <row r="369" spans="1:12" ht="15" customHeight="1" x14ac:dyDescent="0.2">
      <c r="F369" s="98"/>
      <c r="L369" s="95"/>
    </row>
    <row r="370" spans="1:12" ht="15" customHeight="1" x14ac:dyDescent="0.2">
      <c r="F370" s="98"/>
      <c r="L370" s="95"/>
    </row>
    <row r="371" spans="1:12" ht="15" customHeight="1" thickBot="1" x14ac:dyDescent="0.25">
      <c r="F371" s="98"/>
      <c r="L371" s="95"/>
    </row>
    <row r="372" spans="1:12" ht="15" customHeight="1" thickBot="1" x14ac:dyDescent="0.25">
      <c r="A372" s="358" t="s">
        <v>388</v>
      </c>
      <c r="B372" s="359"/>
      <c r="C372" s="359"/>
      <c r="D372" s="359"/>
      <c r="E372" s="359"/>
      <c r="F372" s="360"/>
      <c r="L372" s="95"/>
    </row>
    <row r="373" spans="1:12" ht="15" customHeight="1" x14ac:dyDescent="0.2">
      <c r="A373" s="336" t="s">
        <v>389</v>
      </c>
      <c r="B373" s="167"/>
      <c r="C373" s="167"/>
      <c r="D373" s="167"/>
      <c r="E373" s="167"/>
      <c r="F373" s="337">
        <v>-175042</v>
      </c>
      <c r="L373" s="95"/>
    </row>
    <row r="374" spans="1:12" ht="15" customHeight="1" x14ac:dyDescent="0.2">
      <c r="A374" s="336" t="s">
        <v>390</v>
      </c>
      <c r="B374" s="167"/>
      <c r="C374" s="167"/>
      <c r="D374" s="167"/>
      <c r="E374" s="167"/>
      <c r="F374" s="338">
        <v>-132745</v>
      </c>
      <c r="L374" s="95"/>
    </row>
    <row r="375" spans="1:12" ht="15" customHeight="1" x14ac:dyDescent="0.2">
      <c r="A375" s="336" t="s">
        <v>391</v>
      </c>
      <c r="B375" s="167"/>
      <c r="C375" s="167"/>
      <c r="D375" s="167"/>
      <c r="E375" s="167"/>
      <c r="F375" s="338">
        <v>-2266103</v>
      </c>
      <c r="L375" s="95"/>
    </row>
    <row r="376" spans="1:12" ht="15" customHeight="1" x14ac:dyDescent="0.2">
      <c r="A376" s="336" t="s">
        <v>392</v>
      </c>
      <c r="B376" s="167"/>
      <c r="C376" s="167"/>
      <c r="D376" s="167"/>
      <c r="E376" s="167"/>
      <c r="F376" s="337">
        <v>-1034053</v>
      </c>
      <c r="L376" s="95"/>
    </row>
    <row r="377" spans="1:12" ht="15" customHeight="1" x14ac:dyDescent="0.2">
      <c r="A377" s="336" t="s">
        <v>393</v>
      </c>
      <c r="B377" s="167"/>
      <c r="C377" s="167"/>
      <c r="D377" s="167"/>
      <c r="E377" s="167"/>
      <c r="F377" s="338">
        <v>-1152333</v>
      </c>
      <c r="L377" s="95"/>
    </row>
    <row r="378" spans="1:12" ht="15" customHeight="1" x14ac:dyDescent="0.2">
      <c r="A378" s="336" t="s">
        <v>394</v>
      </c>
      <c r="B378" s="167"/>
      <c r="C378" s="167"/>
      <c r="D378" s="167"/>
      <c r="E378" s="167"/>
      <c r="F378" s="337">
        <v>-108781</v>
      </c>
      <c r="L378" s="95"/>
    </row>
    <row r="379" spans="1:12" ht="15" customHeight="1" x14ac:dyDescent="0.2">
      <c r="A379" s="336" t="s">
        <v>395</v>
      </c>
      <c r="B379" s="167"/>
      <c r="C379" s="167"/>
      <c r="D379" s="167"/>
      <c r="E379" s="167"/>
      <c r="F379" s="338">
        <v>-222995</v>
      </c>
      <c r="L379" s="95"/>
    </row>
    <row r="380" spans="1:12" ht="15" customHeight="1" x14ac:dyDescent="0.2">
      <c r="A380" s="336" t="s">
        <v>396</v>
      </c>
      <c r="B380" s="167"/>
      <c r="C380" s="167"/>
      <c r="D380" s="167"/>
      <c r="E380" s="167"/>
      <c r="F380" s="338">
        <v>-446743</v>
      </c>
      <c r="L380" s="95"/>
    </row>
    <row r="381" spans="1:12" ht="15" customHeight="1" x14ac:dyDescent="0.2">
      <c r="A381" s="336" t="s">
        <v>398</v>
      </c>
      <c r="B381" s="167"/>
      <c r="C381" s="167"/>
      <c r="D381" s="167"/>
      <c r="E381" s="167"/>
      <c r="F381" s="339">
        <v>-1216186</v>
      </c>
      <c r="L381" s="95"/>
    </row>
    <row r="382" spans="1:12" ht="15" customHeight="1" x14ac:dyDescent="0.2">
      <c r="A382" s="336" t="s">
        <v>399</v>
      </c>
      <c r="B382" s="167"/>
      <c r="C382" s="167"/>
      <c r="D382" s="167"/>
      <c r="E382" s="167"/>
      <c r="F382" s="339">
        <v>-420433</v>
      </c>
      <c r="L382" s="95"/>
    </row>
    <row r="383" spans="1:12" ht="15" customHeight="1" x14ac:dyDescent="0.2">
      <c r="A383" s="336" t="s">
        <v>400</v>
      </c>
      <c r="B383" s="167"/>
      <c r="C383" s="167"/>
      <c r="D383" s="167"/>
      <c r="E383" s="167"/>
      <c r="F383" s="339">
        <v>-5477</v>
      </c>
      <c r="L383" s="95"/>
    </row>
    <row r="384" spans="1:12" ht="15" customHeight="1" x14ac:dyDescent="0.2">
      <c r="A384" s="336" t="s">
        <v>400</v>
      </c>
      <c r="B384" s="167"/>
      <c r="C384" s="167"/>
      <c r="D384" s="167"/>
      <c r="E384" s="167"/>
      <c r="F384" s="338">
        <v>47227</v>
      </c>
      <c r="L384" s="95"/>
    </row>
    <row r="385" spans="1:12" ht="15" customHeight="1" x14ac:dyDescent="0.2">
      <c r="A385" s="336" t="s">
        <v>401</v>
      </c>
      <c r="B385" s="167"/>
      <c r="C385" s="167"/>
      <c r="D385" s="167"/>
      <c r="E385" s="167"/>
      <c r="F385" s="337">
        <v>-1442244.09</v>
      </c>
      <c r="L385" s="95"/>
    </row>
    <row r="386" spans="1:12" ht="15" customHeight="1" x14ac:dyDescent="0.2">
      <c r="A386" s="336" t="s">
        <v>402</v>
      </c>
      <c r="B386" s="167"/>
      <c r="C386" s="167"/>
      <c r="D386" s="167"/>
      <c r="E386" s="167"/>
      <c r="F386" s="340">
        <v>-982505</v>
      </c>
      <c r="L386" s="95"/>
    </row>
    <row r="387" spans="1:12" ht="15" customHeight="1" x14ac:dyDescent="0.2">
      <c r="A387" s="341"/>
      <c r="B387" s="167"/>
      <c r="C387" s="167"/>
      <c r="D387" s="167"/>
      <c r="E387" s="167"/>
      <c r="F387" s="337">
        <f>SUM(F372:F386)</f>
        <v>-9558413.0899999999</v>
      </c>
      <c r="L387" s="95"/>
    </row>
    <row r="388" spans="1:12" ht="15" customHeight="1" x14ac:dyDescent="0.2">
      <c r="A388" s="342" t="s">
        <v>403</v>
      </c>
      <c r="B388" s="167"/>
      <c r="C388" s="167"/>
      <c r="D388" s="167"/>
      <c r="E388" s="167"/>
      <c r="F388" s="337"/>
      <c r="L388" s="95"/>
    </row>
    <row r="389" spans="1:12" ht="15" customHeight="1" x14ac:dyDescent="0.2">
      <c r="A389" s="336" t="s">
        <v>404</v>
      </c>
      <c r="B389" s="167"/>
      <c r="C389" s="167"/>
      <c r="D389" s="167"/>
      <c r="E389" s="167"/>
      <c r="F389" s="338">
        <v>-182718</v>
      </c>
      <c r="L389" s="95"/>
    </row>
    <row r="390" spans="1:12" ht="15" customHeight="1" x14ac:dyDescent="0.2">
      <c r="A390" s="336" t="s">
        <v>405</v>
      </c>
      <c r="B390" s="167"/>
      <c r="C390" s="167"/>
      <c r="D390" s="167"/>
      <c r="E390" s="167"/>
      <c r="F390" s="339">
        <v>-496630.87</v>
      </c>
      <c r="L390" s="95"/>
    </row>
    <row r="391" spans="1:12" ht="15" customHeight="1" x14ac:dyDescent="0.2">
      <c r="A391" s="336" t="s">
        <v>406</v>
      </c>
      <c r="B391" s="167"/>
      <c r="C391" s="167"/>
      <c r="D391" s="167"/>
      <c r="E391" s="167"/>
      <c r="F391" s="339">
        <v>-1002920.91</v>
      </c>
      <c r="L391" s="95"/>
    </row>
    <row r="392" spans="1:12" ht="15" customHeight="1" x14ac:dyDescent="0.2">
      <c r="A392" s="336" t="s">
        <v>407</v>
      </c>
      <c r="B392" s="167"/>
      <c r="C392" s="167"/>
      <c r="D392" s="167"/>
      <c r="E392" s="167"/>
      <c r="F392" s="339">
        <v>-652960.73</v>
      </c>
      <c r="L392" s="95"/>
    </row>
    <row r="393" spans="1:12" ht="15" customHeight="1" x14ac:dyDescent="0.2">
      <c r="A393" s="336" t="s">
        <v>408</v>
      </c>
      <c r="B393" s="167"/>
      <c r="C393" s="167"/>
      <c r="D393" s="167"/>
      <c r="E393" s="167"/>
      <c r="F393" s="339">
        <v>-1324349.1599999999</v>
      </c>
      <c r="L393" s="95"/>
    </row>
    <row r="394" spans="1:12" ht="15" customHeight="1" x14ac:dyDescent="0.2">
      <c r="A394" s="336" t="s">
        <v>409</v>
      </c>
      <c r="B394" s="167"/>
      <c r="C394" s="167"/>
      <c r="D394" s="167"/>
      <c r="E394" s="167"/>
      <c r="F394" s="338">
        <v>-3286798</v>
      </c>
      <c r="L394" s="95"/>
    </row>
    <row r="395" spans="1:12" ht="15" customHeight="1" x14ac:dyDescent="0.2">
      <c r="A395" s="336" t="s">
        <v>397</v>
      </c>
      <c r="B395" s="167"/>
      <c r="C395" s="167"/>
      <c r="D395" s="167"/>
      <c r="E395" s="167"/>
      <c r="F395" s="346">
        <v>-427019</v>
      </c>
      <c r="L395" s="95"/>
    </row>
    <row r="396" spans="1:12" ht="15" customHeight="1" x14ac:dyDescent="0.2">
      <c r="A396" s="341"/>
      <c r="B396" s="167"/>
      <c r="C396" s="167"/>
      <c r="D396" s="167"/>
      <c r="E396" s="167"/>
      <c r="F396" s="338">
        <f>SUM(F389:F395)</f>
        <v>-7373396.6699999999</v>
      </c>
      <c r="L396" s="95"/>
    </row>
    <row r="397" spans="1:12" ht="15" customHeight="1" x14ac:dyDescent="0.2">
      <c r="A397" s="341"/>
      <c r="B397" s="167"/>
      <c r="C397" s="167"/>
      <c r="D397" s="167"/>
      <c r="E397" s="167"/>
      <c r="F397" s="338"/>
      <c r="L397" s="95"/>
    </row>
    <row r="398" spans="1:12" ht="15" customHeight="1" x14ac:dyDescent="0.2">
      <c r="A398" s="343" t="s">
        <v>410</v>
      </c>
      <c r="B398" s="167"/>
      <c r="C398" s="167"/>
      <c r="D398" s="167"/>
      <c r="E398" s="167"/>
      <c r="F398" s="344">
        <f>+F396+F387</f>
        <v>-16931809.759999998</v>
      </c>
      <c r="L398" s="95"/>
    </row>
    <row r="399" spans="1:12" ht="15" customHeight="1" x14ac:dyDescent="0.2">
      <c r="A399" s="336"/>
      <c r="B399" s="167"/>
      <c r="C399" s="167"/>
      <c r="D399" s="167"/>
      <c r="E399" s="167"/>
      <c r="F399" s="338"/>
      <c r="L399" s="95"/>
    </row>
    <row r="400" spans="1:12" ht="15" customHeight="1" x14ac:dyDescent="0.2">
      <c r="A400" s="335" t="s">
        <v>411</v>
      </c>
      <c r="B400" s="167"/>
      <c r="C400" s="167"/>
      <c r="D400" s="167"/>
      <c r="E400" s="167"/>
      <c r="F400" s="338"/>
      <c r="L400" s="95"/>
    </row>
    <row r="401" spans="1:12" ht="15" customHeight="1" x14ac:dyDescent="0.2">
      <c r="A401" s="345" t="s">
        <v>412</v>
      </c>
      <c r="B401" s="167"/>
      <c r="C401" s="167"/>
      <c r="D401" s="167"/>
      <c r="E401" s="167"/>
      <c r="F401" s="346">
        <v>-35000</v>
      </c>
      <c r="L401" s="95"/>
    </row>
    <row r="402" spans="1:12" ht="15" customHeight="1" x14ac:dyDescent="0.2">
      <c r="A402" s="336"/>
      <c r="B402" s="167"/>
      <c r="C402" s="167"/>
      <c r="D402" s="167"/>
      <c r="E402" s="167"/>
      <c r="F402" s="338"/>
      <c r="L402" s="95"/>
    </row>
    <row r="403" spans="1:12" ht="15" customHeight="1" x14ac:dyDescent="0.2">
      <c r="A403" s="343" t="s">
        <v>413</v>
      </c>
      <c r="B403" s="167"/>
      <c r="C403" s="167"/>
      <c r="D403" s="167"/>
      <c r="E403" s="167"/>
      <c r="F403" s="344">
        <f>+F401</f>
        <v>-35000</v>
      </c>
      <c r="L403" s="95"/>
    </row>
    <row r="404" spans="1:12" ht="15" customHeight="1" x14ac:dyDescent="0.2">
      <c r="A404" s="343"/>
      <c r="B404" s="167"/>
      <c r="C404" s="167"/>
      <c r="D404" s="167"/>
      <c r="E404" s="167"/>
      <c r="F404" s="344"/>
      <c r="L404" s="95"/>
    </row>
    <row r="405" spans="1:12" ht="15" customHeight="1" x14ac:dyDescent="0.2">
      <c r="A405" s="335" t="s">
        <v>414</v>
      </c>
      <c r="B405" s="167"/>
      <c r="C405" s="167"/>
      <c r="D405" s="167"/>
      <c r="E405" s="167"/>
      <c r="F405" s="338"/>
      <c r="L405" s="95"/>
    </row>
    <row r="406" spans="1:12" ht="15" customHeight="1" thickBot="1" x14ac:dyDescent="0.25">
      <c r="A406" s="347" t="s">
        <v>415</v>
      </c>
      <c r="B406" s="167"/>
      <c r="C406" s="167"/>
      <c r="D406" s="167"/>
      <c r="E406" s="167"/>
      <c r="F406" s="348">
        <v>-1046000</v>
      </c>
      <c r="L406" s="95"/>
    </row>
    <row r="407" spans="1:12" ht="15" customHeight="1" thickTop="1" x14ac:dyDescent="0.2">
      <c r="A407" s="347"/>
      <c r="B407" s="167"/>
      <c r="C407" s="167"/>
      <c r="D407" s="167"/>
      <c r="E407" s="167"/>
      <c r="F407" s="338"/>
      <c r="L407" s="95"/>
    </row>
    <row r="408" spans="1:12" ht="15" customHeight="1" x14ac:dyDescent="0.2">
      <c r="A408" s="349" t="s">
        <v>416</v>
      </c>
      <c r="B408" s="167"/>
      <c r="C408" s="167"/>
      <c r="D408" s="167"/>
      <c r="E408" s="167"/>
      <c r="F408" s="344">
        <f>+F406+F403+F398</f>
        <v>-18012809.759999998</v>
      </c>
      <c r="L408" s="95"/>
    </row>
    <row r="409" spans="1:12" ht="15" customHeight="1" x14ac:dyDescent="0.2">
      <c r="A409" s="347"/>
      <c r="B409" s="167"/>
      <c r="C409" s="167"/>
      <c r="D409" s="167"/>
      <c r="E409" s="167"/>
      <c r="F409" s="338"/>
      <c r="L409" s="95"/>
    </row>
    <row r="410" spans="1:12" ht="15" customHeight="1" x14ac:dyDescent="0.2">
      <c r="A410" s="350" t="s">
        <v>417</v>
      </c>
      <c r="B410" s="167"/>
      <c r="C410" s="167"/>
      <c r="D410" s="167"/>
      <c r="E410" s="167"/>
      <c r="F410" s="338"/>
      <c r="L410" s="95"/>
    </row>
    <row r="411" spans="1:12" ht="15" customHeight="1" x14ac:dyDescent="0.2">
      <c r="A411" s="350" t="s">
        <v>418</v>
      </c>
      <c r="B411" s="167"/>
      <c r="C411" s="167"/>
      <c r="D411" s="167"/>
      <c r="E411" s="167"/>
      <c r="F411" s="338"/>
      <c r="L411" s="95"/>
    </row>
    <row r="412" spans="1:12" ht="15" customHeight="1" thickBot="1" x14ac:dyDescent="0.25">
      <c r="A412" s="351"/>
      <c r="B412" s="353"/>
      <c r="C412" s="353"/>
      <c r="D412" s="353"/>
      <c r="E412" s="353"/>
      <c r="F412" s="352"/>
      <c r="L412" s="95"/>
    </row>
    <row r="413" spans="1:12" ht="15" customHeight="1" x14ac:dyDescent="0.2">
      <c r="F413" s="39"/>
      <c r="L413" s="95"/>
    </row>
    <row r="414" spans="1:12" ht="15" customHeight="1" x14ac:dyDescent="0.2">
      <c r="F414" s="39"/>
      <c r="L414" s="95"/>
    </row>
    <row r="415" spans="1:12" ht="15" customHeight="1" x14ac:dyDescent="0.2">
      <c r="F415" s="39"/>
      <c r="L415" s="95"/>
    </row>
    <row r="416" spans="1:12" ht="15" customHeight="1" x14ac:dyDescent="0.2">
      <c r="F416" s="39"/>
      <c r="L416" s="95"/>
    </row>
    <row r="417" spans="6:12" ht="15" customHeight="1" x14ac:dyDescent="0.2">
      <c r="F417" s="39"/>
      <c r="L417" s="95"/>
    </row>
    <row r="418" spans="6:12" ht="15" customHeight="1" x14ac:dyDescent="0.2">
      <c r="F418" s="39"/>
      <c r="L418" s="95"/>
    </row>
    <row r="419" spans="6:12" ht="15" customHeight="1" x14ac:dyDescent="0.2">
      <c r="F419" s="39"/>
      <c r="L419" s="95"/>
    </row>
    <row r="420" spans="6:12" ht="15" customHeight="1" x14ac:dyDescent="0.2">
      <c r="L420" s="95"/>
    </row>
    <row r="421" spans="6:12" ht="15" customHeight="1" x14ac:dyDescent="0.2">
      <c r="L421" s="95"/>
    </row>
    <row r="422" spans="6:12" ht="15" customHeight="1" x14ac:dyDescent="0.2">
      <c r="L422" s="95"/>
    </row>
    <row r="423" spans="6:12" ht="15" customHeight="1" x14ac:dyDescent="0.2">
      <c r="L423" s="95"/>
    </row>
    <row r="424" spans="6:12" ht="15" customHeight="1" x14ac:dyDescent="0.2">
      <c r="L424" s="95"/>
    </row>
    <row r="425" spans="6:12" ht="15" customHeight="1" x14ac:dyDescent="0.2">
      <c r="L425" s="95"/>
    </row>
    <row r="426" spans="6:12" ht="15" customHeight="1" x14ac:dyDescent="0.2">
      <c r="L426" s="95"/>
    </row>
    <row r="427" spans="6:12" ht="15" customHeight="1" x14ac:dyDescent="0.2">
      <c r="L427" s="95"/>
    </row>
    <row r="428" spans="6:12" ht="15" customHeight="1" x14ac:dyDescent="0.2">
      <c r="L428" s="95"/>
    </row>
    <row r="429" spans="6:12" ht="15" customHeight="1" x14ac:dyDescent="0.2">
      <c r="L429" s="95"/>
    </row>
    <row r="430" spans="6:12" ht="15" customHeight="1" x14ac:dyDescent="0.2">
      <c r="L430" s="95"/>
    </row>
    <row r="431" spans="6:12" ht="15" customHeight="1" x14ac:dyDescent="0.2">
      <c r="L431" s="95"/>
    </row>
    <row r="432" spans="6:12" ht="15" customHeight="1" x14ac:dyDescent="0.2">
      <c r="L432" s="95"/>
    </row>
    <row r="433" spans="12:12" ht="15" customHeight="1" x14ac:dyDescent="0.2">
      <c r="L433" s="95"/>
    </row>
    <row r="434" spans="12:12" ht="15" customHeight="1" x14ac:dyDescent="0.2">
      <c r="L434" s="95"/>
    </row>
    <row r="435" spans="12:12" ht="15" customHeight="1" x14ac:dyDescent="0.2">
      <c r="L435" s="95"/>
    </row>
    <row r="436" spans="12:12" ht="15" customHeight="1" x14ac:dyDescent="0.2">
      <c r="L436" s="95"/>
    </row>
    <row r="437" spans="12:12" ht="15" customHeight="1" x14ac:dyDescent="0.2">
      <c r="L437" s="95"/>
    </row>
    <row r="438" spans="12:12" ht="15" customHeight="1" x14ac:dyDescent="0.2">
      <c r="L438" s="95"/>
    </row>
    <row r="439" spans="12:12" ht="15" customHeight="1" x14ac:dyDescent="0.2">
      <c r="L439" s="95"/>
    </row>
    <row r="440" spans="12:12" ht="15" customHeight="1" x14ac:dyDescent="0.2">
      <c r="L440" s="95"/>
    </row>
    <row r="441" spans="12:12" ht="15" customHeight="1" x14ac:dyDescent="0.2">
      <c r="L441" s="95"/>
    </row>
    <row r="442" spans="12:12" ht="15" customHeight="1" x14ac:dyDescent="0.2">
      <c r="L442" s="95"/>
    </row>
    <row r="443" spans="12:12" ht="15" customHeight="1" x14ac:dyDescent="0.2">
      <c r="L443" s="95"/>
    </row>
    <row r="444" spans="12:12" ht="15" customHeight="1" x14ac:dyDescent="0.2">
      <c r="L444" s="95"/>
    </row>
    <row r="445" spans="12:12" ht="15" customHeight="1" x14ac:dyDescent="0.2">
      <c r="L445" s="95"/>
    </row>
    <row r="446" spans="12:12" ht="15" customHeight="1" x14ac:dyDescent="0.2">
      <c r="L446" s="95"/>
    </row>
    <row r="447" spans="12:12" ht="15" customHeight="1" x14ac:dyDescent="0.2">
      <c r="L447" s="95"/>
    </row>
    <row r="448" spans="12:12" ht="15" customHeight="1" x14ac:dyDescent="0.2">
      <c r="L448" s="95"/>
    </row>
    <row r="449" spans="12:12" ht="15" customHeight="1" x14ac:dyDescent="0.2">
      <c r="L449" s="95"/>
    </row>
    <row r="450" spans="12:12" ht="15" customHeight="1" x14ac:dyDescent="0.2">
      <c r="L450" s="95"/>
    </row>
    <row r="451" spans="12:12" ht="15" customHeight="1" x14ac:dyDescent="0.2">
      <c r="L451" s="95"/>
    </row>
    <row r="452" spans="12:12" ht="15" customHeight="1" x14ac:dyDescent="0.2">
      <c r="L452" s="95"/>
    </row>
    <row r="453" spans="12:12" ht="15" customHeight="1" x14ac:dyDescent="0.2">
      <c r="L453" s="95"/>
    </row>
    <row r="454" spans="12:12" ht="15" customHeight="1" x14ac:dyDescent="0.2">
      <c r="L454" s="95"/>
    </row>
    <row r="455" spans="12:12" ht="15" customHeight="1" x14ac:dyDescent="0.2">
      <c r="L455" s="95"/>
    </row>
    <row r="456" spans="12:12" ht="15" customHeight="1" x14ac:dyDescent="0.2">
      <c r="L456" s="95"/>
    </row>
    <row r="457" spans="12:12" ht="15" customHeight="1" x14ac:dyDescent="0.2">
      <c r="L457" s="95"/>
    </row>
    <row r="458" spans="12:12" ht="15" customHeight="1" x14ac:dyDescent="0.2">
      <c r="L458" s="95"/>
    </row>
    <row r="459" spans="12:12" ht="15" customHeight="1" x14ac:dyDescent="0.2">
      <c r="L459" s="95"/>
    </row>
    <row r="460" spans="12:12" ht="15" customHeight="1" x14ac:dyDescent="0.2">
      <c r="L460" s="95"/>
    </row>
    <row r="461" spans="12:12" ht="15" customHeight="1" x14ac:dyDescent="0.2">
      <c r="L461" s="95"/>
    </row>
    <row r="462" spans="12:12" ht="15" customHeight="1" x14ac:dyDescent="0.2">
      <c r="L462" s="95"/>
    </row>
    <row r="463" spans="12:12" ht="15" customHeight="1" x14ac:dyDescent="0.2">
      <c r="L463" s="95"/>
    </row>
    <row r="464" spans="12:12" ht="15" customHeight="1" x14ac:dyDescent="0.2">
      <c r="L464" s="95"/>
    </row>
    <row r="465" spans="12:12" ht="15" customHeight="1" x14ac:dyDescent="0.2">
      <c r="L465" s="95"/>
    </row>
    <row r="466" spans="12:12" ht="15" customHeight="1" x14ac:dyDescent="0.2">
      <c r="L466" s="95"/>
    </row>
    <row r="467" spans="12:12" ht="15" customHeight="1" x14ac:dyDescent="0.2">
      <c r="L467" s="95"/>
    </row>
    <row r="468" spans="12:12" ht="15" customHeight="1" x14ac:dyDescent="0.2">
      <c r="L468" s="95"/>
    </row>
    <row r="469" spans="12:12" ht="15" customHeight="1" x14ac:dyDescent="0.2">
      <c r="L469" s="95"/>
    </row>
    <row r="470" spans="12:12" ht="15" customHeight="1" x14ac:dyDescent="0.2">
      <c r="L470" s="95"/>
    </row>
    <row r="471" spans="12:12" ht="15" customHeight="1" x14ac:dyDescent="0.2">
      <c r="L471" s="95"/>
    </row>
    <row r="472" spans="12:12" ht="15" customHeight="1" x14ac:dyDescent="0.2">
      <c r="L472" s="95"/>
    </row>
    <row r="473" spans="12:12" ht="15" customHeight="1" x14ac:dyDescent="0.2">
      <c r="L473" s="95"/>
    </row>
    <row r="474" spans="12:12" ht="15" customHeight="1" x14ac:dyDescent="0.2">
      <c r="L474" s="95"/>
    </row>
    <row r="475" spans="12:12" ht="15" customHeight="1" x14ac:dyDescent="0.2">
      <c r="L475" s="95"/>
    </row>
    <row r="476" spans="12:12" ht="15" customHeight="1" x14ac:dyDescent="0.2">
      <c r="L476" s="95"/>
    </row>
    <row r="477" spans="12:12" ht="15" customHeight="1" x14ac:dyDescent="0.2">
      <c r="L477" s="95"/>
    </row>
    <row r="478" spans="12:12" ht="15" customHeight="1" x14ac:dyDescent="0.2">
      <c r="L478" s="95"/>
    </row>
    <row r="479" spans="12:12" ht="15" customHeight="1" x14ac:dyDescent="0.2">
      <c r="L479" s="95"/>
    </row>
    <row r="480" spans="12:12" ht="15" customHeight="1" x14ac:dyDescent="0.2">
      <c r="L480" s="95"/>
    </row>
    <row r="481" spans="12:12" ht="15" customHeight="1" x14ac:dyDescent="0.2">
      <c r="L481" s="95"/>
    </row>
    <row r="482" spans="12:12" ht="15" customHeight="1" x14ac:dyDescent="0.2">
      <c r="L482" s="95"/>
    </row>
    <row r="483" spans="12:12" ht="15" customHeight="1" x14ac:dyDescent="0.2">
      <c r="L483" s="95"/>
    </row>
    <row r="484" spans="12:12" ht="15" customHeight="1" x14ac:dyDescent="0.2">
      <c r="L484" s="95"/>
    </row>
    <row r="485" spans="12:12" ht="15" customHeight="1" x14ac:dyDescent="0.2">
      <c r="L485" s="95"/>
    </row>
    <row r="486" spans="12:12" ht="15" customHeight="1" x14ac:dyDescent="0.2">
      <c r="L486" s="95"/>
    </row>
    <row r="487" spans="12:12" ht="15" customHeight="1" x14ac:dyDescent="0.2">
      <c r="L487" s="95"/>
    </row>
    <row r="488" spans="12:12" ht="15" customHeight="1" x14ac:dyDescent="0.2">
      <c r="L488" s="95"/>
    </row>
    <row r="489" spans="12:12" ht="15" customHeight="1" x14ac:dyDescent="0.2">
      <c r="L489" s="95"/>
    </row>
    <row r="490" spans="12:12" ht="15" customHeight="1" x14ac:dyDescent="0.2">
      <c r="L490" s="95"/>
    </row>
    <row r="491" spans="12:12" ht="15" customHeight="1" x14ac:dyDescent="0.2">
      <c r="L491" s="95"/>
    </row>
    <row r="492" spans="12:12" ht="15" customHeight="1" x14ac:dyDescent="0.2">
      <c r="L492" s="95"/>
    </row>
    <row r="493" spans="12:12" ht="15" customHeight="1" x14ac:dyDescent="0.2">
      <c r="L493" s="95"/>
    </row>
    <row r="494" spans="12:12" ht="15" customHeight="1" x14ac:dyDescent="0.2">
      <c r="L494" s="95"/>
    </row>
    <row r="495" spans="12:12" ht="15" customHeight="1" x14ac:dyDescent="0.2">
      <c r="L495" s="95"/>
    </row>
    <row r="496" spans="12:12" ht="15" customHeight="1" x14ac:dyDescent="0.2">
      <c r="L496" s="95"/>
    </row>
    <row r="497" spans="12:12" ht="15" customHeight="1" x14ac:dyDescent="0.2">
      <c r="L497" s="95"/>
    </row>
    <row r="498" spans="12:12" ht="15" customHeight="1" x14ac:dyDescent="0.2">
      <c r="L498" s="95"/>
    </row>
    <row r="499" spans="12:12" ht="15" customHeight="1" x14ac:dyDescent="0.2">
      <c r="L499" s="95"/>
    </row>
    <row r="500" spans="12:12" ht="15" customHeight="1" x14ac:dyDescent="0.2">
      <c r="L500" s="95"/>
    </row>
    <row r="501" spans="12:12" ht="15" customHeight="1" x14ac:dyDescent="0.2">
      <c r="L501" s="95"/>
    </row>
    <row r="502" spans="12:12" ht="15" customHeight="1" x14ac:dyDescent="0.2">
      <c r="L502" s="95"/>
    </row>
    <row r="503" spans="12:12" ht="15" customHeight="1" x14ac:dyDescent="0.2">
      <c r="L503" s="95"/>
    </row>
    <row r="504" spans="12:12" ht="15" customHeight="1" x14ac:dyDescent="0.2">
      <c r="L504" s="95"/>
    </row>
    <row r="505" spans="12:12" ht="15" customHeight="1" x14ac:dyDescent="0.2">
      <c r="L505" s="95"/>
    </row>
    <row r="506" spans="12:12" ht="15" customHeight="1" x14ac:dyDescent="0.2">
      <c r="L506" s="95"/>
    </row>
    <row r="507" spans="12:12" ht="15" customHeight="1" x14ac:dyDescent="0.2">
      <c r="L507" s="95"/>
    </row>
    <row r="508" spans="12:12" ht="15" customHeight="1" x14ac:dyDescent="0.2">
      <c r="L508" s="95"/>
    </row>
    <row r="509" spans="12:12" ht="15" customHeight="1" x14ac:dyDescent="0.2">
      <c r="L509" s="95"/>
    </row>
    <row r="510" spans="12:12" ht="15" customHeight="1" x14ac:dyDescent="0.2">
      <c r="L510" s="95"/>
    </row>
    <row r="511" spans="12:12" ht="15" customHeight="1" x14ac:dyDescent="0.2">
      <c r="L511" s="95"/>
    </row>
    <row r="512" spans="12:12" ht="15" customHeight="1" x14ac:dyDescent="0.2">
      <c r="L512" s="95"/>
    </row>
    <row r="513" spans="12:12" ht="15" customHeight="1" x14ac:dyDescent="0.2">
      <c r="L513" s="95"/>
    </row>
    <row r="514" spans="12:12" ht="15" customHeight="1" x14ac:dyDescent="0.2">
      <c r="L514" s="95"/>
    </row>
    <row r="515" spans="12:12" ht="15" customHeight="1" x14ac:dyDescent="0.2">
      <c r="L515" s="95"/>
    </row>
    <row r="516" spans="12:12" ht="15" customHeight="1" x14ac:dyDescent="0.2">
      <c r="L516" s="95"/>
    </row>
    <row r="517" spans="12:12" ht="15" customHeight="1" x14ac:dyDescent="0.2">
      <c r="L517" s="95"/>
    </row>
    <row r="518" spans="12:12" ht="15" customHeight="1" x14ac:dyDescent="0.2">
      <c r="L518" s="95"/>
    </row>
    <row r="519" spans="12:12" ht="15" customHeight="1" x14ac:dyDescent="0.2">
      <c r="L519" s="95"/>
    </row>
    <row r="520" spans="12:12" ht="15" customHeight="1" x14ac:dyDescent="0.2">
      <c r="L520" s="95"/>
    </row>
    <row r="521" spans="12:12" ht="15" customHeight="1" x14ac:dyDescent="0.2">
      <c r="L521" s="95"/>
    </row>
    <row r="522" spans="12:12" ht="15" customHeight="1" x14ac:dyDescent="0.2">
      <c r="L522" s="95"/>
    </row>
    <row r="523" spans="12:12" ht="15" customHeight="1" x14ac:dyDescent="0.2">
      <c r="L523" s="95"/>
    </row>
    <row r="524" spans="12:12" ht="15" customHeight="1" x14ac:dyDescent="0.2">
      <c r="L524" s="95"/>
    </row>
    <row r="525" spans="12:12" ht="15" customHeight="1" x14ac:dyDescent="0.2">
      <c r="L525" s="95"/>
    </row>
    <row r="526" spans="12:12" ht="15" customHeight="1" x14ac:dyDescent="0.2">
      <c r="L526" s="95"/>
    </row>
    <row r="527" spans="12:12" ht="15" customHeight="1" x14ac:dyDescent="0.2">
      <c r="L527" s="95"/>
    </row>
    <row r="528" spans="12:12" ht="15" customHeight="1" x14ac:dyDescent="0.2">
      <c r="L528" s="95"/>
    </row>
    <row r="529" spans="12:12" ht="15" customHeight="1" x14ac:dyDescent="0.2">
      <c r="L529" s="95"/>
    </row>
    <row r="530" spans="12:12" ht="15" customHeight="1" x14ac:dyDescent="0.2">
      <c r="L530" s="95"/>
    </row>
    <row r="531" spans="12:12" ht="15" customHeight="1" x14ac:dyDescent="0.2">
      <c r="L531" s="95"/>
    </row>
    <row r="532" spans="12:12" ht="15" customHeight="1" x14ac:dyDescent="0.2">
      <c r="L532" s="95"/>
    </row>
    <row r="533" spans="12:12" ht="15" customHeight="1" x14ac:dyDescent="0.2">
      <c r="L533" s="95"/>
    </row>
    <row r="534" spans="12:12" ht="15" customHeight="1" x14ac:dyDescent="0.2">
      <c r="L534" s="95"/>
    </row>
    <row r="535" spans="12:12" ht="15" customHeight="1" x14ac:dyDescent="0.2">
      <c r="L535" s="95"/>
    </row>
    <row r="536" spans="12:12" ht="15" customHeight="1" x14ac:dyDescent="0.2">
      <c r="L536" s="95"/>
    </row>
    <row r="537" spans="12:12" ht="15" customHeight="1" x14ac:dyDescent="0.2">
      <c r="L537" s="95"/>
    </row>
    <row r="538" spans="12:12" ht="15" customHeight="1" x14ac:dyDescent="0.2">
      <c r="L538" s="95"/>
    </row>
    <row r="539" spans="12:12" ht="15" customHeight="1" x14ac:dyDescent="0.2">
      <c r="L539" s="95"/>
    </row>
    <row r="540" spans="12:12" ht="15" customHeight="1" x14ac:dyDescent="0.2">
      <c r="L540" s="95"/>
    </row>
    <row r="541" spans="12:12" ht="15" customHeight="1" x14ac:dyDescent="0.2">
      <c r="L541" s="95"/>
    </row>
    <row r="542" spans="12:12" ht="15" customHeight="1" x14ac:dyDescent="0.2">
      <c r="L542" s="95"/>
    </row>
    <row r="543" spans="12:12" ht="15" customHeight="1" x14ac:dyDescent="0.2">
      <c r="L543" s="95"/>
    </row>
    <row r="544" spans="12:12" ht="15" customHeight="1" x14ac:dyDescent="0.2">
      <c r="L544" s="95"/>
    </row>
    <row r="545" spans="12:12" ht="15" customHeight="1" x14ac:dyDescent="0.2">
      <c r="L545" s="95"/>
    </row>
    <row r="546" spans="12:12" ht="15" customHeight="1" x14ac:dyDescent="0.2">
      <c r="L546" s="95"/>
    </row>
    <row r="547" spans="12:12" ht="15" customHeight="1" x14ac:dyDescent="0.2">
      <c r="L547" s="95"/>
    </row>
    <row r="548" spans="12:12" ht="15" customHeight="1" x14ac:dyDescent="0.2">
      <c r="L548" s="95"/>
    </row>
    <row r="549" spans="12:12" ht="15" customHeight="1" x14ac:dyDescent="0.2">
      <c r="L549" s="95"/>
    </row>
    <row r="550" spans="12:12" ht="15" customHeight="1" x14ac:dyDescent="0.2">
      <c r="L550" s="95"/>
    </row>
    <row r="551" spans="12:12" ht="15" customHeight="1" x14ac:dyDescent="0.2">
      <c r="L551" s="95"/>
    </row>
    <row r="552" spans="12:12" ht="15" customHeight="1" x14ac:dyDescent="0.2">
      <c r="L552" s="95"/>
    </row>
    <row r="553" spans="12:12" ht="15" customHeight="1" x14ac:dyDescent="0.2">
      <c r="L553" s="95"/>
    </row>
    <row r="554" spans="12:12" ht="15" customHeight="1" x14ac:dyDescent="0.2">
      <c r="L554" s="95"/>
    </row>
    <row r="555" spans="12:12" ht="15" customHeight="1" x14ac:dyDescent="0.2">
      <c r="L555" s="95"/>
    </row>
    <row r="556" spans="12:12" ht="15" customHeight="1" x14ac:dyDescent="0.2">
      <c r="L556" s="95"/>
    </row>
    <row r="557" spans="12:12" ht="15" customHeight="1" x14ac:dyDescent="0.2">
      <c r="L557" s="95"/>
    </row>
    <row r="558" spans="12:12" ht="15" customHeight="1" x14ac:dyDescent="0.2">
      <c r="L558" s="95"/>
    </row>
    <row r="559" spans="12:12" ht="15" customHeight="1" x14ac:dyDescent="0.2">
      <c r="L559" s="95"/>
    </row>
    <row r="560" spans="12:12" ht="15" customHeight="1" x14ac:dyDescent="0.2">
      <c r="L560" s="95"/>
    </row>
    <row r="561" spans="12:12" ht="15" customHeight="1" x14ac:dyDescent="0.2">
      <c r="L561" s="95"/>
    </row>
    <row r="562" spans="12:12" ht="15" customHeight="1" x14ac:dyDescent="0.2">
      <c r="L562" s="95"/>
    </row>
    <row r="563" spans="12:12" ht="15" customHeight="1" x14ac:dyDescent="0.2">
      <c r="L563" s="95"/>
    </row>
    <row r="564" spans="12:12" ht="15" customHeight="1" x14ac:dyDescent="0.2">
      <c r="L564" s="95"/>
    </row>
    <row r="565" spans="12:12" ht="15" customHeight="1" x14ac:dyDescent="0.2">
      <c r="L565" s="95"/>
    </row>
    <row r="566" spans="12:12" ht="15" customHeight="1" x14ac:dyDescent="0.2">
      <c r="L566" s="95"/>
    </row>
    <row r="567" spans="12:12" ht="15" customHeight="1" x14ac:dyDescent="0.2">
      <c r="L567" s="95"/>
    </row>
    <row r="568" spans="12:12" ht="15" customHeight="1" x14ac:dyDescent="0.2">
      <c r="L568" s="95"/>
    </row>
    <row r="569" spans="12:12" ht="15" customHeight="1" x14ac:dyDescent="0.2">
      <c r="L569" s="95"/>
    </row>
    <row r="570" spans="12:12" ht="15" customHeight="1" x14ac:dyDescent="0.2">
      <c r="L570" s="95"/>
    </row>
    <row r="571" spans="12:12" ht="15" customHeight="1" x14ac:dyDescent="0.2">
      <c r="L571" s="95"/>
    </row>
    <row r="572" spans="12:12" ht="15" customHeight="1" x14ac:dyDescent="0.2">
      <c r="L572" s="95"/>
    </row>
    <row r="573" spans="12:12" ht="15" customHeight="1" x14ac:dyDescent="0.2">
      <c r="L573" s="95"/>
    </row>
    <row r="574" spans="12:12" ht="15" customHeight="1" x14ac:dyDescent="0.2">
      <c r="L574" s="95"/>
    </row>
    <row r="575" spans="12:12" ht="15" customHeight="1" x14ac:dyDescent="0.2">
      <c r="L575" s="95"/>
    </row>
    <row r="576" spans="12:12" ht="15" customHeight="1" x14ac:dyDescent="0.2">
      <c r="L576" s="95"/>
    </row>
    <row r="577" spans="12:12" ht="15" customHeight="1" x14ac:dyDescent="0.2">
      <c r="L577" s="95"/>
    </row>
    <row r="578" spans="12:12" ht="15" customHeight="1" x14ac:dyDescent="0.2">
      <c r="L578" s="95"/>
    </row>
    <row r="579" spans="12:12" ht="15" customHeight="1" x14ac:dyDescent="0.2">
      <c r="L579" s="95"/>
    </row>
    <row r="580" spans="12:12" ht="15" customHeight="1" x14ac:dyDescent="0.2">
      <c r="L580" s="95"/>
    </row>
    <row r="581" spans="12:12" ht="15" customHeight="1" x14ac:dyDescent="0.2">
      <c r="L581" s="95"/>
    </row>
    <row r="582" spans="12:12" ht="15" customHeight="1" x14ac:dyDescent="0.2">
      <c r="L582" s="95"/>
    </row>
    <row r="583" spans="12:12" ht="15" customHeight="1" x14ac:dyDescent="0.2">
      <c r="L583" s="95"/>
    </row>
    <row r="584" spans="12:12" ht="15" customHeight="1" x14ac:dyDescent="0.2">
      <c r="L584" s="95"/>
    </row>
    <row r="585" spans="12:12" ht="15" customHeight="1" x14ac:dyDescent="0.2">
      <c r="L585" s="95"/>
    </row>
    <row r="586" spans="12:12" ht="15" customHeight="1" x14ac:dyDescent="0.2">
      <c r="L586" s="95"/>
    </row>
    <row r="587" spans="12:12" ht="15" customHeight="1" x14ac:dyDescent="0.2">
      <c r="L587" s="95"/>
    </row>
    <row r="588" spans="12:12" ht="15" customHeight="1" x14ac:dyDescent="0.2">
      <c r="L588" s="95"/>
    </row>
    <row r="589" spans="12:12" ht="15" customHeight="1" x14ac:dyDescent="0.2">
      <c r="L589" s="95"/>
    </row>
    <row r="590" spans="12:12" ht="15" customHeight="1" x14ac:dyDescent="0.2">
      <c r="L590" s="95"/>
    </row>
    <row r="591" spans="12:12" ht="15" customHeight="1" x14ac:dyDescent="0.2">
      <c r="L591" s="95"/>
    </row>
    <row r="592" spans="12:12" ht="15" customHeight="1" x14ac:dyDescent="0.2">
      <c r="L592" s="95"/>
    </row>
    <row r="593" spans="12:12" ht="15" customHeight="1" x14ac:dyDescent="0.2">
      <c r="L593" s="95"/>
    </row>
    <row r="594" spans="12:12" ht="15" customHeight="1" x14ac:dyDescent="0.2">
      <c r="L594" s="95"/>
    </row>
    <row r="595" spans="12:12" ht="15" customHeight="1" x14ac:dyDescent="0.2">
      <c r="L595" s="95"/>
    </row>
    <row r="596" spans="12:12" ht="15" customHeight="1" x14ac:dyDescent="0.2">
      <c r="L596" s="95"/>
    </row>
    <row r="597" spans="12:12" ht="15" customHeight="1" x14ac:dyDescent="0.2">
      <c r="L597" s="95"/>
    </row>
    <row r="598" spans="12:12" ht="15" customHeight="1" x14ac:dyDescent="0.2">
      <c r="L598" s="95"/>
    </row>
    <row r="599" spans="12:12" ht="15" customHeight="1" x14ac:dyDescent="0.2">
      <c r="L599" s="95"/>
    </row>
    <row r="600" spans="12:12" ht="15" customHeight="1" x14ac:dyDescent="0.2">
      <c r="L600" s="95"/>
    </row>
    <row r="601" spans="12:12" ht="15" customHeight="1" x14ac:dyDescent="0.2">
      <c r="L601" s="95"/>
    </row>
    <row r="602" spans="12:12" ht="15" customHeight="1" x14ac:dyDescent="0.2">
      <c r="L602" s="95"/>
    </row>
    <row r="603" spans="12:12" ht="15" customHeight="1" x14ac:dyDescent="0.2">
      <c r="L603" s="95"/>
    </row>
    <row r="604" spans="12:12" ht="15" customHeight="1" x14ac:dyDescent="0.2">
      <c r="L604" s="95"/>
    </row>
    <row r="605" spans="12:12" ht="15" customHeight="1" x14ac:dyDescent="0.2">
      <c r="L605" s="95"/>
    </row>
    <row r="606" spans="12:12" ht="15" customHeight="1" x14ac:dyDescent="0.2">
      <c r="L606" s="95"/>
    </row>
    <row r="607" spans="12:12" ht="15" customHeight="1" x14ac:dyDescent="0.2">
      <c r="L607" s="95"/>
    </row>
    <row r="608" spans="12:12" ht="15" customHeight="1" x14ac:dyDescent="0.2">
      <c r="L608" s="95"/>
    </row>
    <row r="609" spans="12:12" ht="15" customHeight="1" x14ac:dyDescent="0.2">
      <c r="L609" s="95"/>
    </row>
    <row r="610" spans="12:12" ht="15" customHeight="1" x14ac:dyDescent="0.2">
      <c r="L610" s="95"/>
    </row>
    <row r="611" spans="12:12" ht="15" customHeight="1" x14ac:dyDescent="0.2">
      <c r="L611" s="95"/>
    </row>
    <row r="612" spans="12:12" ht="15" customHeight="1" x14ac:dyDescent="0.2">
      <c r="L612" s="95"/>
    </row>
    <row r="613" spans="12:12" ht="15" customHeight="1" x14ac:dyDescent="0.2">
      <c r="L613" s="95"/>
    </row>
    <row r="614" spans="12:12" ht="15" customHeight="1" x14ac:dyDescent="0.2">
      <c r="L614" s="95"/>
    </row>
    <row r="615" spans="12:12" ht="15" customHeight="1" x14ac:dyDescent="0.2">
      <c r="L615" s="95"/>
    </row>
    <row r="616" spans="12:12" ht="15" customHeight="1" x14ac:dyDescent="0.2">
      <c r="L616" s="95"/>
    </row>
    <row r="617" spans="12:12" ht="15" customHeight="1" x14ac:dyDescent="0.2">
      <c r="L617" s="95"/>
    </row>
    <row r="618" spans="12:12" ht="15" customHeight="1" x14ac:dyDescent="0.2">
      <c r="L618" s="95"/>
    </row>
    <row r="619" spans="12:12" ht="15" customHeight="1" x14ac:dyDescent="0.2">
      <c r="L619" s="95"/>
    </row>
    <row r="620" spans="12:12" ht="15" customHeight="1" x14ac:dyDescent="0.2">
      <c r="L620" s="95"/>
    </row>
    <row r="621" spans="12:12" ht="15" customHeight="1" x14ac:dyDescent="0.2">
      <c r="L621" s="95"/>
    </row>
    <row r="622" spans="12:12" ht="15" customHeight="1" x14ac:dyDescent="0.2">
      <c r="L622" s="95"/>
    </row>
    <row r="623" spans="12:12" ht="15" customHeight="1" x14ac:dyDescent="0.2">
      <c r="L623" s="95"/>
    </row>
    <row r="624" spans="12:12" ht="15" customHeight="1" x14ac:dyDescent="0.2">
      <c r="L624" s="95"/>
    </row>
    <row r="625" spans="12:12" ht="15" customHeight="1" x14ac:dyDescent="0.2">
      <c r="L625" s="95"/>
    </row>
    <row r="626" spans="12:12" ht="15" customHeight="1" x14ac:dyDescent="0.2">
      <c r="L626" s="95"/>
    </row>
    <row r="627" spans="12:12" ht="15" customHeight="1" x14ac:dyDescent="0.2">
      <c r="L627" s="95"/>
    </row>
    <row r="628" spans="12:12" ht="15" customHeight="1" x14ac:dyDescent="0.2">
      <c r="L628" s="95"/>
    </row>
    <row r="629" spans="12:12" ht="15" customHeight="1" x14ac:dyDescent="0.2">
      <c r="L629" s="95"/>
    </row>
    <row r="630" spans="12:12" ht="15" customHeight="1" x14ac:dyDescent="0.2">
      <c r="L630" s="95"/>
    </row>
    <row r="631" spans="12:12" ht="15" customHeight="1" x14ac:dyDescent="0.2">
      <c r="L631" s="95"/>
    </row>
    <row r="632" spans="12:12" ht="15" customHeight="1" x14ac:dyDescent="0.2">
      <c r="L632" s="95"/>
    </row>
    <row r="633" spans="12:12" ht="15" customHeight="1" x14ac:dyDescent="0.2">
      <c r="L633" s="95"/>
    </row>
    <row r="634" spans="12:12" ht="15" customHeight="1" x14ac:dyDescent="0.2">
      <c r="L634" s="95"/>
    </row>
    <row r="635" spans="12:12" ht="15" customHeight="1" x14ac:dyDescent="0.2">
      <c r="L635" s="95"/>
    </row>
    <row r="636" spans="12:12" ht="15" customHeight="1" x14ac:dyDescent="0.2">
      <c r="L636" s="95"/>
    </row>
    <row r="637" spans="12:12" ht="15" customHeight="1" x14ac:dyDescent="0.2">
      <c r="L637" s="95"/>
    </row>
    <row r="638" spans="12:12" ht="15" customHeight="1" x14ac:dyDescent="0.2">
      <c r="L638" s="95"/>
    </row>
    <row r="639" spans="12:12" ht="15" customHeight="1" x14ac:dyDescent="0.2">
      <c r="L639" s="95"/>
    </row>
    <row r="640" spans="12:12" ht="15" customHeight="1" x14ac:dyDescent="0.2">
      <c r="L640" s="95"/>
    </row>
    <row r="641" spans="12:12" ht="15" customHeight="1" x14ac:dyDescent="0.2">
      <c r="L641" s="95"/>
    </row>
    <row r="642" spans="12:12" ht="15" customHeight="1" x14ac:dyDescent="0.2">
      <c r="L642" s="95"/>
    </row>
    <row r="643" spans="12:12" ht="15" customHeight="1" x14ac:dyDescent="0.2">
      <c r="L643" s="95"/>
    </row>
    <row r="644" spans="12:12" ht="15" customHeight="1" x14ac:dyDescent="0.2">
      <c r="L644" s="95"/>
    </row>
    <row r="645" spans="12:12" ht="15" customHeight="1" x14ac:dyDescent="0.2">
      <c r="L645" s="95"/>
    </row>
    <row r="646" spans="12:12" ht="15" customHeight="1" x14ac:dyDescent="0.2">
      <c r="L646" s="95"/>
    </row>
    <row r="647" spans="12:12" ht="15" customHeight="1" x14ac:dyDescent="0.2">
      <c r="L647" s="95"/>
    </row>
    <row r="648" spans="12:12" ht="15" customHeight="1" x14ac:dyDescent="0.2">
      <c r="L648" s="95"/>
    </row>
    <row r="649" spans="12:12" ht="15" customHeight="1" x14ac:dyDescent="0.2">
      <c r="L649" s="95"/>
    </row>
    <row r="650" spans="12:12" ht="15" customHeight="1" x14ac:dyDescent="0.2">
      <c r="L650" s="95"/>
    </row>
    <row r="651" spans="12:12" ht="15" customHeight="1" x14ac:dyDescent="0.2">
      <c r="L651" s="95"/>
    </row>
    <row r="652" spans="12:12" ht="15" customHeight="1" x14ac:dyDescent="0.2">
      <c r="L652" s="95"/>
    </row>
    <row r="653" spans="12:12" ht="15" customHeight="1" x14ac:dyDescent="0.2">
      <c r="L653" s="95"/>
    </row>
    <row r="654" spans="12:12" ht="15" customHeight="1" x14ac:dyDescent="0.2">
      <c r="L654" s="95"/>
    </row>
    <row r="655" spans="12:12" ht="15" customHeight="1" x14ac:dyDescent="0.2">
      <c r="L655" s="95"/>
    </row>
    <row r="656" spans="12:12" ht="15" customHeight="1" x14ac:dyDescent="0.2">
      <c r="L656" s="95"/>
    </row>
    <row r="657" spans="12:12" ht="15" customHeight="1" x14ac:dyDescent="0.2">
      <c r="L657" s="95"/>
    </row>
    <row r="658" spans="12:12" ht="15" customHeight="1" x14ac:dyDescent="0.2">
      <c r="L658" s="95"/>
    </row>
    <row r="659" spans="12:12" ht="15" customHeight="1" x14ac:dyDescent="0.2">
      <c r="L659" s="95"/>
    </row>
    <row r="660" spans="12:12" ht="15" customHeight="1" x14ac:dyDescent="0.2">
      <c r="L660" s="95"/>
    </row>
    <row r="661" spans="12:12" ht="15" customHeight="1" x14ac:dyDescent="0.2">
      <c r="L661" s="95"/>
    </row>
    <row r="662" spans="12:12" ht="15" customHeight="1" x14ac:dyDescent="0.2">
      <c r="L662" s="95"/>
    </row>
    <row r="663" spans="12:12" ht="15" customHeight="1" x14ac:dyDescent="0.2">
      <c r="L663" s="95"/>
    </row>
    <row r="664" spans="12:12" ht="15" customHeight="1" x14ac:dyDescent="0.2">
      <c r="L664" s="95"/>
    </row>
    <row r="665" spans="12:12" ht="15" customHeight="1" x14ac:dyDescent="0.2">
      <c r="L665" s="95"/>
    </row>
    <row r="666" spans="12:12" ht="15" customHeight="1" x14ac:dyDescent="0.2">
      <c r="L666" s="95"/>
    </row>
    <row r="667" spans="12:12" ht="15" customHeight="1" x14ac:dyDescent="0.2">
      <c r="L667" s="95"/>
    </row>
    <row r="668" spans="12:12" ht="15" customHeight="1" x14ac:dyDescent="0.2">
      <c r="L668" s="95"/>
    </row>
    <row r="669" spans="12:12" ht="15" customHeight="1" x14ac:dyDescent="0.2">
      <c r="L669" s="95"/>
    </row>
    <row r="670" spans="12:12" ht="15" customHeight="1" x14ac:dyDescent="0.2">
      <c r="L670" s="95"/>
    </row>
    <row r="671" spans="12:12" ht="15" customHeight="1" x14ac:dyDescent="0.2">
      <c r="L671" s="95"/>
    </row>
    <row r="672" spans="12:12" ht="15" customHeight="1" x14ac:dyDescent="0.2">
      <c r="L672" s="95"/>
    </row>
    <row r="673" spans="12:12" ht="15" customHeight="1" x14ac:dyDescent="0.2">
      <c r="L673" s="95"/>
    </row>
    <row r="674" spans="12:12" ht="15" customHeight="1" x14ac:dyDescent="0.2">
      <c r="L674" s="95"/>
    </row>
    <row r="675" spans="12:12" ht="15" customHeight="1" x14ac:dyDescent="0.2">
      <c r="L675" s="95"/>
    </row>
    <row r="676" spans="12:12" ht="15" customHeight="1" x14ac:dyDescent="0.2">
      <c r="L676" s="95"/>
    </row>
    <row r="677" spans="12:12" ht="15" customHeight="1" x14ac:dyDescent="0.2">
      <c r="L677" s="95"/>
    </row>
    <row r="678" spans="12:12" ht="15" customHeight="1" x14ac:dyDescent="0.2">
      <c r="L678" s="95"/>
    </row>
    <row r="679" spans="12:12" ht="15" customHeight="1" x14ac:dyDescent="0.2">
      <c r="L679" s="95"/>
    </row>
    <row r="680" spans="12:12" ht="15" customHeight="1" x14ac:dyDescent="0.2">
      <c r="L680" s="95"/>
    </row>
    <row r="681" spans="12:12" ht="15" customHeight="1" x14ac:dyDescent="0.2">
      <c r="L681" s="95"/>
    </row>
    <row r="682" spans="12:12" ht="15" customHeight="1" x14ac:dyDescent="0.2">
      <c r="L682" s="95"/>
    </row>
    <row r="683" spans="12:12" ht="15" customHeight="1" x14ac:dyDescent="0.2">
      <c r="L683" s="95"/>
    </row>
    <row r="684" spans="12:12" ht="15" customHeight="1" x14ac:dyDescent="0.2">
      <c r="L684" s="95"/>
    </row>
    <row r="685" spans="12:12" ht="15" customHeight="1" x14ac:dyDescent="0.2">
      <c r="L685" s="95"/>
    </row>
    <row r="686" spans="12:12" ht="15" customHeight="1" x14ac:dyDescent="0.2">
      <c r="L686" s="95"/>
    </row>
    <row r="687" spans="12:12" ht="15" customHeight="1" x14ac:dyDescent="0.2">
      <c r="L687" s="95"/>
    </row>
    <row r="688" spans="12:12" ht="15" customHeight="1" x14ac:dyDescent="0.2">
      <c r="L688" s="95"/>
    </row>
    <row r="689" spans="12:12" ht="15" customHeight="1" x14ac:dyDescent="0.2">
      <c r="L689" s="95"/>
    </row>
    <row r="690" spans="12:12" ht="15" customHeight="1" x14ac:dyDescent="0.2">
      <c r="L690" s="95"/>
    </row>
    <row r="691" spans="12:12" ht="15" customHeight="1" x14ac:dyDescent="0.2">
      <c r="L691" s="95"/>
    </row>
    <row r="692" spans="12:12" ht="15" customHeight="1" x14ac:dyDescent="0.2">
      <c r="L692" s="95"/>
    </row>
    <row r="693" spans="12:12" ht="15" customHeight="1" x14ac:dyDescent="0.2">
      <c r="L693" s="95"/>
    </row>
    <row r="694" spans="12:12" ht="15" customHeight="1" x14ac:dyDescent="0.2">
      <c r="L694" s="95"/>
    </row>
    <row r="695" spans="12:12" ht="15" customHeight="1" x14ac:dyDescent="0.2">
      <c r="L695" s="95"/>
    </row>
    <row r="696" spans="12:12" ht="15" customHeight="1" x14ac:dyDescent="0.2">
      <c r="L696" s="95"/>
    </row>
    <row r="697" spans="12:12" ht="15" customHeight="1" x14ac:dyDescent="0.2">
      <c r="L697" s="95"/>
    </row>
    <row r="698" spans="12:12" ht="15" customHeight="1" x14ac:dyDescent="0.2">
      <c r="L698" s="95"/>
    </row>
    <row r="699" spans="12:12" ht="15" customHeight="1" x14ac:dyDescent="0.2">
      <c r="L699" s="95"/>
    </row>
    <row r="700" spans="12:12" ht="12.75" customHeight="1" x14ac:dyDescent="0.2">
      <c r="L700" s="95"/>
    </row>
    <row r="701" spans="12:12" ht="12.75" customHeight="1" x14ac:dyDescent="0.2">
      <c r="L701" s="95"/>
    </row>
    <row r="702" spans="12:12" ht="12.75" customHeight="1" x14ac:dyDescent="0.2">
      <c r="L702" s="95"/>
    </row>
    <row r="703" spans="12:12" ht="12.75" customHeight="1" x14ac:dyDescent="0.2">
      <c r="L703" s="95"/>
    </row>
    <row r="704" spans="12:12" ht="12.75" customHeight="1" x14ac:dyDescent="0.2">
      <c r="L704" s="95"/>
    </row>
    <row r="705" spans="12:12" ht="12.75" customHeight="1" x14ac:dyDescent="0.2">
      <c r="L705" s="95"/>
    </row>
    <row r="706" spans="12:12" ht="12.75" customHeight="1" x14ac:dyDescent="0.2">
      <c r="L706" s="95"/>
    </row>
    <row r="707" spans="12:12" ht="12.75" customHeight="1" x14ac:dyDescent="0.2">
      <c r="L707" s="95"/>
    </row>
    <row r="708" spans="12:12" ht="12.75" customHeight="1" x14ac:dyDescent="0.2">
      <c r="L708" s="95"/>
    </row>
    <row r="709" spans="12:12" ht="12.75" customHeight="1" x14ac:dyDescent="0.2">
      <c r="L709" s="95"/>
    </row>
    <row r="710" spans="12:12" ht="12.75" customHeight="1" x14ac:dyDescent="0.2">
      <c r="L710" s="95"/>
    </row>
    <row r="711" spans="12:12" ht="12.75" customHeight="1" x14ac:dyDescent="0.2">
      <c r="L711" s="95"/>
    </row>
    <row r="712" spans="12:12" ht="12.75" customHeight="1" x14ac:dyDescent="0.2">
      <c r="L712" s="95"/>
    </row>
    <row r="713" spans="12:12" ht="12.75" customHeight="1" x14ac:dyDescent="0.2">
      <c r="L713" s="95"/>
    </row>
    <row r="714" spans="12:12" ht="12.75" customHeight="1" x14ac:dyDescent="0.2">
      <c r="L714" s="95"/>
    </row>
    <row r="715" spans="12:12" ht="12.75" customHeight="1" x14ac:dyDescent="0.2">
      <c r="L715" s="95"/>
    </row>
    <row r="716" spans="12:12" ht="12.75" customHeight="1" x14ac:dyDescent="0.2">
      <c r="L716" s="95"/>
    </row>
    <row r="717" spans="12:12" ht="12.75" customHeight="1" x14ac:dyDescent="0.2">
      <c r="L717" s="95"/>
    </row>
    <row r="718" spans="12:12" ht="12.75" customHeight="1" x14ac:dyDescent="0.2">
      <c r="L718" s="95"/>
    </row>
    <row r="719" spans="12:12" ht="12.75" customHeight="1" x14ac:dyDescent="0.2">
      <c r="L719" s="95"/>
    </row>
    <row r="720" spans="12:12" ht="12.75" customHeight="1" x14ac:dyDescent="0.2">
      <c r="L720" s="95"/>
    </row>
    <row r="721" spans="12:12" ht="12.75" customHeight="1" x14ac:dyDescent="0.2">
      <c r="L721" s="95"/>
    </row>
    <row r="722" spans="12:12" ht="12.75" customHeight="1" x14ac:dyDescent="0.2">
      <c r="L722" s="95"/>
    </row>
    <row r="723" spans="12:12" ht="12.75" customHeight="1" x14ac:dyDescent="0.2">
      <c r="L723" s="95"/>
    </row>
    <row r="724" spans="12:12" ht="12.75" customHeight="1" x14ac:dyDescent="0.2">
      <c r="L724" s="95"/>
    </row>
    <row r="725" spans="12:12" ht="12.75" customHeight="1" x14ac:dyDescent="0.2">
      <c r="L725" s="95"/>
    </row>
    <row r="726" spans="12:12" ht="12.75" customHeight="1" x14ac:dyDescent="0.2">
      <c r="L726" s="95"/>
    </row>
    <row r="727" spans="12:12" ht="12.75" customHeight="1" x14ac:dyDescent="0.2">
      <c r="L727" s="95"/>
    </row>
    <row r="728" spans="12:12" ht="12.75" customHeight="1" x14ac:dyDescent="0.2">
      <c r="L728" s="95"/>
    </row>
    <row r="729" spans="12:12" ht="12.75" customHeight="1" x14ac:dyDescent="0.2">
      <c r="L729" s="95"/>
    </row>
    <row r="730" spans="12:12" ht="12.75" customHeight="1" x14ac:dyDescent="0.2">
      <c r="L730" s="95"/>
    </row>
    <row r="731" spans="12:12" ht="12.75" customHeight="1" x14ac:dyDescent="0.2">
      <c r="L731" s="95"/>
    </row>
    <row r="732" spans="12:12" ht="12.75" customHeight="1" x14ac:dyDescent="0.2">
      <c r="L732" s="95"/>
    </row>
    <row r="733" spans="12:12" ht="12.75" customHeight="1" x14ac:dyDescent="0.2">
      <c r="L733" s="95"/>
    </row>
    <row r="734" spans="12:12" ht="12.75" customHeight="1" x14ac:dyDescent="0.2">
      <c r="L734" s="95"/>
    </row>
    <row r="735" spans="12:12" ht="12.75" customHeight="1" x14ac:dyDescent="0.2">
      <c r="L735" s="95"/>
    </row>
    <row r="736" spans="12:12" ht="12.75" customHeight="1" x14ac:dyDescent="0.2">
      <c r="L736" s="95"/>
    </row>
    <row r="737" spans="12:12" ht="12.75" customHeight="1" x14ac:dyDescent="0.2">
      <c r="L737" s="95"/>
    </row>
    <row r="738" spans="12:12" ht="12.75" customHeight="1" x14ac:dyDescent="0.2">
      <c r="L738" s="95"/>
    </row>
    <row r="739" spans="12:12" ht="12.75" customHeight="1" x14ac:dyDescent="0.2">
      <c r="L739" s="95"/>
    </row>
    <row r="740" spans="12:12" ht="12.75" customHeight="1" x14ac:dyDescent="0.2">
      <c r="L740" s="95"/>
    </row>
    <row r="741" spans="12:12" ht="12.75" customHeight="1" x14ac:dyDescent="0.2">
      <c r="L741" s="95"/>
    </row>
    <row r="742" spans="12:12" ht="12.75" customHeight="1" x14ac:dyDescent="0.2">
      <c r="L742" s="95"/>
    </row>
    <row r="743" spans="12:12" ht="12.75" customHeight="1" x14ac:dyDescent="0.2">
      <c r="L743" s="95"/>
    </row>
    <row r="744" spans="12:12" ht="12.75" customHeight="1" x14ac:dyDescent="0.2">
      <c r="L744" s="95"/>
    </row>
    <row r="745" spans="12:12" ht="12.75" customHeight="1" x14ac:dyDescent="0.2">
      <c r="L745" s="95"/>
    </row>
    <row r="746" spans="12:12" ht="12.75" customHeight="1" x14ac:dyDescent="0.2">
      <c r="L746" s="95"/>
    </row>
    <row r="747" spans="12:12" ht="12.75" customHeight="1" x14ac:dyDescent="0.2">
      <c r="L747" s="95"/>
    </row>
    <row r="748" spans="12:12" ht="12.75" customHeight="1" x14ac:dyDescent="0.2">
      <c r="L748" s="95"/>
    </row>
    <row r="749" spans="12:12" ht="12.75" customHeight="1" x14ac:dyDescent="0.2">
      <c r="L749" s="95"/>
    </row>
    <row r="750" spans="12:12" ht="12.75" customHeight="1" x14ac:dyDescent="0.2">
      <c r="L750" s="95"/>
    </row>
    <row r="751" spans="12:12" ht="12.75" customHeight="1" x14ac:dyDescent="0.2">
      <c r="L751" s="95"/>
    </row>
    <row r="752" spans="12:12" ht="12.75" customHeight="1" x14ac:dyDescent="0.2">
      <c r="L752" s="95"/>
    </row>
    <row r="753" spans="12:12" ht="12.75" customHeight="1" x14ac:dyDescent="0.2">
      <c r="L753" s="95"/>
    </row>
    <row r="754" spans="12:12" ht="12.75" customHeight="1" x14ac:dyDescent="0.2">
      <c r="L754" s="95"/>
    </row>
    <row r="755" spans="12:12" ht="12.75" customHeight="1" x14ac:dyDescent="0.2">
      <c r="L755" s="95"/>
    </row>
    <row r="756" spans="12:12" ht="12.75" customHeight="1" x14ac:dyDescent="0.2">
      <c r="L756" s="95"/>
    </row>
    <row r="757" spans="12:12" ht="12.75" customHeight="1" x14ac:dyDescent="0.2">
      <c r="L757" s="95"/>
    </row>
    <row r="758" spans="12:12" ht="12.75" customHeight="1" x14ac:dyDescent="0.2">
      <c r="L758" s="95"/>
    </row>
    <row r="759" spans="12:12" ht="12.75" customHeight="1" x14ac:dyDescent="0.2">
      <c r="L759" s="95"/>
    </row>
    <row r="760" spans="12:12" ht="12.75" customHeight="1" x14ac:dyDescent="0.2">
      <c r="L760" s="95"/>
    </row>
    <row r="761" spans="12:12" ht="12.75" customHeight="1" x14ac:dyDescent="0.2">
      <c r="L761" s="95"/>
    </row>
    <row r="762" spans="12:12" ht="12.75" customHeight="1" x14ac:dyDescent="0.2">
      <c r="L762" s="95"/>
    </row>
    <row r="763" spans="12:12" ht="12.75" customHeight="1" x14ac:dyDescent="0.2">
      <c r="L763" s="95"/>
    </row>
    <row r="764" spans="12:12" ht="12.75" customHeight="1" x14ac:dyDescent="0.2">
      <c r="L764" s="95"/>
    </row>
    <row r="765" spans="12:12" ht="12.75" customHeight="1" x14ac:dyDescent="0.2">
      <c r="L765" s="95"/>
    </row>
    <row r="766" spans="12:12" ht="12.75" customHeight="1" x14ac:dyDescent="0.2">
      <c r="L766" s="95"/>
    </row>
    <row r="767" spans="12:12" ht="12.75" customHeight="1" x14ac:dyDescent="0.2">
      <c r="L767" s="95"/>
    </row>
    <row r="768" spans="12:12" ht="12.75" customHeight="1" x14ac:dyDescent="0.2">
      <c r="L768" s="95"/>
    </row>
    <row r="769" spans="12:12" ht="12.75" customHeight="1" x14ac:dyDescent="0.2">
      <c r="L769" s="95"/>
    </row>
    <row r="770" spans="12:12" ht="12.75" customHeight="1" x14ac:dyDescent="0.2">
      <c r="L770" s="95"/>
    </row>
    <row r="771" spans="12:12" ht="12.75" customHeight="1" x14ac:dyDescent="0.2">
      <c r="L771" s="95"/>
    </row>
    <row r="772" spans="12:12" ht="12.75" customHeight="1" x14ac:dyDescent="0.2">
      <c r="L772" s="95"/>
    </row>
    <row r="773" spans="12:12" ht="12.75" customHeight="1" x14ac:dyDescent="0.2">
      <c r="L773" s="95"/>
    </row>
    <row r="774" spans="12:12" ht="12.75" customHeight="1" x14ac:dyDescent="0.2">
      <c r="L774" s="95"/>
    </row>
    <row r="775" spans="12:12" ht="12.75" customHeight="1" x14ac:dyDescent="0.2">
      <c r="L775" s="95"/>
    </row>
    <row r="776" spans="12:12" ht="12.75" customHeight="1" x14ac:dyDescent="0.2">
      <c r="L776" s="95"/>
    </row>
    <row r="777" spans="12:12" ht="12.75" customHeight="1" x14ac:dyDescent="0.2">
      <c r="L777" s="95"/>
    </row>
    <row r="778" spans="12:12" ht="12.75" customHeight="1" x14ac:dyDescent="0.2">
      <c r="L778" s="95"/>
    </row>
    <row r="779" spans="12:12" ht="12.75" customHeight="1" x14ac:dyDescent="0.2">
      <c r="L779" s="95"/>
    </row>
    <row r="780" spans="12:12" ht="12.75" customHeight="1" x14ac:dyDescent="0.2">
      <c r="L780" s="95"/>
    </row>
    <row r="781" spans="12:12" ht="12.75" customHeight="1" x14ac:dyDescent="0.2">
      <c r="L781" s="95"/>
    </row>
    <row r="782" spans="12:12" ht="12.75" customHeight="1" x14ac:dyDescent="0.2">
      <c r="L782" s="95"/>
    </row>
    <row r="783" spans="12:12" ht="12.75" customHeight="1" x14ac:dyDescent="0.2">
      <c r="L783" s="95"/>
    </row>
    <row r="784" spans="12:12" ht="12.75" customHeight="1" x14ac:dyDescent="0.2">
      <c r="L784" s="95"/>
    </row>
    <row r="785" spans="12:12" ht="12.75" customHeight="1" x14ac:dyDescent="0.2">
      <c r="L785" s="95"/>
    </row>
    <row r="786" spans="12:12" ht="12.75" customHeight="1" x14ac:dyDescent="0.2">
      <c r="L786" s="95"/>
    </row>
    <row r="787" spans="12:12" ht="12.75" customHeight="1" x14ac:dyDescent="0.2">
      <c r="L787" s="95"/>
    </row>
    <row r="788" spans="12:12" ht="12.75" customHeight="1" x14ac:dyDescent="0.2">
      <c r="L788" s="95"/>
    </row>
    <row r="789" spans="12:12" ht="12.75" customHeight="1" x14ac:dyDescent="0.2">
      <c r="L789" s="95"/>
    </row>
    <row r="790" spans="12:12" ht="12.75" customHeight="1" x14ac:dyDescent="0.2">
      <c r="L790" s="95"/>
    </row>
    <row r="791" spans="12:12" ht="12.75" customHeight="1" x14ac:dyDescent="0.2">
      <c r="L791" s="95"/>
    </row>
    <row r="792" spans="12:12" ht="12.75" customHeight="1" x14ac:dyDescent="0.2">
      <c r="L792" s="95"/>
    </row>
    <row r="793" spans="12:12" ht="12.75" customHeight="1" x14ac:dyDescent="0.2">
      <c r="L793" s="95"/>
    </row>
    <row r="794" spans="12:12" ht="12.75" customHeight="1" x14ac:dyDescent="0.2">
      <c r="L794" s="95"/>
    </row>
    <row r="795" spans="12:12" ht="12.75" customHeight="1" x14ac:dyDescent="0.2">
      <c r="L795" s="95"/>
    </row>
    <row r="796" spans="12:12" ht="12.75" customHeight="1" x14ac:dyDescent="0.2">
      <c r="L796" s="95"/>
    </row>
    <row r="797" spans="12:12" ht="12.75" customHeight="1" x14ac:dyDescent="0.2">
      <c r="L797" s="95"/>
    </row>
    <row r="798" spans="12:12" ht="12.75" customHeight="1" x14ac:dyDescent="0.2">
      <c r="L798" s="95"/>
    </row>
    <row r="799" spans="12:12" ht="12.75" customHeight="1" x14ac:dyDescent="0.2">
      <c r="L799" s="95"/>
    </row>
    <row r="800" spans="12:12" ht="12.75" customHeight="1" x14ac:dyDescent="0.2">
      <c r="L800" s="95"/>
    </row>
    <row r="801" spans="12:12" ht="12.75" customHeight="1" x14ac:dyDescent="0.2">
      <c r="L801" s="95"/>
    </row>
    <row r="802" spans="12:12" ht="12.75" customHeight="1" x14ac:dyDescent="0.2">
      <c r="L802" s="95"/>
    </row>
    <row r="803" spans="12:12" ht="12.75" customHeight="1" x14ac:dyDescent="0.2">
      <c r="L803" s="95"/>
    </row>
    <row r="804" spans="12:12" ht="12.75" customHeight="1" x14ac:dyDescent="0.2">
      <c r="L804" s="95"/>
    </row>
    <row r="805" spans="12:12" ht="12.75" customHeight="1" x14ac:dyDescent="0.2">
      <c r="L805" s="95"/>
    </row>
    <row r="806" spans="12:12" ht="12.75" customHeight="1" x14ac:dyDescent="0.2">
      <c r="L806" s="95"/>
    </row>
    <row r="807" spans="12:12" ht="12.75" customHeight="1" x14ac:dyDescent="0.2">
      <c r="L807" s="95"/>
    </row>
    <row r="808" spans="12:12" ht="12.75" customHeight="1" x14ac:dyDescent="0.2">
      <c r="L808" s="95"/>
    </row>
    <row r="809" spans="12:12" ht="12.75" customHeight="1" x14ac:dyDescent="0.2">
      <c r="L809" s="95"/>
    </row>
    <row r="810" spans="12:12" ht="12.75" customHeight="1" x14ac:dyDescent="0.2">
      <c r="L810" s="95"/>
    </row>
    <row r="811" spans="12:12" ht="12.75" customHeight="1" x14ac:dyDescent="0.2">
      <c r="L811" s="95"/>
    </row>
    <row r="812" spans="12:12" ht="12.75" customHeight="1" x14ac:dyDescent="0.2">
      <c r="L812" s="95"/>
    </row>
    <row r="813" spans="12:12" ht="12.75" customHeight="1" x14ac:dyDescent="0.2">
      <c r="L813" s="95"/>
    </row>
    <row r="814" spans="12:12" ht="12.75" customHeight="1" x14ac:dyDescent="0.2">
      <c r="L814" s="95"/>
    </row>
    <row r="815" spans="12:12" ht="12.75" customHeight="1" x14ac:dyDescent="0.2">
      <c r="L815" s="95"/>
    </row>
    <row r="816" spans="12:12" ht="12.75" customHeight="1" x14ac:dyDescent="0.2">
      <c r="L816" s="95"/>
    </row>
    <row r="817" spans="12:12" ht="12.75" customHeight="1" x14ac:dyDescent="0.2">
      <c r="L817" s="95"/>
    </row>
    <row r="818" spans="12:12" ht="12.75" customHeight="1" x14ac:dyDescent="0.2">
      <c r="L818" s="95"/>
    </row>
    <row r="819" spans="12:12" ht="12.75" customHeight="1" x14ac:dyDescent="0.2">
      <c r="L819" s="95"/>
    </row>
    <row r="820" spans="12:12" ht="12.75" customHeight="1" x14ac:dyDescent="0.2">
      <c r="L820" s="95"/>
    </row>
    <row r="821" spans="12:12" ht="12.75" customHeight="1" x14ac:dyDescent="0.2">
      <c r="L821" s="95"/>
    </row>
    <row r="822" spans="12:12" ht="12.75" customHeight="1" x14ac:dyDescent="0.2">
      <c r="L822" s="95"/>
    </row>
    <row r="823" spans="12:12" ht="12.75" customHeight="1" x14ac:dyDescent="0.2">
      <c r="L823" s="95"/>
    </row>
    <row r="824" spans="12:12" ht="12.75" customHeight="1" x14ac:dyDescent="0.2">
      <c r="L824" s="95"/>
    </row>
    <row r="825" spans="12:12" ht="12.75" customHeight="1" x14ac:dyDescent="0.2">
      <c r="L825" s="95"/>
    </row>
    <row r="826" spans="12:12" ht="12.75" customHeight="1" x14ac:dyDescent="0.2">
      <c r="L826" s="95"/>
    </row>
    <row r="827" spans="12:12" ht="12.75" customHeight="1" x14ac:dyDescent="0.2">
      <c r="L827" s="95"/>
    </row>
    <row r="828" spans="12:12" ht="12.75" customHeight="1" x14ac:dyDescent="0.2">
      <c r="L828" s="95"/>
    </row>
    <row r="829" spans="12:12" ht="12.75" customHeight="1" x14ac:dyDescent="0.2">
      <c r="L829" s="95"/>
    </row>
    <row r="830" spans="12:12" ht="12.75" customHeight="1" x14ac:dyDescent="0.2">
      <c r="L830" s="95"/>
    </row>
    <row r="831" spans="12:12" ht="12.75" customHeight="1" x14ac:dyDescent="0.2">
      <c r="L831" s="95"/>
    </row>
    <row r="832" spans="12:12" ht="12.75" customHeight="1" x14ac:dyDescent="0.2">
      <c r="L832" s="95"/>
    </row>
    <row r="833" spans="12:12" ht="12.75" customHeight="1" x14ac:dyDescent="0.2">
      <c r="L833" s="95"/>
    </row>
    <row r="834" spans="12:12" ht="12.75" customHeight="1" x14ac:dyDescent="0.2">
      <c r="L834" s="95"/>
    </row>
    <row r="835" spans="12:12" ht="12.75" customHeight="1" x14ac:dyDescent="0.2">
      <c r="L835" s="95"/>
    </row>
    <row r="836" spans="12:12" ht="12.75" customHeight="1" x14ac:dyDescent="0.2">
      <c r="L836" s="95"/>
    </row>
    <row r="837" spans="12:12" ht="12.75" customHeight="1" x14ac:dyDescent="0.2">
      <c r="L837" s="95"/>
    </row>
    <row r="838" spans="12:12" ht="12.75" customHeight="1" x14ac:dyDescent="0.2">
      <c r="L838" s="95"/>
    </row>
    <row r="839" spans="12:12" ht="12.75" customHeight="1" x14ac:dyDescent="0.2">
      <c r="L839" s="95"/>
    </row>
    <row r="840" spans="12:12" ht="12.75" customHeight="1" x14ac:dyDescent="0.2">
      <c r="L840" s="95"/>
    </row>
    <row r="841" spans="12:12" ht="12.75" customHeight="1" x14ac:dyDescent="0.2">
      <c r="L841" s="95"/>
    </row>
    <row r="842" spans="12:12" ht="12.75" customHeight="1" x14ac:dyDescent="0.2">
      <c r="L842" s="95"/>
    </row>
    <row r="843" spans="12:12" ht="12.75" customHeight="1" x14ac:dyDescent="0.2">
      <c r="L843" s="95"/>
    </row>
    <row r="844" spans="12:12" ht="12.75" customHeight="1" x14ac:dyDescent="0.2">
      <c r="L844" s="95"/>
    </row>
    <row r="845" spans="12:12" ht="12.75" customHeight="1" x14ac:dyDescent="0.2">
      <c r="L845" s="95"/>
    </row>
    <row r="846" spans="12:12" ht="12.75" customHeight="1" x14ac:dyDescent="0.2">
      <c r="L846" s="95"/>
    </row>
    <row r="847" spans="12:12" ht="12.75" customHeight="1" x14ac:dyDescent="0.2">
      <c r="L847" s="95"/>
    </row>
    <row r="848" spans="12:12" ht="12.75" customHeight="1" x14ac:dyDescent="0.2">
      <c r="L848" s="95"/>
    </row>
    <row r="849" spans="12:12" ht="12.75" customHeight="1" x14ac:dyDescent="0.2">
      <c r="L849" s="95"/>
    </row>
    <row r="850" spans="12:12" ht="12.75" customHeight="1" x14ac:dyDescent="0.2">
      <c r="L850" s="95"/>
    </row>
    <row r="851" spans="12:12" ht="12.75" customHeight="1" x14ac:dyDescent="0.2">
      <c r="L851" s="95"/>
    </row>
    <row r="852" spans="12:12" ht="12.75" customHeight="1" x14ac:dyDescent="0.2">
      <c r="L852" s="95"/>
    </row>
    <row r="853" spans="12:12" ht="12.75" customHeight="1" x14ac:dyDescent="0.2">
      <c r="L853" s="95"/>
    </row>
    <row r="854" spans="12:12" ht="12.75" customHeight="1" x14ac:dyDescent="0.2">
      <c r="L854" s="95"/>
    </row>
    <row r="855" spans="12:12" ht="12.75" customHeight="1" x14ac:dyDescent="0.2">
      <c r="L855" s="95"/>
    </row>
    <row r="856" spans="12:12" ht="12.75" customHeight="1" x14ac:dyDescent="0.2">
      <c r="L856" s="95"/>
    </row>
    <row r="857" spans="12:12" ht="12.75" customHeight="1" x14ac:dyDescent="0.2">
      <c r="L857" s="18"/>
    </row>
    <row r="858" spans="12:12" ht="12.75" customHeight="1" x14ac:dyDescent="0.2">
      <c r="L858" s="18"/>
    </row>
    <row r="859" spans="12:12" ht="12.75" customHeight="1" x14ac:dyDescent="0.2">
      <c r="L859" s="18"/>
    </row>
    <row r="860" spans="12:12" ht="12.75" customHeight="1" x14ac:dyDescent="0.2">
      <c r="L860" s="18"/>
    </row>
    <row r="861" spans="12:12" ht="12.75" customHeight="1" x14ac:dyDescent="0.2">
      <c r="L861" s="18"/>
    </row>
    <row r="862" spans="12:12" ht="12.75" customHeight="1" x14ac:dyDescent="0.2">
      <c r="L862" s="18"/>
    </row>
    <row r="863" spans="12:12" ht="12.75" customHeight="1" x14ac:dyDescent="0.2">
      <c r="L863" s="18"/>
    </row>
    <row r="864" spans="12:12" ht="12.75" customHeight="1" x14ac:dyDescent="0.2">
      <c r="L864" s="18"/>
    </row>
    <row r="865" spans="12:12" ht="12.75" customHeight="1" x14ac:dyDescent="0.2">
      <c r="L865" s="18"/>
    </row>
    <row r="866" spans="12:12" ht="12.75" customHeight="1" x14ac:dyDescent="0.2">
      <c r="L866" s="18"/>
    </row>
    <row r="867" spans="12:12" ht="12.75" customHeight="1" x14ac:dyDescent="0.2">
      <c r="L867" s="18"/>
    </row>
    <row r="868" spans="12:12" ht="12.75" customHeight="1" x14ac:dyDescent="0.2">
      <c r="L868" s="18"/>
    </row>
    <row r="869" spans="12:12" ht="12.75" customHeight="1" x14ac:dyDescent="0.2">
      <c r="L869" s="18"/>
    </row>
    <row r="870" spans="12:12" ht="12.75" customHeight="1" x14ac:dyDescent="0.2">
      <c r="L870" s="18"/>
    </row>
    <row r="871" spans="12:12" ht="12.75" customHeight="1" x14ac:dyDescent="0.2">
      <c r="L871" s="18"/>
    </row>
    <row r="872" spans="12:12" ht="12.75" customHeight="1" x14ac:dyDescent="0.2">
      <c r="L872" s="18"/>
    </row>
    <row r="873" spans="12:12" ht="12.75" customHeight="1" x14ac:dyDescent="0.2">
      <c r="L873" s="18"/>
    </row>
    <row r="874" spans="12:12" ht="12.75" customHeight="1" x14ac:dyDescent="0.2">
      <c r="L874" s="18"/>
    </row>
    <row r="875" spans="12:12" ht="12.75" customHeight="1" x14ac:dyDescent="0.2">
      <c r="L875" s="18"/>
    </row>
    <row r="876" spans="12:12" ht="12.75" customHeight="1" x14ac:dyDescent="0.2">
      <c r="L876" s="18"/>
    </row>
    <row r="877" spans="12:12" ht="12.75" customHeight="1" x14ac:dyDescent="0.2">
      <c r="L877" s="18"/>
    </row>
    <row r="878" spans="12:12" ht="12.75" customHeight="1" x14ac:dyDescent="0.2">
      <c r="L878" s="18"/>
    </row>
    <row r="879" spans="12:12" ht="12.75" customHeight="1" x14ac:dyDescent="0.2">
      <c r="L879" s="18"/>
    </row>
    <row r="880" spans="12:12" ht="12.75" customHeight="1" x14ac:dyDescent="0.2">
      <c r="L880" s="18"/>
    </row>
    <row r="881" spans="12:12" ht="12.75" customHeight="1" x14ac:dyDescent="0.2">
      <c r="L881" s="18"/>
    </row>
    <row r="882" spans="12:12" ht="12.75" customHeight="1" x14ac:dyDescent="0.2">
      <c r="L882" s="18"/>
    </row>
    <row r="883" spans="12:12" ht="12.75" customHeight="1" x14ac:dyDescent="0.2">
      <c r="L883" s="18"/>
    </row>
    <row r="884" spans="12:12" ht="12.75" customHeight="1" x14ac:dyDescent="0.2">
      <c r="L884" s="18"/>
    </row>
    <row r="885" spans="12:12" ht="12.75" customHeight="1" x14ac:dyDescent="0.2">
      <c r="L885" s="18"/>
    </row>
    <row r="886" spans="12:12" ht="12.75" customHeight="1" x14ac:dyDescent="0.2">
      <c r="L886" s="18"/>
    </row>
    <row r="887" spans="12:12" ht="12.75" customHeight="1" x14ac:dyDescent="0.2">
      <c r="L887" s="18"/>
    </row>
    <row r="888" spans="12:12" ht="12.75" customHeight="1" x14ac:dyDescent="0.2">
      <c r="L888" s="18"/>
    </row>
    <row r="889" spans="12:12" ht="12.75" customHeight="1" x14ac:dyDescent="0.2">
      <c r="L889" s="18"/>
    </row>
    <row r="890" spans="12:12" ht="12.75" customHeight="1" x14ac:dyDescent="0.2">
      <c r="L890" s="18"/>
    </row>
    <row r="891" spans="12:12" ht="12.75" customHeight="1" x14ac:dyDescent="0.2">
      <c r="L891" s="18"/>
    </row>
    <row r="892" spans="12:12" ht="12.75" customHeight="1" x14ac:dyDescent="0.2">
      <c r="L892" s="18"/>
    </row>
    <row r="893" spans="12:12" ht="12.75" customHeight="1" x14ac:dyDescent="0.2">
      <c r="L893" s="18"/>
    </row>
    <row r="894" spans="12:12" ht="12.75" customHeight="1" x14ac:dyDescent="0.2">
      <c r="L894" s="18"/>
    </row>
    <row r="895" spans="12:12" ht="12.75" customHeight="1" x14ac:dyDescent="0.2">
      <c r="L895" s="18"/>
    </row>
    <row r="896" spans="12:12" ht="12.75" customHeight="1" x14ac:dyDescent="0.2">
      <c r="L896" s="18"/>
    </row>
    <row r="897" spans="12:12" ht="12.75" customHeight="1" x14ac:dyDescent="0.2">
      <c r="L897" s="18"/>
    </row>
    <row r="898" spans="12:12" ht="12.75" customHeight="1" x14ac:dyDescent="0.2">
      <c r="L898" s="18"/>
    </row>
    <row r="899" spans="12:12" ht="12.75" customHeight="1" x14ac:dyDescent="0.2">
      <c r="L899" s="18"/>
    </row>
    <row r="900" spans="12:12" ht="12.75" customHeight="1" x14ac:dyDescent="0.2">
      <c r="L900" s="18"/>
    </row>
    <row r="901" spans="12:12" ht="12.75" customHeight="1" x14ac:dyDescent="0.2">
      <c r="L901" s="18"/>
    </row>
    <row r="902" spans="12:12" ht="12.75" customHeight="1" x14ac:dyDescent="0.2">
      <c r="L902" s="18"/>
    </row>
    <row r="903" spans="12:12" ht="12.75" customHeight="1" x14ac:dyDescent="0.2">
      <c r="L903" s="18"/>
    </row>
    <row r="904" spans="12:12" ht="12.75" customHeight="1" x14ac:dyDescent="0.2">
      <c r="L904" s="18"/>
    </row>
    <row r="905" spans="12:12" ht="12.75" customHeight="1" x14ac:dyDescent="0.2">
      <c r="L905" s="18"/>
    </row>
    <row r="906" spans="12:12" ht="12.75" customHeight="1" x14ac:dyDescent="0.2">
      <c r="L906" s="18"/>
    </row>
    <row r="907" spans="12:12" ht="12.75" customHeight="1" x14ac:dyDescent="0.2">
      <c r="L907" s="18"/>
    </row>
    <row r="908" spans="12:12" ht="12.75" customHeight="1" x14ac:dyDescent="0.2">
      <c r="L908" s="18"/>
    </row>
    <row r="909" spans="12:12" ht="12.75" customHeight="1" x14ac:dyDescent="0.2">
      <c r="L909" s="18"/>
    </row>
    <row r="910" spans="12:12" ht="12.75" customHeight="1" x14ac:dyDescent="0.2">
      <c r="L910" s="18"/>
    </row>
    <row r="911" spans="12:12" ht="12.75" customHeight="1" x14ac:dyDescent="0.2">
      <c r="L911" s="18"/>
    </row>
    <row r="912" spans="12:12" ht="12.75" customHeight="1" x14ac:dyDescent="0.2">
      <c r="L912" s="18"/>
    </row>
    <row r="913" spans="12:12" ht="12.75" customHeight="1" x14ac:dyDescent="0.2">
      <c r="L913" s="18"/>
    </row>
    <row r="914" spans="12:12" ht="12.75" customHeight="1" x14ac:dyDescent="0.2">
      <c r="L914" s="18"/>
    </row>
    <row r="915" spans="12:12" ht="12.75" customHeight="1" x14ac:dyDescent="0.2">
      <c r="L915" s="18"/>
    </row>
    <row r="916" spans="12:12" ht="12.75" customHeight="1" x14ac:dyDescent="0.2">
      <c r="L916" s="18"/>
    </row>
    <row r="917" spans="12:12" ht="12.75" customHeight="1" x14ac:dyDescent="0.2">
      <c r="L917" s="18"/>
    </row>
    <row r="918" spans="12:12" ht="12.75" customHeight="1" x14ac:dyDescent="0.2">
      <c r="L918" s="18"/>
    </row>
    <row r="919" spans="12:12" ht="12.75" customHeight="1" x14ac:dyDescent="0.2">
      <c r="L919" s="18"/>
    </row>
    <row r="920" spans="12:12" ht="12.75" customHeight="1" x14ac:dyDescent="0.2">
      <c r="L920" s="18"/>
    </row>
    <row r="921" spans="12:12" ht="12.75" customHeight="1" x14ac:dyDescent="0.2">
      <c r="L921" s="18"/>
    </row>
    <row r="922" spans="12:12" ht="12.75" customHeight="1" x14ac:dyDescent="0.2">
      <c r="L922" s="18"/>
    </row>
    <row r="923" spans="12:12" ht="12.75" customHeight="1" x14ac:dyDescent="0.2">
      <c r="L923" s="18"/>
    </row>
    <row r="924" spans="12:12" ht="12.75" customHeight="1" x14ac:dyDescent="0.2">
      <c r="L924" s="18"/>
    </row>
    <row r="925" spans="12:12" ht="12.75" customHeight="1" x14ac:dyDescent="0.2">
      <c r="L925" s="18"/>
    </row>
    <row r="926" spans="12:12" ht="12.75" customHeight="1" x14ac:dyDescent="0.2">
      <c r="L926" s="18"/>
    </row>
    <row r="927" spans="12:12" ht="12.75" customHeight="1" x14ac:dyDescent="0.2">
      <c r="L927" s="18"/>
    </row>
    <row r="928" spans="12:12" ht="12.75" customHeight="1" x14ac:dyDescent="0.2">
      <c r="L928" s="18"/>
    </row>
    <row r="929" spans="12:12" ht="12.75" customHeight="1" x14ac:dyDescent="0.2">
      <c r="L929" s="18"/>
    </row>
    <row r="930" spans="12:12" ht="12.75" customHeight="1" x14ac:dyDescent="0.2">
      <c r="L930" s="18"/>
    </row>
    <row r="931" spans="12:12" ht="12.75" customHeight="1" x14ac:dyDescent="0.2">
      <c r="L931" s="18"/>
    </row>
    <row r="932" spans="12:12" ht="12.75" customHeight="1" x14ac:dyDescent="0.2">
      <c r="L932" s="18"/>
    </row>
    <row r="933" spans="12:12" ht="12.75" customHeight="1" x14ac:dyDescent="0.2">
      <c r="L933" s="18"/>
    </row>
    <row r="934" spans="12:12" ht="12.75" customHeight="1" x14ac:dyDescent="0.2">
      <c r="L934" s="18"/>
    </row>
    <row r="935" spans="12:12" ht="12.75" customHeight="1" x14ac:dyDescent="0.2">
      <c r="L935" s="18"/>
    </row>
    <row r="936" spans="12:12" ht="12.75" customHeight="1" x14ac:dyDescent="0.2">
      <c r="L936" s="18"/>
    </row>
    <row r="937" spans="12:12" ht="12.75" customHeight="1" x14ac:dyDescent="0.2">
      <c r="L937" s="18"/>
    </row>
    <row r="938" spans="12:12" ht="12.75" customHeight="1" x14ac:dyDescent="0.2">
      <c r="L938" s="18"/>
    </row>
    <row r="939" spans="12:12" ht="12.75" customHeight="1" x14ac:dyDescent="0.2">
      <c r="L939" s="18"/>
    </row>
    <row r="940" spans="12:12" ht="12.75" customHeight="1" x14ac:dyDescent="0.2">
      <c r="L940" s="18"/>
    </row>
    <row r="941" spans="12:12" ht="12.75" customHeight="1" x14ac:dyDescent="0.2">
      <c r="L941" s="18"/>
    </row>
    <row r="942" spans="12:12" ht="12.75" customHeight="1" x14ac:dyDescent="0.2">
      <c r="L942" s="18"/>
    </row>
    <row r="943" spans="12:12" ht="12.75" customHeight="1" x14ac:dyDescent="0.2">
      <c r="L943" s="18"/>
    </row>
    <row r="944" spans="12:12" ht="12.75" customHeight="1" x14ac:dyDescent="0.2">
      <c r="L944" s="18"/>
    </row>
    <row r="945" spans="12:12" ht="12.75" customHeight="1" x14ac:dyDescent="0.2">
      <c r="L945" s="18"/>
    </row>
    <row r="946" spans="12:12" ht="12.75" customHeight="1" x14ac:dyDescent="0.2">
      <c r="L946" s="18"/>
    </row>
    <row r="947" spans="12:12" ht="12.75" customHeight="1" x14ac:dyDescent="0.2">
      <c r="L947" s="18"/>
    </row>
    <row r="948" spans="12:12" ht="12.75" customHeight="1" x14ac:dyDescent="0.2">
      <c r="L948" s="18"/>
    </row>
    <row r="949" spans="12:12" ht="12.75" customHeight="1" x14ac:dyDescent="0.2">
      <c r="L949" s="18"/>
    </row>
    <row r="950" spans="12:12" ht="12.75" customHeight="1" x14ac:dyDescent="0.2">
      <c r="L950" s="18"/>
    </row>
    <row r="951" spans="12:12" ht="12.75" customHeight="1" x14ac:dyDescent="0.2">
      <c r="L951" s="18"/>
    </row>
    <row r="952" spans="12:12" ht="12.75" customHeight="1" x14ac:dyDescent="0.2">
      <c r="L952" s="18"/>
    </row>
    <row r="953" spans="12:12" ht="12.75" customHeight="1" x14ac:dyDescent="0.2">
      <c r="L953" s="18"/>
    </row>
    <row r="954" spans="12:12" ht="12.75" customHeight="1" x14ac:dyDescent="0.2">
      <c r="L954" s="18"/>
    </row>
    <row r="955" spans="12:12" ht="12.75" customHeight="1" x14ac:dyDescent="0.2">
      <c r="L955" s="18"/>
    </row>
    <row r="956" spans="12:12" ht="12.75" customHeight="1" x14ac:dyDescent="0.2">
      <c r="L956" s="18"/>
    </row>
    <row r="957" spans="12:12" ht="12.75" customHeight="1" x14ac:dyDescent="0.2">
      <c r="L957" s="18"/>
    </row>
    <row r="958" spans="12:12" ht="12.75" customHeight="1" x14ac:dyDescent="0.2">
      <c r="L958" s="18"/>
    </row>
    <row r="959" spans="12:12" ht="12.75" customHeight="1" x14ac:dyDescent="0.2">
      <c r="L959" s="18"/>
    </row>
    <row r="960" spans="12:12" ht="12.75" customHeight="1" x14ac:dyDescent="0.2">
      <c r="L960" s="18"/>
    </row>
    <row r="961" spans="12:12" ht="12.75" customHeight="1" x14ac:dyDescent="0.2">
      <c r="L961" s="18"/>
    </row>
    <row r="962" spans="12:12" ht="12.75" customHeight="1" x14ac:dyDescent="0.2">
      <c r="L962" s="18"/>
    </row>
    <row r="963" spans="12:12" ht="12.75" customHeight="1" x14ac:dyDescent="0.2">
      <c r="L963" s="18"/>
    </row>
    <row r="964" spans="12:12" ht="12.75" customHeight="1" x14ac:dyDescent="0.2">
      <c r="L964" s="18"/>
    </row>
    <row r="965" spans="12:12" ht="12.75" customHeight="1" x14ac:dyDescent="0.2">
      <c r="L965" s="18"/>
    </row>
    <row r="966" spans="12:12" ht="12.75" customHeight="1" x14ac:dyDescent="0.2">
      <c r="L966" s="18"/>
    </row>
    <row r="967" spans="12:12" ht="12.75" customHeight="1" x14ac:dyDescent="0.2">
      <c r="L967" s="18"/>
    </row>
    <row r="968" spans="12:12" ht="12.75" customHeight="1" x14ac:dyDescent="0.2">
      <c r="L968" s="18"/>
    </row>
    <row r="969" spans="12:12" ht="12.75" customHeight="1" x14ac:dyDescent="0.2">
      <c r="L969" s="18"/>
    </row>
    <row r="970" spans="12:12" ht="12.75" customHeight="1" x14ac:dyDescent="0.2">
      <c r="L970" s="18"/>
    </row>
    <row r="971" spans="12:12" ht="12.75" customHeight="1" x14ac:dyDescent="0.2">
      <c r="L971" s="18"/>
    </row>
    <row r="972" spans="12:12" ht="12.75" customHeight="1" x14ac:dyDescent="0.2">
      <c r="L972" s="18"/>
    </row>
    <row r="973" spans="12:12" ht="12.75" customHeight="1" x14ac:dyDescent="0.2">
      <c r="L973" s="18"/>
    </row>
    <row r="974" spans="12:12" ht="12.75" customHeight="1" x14ac:dyDescent="0.2">
      <c r="L974" s="18"/>
    </row>
    <row r="975" spans="12:12" ht="12.75" customHeight="1" x14ac:dyDescent="0.2">
      <c r="L975" s="18"/>
    </row>
    <row r="976" spans="12:12" ht="12.75" customHeight="1" x14ac:dyDescent="0.2">
      <c r="L976" s="18"/>
    </row>
    <row r="977" spans="12:12" ht="12.75" customHeight="1" x14ac:dyDescent="0.2">
      <c r="L977" s="18"/>
    </row>
    <row r="978" spans="12:12" ht="12.75" customHeight="1" x14ac:dyDescent="0.2">
      <c r="L978" s="18"/>
    </row>
    <row r="979" spans="12:12" ht="12.75" customHeight="1" x14ac:dyDescent="0.2">
      <c r="L979" s="18"/>
    </row>
    <row r="980" spans="12:12" ht="12.75" customHeight="1" x14ac:dyDescent="0.2">
      <c r="L980" s="18"/>
    </row>
    <row r="981" spans="12:12" ht="12.75" customHeight="1" x14ac:dyDescent="0.2">
      <c r="L981" s="18"/>
    </row>
    <row r="982" spans="12:12" ht="12.75" customHeight="1" x14ac:dyDescent="0.2">
      <c r="L982" s="18"/>
    </row>
    <row r="983" spans="12:12" ht="12.75" customHeight="1" x14ac:dyDescent="0.2">
      <c r="L983" s="18"/>
    </row>
    <row r="984" spans="12:12" ht="12.75" customHeight="1" x14ac:dyDescent="0.2">
      <c r="L984" s="18"/>
    </row>
    <row r="985" spans="12:12" ht="12.75" customHeight="1" x14ac:dyDescent="0.2">
      <c r="L985" s="18"/>
    </row>
    <row r="986" spans="12:12" ht="12.75" customHeight="1" x14ac:dyDescent="0.2">
      <c r="L986" s="18"/>
    </row>
    <row r="987" spans="12:12" ht="12.75" customHeight="1" x14ac:dyDescent="0.2">
      <c r="L987" s="18"/>
    </row>
    <row r="988" spans="12:12" ht="12.75" customHeight="1" x14ac:dyDescent="0.2">
      <c r="L988" s="18"/>
    </row>
    <row r="989" spans="12:12" ht="12.75" customHeight="1" x14ac:dyDescent="0.2">
      <c r="L989" s="18"/>
    </row>
    <row r="990" spans="12:12" ht="12.75" customHeight="1" x14ac:dyDescent="0.2">
      <c r="L990" s="18"/>
    </row>
    <row r="991" spans="12:12" ht="12.75" customHeight="1" x14ac:dyDescent="0.2">
      <c r="L991" s="18"/>
    </row>
    <row r="992" spans="12:12" ht="12.75" customHeight="1" x14ac:dyDescent="0.2">
      <c r="L992" s="18"/>
    </row>
    <row r="993" spans="12:12" ht="12.75" customHeight="1" x14ac:dyDescent="0.2">
      <c r="L993" s="18"/>
    </row>
    <row r="994" spans="12:12" ht="12.75" customHeight="1" x14ac:dyDescent="0.2">
      <c r="L994" s="18"/>
    </row>
    <row r="995" spans="12:12" ht="12.75" customHeight="1" x14ac:dyDescent="0.2">
      <c r="L995" s="18"/>
    </row>
    <row r="996" spans="12:12" ht="12.75" customHeight="1" x14ac:dyDescent="0.2">
      <c r="L996" s="18"/>
    </row>
    <row r="997" spans="12:12" ht="12.75" customHeight="1" x14ac:dyDescent="0.2">
      <c r="L997" s="18"/>
    </row>
    <row r="998" spans="12:12" ht="12.75" customHeight="1" x14ac:dyDescent="0.2">
      <c r="L998" s="18"/>
    </row>
    <row r="999" spans="12:12" ht="12.75" customHeight="1" x14ac:dyDescent="0.2">
      <c r="L999" s="18"/>
    </row>
    <row r="1000" spans="12:12" ht="12.75" customHeight="1" x14ac:dyDescent="0.2">
      <c r="L1000" s="18"/>
    </row>
    <row r="1001" spans="12:12" ht="12.75" customHeight="1" x14ac:dyDescent="0.2">
      <c r="L1001" s="18"/>
    </row>
    <row r="1002" spans="12:12" ht="12.75" customHeight="1" x14ac:dyDescent="0.2">
      <c r="L1002" s="18"/>
    </row>
    <row r="1003" spans="12:12" ht="12.75" customHeight="1" x14ac:dyDescent="0.2">
      <c r="L1003" s="18"/>
    </row>
    <row r="1004" spans="12:12" ht="12.75" customHeight="1" x14ac:dyDescent="0.2">
      <c r="L1004" s="18"/>
    </row>
    <row r="1005" spans="12:12" ht="12.75" customHeight="1" x14ac:dyDescent="0.2">
      <c r="L1005" s="18"/>
    </row>
    <row r="1006" spans="12:12" ht="12.75" customHeight="1" x14ac:dyDescent="0.2">
      <c r="L1006" s="18"/>
    </row>
    <row r="1007" spans="12:12" ht="12.75" customHeight="1" x14ac:dyDescent="0.2">
      <c r="L1007" s="18"/>
    </row>
    <row r="1008" spans="12:12" ht="12.75" customHeight="1" x14ac:dyDescent="0.2">
      <c r="L1008" s="18"/>
    </row>
    <row r="1009" spans="12:12" ht="12.75" customHeight="1" x14ac:dyDescent="0.2">
      <c r="L1009" s="18"/>
    </row>
    <row r="1010" spans="12:12" ht="12.75" customHeight="1" x14ac:dyDescent="0.2">
      <c r="L1010" s="18"/>
    </row>
    <row r="1011" spans="12:12" ht="12.75" customHeight="1" x14ac:dyDescent="0.2">
      <c r="L1011" s="18"/>
    </row>
    <row r="1012" spans="12:12" ht="12.75" customHeight="1" x14ac:dyDescent="0.2">
      <c r="L1012" s="18"/>
    </row>
    <row r="1013" spans="12:12" ht="12.75" customHeight="1" x14ac:dyDescent="0.2">
      <c r="L1013" s="18"/>
    </row>
    <row r="1014" spans="12:12" ht="12.75" customHeight="1" x14ac:dyDescent="0.2">
      <c r="L1014" s="18"/>
    </row>
    <row r="1015" spans="12:12" ht="12.75" customHeight="1" x14ac:dyDescent="0.2">
      <c r="L1015" s="18"/>
    </row>
    <row r="1016" spans="12:12" ht="12.75" customHeight="1" x14ac:dyDescent="0.2">
      <c r="L1016" s="18"/>
    </row>
    <row r="1017" spans="12:12" ht="12.75" customHeight="1" x14ac:dyDescent="0.2">
      <c r="L1017" s="18"/>
    </row>
    <row r="1018" spans="12:12" ht="12.75" customHeight="1" x14ac:dyDescent="0.2">
      <c r="L1018" s="18"/>
    </row>
    <row r="1019" spans="12:12" ht="12.75" customHeight="1" x14ac:dyDescent="0.2">
      <c r="L1019" s="18"/>
    </row>
    <row r="1020" spans="12:12" ht="12.75" customHeight="1" x14ac:dyDescent="0.2">
      <c r="L1020" s="18"/>
    </row>
    <row r="1021" spans="12:12" ht="12.75" customHeight="1" x14ac:dyDescent="0.2">
      <c r="L1021" s="18"/>
    </row>
    <row r="1022" spans="12:12" ht="12.75" customHeight="1" x14ac:dyDescent="0.2">
      <c r="L1022" s="18"/>
    </row>
    <row r="1023" spans="12:12" ht="12.75" customHeight="1" x14ac:dyDescent="0.2">
      <c r="L1023" s="18"/>
    </row>
    <row r="1024" spans="12:12" ht="12.75" customHeight="1" x14ac:dyDescent="0.2">
      <c r="L1024" s="18"/>
    </row>
    <row r="1025" spans="12:12" ht="12.75" customHeight="1" x14ac:dyDescent="0.2">
      <c r="L1025" s="18"/>
    </row>
    <row r="1026" spans="12:12" ht="12.75" customHeight="1" x14ac:dyDescent="0.2">
      <c r="L1026" s="18"/>
    </row>
    <row r="1027" spans="12:12" ht="12.75" customHeight="1" x14ac:dyDescent="0.2">
      <c r="L1027" s="18"/>
    </row>
    <row r="1028" spans="12:12" ht="12.75" customHeight="1" x14ac:dyDescent="0.2">
      <c r="L1028" s="18"/>
    </row>
    <row r="1029" spans="12:12" ht="12.75" customHeight="1" x14ac:dyDescent="0.2">
      <c r="L1029" s="18"/>
    </row>
    <row r="1030" spans="12:12" ht="12.75" customHeight="1" x14ac:dyDescent="0.2">
      <c r="L1030" s="18"/>
    </row>
    <row r="1031" spans="12:12" ht="12.75" customHeight="1" x14ac:dyDescent="0.2">
      <c r="L1031" s="18"/>
    </row>
    <row r="1032" spans="12:12" ht="12.75" customHeight="1" x14ac:dyDescent="0.2">
      <c r="L1032" s="18"/>
    </row>
    <row r="1033" spans="12:12" ht="12.75" customHeight="1" x14ac:dyDescent="0.2">
      <c r="L1033" s="18"/>
    </row>
    <row r="1034" spans="12:12" ht="12.75" customHeight="1" x14ac:dyDescent="0.2">
      <c r="L1034" s="18"/>
    </row>
    <row r="1035" spans="12:12" ht="12.75" customHeight="1" x14ac:dyDescent="0.2">
      <c r="L1035" s="18"/>
    </row>
    <row r="1036" spans="12:12" ht="12.75" customHeight="1" x14ac:dyDescent="0.2">
      <c r="L1036" s="18"/>
    </row>
    <row r="1037" spans="12:12" ht="12.75" customHeight="1" x14ac:dyDescent="0.2">
      <c r="L1037" s="18"/>
    </row>
    <row r="1038" spans="12:12" ht="12.75" customHeight="1" x14ac:dyDescent="0.2">
      <c r="L1038" s="18"/>
    </row>
    <row r="1039" spans="12:12" ht="12.75" customHeight="1" x14ac:dyDescent="0.2">
      <c r="L1039" s="18"/>
    </row>
    <row r="1040" spans="12:12" ht="12.75" customHeight="1" x14ac:dyDescent="0.2">
      <c r="L1040" s="18"/>
    </row>
    <row r="1041" spans="12:12" ht="12.75" customHeight="1" x14ac:dyDescent="0.2">
      <c r="L1041" s="18"/>
    </row>
    <row r="1042" spans="12:12" ht="12.75" customHeight="1" x14ac:dyDescent="0.2">
      <c r="L1042" s="18"/>
    </row>
    <row r="1043" spans="12:12" ht="12.75" customHeight="1" x14ac:dyDescent="0.2">
      <c r="L1043" s="18"/>
    </row>
    <row r="1044" spans="12:12" ht="12.75" customHeight="1" x14ac:dyDescent="0.2">
      <c r="L1044" s="18"/>
    </row>
    <row r="1045" spans="12:12" ht="12.75" customHeight="1" x14ac:dyDescent="0.2">
      <c r="L1045" s="18"/>
    </row>
    <row r="1046" spans="12:12" ht="12.75" customHeight="1" x14ac:dyDescent="0.2">
      <c r="L1046" s="18"/>
    </row>
    <row r="1047" spans="12:12" ht="12.75" customHeight="1" x14ac:dyDescent="0.2">
      <c r="L1047" s="18"/>
    </row>
    <row r="1048" spans="12:12" ht="12.75" customHeight="1" x14ac:dyDescent="0.2">
      <c r="L1048" s="18"/>
    </row>
    <row r="1049" spans="12:12" ht="12.75" customHeight="1" x14ac:dyDescent="0.2">
      <c r="L1049" s="18"/>
    </row>
    <row r="1050" spans="12:12" ht="12.75" customHeight="1" x14ac:dyDescent="0.2">
      <c r="L1050" s="18"/>
    </row>
    <row r="1051" spans="12:12" ht="12.75" customHeight="1" x14ac:dyDescent="0.2">
      <c r="L1051" s="18"/>
    </row>
    <row r="1052" spans="12:12" ht="12.75" customHeight="1" x14ac:dyDescent="0.2">
      <c r="L1052" s="18"/>
    </row>
    <row r="1053" spans="12:12" ht="12.75" customHeight="1" x14ac:dyDescent="0.2">
      <c r="L1053" s="18"/>
    </row>
    <row r="1054" spans="12:12" ht="12.75" customHeight="1" x14ac:dyDescent="0.2">
      <c r="L1054" s="18"/>
    </row>
    <row r="1055" spans="12:12" ht="12.75" customHeight="1" x14ac:dyDescent="0.2">
      <c r="L1055" s="18"/>
    </row>
    <row r="1056" spans="12:12" ht="12.75" customHeight="1" x14ac:dyDescent="0.2">
      <c r="L1056" s="18"/>
    </row>
    <row r="1057" spans="12:12" ht="12.75" customHeight="1" x14ac:dyDescent="0.2">
      <c r="L1057" s="18"/>
    </row>
    <row r="1058" spans="12:12" ht="12.75" customHeight="1" x14ac:dyDescent="0.2">
      <c r="L1058" s="18"/>
    </row>
    <row r="1059" spans="12:12" ht="12.75" customHeight="1" x14ac:dyDescent="0.2">
      <c r="L1059" s="18"/>
    </row>
    <row r="1060" spans="12:12" ht="12.75" customHeight="1" x14ac:dyDescent="0.2">
      <c r="L1060" s="18"/>
    </row>
    <row r="1061" spans="12:12" ht="12.75" customHeight="1" x14ac:dyDescent="0.2">
      <c r="L1061" s="18"/>
    </row>
    <row r="1062" spans="12:12" ht="12.75" customHeight="1" x14ac:dyDescent="0.2">
      <c r="L1062" s="18"/>
    </row>
    <row r="1063" spans="12:12" ht="12.75" customHeight="1" x14ac:dyDescent="0.2">
      <c r="L1063" s="18"/>
    </row>
    <row r="1064" spans="12:12" ht="12.75" customHeight="1" x14ac:dyDescent="0.2">
      <c r="L1064" s="18"/>
    </row>
    <row r="1065" spans="12:12" ht="12.75" customHeight="1" x14ac:dyDescent="0.2">
      <c r="L1065" s="18"/>
    </row>
    <row r="1066" spans="12:12" ht="12.75" customHeight="1" x14ac:dyDescent="0.2">
      <c r="L1066" s="18"/>
    </row>
    <row r="1067" spans="12:12" ht="12.75" customHeight="1" x14ac:dyDescent="0.2">
      <c r="L1067" s="18"/>
    </row>
    <row r="1068" spans="12:12" ht="12.75" customHeight="1" x14ac:dyDescent="0.2">
      <c r="L1068" s="18"/>
    </row>
    <row r="1069" spans="12:12" ht="12.75" customHeight="1" x14ac:dyDescent="0.2">
      <c r="L1069" s="18"/>
    </row>
    <row r="1070" spans="12:12" ht="12.75" customHeight="1" x14ac:dyDescent="0.2">
      <c r="L1070" s="18"/>
    </row>
    <row r="1071" spans="12:12" ht="12.75" customHeight="1" x14ac:dyDescent="0.2">
      <c r="L1071" s="18"/>
    </row>
    <row r="1072" spans="12:12" ht="12.75" customHeight="1" x14ac:dyDescent="0.2">
      <c r="L1072" s="18"/>
    </row>
    <row r="1073" spans="12:12" ht="12.75" customHeight="1" x14ac:dyDescent="0.2">
      <c r="L1073" s="18"/>
    </row>
    <row r="1074" spans="12:12" ht="12.75" customHeight="1" x14ac:dyDescent="0.2">
      <c r="L1074" s="18"/>
    </row>
    <row r="1075" spans="12:12" ht="12.75" customHeight="1" x14ac:dyDescent="0.2">
      <c r="L1075" s="18"/>
    </row>
    <row r="1076" spans="12:12" ht="12.75" customHeight="1" x14ac:dyDescent="0.2">
      <c r="L1076" s="18"/>
    </row>
    <row r="1077" spans="12:12" ht="12.75" customHeight="1" x14ac:dyDescent="0.2">
      <c r="L1077" s="18"/>
    </row>
    <row r="1078" spans="12:12" ht="12.75" customHeight="1" x14ac:dyDescent="0.2">
      <c r="L1078" s="18"/>
    </row>
    <row r="1079" spans="12:12" ht="12.75" customHeight="1" x14ac:dyDescent="0.2">
      <c r="L1079" s="18"/>
    </row>
    <row r="1080" spans="12:12" ht="12.75" customHeight="1" x14ac:dyDescent="0.2">
      <c r="L1080" s="18"/>
    </row>
    <row r="1081" spans="12:12" ht="12.75" customHeight="1" x14ac:dyDescent="0.2">
      <c r="L1081" s="18"/>
    </row>
    <row r="1082" spans="12:12" ht="12.75" customHeight="1" x14ac:dyDescent="0.2">
      <c r="L1082" s="18"/>
    </row>
    <row r="1083" spans="12:12" ht="12.75" customHeight="1" x14ac:dyDescent="0.2">
      <c r="L1083" s="18"/>
    </row>
    <row r="1084" spans="12:12" ht="12.75" customHeight="1" x14ac:dyDescent="0.2">
      <c r="L1084" s="18"/>
    </row>
    <row r="1085" spans="12:12" ht="12.75" customHeight="1" x14ac:dyDescent="0.2">
      <c r="L1085" s="18"/>
    </row>
    <row r="1086" spans="12:12" ht="12.75" customHeight="1" x14ac:dyDescent="0.2">
      <c r="L1086" s="18"/>
    </row>
    <row r="1087" spans="12:12" ht="12.75" customHeight="1" x14ac:dyDescent="0.2">
      <c r="L1087" s="18"/>
    </row>
    <row r="1088" spans="12:12" ht="12.75" customHeight="1" x14ac:dyDescent="0.2">
      <c r="L1088" s="18"/>
    </row>
    <row r="1089" spans="12:12" ht="12.75" customHeight="1" x14ac:dyDescent="0.2">
      <c r="L1089" s="18"/>
    </row>
    <row r="1090" spans="12:12" ht="12.75" customHeight="1" x14ac:dyDescent="0.2">
      <c r="L1090" s="18"/>
    </row>
    <row r="1091" spans="12:12" ht="12.75" customHeight="1" x14ac:dyDescent="0.2">
      <c r="L1091" s="18"/>
    </row>
    <row r="1092" spans="12:12" ht="12.75" customHeight="1" x14ac:dyDescent="0.2">
      <c r="L1092" s="18"/>
    </row>
    <row r="1093" spans="12:12" ht="12.75" customHeight="1" x14ac:dyDescent="0.2">
      <c r="L1093" s="18"/>
    </row>
    <row r="1094" spans="12:12" ht="12.75" customHeight="1" x14ac:dyDescent="0.2">
      <c r="L1094" s="18"/>
    </row>
    <row r="1095" spans="12:12" ht="12.75" customHeight="1" x14ac:dyDescent="0.2">
      <c r="L1095" s="18"/>
    </row>
    <row r="1096" spans="12:12" ht="12.75" customHeight="1" x14ac:dyDescent="0.2">
      <c r="L1096" s="18"/>
    </row>
    <row r="1097" spans="12:12" ht="12.75" customHeight="1" x14ac:dyDescent="0.2">
      <c r="L1097" s="18"/>
    </row>
    <row r="1098" spans="12:12" ht="12.75" customHeight="1" x14ac:dyDescent="0.2">
      <c r="L1098" s="18"/>
    </row>
    <row r="1099" spans="12:12" ht="12.75" customHeight="1" x14ac:dyDescent="0.2">
      <c r="L1099" s="18"/>
    </row>
    <row r="1100" spans="12:12" ht="12.75" customHeight="1" x14ac:dyDescent="0.2">
      <c r="L1100" s="18"/>
    </row>
    <row r="1101" spans="12:12" ht="12.75" customHeight="1" x14ac:dyDescent="0.2">
      <c r="L1101" s="18"/>
    </row>
    <row r="1102" spans="12:12" ht="12.75" customHeight="1" x14ac:dyDescent="0.2">
      <c r="L1102" s="18"/>
    </row>
    <row r="1103" spans="12:12" ht="12.75" customHeight="1" x14ac:dyDescent="0.2">
      <c r="L1103" s="18"/>
    </row>
    <row r="1104" spans="12:12" ht="12.75" customHeight="1" x14ac:dyDescent="0.2">
      <c r="L1104" s="18"/>
    </row>
    <row r="1105" spans="12:12" ht="12.75" customHeight="1" x14ac:dyDescent="0.2">
      <c r="L1105" s="18"/>
    </row>
    <row r="1106" spans="12:12" ht="12.75" customHeight="1" x14ac:dyDescent="0.2">
      <c r="L1106" s="18"/>
    </row>
    <row r="1107" spans="12:12" ht="12.75" customHeight="1" x14ac:dyDescent="0.2">
      <c r="L1107" s="18"/>
    </row>
    <row r="1108" spans="12:12" ht="12.75" customHeight="1" x14ac:dyDescent="0.2">
      <c r="L1108" s="18"/>
    </row>
    <row r="1109" spans="12:12" ht="12.75" customHeight="1" x14ac:dyDescent="0.2">
      <c r="L1109" s="18"/>
    </row>
    <row r="1110" spans="12:12" ht="12.75" customHeight="1" x14ac:dyDescent="0.2">
      <c r="L1110" s="18"/>
    </row>
    <row r="1111" spans="12:12" ht="12.75" customHeight="1" x14ac:dyDescent="0.2">
      <c r="L1111" s="18"/>
    </row>
    <row r="1112" spans="12:12" ht="12.75" customHeight="1" x14ac:dyDescent="0.2">
      <c r="L1112" s="18"/>
    </row>
    <row r="1113" spans="12:12" ht="12.75" customHeight="1" x14ac:dyDescent="0.2">
      <c r="L1113" s="18"/>
    </row>
    <row r="1114" spans="12:12" ht="12.75" customHeight="1" x14ac:dyDescent="0.2">
      <c r="L1114" s="18"/>
    </row>
    <row r="1115" spans="12:12" ht="12.75" customHeight="1" x14ac:dyDescent="0.2">
      <c r="L1115" s="18"/>
    </row>
    <row r="1116" spans="12:12" ht="12.75" customHeight="1" x14ac:dyDescent="0.2">
      <c r="L1116" s="18"/>
    </row>
    <row r="1117" spans="12:12" ht="12.75" customHeight="1" x14ac:dyDescent="0.2">
      <c r="L1117" s="18"/>
    </row>
    <row r="1118" spans="12:12" ht="12.75" customHeight="1" x14ac:dyDescent="0.2">
      <c r="L1118" s="18"/>
    </row>
    <row r="1119" spans="12:12" ht="12.75" customHeight="1" x14ac:dyDescent="0.2">
      <c r="L1119" s="18"/>
    </row>
    <row r="1120" spans="12:12" ht="12.75" customHeight="1" x14ac:dyDescent="0.2">
      <c r="L1120" s="18"/>
    </row>
    <row r="1121" spans="12:12" ht="12.75" customHeight="1" x14ac:dyDescent="0.2">
      <c r="L1121" s="18"/>
    </row>
    <row r="1122" spans="12:12" ht="12.75" customHeight="1" x14ac:dyDescent="0.2">
      <c r="L1122" s="18"/>
    </row>
    <row r="1123" spans="12:12" ht="12.75" customHeight="1" x14ac:dyDescent="0.2">
      <c r="L1123" s="18"/>
    </row>
    <row r="1124" spans="12:12" ht="12.75" customHeight="1" x14ac:dyDescent="0.2">
      <c r="L1124" s="18"/>
    </row>
    <row r="1125" spans="12:12" ht="12.75" customHeight="1" x14ac:dyDescent="0.2">
      <c r="L1125" s="18"/>
    </row>
    <row r="1126" spans="12:12" ht="12.75" customHeight="1" x14ac:dyDescent="0.2">
      <c r="L1126" s="18"/>
    </row>
    <row r="1127" spans="12:12" ht="12.75" customHeight="1" x14ac:dyDescent="0.2">
      <c r="L1127" s="18"/>
    </row>
    <row r="1128" spans="12:12" ht="12.75" customHeight="1" x14ac:dyDescent="0.2">
      <c r="L1128" s="18"/>
    </row>
    <row r="1129" spans="12:12" ht="12.75" customHeight="1" x14ac:dyDescent="0.2">
      <c r="L1129" s="18"/>
    </row>
    <row r="1130" spans="12:12" ht="12.75" customHeight="1" x14ac:dyDescent="0.2">
      <c r="L1130" s="18"/>
    </row>
    <row r="1131" spans="12:12" ht="12.75" customHeight="1" x14ac:dyDescent="0.2">
      <c r="L1131" s="18"/>
    </row>
    <row r="1132" spans="12:12" ht="12.75" customHeight="1" x14ac:dyDescent="0.2">
      <c r="L1132" s="18"/>
    </row>
    <row r="1133" spans="12:12" ht="12.75" customHeight="1" x14ac:dyDescent="0.2">
      <c r="L1133" s="18"/>
    </row>
    <row r="1134" spans="12:12" ht="12.75" customHeight="1" x14ac:dyDescent="0.2">
      <c r="L1134" s="18"/>
    </row>
    <row r="1135" spans="12:12" ht="12.75" customHeight="1" x14ac:dyDescent="0.2">
      <c r="L1135" s="18"/>
    </row>
    <row r="1136" spans="12:12" ht="12.75" customHeight="1" x14ac:dyDescent="0.2">
      <c r="L1136" s="18"/>
    </row>
    <row r="1137" spans="12:12" ht="12.75" customHeight="1" x14ac:dyDescent="0.2">
      <c r="L1137" s="18"/>
    </row>
    <row r="1138" spans="12:12" ht="12.75" customHeight="1" x14ac:dyDescent="0.2">
      <c r="L1138" s="18"/>
    </row>
    <row r="1139" spans="12:12" ht="12.75" customHeight="1" x14ac:dyDescent="0.2">
      <c r="L1139" s="18"/>
    </row>
    <row r="1140" spans="12:12" ht="12.75" customHeight="1" x14ac:dyDescent="0.2">
      <c r="L1140" s="18"/>
    </row>
    <row r="1141" spans="12:12" ht="12.75" customHeight="1" x14ac:dyDescent="0.2">
      <c r="L1141" s="18"/>
    </row>
    <row r="1142" spans="12:12" ht="12.75" customHeight="1" x14ac:dyDescent="0.2">
      <c r="L1142" s="18"/>
    </row>
    <row r="1143" spans="12:12" ht="12.75" customHeight="1" x14ac:dyDescent="0.2">
      <c r="L1143" s="18"/>
    </row>
    <row r="1144" spans="12:12" ht="12.75" customHeight="1" x14ac:dyDescent="0.2">
      <c r="L1144" s="18"/>
    </row>
    <row r="1145" spans="12:12" ht="12.75" customHeight="1" x14ac:dyDescent="0.2">
      <c r="L1145" s="18"/>
    </row>
    <row r="1146" spans="12:12" ht="12.75" customHeight="1" x14ac:dyDescent="0.2">
      <c r="L1146" s="18"/>
    </row>
    <row r="1147" spans="12:12" ht="12.75" customHeight="1" x14ac:dyDescent="0.2">
      <c r="L1147" s="18"/>
    </row>
    <row r="1148" spans="12:12" ht="12.75" customHeight="1" x14ac:dyDescent="0.2">
      <c r="L1148" s="18"/>
    </row>
    <row r="1149" spans="12:12" ht="12.75" customHeight="1" x14ac:dyDescent="0.2">
      <c r="L1149" s="18"/>
    </row>
    <row r="1150" spans="12:12" ht="12.75" customHeight="1" x14ac:dyDescent="0.2">
      <c r="L1150" s="18"/>
    </row>
    <row r="1151" spans="12:12" ht="12.75" customHeight="1" x14ac:dyDescent="0.2">
      <c r="L1151" s="18"/>
    </row>
    <row r="1152" spans="12:12" ht="12.75" customHeight="1" x14ac:dyDescent="0.2">
      <c r="L1152" s="18"/>
    </row>
    <row r="1153" spans="12:12" ht="12.75" customHeight="1" x14ac:dyDescent="0.2">
      <c r="L1153" s="18"/>
    </row>
    <row r="1154" spans="12:12" ht="12.75" customHeight="1" x14ac:dyDescent="0.2">
      <c r="L1154" s="18"/>
    </row>
    <row r="1155" spans="12:12" ht="12.75" customHeight="1" x14ac:dyDescent="0.2">
      <c r="L1155" s="18"/>
    </row>
    <row r="1156" spans="12:12" ht="12.75" customHeight="1" x14ac:dyDescent="0.2">
      <c r="L1156" s="18"/>
    </row>
    <row r="1157" spans="12:12" ht="12.75" customHeight="1" x14ac:dyDescent="0.2">
      <c r="L1157" s="18"/>
    </row>
    <row r="1158" spans="12:12" ht="12.75" customHeight="1" x14ac:dyDescent="0.2">
      <c r="L1158" s="18"/>
    </row>
    <row r="1159" spans="12:12" ht="12.75" customHeight="1" x14ac:dyDescent="0.2">
      <c r="L1159" s="18"/>
    </row>
    <row r="1160" spans="12:12" ht="12.75" customHeight="1" x14ac:dyDescent="0.2">
      <c r="L1160" s="18"/>
    </row>
    <row r="1161" spans="12:12" ht="12.75" customHeight="1" x14ac:dyDescent="0.2">
      <c r="L1161" s="18"/>
    </row>
    <row r="1162" spans="12:12" ht="12.75" customHeight="1" x14ac:dyDescent="0.2">
      <c r="L1162" s="18"/>
    </row>
    <row r="1163" spans="12:12" ht="12.75" customHeight="1" x14ac:dyDescent="0.2">
      <c r="L1163" s="18"/>
    </row>
    <row r="1164" spans="12:12" ht="12.75" customHeight="1" x14ac:dyDescent="0.2">
      <c r="L1164" s="18"/>
    </row>
    <row r="1165" spans="12:12" ht="12.75" customHeight="1" x14ac:dyDescent="0.2">
      <c r="L1165" s="18"/>
    </row>
    <row r="1166" spans="12:12" ht="12.75" customHeight="1" x14ac:dyDescent="0.2">
      <c r="L1166" s="18"/>
    </row>
    <row r="1167" spans="12:12" ht="12.75" customHeight="1" x14ac:dyDescent="0.2">
      <c r="L1167" s="18"/>
    </row>
    <row r="1168" spans="12:12" ht="12.75" customHeight="1" x14ac:dyDescent="0.2">
      <c r="L1168" s="18"/>
    </row>
    <row r="1169" spans="12:12" ht="12.75" customHeight="1" x14ac:dyDescent="0.2">
      <c r="L1169" s="18"/>
    </row>
    <row r="1170" spans="12:12" ht="12.75" customHeight="1" x14ac:dyDescent="0.2">
      <c r="L1170" s="18"/>
    </row>
    <row r="1171" spans="12:12" ht="12.75" customHeight="1" x14ac:dyDescent="0.2">
      <c r="L1171" s="18"/>
    </row>
    <row r="1172" spans="12:12" ht="12.75" customHeight="1" x14ac:dyDescent="0.2">
      <c r="L1172" s="18"/>
    </row>
    <row r="1173" spans="12:12" ht="12.75" customHeight="1" x14ac:dyDescent="0.2">
      <c r="L1173" s="18"/>
    </row>
    <row r="1174" spans="12:12" ht="12.75" customHeight="1" x14ac:dyDescent="0.2">
      <c r="L1174" s="18"/>
    </row>
    <row r="1175" spans="12:12" ht="12.75" customHeight="1" x14ac:dyDescent="0.2">
      <c r="L1175" s="18"/>
    </row>
    <row r="1176" spans="12:12" ht="12.75" customHeight="1" x14ac:dyDescent="0.2">
      <c r="L1176" s="18"/>
    </row>
    <row r="1177" spans="12:12" ht="12.75" customHeight="1" x14ac:dyDescent="0.2">
      <c r="L1177" s="18"/>
    </row>
    <row r="1178" spans="12:12" ht="12.75" customHeight="1" x14ac:dyDescent="0.2">
      <c r="L1178" s="18"/>
    </row>
    <row r="1179" spans="12:12" ht="12.75" customHeight="1" x14ac:dyDescent="0.2">
      <c r="L1179" s="18"/>
    </row>
    <row r="1180" spans="12:12" ht="12.75" customHeight="1" x14ac:dyDescent="0.2">
      <c r="L1180" s="18"/>
    </row>
    <row r="1181" spans="12:12" ht="12.75" customHeight="1" x14ac:dyDescent="0.2">
      <c r="L1181" s="18"/>
    </row>
    <row r="1182" spans="12:12" ht="12.75" customHeight="1" x14ac:dyDescent="0.2">
      <c r="L1182" s="18"/>
    </row>
    <row r="1183" spans="12:12" ht="12.75" customHeight="1" x14ac:dyDescent="0.2">
      <c r="L1183" s="18"/>
    </row>
    <row r="1184" spans="12:12" ht="12.75" customHeight="1" x14ac:dyDescent="0.2">
      <c r="L1184" s="18"/>
    </row>
    <row r="1185" spans="12:12" ht="12.75" customHeight="1" x14ac:dyDescent="0.2">
      <c r="L1185" s="18"/>
    </row>
    <row r="1186" spans="12:12" ht="12.75" customHeight="1" x14ac:dyDescent="0.2">
      <c r="L1186" s="18"/>
    </row>
    <row r="1187" spans="12:12" ht="12.75" customHeight="1" x14ac:dyDescent="0.2">
      <c r="L1187" s="18"/>
    </row>
    <row r="1188" spans="12:12" ht="12.75" customHeight="1" x14ac:dyDescent="0.2">
      <c r="L1188" s="18"/>
    </row>
    <row r="1189" spans="12:12" ht="12.75" customHeight="1" x14ac:dyDescent="0.2">
      <c r="L1189" s="18"/>
    </row>
    <row r="1190" spans="12:12" ht="12.75" customHeight="1" x14ac:dyDescent="0.2">
      <c r="L1190" s="18"/>
    </row>
    <row r="1191" spans="12:12" ht="12.75" customHeight="1" x14ac:dyDescent="0.2">
      <c r="L1191" s="18"/>
    </row>
    <row r="1192" spans="12:12" ht="12.75" customHeight="1" x14ac:dyDescent="0.2">
      <c r="L1192" s="18"/>
    </row>
    <row r="1193" spans="12:12" ht="12.75" customHeight="1" x14ac:dyDescent="0.2">
      <c r="L1193" s="18"/>
    </row>
    <row r="1194" spans="12:12" ht="12.75" customHeight="1" x14ac:dyDescent="0.2">
      <c r="L1194" s="18"/>
    </row>
    <row r="1195" spans="12:12" ht="12.75" customHeight="1" x14ac:dyDescent="0.2">
      <c r="L1195" s="18"/>
    </row>
    <row r="1196" spans="12:12" ht="12.75" customHeight="1" x14ac:dyDescent="0.2">
      <c r="L1196" s="18"/>
    </row>
    <row r="1197" spans="12:12" ht="12.75" customHeight="1" x14ac:dyDescent="0.2">
      <c r="L1197" s="18"/>
    </row>
    <row r="1198" spans="12:12" ht="12.75" customHeight="1" x14ac:dyDescent="0.2">
      <c r="L1198" s="18"/>
    </row>
    <row r="1199" spans="12:12" ht="12.75" customHeight="1" x14ac:dyDescent="0.2">
      <c r="L1199" s="18"/>
    </row>
    <row r="1200" spans="12:12" ht="12.75" customHeight="1" x14ac:dyDescent="0.2">
      <c r="L1200" s="18"/>
    </row>
    <row r="1201" spans="12:12" ht="12.75" customHeight="1" x14ac:dyDescent="0.2">
      <c r="L1201" s="18"/>
    </row>
    <row r="1202" spans="12:12" ht="12.75" customHeight="1" x14ac:dyDescent="0.2">
      <c r="L1202" s="18"/>
    </row>
    <row r="1203" spans="12:12" ht="12.75" customHeight="1" x14ac:dyDescent="0.2">
      <c r="L1203" s="18"/>
    </row>
    <row r="1204" spans="12:12" ht="12.75" customHeight="1" x14ac:dyDescent="0.2">
      <c r="L1204" s="18"/>
    </row>
    <row r="1205" spans="12:12" ht="12.75" customHeight="1" x14ac:dyDescent="0.2">
      <c r="L1205" s="18"/>
    </row>
    <row r="1206" spans="12:12" ht="12.75" customHeight="1" x14ac:dyDescent="0.2">
      <c r="L1206" s="18"/>
    </row>
    <row r="1207" spans="12:12" ht="12.75" customHeight="1" x14ac:dyDescent="0.2">
      <c r="L1207" s="18"/>
    </row>
    <row r="1208" spans="12:12" ht="12.75" customHeight="1" x14ac:dyDescent="0.2">
      <c r="L1208" s="18"/>
    </row>
    <row r="1209" spans="12:12" ht="12.75" customHeight="1" x14ac:dyDescent="0.2">
      <c r="L1209" s="18"/>
    </row>
    <row r="1210" spans="12:12" ht="12.75" customHeight="1" x14ac:dyDescent="0.2">
      <c r="L1210" s="18"/>
    </row>
    <row r="1211" spans="12:12" ht="12.75" customHeight="1" x14ac:dyDescent="0.2">
      <c r="L1211" s="18"/>
    </row>
    <row r="1212" spans="12:12" ht="12.75" customHeight="1" x14ac:dyDescent="0.2">
      <c r="L1212" s="18"/>
    </row>
    <row r="1213" spans="12:12" ht="12.75" customHeight="1" x14ac:dyDescent="0.2">
      <c r="L1213" s="18"/>
    </row>
    <row r="1214" spans="12:12" ht="12.75" customHeight="1" x14ac:dyDescent="0.2">
      <c r="L1214" s="18"/>
    </row>
    <row r="1215" spans="12:12" ht="12.75" customHeight="1" x14ac:dyDescent="0.2">
      <c r="L1215" s="18"/>
    </row>
    <row r="1216" spans="12:12" ht="12.75" customHeight="1" x14ac:dyDescent="0.2">
      <c r="L1216" s="18"/>
    </row>
    <row r="1217" spans="12:12" ht="12.75" customHeight="1" x14ac:dyDescent="0.2">
      <c r="L1217" s="18"/>
    </row>
    <row r="1218" spans="12:12" ht="12.75" customHeight="1" x14ac:dyDescent="0.2">
      <c r="L1218" s="18"/>
    </row>
    <row r="1219" spans="12:12" ht="12.75" customHeight="1" x14ac:dyDescent="0.2">
      <c r="L1219" s="18"/>
    </row>
    <row r="1220" spans="12:12" ht="12.75" customHeight="1" x14ac:dyDescent="0.2">
      <c r="L1220" s="18"/>
    </row>
    <row r="1221" spans="12:12" ht="12.75" customHeight="1" x14ac:dyDescent="0.2">
      <c r="L1221" s="18"/>
    </row>
    <row r="1222" spans="12:12" ht="12.75" customHeight="1" x14ac:dyDescent="0.2">
      <c r="L1222" s="18"/>
    </row>
    <row r="1223" spans="12:12" ht="12.75" customHeight="1" x14ac:dyDescent="0.2">
      <c r="L1223" s="18"/>
    </row>
    <row r="1224" spans="12:12" ht="12.75" customHeight="1" x14ac:dyDescent="0.2">
      <c r="L1224" s="18"/>
    </row>
    <row r="1225" spans="12:12" ht="12.75" customHeight="1" x14ac:dyDescent="0.2">
      <c r="L1225" s="18"/>
    </row>
    <row r="1226" spans="12:12" ht="12.75" customHeight="1" x14ac:dyDescent="0.2">
      <c r="L1226" s="18"/>
    </row>
    <row r="1227" spans="12:12" ht="12.75" customHeight="1" x14ac:dyDescent="0.2">
      <c r="L1227" s="18"/>
    </row>
    <row r="1228" spans="12:12" ht="12.75" customHeight="1" x14ac:dyDescent="0.2">
      <c r="L1228" s="18"/>
    </row>
    <row r="1229" spans="12:12" ht="12.75" customHeight="1" x14ac:dyDescent="0.2">
      <c r="L1229" s="18"/>
    </row>
    <row r="1230" spans="12:12" ht="12.75" customHeight="1" x14ac:dyDescent="0.2">
      <c r="L1230" s="18"/>
    </row>
    <row r="1231" spans="12:12" ht="12.75" customHeight="1" x14ac:dyDescent="0.2">
      <c r="L1231" s="18"/>
    </row>
    <row r="1232" spans="12:12" ht="12.75" customHeight="1" x14ac:dyDescent="0.2">
      <c r="L1232" s="18"/>
    </row>
    <row r="1233" spans="12:12" ht="12.75" customHeight="1" x14ac:dyDescent="0.2">
      <c r="L1233" s="18"/>
    </row>
    <row r="1234" spans="12:12" ht="12.75" customHeight="1" x14ac:dyDescent="0.2">
      <c r="L1234" s="18"/>
    </row>
    <row r="1235" spans="12:12" ht="12.75" customHeight="1" x14ac:dyDescent="0.2">
      <c r="L1235" s="18"/>
    </row>
    <row r="1236" spans="12:12" ht="12.75" customHeight="1" x14ac:dyDescent="0.2">
      <c r="L1236" s="18"/>
    </row>
    <row r="1237" spans="12:12" ht="12.75" customHeight="1" x14ac:dyDescent="0.2">
      <c r="L1237" s="18"/>
    </row>
    <row r="1238" spans="12:12" ht="12.75" customHeight="1" x14ac:dyDescent="0.2">
      <c r="L1238" s="18"/>
    </row>
    <row r="1239" spans="12:12" ht="12.75" customHeight="1" x14ac:dyDescent="0.2">
      <c r="L1239" s="18"/>
    </row>
    <row r="1240" spans="12:12" ht="12.75" customHeight="1" x14ac:dyDescent="0.2">
      <c r="L1240" s="18"/>
    </row>
    <row r="1241" spans="12:12" ht="12.75" customHeight="1" x14ac:dyDescent="0.2">
      <c r="L1241" s="18"/>
    </row>
    <row r="1242" spans="12:12" ht="12.75" customHeight="1" x14ac:dyDescent="0.2">
      <c r="L1242" s="18"/>
    </row>
    <row r="1243" spans="12:12" ht="12.75" customHeight="1" x14ac:dyDescent="0.2">
      <c r="L1243" s="18"/>
    </row>
    <row r="1244" spans="12:12" ht="12.75" customHeight="1" x14ac:dyDescent="0.2">
      <c r="L1244" s="18"/>
    </row>
    <row r="1245" spans="12:12" ht="12.75" customHeight="1" x14ac:dyDescent="0.2">
      <c r="L1245" s="18"/>
    </row>
    <row r="1246" spans="12:12" ht="12.75" customHeight="1" x14ac:dyDescent="0.2">
      <c r="L1246" s="18"/>
    </row>
    <row r="1247" spans="12:12" ht="12.75" customHeight="1" x14ac:dyDescent="0.2">
      <c r="L1247" s="18"/>
    </row>
    <row r="1248" spans="12:12" ht="12.75" customHeight="1" x14ac:dyDescent="0.2">
      <c r="L1248" s="18"/>
    </row>
    <row r="1249" spans="12:12" ht="12.75" customHeight="1" x14ac:dyDescent="0.2">
      <c r="L1249" s="18"/>
    </row>
    <row r="1250" spans="12:12" ht="12.75" customHeight="1" x14ac:dyDescent="0.2">
      <c r="L1250" s="18"/>
    </row>
    <row r="1251" spans="12:12" ht="12.75" customHeight="1" x14ac:dyDescent="0.2">
      <c r="L1251" s="18"/>
    </row>
    <row r="1252" spans="12:12" ht="12.75" customHeight="1" x14ac:dyDescent="0.2">
      <c r="L1252" s="18"/>
    </row>
    <row r="1253" spans="12:12" ht="12.75" customHeight="1" x14ac:dyDescent="0.2">
      <c r="L1253" s="18"/>
    </row>
    <row r="1254" spans="12:12" ht="12.75" customHeight="1" x14ac:dyDescent="0.2">
      <c r="L1254" s="18"/>
    </row>
    <row r="1255" spans="12:12" ht="12.75" customHeight="1" x14ac:dyDescent="0.2">
      <c r="L1255" s="18"/>
    </row>
    <row r="1256" spans="12:12" ht="12.75" customHeight="1" x14ac:dyDescent="0.2">
      <c r="L1256" s="18"/>
    </row>
    <row r="1257" spans="12:12" ht="12.75" customHeight="1" x14ac:dyDescent="0.2">
      <c r="L1257" s="18"/>
    </row>
    <row r="1258" spans="12:12" ht="12.75" customHeight="1" x14ac:dyDescent="0.2">
      <c r="L1258" s="18"/>
    </row>
    <row r="1259" spans="12:12" ht="12.75" customHeight="1" x14ac:dyDescent="0.2">
      <c r="L1259" s="18"/>
    </row>
    <row r="1260" spans="12:12" ht="12.75" customHeight="1" x14ac:dyDescent="0.2">
      <c r="L1260" s="18"/>
    </row>
    <row r="1261" spans="12:12" ht="12.75" customHeight="1" x14ac:dyDescent="0.2">
      <c r="L1261" s="18"/>
    </row>
    <row r="1262" spans="12:12" ht="12.75" customHeight="1" x14ac:dyDescent="0.2">
      <c r="L1262" s="18"/>
    </row>
    <row r="1263" spans="12:12" ht="12.75" customHeight="1" x14ac:dyDescent="0.2">
      <c r="L1263" s="18"/>
    </row>
    <row r="1264" spans="12:12" ht="12.75" customHeight="1" x14ac:dyDescent="0.2">
      <c r="L1264" s="18"/>
    </row>
    <row r="1265" spans="12:12" ht="12.75" customHeight="1" x14ac:dyDescent="0.2">
      <c r="L1265" s="18"/>
    </row>
    <row r="1266" spans="12:12" ht="12.75" customHeight="1" x14ac:dyDescent="0.2">
      <c r="L1266" s="18"/>
    </row>
    <row r="1267" spans="12:12" ht="12.75" customHeight="1" x14ac:dyDescent="0.2">
      <c r="L1267" s="18"/>
    </row>
    <row r="1268" spans="12:12" ht="12.75" customHeight="1" x14ac:dyDescent="0.2">
      <c r="L1268" s="18"/>
    </row>
    <row r="1269" spans="12:12" ht="12.75" customHeight="1" x14ac:dyDescent="0.2">
      <c r="L1269" s="18"/>
    </row>
    <row r="1270" spans="12:12" ht="12.75" customHeight="1" x14ac:dyDescent="0.2">
      <c r="L1270" s="18"/>
    </row>
    <row r="1271" spans="12:12" ht="12.75" customHeight="1" x14ac:dyDescent="0.2">
      <c r="L1271" s="18"/>
    </row>
    <row r="1272" spans="12:12" ht="12.75" customHeight="1" x14ac:dyDescent="0.2">
      <c r="L1272" s="18"/>
    </row>
    <row r="1273" spans="12:12" ht="12.75" customHeight="1" x14ac:dyDescent="0.2">
      <c r="L1273" s="18"/>
    </row>
    <row r="1274" spans="12:12" ht="12.75" customHeight="1" x14ac:dyDescent="0.2">
      <c r="L1274" s="18"/>
    </row>
    <row r="1275" spans="12:12" ht="12.75" customHeight="1" x14ac:dyDescent="0.2">
      <c r="L1275" s="18"/>
    </row>
    <row r="1276" spans="12:12" ht="12.75" customHeight="1" x14ac:dyDescent="0.2">
      <c r="L1276" s="18"/>
    </row>
    <row r="1277" spans="12:12" ht="12.75" customHeight="1" x14ac:dyDescent="0.2">
      <c r="L1277" s="18"/>
    </row>
    <row r="1278" spans="12:12" ht="12.75" customHeight="1" x14ac:dyDescent="0.2">
      <c r="L1278" s="18"/>
    </row>
    <row r="1279" spans="12:12" ht="12.75" customHeight="1" x14ac:dyDescent="0.2">
      <c r="L1279" s="18"/>
    </row>
    <row r="1280" spans="12:12" ht="12.75" customHeight="1" x14ac:dyDescent="0.2">
      <c r="L1280" s="18"/>
    </row>
    <row r="1281" spans="12:12" ht="12.75" customHeight="1" x14ac:dyDescent="0.2">
      <c r="L1281" s="18"/>
    </row>
    <row r="1282" spans="12:12" ht="12.75" customHeight="1" x14ac:dyDescent="0.2">
      <c r="L1282" s="18"/>
    </row>
    <row r="1283" spans="12:12" ht="12.75" customHeight="1" x14ac:dyDescent="0.2">
      <c r="L1283" s="18"/>
    </row>
    <row r="1284" spans="12:12" ht="12.75" customHeight="1" x14ac:dyDescent="0.2">
      <c r="L1284" s="18"/>
    </row>
    <row r="1285" spans="12:12" ht="12.75" customHeight="1" x14ac:dyDescent="0.2">
      <c r="L1285" s="18"/>
    </row>
    <row r="1286" spans="12:12" ht="12.75" customHeight="1" x14ac:dyDescent="0.2">
      <c r="L1286" s="18"/>
    </row>
    <row r="1287" spans="12:12" ht="12.75" customHeight="1" x14ac:dyDescent="0.2">
      <c r="L1287" s="18"/>
    </row>
    <row r="1288" spans="12:12" ht="12.75" customHeight="1" x14ac:dyDescent="0.2">
      <c r="L1288" s="18"/>
    </row>
    <row r="1289" spans="12:12" ht="12.75" customHeight="1" x14ac:dyDescent="0.2">
      <c r="L1289" s="18"/>
    </row>
    <row r="1290" spans="12:12" ht="12.75" customHeight="1" x14ac:dyDescent="0.2">
      <c r="L1290" s="18"/>
    </row>
    <row r="1291" spans="12:12" ht="12.75" customHeight="1" x14ac:dyDescent="0.2">
      <c r="L1291" s="18"/>
    </row>
    <row r="1292" spans="12:12" ht="12.75" customHeight="1" x14ac:dyDescent="0.2">
      <c r="L1292" s="18"/>
    </row>
    <row r="1293" spans="12:12" ht="12.75" customHeight="1" x14ac:dyDescent="0.2">
      <c r="L1293" s="18"/>
    </row>
    <row r="1294" spans="12:12" ht="12.75" customHeight="1" x14ac:dyDescent="0.2">
      <c r="L1294" s="18"/>
    </row>
    <row r="1295" spans="12:12" ht="12.75" customHeight="1" x14ac:dyDescent="0.2">
      <c r="L1295" s="18"/>
    </row>
    <row r="1296" spans="12:12" ht="12.75" customHeight="1" x14ac:dyDescent="0.2">
      <c r="L1296" s="18"/>
    </row>
    <row r="1297" spans="12:12" ht="12.75" customHeight="1" x14ac:dyDescent="0.2">
      <c r="L1297" s="18"/>
    </row>
    <row r="1298" spans="12:12" ht="12.75" customHeight="1" x14ac:dyDescent="0.2">
      <c r="L1298" s="18"/>
    </row>
    <row r="1299" spans="12:12" ht="12.75" customHeight="1" x14ac:dyDescent="0.2">
      <c r="L1299" s="18"/>
    </row>
    <row r="1300" spans="12:12" ht="12.75" customHeight="1" x14ac:dyDescent="0.2">
      <c r="L1300" s="18"/>
    </row>
    <row r="1301" spans="12:12" ht="12.75" customHeight="1" x14ac:dyDescent="0.2">
      <c r="L1301" s="18"/>
    </row>
    <row r="1302" spans="12:12" ht="12.75" customHeight="1" x14ac:dyDescent="0.2">
      <c r="L1302" s="18"/>
    </row>
    <row r="1303" spans="12:12" ht="12.75" customHeight="1" x14ac:dyDescent="0.2">
      <c r="L1303" s="18"/>
    </row>
    <row r="1304" spans="12:12" ht="12.75" customHeight="1" x14ac:dyDescent="0.2">
      <c r="L1304" s="18"/>
    </row>
    <row r="1305" spans="12:12" ht="12.75" customHeight="1" x14ac:dyDescent="0.2">
      <c r="L1305" s="18"/>
    </row>
    <row r="1306" spans="12:12" ht="12.75" customHeight="1" x14ac:dyDescent="0.2">
      <c r="L1306" s="18"/>
    </row>
    <row r="1307" spans="12:12" ht="12.75" customHeight="1" x14ac:dyDescent="0.2">
      <c r="L1307" s="18"/>
    </row>
    <row r="1308" spans="12:12" ht="12.75" customHeight="1" x14ac:dyDescent="0.2">
      <c r="L1308" s="18"/>
    </row>
    <row r="1309" spans="12:12" ht="12.75" customHeight="1" x14ac:dyDescent="0.2">
      <c r="L1309" s="18"/>
    </row>
    <row r="1310" spans="12:12" ht="12.75" customHeight="1" x14ac:dyDescent="0.2">
      <c r="L1310" s="18"/>
    </row>
    <row r="1311" spans="12:12" ht="12.75" customHeight="1" x14ac:dyDescent="0.2">
      <c r="L1311" s="18"/>
    </row>
    <row r="1312" spans="12:12" ht="12.75" customHeight="1" x14ac:dyDescent="0.2">
      <c r="L1312" s="18"/>
    </row>
    <row r="1313" spans="12:12" ht="12.75" customHeight="1" x14ac:dyDescent="0.2">
      <c r="L1313" s="18"/>
    </row>
    <row r="1314" spans="12:12" ht="12.75" customHeight="1" x14ac:dyDescent="0.2">
      <c r="L1314" s="18"/>
    </row>
    <row r="1315" spans="12:12" ht="12.75" customHeight="1" x14ac:dyDescent="0.2">
      <c r="L1315" s="18"/>
    </row>
    <row r="1316" spans="12:12" ht="12.75" customHeight="1" x14ac:dyDescent="0.2">
      <c r="L1316" s="18"/>
    </row>
    <row r="1317" spans="12:12" ht="12.75" customHeight="1" x14ac:dyDescent="0.2">
      <c r="L1317" s="18"/>
    </row>
    <row r="1318" spans="12:12" ht="12.75" customHeight="1" x14ac:dyDescent="0.2">
      <c r="L1318" s="18"/>
    </row>
    <row r="1319" spans="12:12" ht="12.75" customHeight="1" x14ac:dyDescent="0.2">
      <c r="L1319" s="18"/>
    </row>
    <row r="1320" spans="12:12" ht="12.75" customHeight="1" x14ac:dyDescent="0.2">
      <c r="L1320" s="18"/>
    </row>
    <row r="1321" spans="12:12" ht="12.75" customHeight="1" x14ac:dyDescent="0.2">
      <c r="L1321" s="18"/>
    </row>
    <row r="1322" spans="12:12" ht="12.75" customHeight="1" x14ac:dyDescent="0.2">
      <c r="L1322" s="18"/>
    </row>
    <row r="1323" spans="12:12" ht="12.75" customHeight="1" x14ac:dyDescent="0.2">
      <c r="L1323" s="18"/>
    </row>
    <row r="1324" spans="12:12" ht="12.75" customHeight="1" x14ac:dyDescent="0.2">
      <c r="L1324" s="18"/>
    </row>
    <row r="1325" spans="12:12" ht="12.75" customHeight="1" x14ac:dyDescent="0.2">
      <c r="L1325" s="18"/>
    </row>
    <row r="1326" spans="12:12" ht="12.75" customHeight="1" x14ac:dyDescent="0.2">
      <c r="L1326" s="18"/>
    </row>
    <row r="1327" spans="12:12" ht="12.75" customHeight="1" x14ac:dyDescent="0.2">
      <c r="L1327" s="18"/>
    </row>
    <row r="1328" spans="12:12" ht="12.75" customHeight="1" x14ac:dyDescent="0.2">
      <c r="L1328" s="18"/>
    </row>
    <row r="1329" spans="12:12" ht="12.75" customHeight="1" x14ac:dyDescent="0.2">
      <c r="L1329" s="18"/>
    </row>
    <row r="1330" spans="12:12" ht="12.75" customHeight="1" x14ac:dyDescent="0.2">
      <c r="L1330" s="18"/>
    </row>
    <row r="1331" spans="12:12" ht="12.75" customHeight="1" x14ac:dyDescent="0.2">
      <c r="L1331" s="18"/>
    </row>
    <row r="1332" spans="12:12" ht="12.75" customHeight="1" x14ac:dyDescent="0.2">
      <c r="L1332" s="18"/>
    </row>
    <row r="1333" spans="12:12" ht="12.75" customHeight="1" x14ac:dyDescent="0.2">
      <c r="L1333" s="18"/>
    </row>
    <row r="1334" spans="12:12" ht="12.75" customHeight="1" x14ac:dyDescent="0.2">
      <c r="L1334" s="18"/>
    </row>
    <row r="1335" spans="12:12" ht="12.75" customHeight="1" x14ac:dyDescent="0.2">
      <c r="L1335" s="18"/>
    </row>
    <row r="1336" spans="12:12" ht="12.75" customHeight="1" x14ac:dyDescent="0.2">
      <c r="L1336" s="18"/>
    </row>
    <row r="1337" spans="12:12" ht="12.75" customHeight="1" x14ac:dyDescent="0.2">
      <c r="L1337" s="18"/>
    </row>
    <row r="1338" spans="12:12" ht="12.75" customHeight="1" x14ac:dyDescent="0.2">
      <c r="L1338" s="18"/>
    </row>
    <row r="1339" spans="12:12" ht="12.75" customHeight="1" x14ac:dyDescent="0.2">
      <c r="L1339" s="18"/>
    </row>
    <row r="1340" spans="12:12" ht="12.75" customHeight="1" x14ac:dyDescent="0.2">
      <c r="L1340" s="18"/>
    </row>
    <row r="1341" spans="12:12" ht="12.75" customHeight="1" x14ac:dyDescent="0.2">
      <c r="L1341" s="18"/>
    </row>
    <row r="1342" spans="12:12" ht="12.75" customHeight="1" x14ac:dyDescent="0.2">
      <c r="L1342" s="18"/>
    </row>
    <row r="1343" spans="12:12" ht="12.75" customHeight="1" x14ac:dyDescent="0.2">
      <c r="L1343" s="18"/>
    </row>
    <row r="1344" spans="12:12" ht="12.75" customHeight="1" x14ac:dyDescent="0.2">
      <c r="L1344" s="18"/>
    </row>
    <row r="1345" spans="12:12" ht="12.75" customHeight="1" x14ac:dyDescent="0.2">
      <c r="L1345" s="18"/>
    </row>
    <row r="1346" spans="12:12" ht="12.75" customHeight="1" x14ac:dyDescent="0.2">
      <c r="L1346" s="18"/>
    </row>
    <row r="1347" spans="12:12" ht="12.75" customHeight="1" x14ac:dyDescent="0.2">
      <c r="L1347" s="18"/>
    </row>
    <row r="1348" spans="12:12" ht="12.75" customHeight="1" x14ac:dyDescent="0.2">
      <c r="L1348" s="18"/>
    </row>
    <row r="1349" spans="12:12" ht="12.75" customHeight="1" x14ac:dyDescent="0.2">
      <c r="L1349" s="18"/>
    </row>
    <row r="1350" spans="12:12" ht="12.75" customHeight="1" x14ac:dyDescent="0.2">
      <c r="L1350" s="18"/>
    </row>
    <row r="1351" spans="12:12" ht="12.75" customHeight="1" x14ac:dyDescent="0.2">
      <c r="L1351" s="18"/>
    </row>
    <row r="1352" spans="12:12" ht="12.75" customHeight="1" x14ac:dyDescent="0.2">
      <c r="L1352" s="18"/>
    </row>
    <row r="1353" spans="12:12" ht="12.75" customHeight="1" x14ac:dyDescent="0.2">
      <c r="L1353" s="18"/>
    </row>
    <row r="1354" spans="12:12" ht="12.75" customHeight="1" x14ac:dyDescent="0.2">
      <c r="L1354" s="18"/>
    </row>
    <row r="1355" spans="12:12" ht="12.75" customHeight="1" x14ac:dyDescent="0.2">
      <c r="L1355" s="18"/>
    </row>
    <row r="1356" spans="12:12" ht="12.75" customHeight="1" x14ac:dyDescent="0.2">
      <c r="L1356" s="18"/>
    </row>
    <row r="1357" spans="12:12" ht="12.75" customHeight="1" x14ac:dyDescent="0.2">
      <c r="L1357" s="18"/>
    </row>
    <row r="1358" spans="12:12" ht="12.75" customHeight="1" x14ac:dyDescent="0.2">
      <c r="L1358" s="18"/>
    </row>
    <row r="1359" spans="12:12" ht="12.75" customHeight="1" x14ac:dyDescent="0.2">
      <c r="L1359" s="18"/>
    </row>
    <row r="1360" spans="12:12" ht="12.75" customHeight="1" x14ac:dyDescent="0.2">
      <c r="L1360" s="18"/>
    </row>
    <row r="1361" spans="12:12" ht="12.75" customHeight="1" x14ac:dyDescent="0.2">
      <c r="L1361" s="18"/>
    </row>
    <row r="1362" spans="12:12" ht="12.75" customHeight="1" x14ac:dyDescent="0.2">
      <c r="L1362" s="18"/>
    </row>
    <row r="1363" spans="12:12" ht="12.75" customHeight="1" x14ac:dyDescent="0.2">
      <c r="L1363" s="18"/>
    </row>
    <row r="1364" spans="12:12" ht="12.75" customHeight="1" x14ac:dyDescent="0.2">
      <c r="L1364" s="18"/>
    </row>
    <row r="1365" spans="12:12" ht="12.75" customHeight="1" x14ac:dyDescent="0.2">
      <c r="L1365" s="18"/>
    </row>
    <row r="1366" spans="12:12" ht="12.75" customHeight="1" x14ac:dyDescent="0.2">
      <c r="L1366" s="18"/>
    </row>
    <row r="1367" spans="12:12" ht="12.75" customHeight="1" x14ac:dyDescent="0.2">
      <c r="L1367" s="18"/>
    </row>
    <row r="1368" spans="12:12" ht="12.75" customHeight="1" x14ac:dyDescent="0.2">
      <c r="L1368" s="18"/>
    </row>
    <row r="1369" spans="12:12" ht="12.75" customHeight="1" x14ac:dyDescent="0.2">
      <c r="L1369" s="18"/>
    </row>
    <row r="1370" spans="12:12" ht="12.75" customHeight="1" x14ac:dyDescent="0.2">
      <c r="L1370" s="18"/>
    </row>
    <row r="1371" spans="12:12" ht="12.75" customHeight="1" x14ac:dyDescent="0.2">
      <c r="L1371" s="18"/>
    </row>
    <row r="1372" spans="12:12" ht="12.75" customHeight="1" x14ac:dyDescent="0.2">
      <c r="L1372" s="18"/>
    </row>
    <row r="1373" spans="12:12" ht="12.75" customHeight="1" x14ac:dyDescent="0.2">
      <c r="L1373" s="18"/>
    </row>
    <row r="1374" spans="12:12" ht="12.75" customHeight="1" x14ac:dyDescent="0.2">
      <c r="L1374" s="18"/>
    </row>
    <row r="1375" spans="12:12" ht="12.75" customHeight="1" x14ac:dyDescent="0.2">
      <c r="L1375" s="18"/>
    </row>
    <row r="1376" spans="12:12" ht="12.75" customHeight="1" x14ac:dyDescent="0.2">
      <c r="L1376" s="18"/>
    </row>
    <row r="1377" spans="12:12" ht="12.75" customHeight="1" x14ac:dyDescent="0.2">
      <c r="L1377" s="18"/>
    </row>
    <row r="1378" spans="12:12" ht="12.75" customHeight="1" x14ac:dyDescent="0.2">
      <c r="L1378" s="18"/>
    </row>
    <row r="1379" spans="12:12" ht="12.75" customHeight="1" x14ac:dyDescent="0.2">
      <c r="L1379" s="18"/>
    </row>
    <row r="1380" spans="12:12" ht="12.75" customHeight="1" x14ac:dyDescent="0.2">
      <c r="L1380" s="18"/>
    </row>
    <row r="1381" spans="12:12" ht="12.75" customHeight="1" x14ac:dyDescent="0.2">
      <c r="L1381" s="18"/>
    </row>
    <row r="1382" spans="12:12" ht="12.75" customHeight="1" x14ac:dyDescent="0.2">
      <c r="L1382" s="18"/>
    </row>
    <row r="1383" spans="12:12" ht="12.75" customHeight="1" x14ac:dyDescent="0.2">
      <c r="L1383" s="18"/>
    </row>
    <row r="1384" spans="12:12" ht="12.75" customHeight="1" x14ac:dyDescent="0.2">
      <c r="L1384" s="18"/>
    </row>
    <row r="1385" spans="12:12" ht="12.75" customHeight="1" x14ac:dyDescent="0.2">
      <c r="L1385" s="18"/>
    </row>
    <row r="1386" spans="12:12" ht="12.75" customHeight="1" x14ac:dyDescent="0.2">
      <c r="L1386" s="18"/>
    </row>
    <row r="1387" spans="12:12" ht="12.75" customHeight="1" x14ac:dyDescent="0.2">
      <c r="L1387" s="18"/>
    </row>
    <row r="1388" spans="12:12" ht="12.75" customHeight="1" x14ac:dyDescent="0.2">
      <c r="L1388" s="18"/>
    </row>
    <row r="1389" spans="12:12" ht="12.75" customHeight="1" x14ac:dyDescent="0.2">
      <c r="L1389" s="18"/>
    </row>
    <row r="1390" spans="12:12" ht="12.75" customHeight="1" x14ac:dyDescent="0.2">
      <c r="L1390" s="18"/>
    </row>
    <row r="1391" spans="12:12" ht="12.75" customHeight="1" x14ac:dyDescent="0.2">
      <c r="L1391" s="18"/>
    </row>
    <row r="1392" spans="12:12" ht="12.75" customHeight="1" x14ac:dyDescent="0.2">
      <c r="L1392" s="18"/>
    </row>
    <row r="1393" spans="12:12" ht="12.75" customHeight="1" x14ac:dyDescent="0.2">
      <c r="L1393" s="18"/>
    </row>
    <row r="1394" spans="12:12" ht="12.75" customHeight="1" x14ac:dyDescent="0.2">
      <c r="L1394" s="18"/>
    </row>
    <row r="1395" spans="12:12" ht="12.75" customHeight="1" x14ac:dyDescent="0.2">
      <c r="L1395" s="18"/>
    </row>
    <row r="1396" spans="12:12" ht="12.75" customHeight="1" x14ac:dyDescent="0.2">
      <c r="L1396" s="18"/>
    </row>
    <row r="1397" spans="12:12" ht="12.75" customHeight="1" x14ac:dyDescent="0.2">
      <c r="L1397" s="18"/>
    </row>
    <row r="1398" spans="12:12" ht="12.75" customHeight="1" x14ac:dyDescent="0.2">
      <c r="L1398" s="18"/>
    </row>
    <row r="1399" spans="12:12" ht="12.75" customHeight="1" x14ac:dyDescent="0.2">
      <c r="L1399" s="18"/>
    </row>
    <row r="1400" spans="12:12" ht="12.75" customHeight="1" x14ac:dyDescent="0.2">
      <c r="L1400" s="18"/>
    </row>
    <row r="1401" spans="12:12" ht="12.75" customHeight="1" x14ac:dyDescent="0.2">
      <c r="L1401" s="18"/>
    </row>
    <row r="1402" spans="12:12" ht="12.75" customHeight="1" x14ac:dyDescent="0.2">
      <c r="L1402" s="18"/>
    </row>
    <row r="1403" spans="12:12" ht="12.75" customHeight="1" x14ac:dyDescent="0.2">
      <c r="L1403" s="18"/>
    </row>
    <row r="1404" spans="12:12" ht="12.75" customHeight="1" x14ac:dyDescent="0.2">
      <c r="L1404" s="18"/>
    </row>
    <row r="1405" spans="12:12" ht="12.75" customHeight="1" x14ac:dyDescent="0.2">
      <c r="L1405" s="18"/>
    </row>
    <row r="1406" spans="12:12" ht="12.75" customHeight="1" x14ac:dyDescent="0.2">
      <c r="L1406" s="18"/>
    </row>
    <row r="1407" spans="12:12" ht="12.75" customHeight="1" x14ac:dyDescent="0.2">
      <c r="L1407" s="18"/>
    </row>
    <row r="1408" spans="12:12" ht="12.75" customHeight="1" x14ac:dyDescent="0.2">
      <c r="L1408" s="18"/>
    </row>
    <row r="1409" spans="12:12" ht="12.75" customHeight="1" x14ac:dyDescent="0.2">
      <c r="L1409" s="18"/>
    </row>
    <row r="1410" spans="12:12" ht="12.75" customHeight="1" x14ac:dyDescent="0.2">
      <c r="L1410" s="18"/>
    </row>
    <row r="1411" spans="12:12" ht="12.75" customHeight="1" x14ac:dyDescent="0.2">
      <c r="L1411" s="18"/>
    </row>
    <row r="1412" spans="12:12" ht="12.75" customHeight="1" x14ac:dyDescent="0.2">
      <c r="L1412" s="18"/>
    </row>
    <row r="1413" spans="12:12" ht="12.75" customHeight="1" x14ac:dyDescent="0.2">
      <c r="L1413" s="18"/>
    </row>
    <row r="1414" spans="12:12" ht="12.75" customHeight="1" x14ac:dyDescent="0.2">
      <c r="L1414" s="18"/>
    </row>
    <row r="1415" spans="12:12" ht="12.75" customHeight="1" x14ac:dyDescent="0.2">
      <c r="L1415" s="18"/>
    </row>
    <row r="1416" spans="12:12" ht="12.75" customHeight="1" x14ac:dyDescent="0.2">
      <c r="L1416" s="18"/>
    </row>
    <row r="1417" spans="12:12" ht="12.75" customHeight="1" x14ac:dyDescent="0.2">
      <c r="L1417" s="18"/>
    </row>
    <row r="1418" spans="12:12" ht="12.75" customHeight="1" x14ac:dyDescent="0.2">
      <c r="L1418" s="18"/>
    </row>
    <row r="1419" spans="12:12" ht="12.75" customHeight="1" x14ac:dyDescent="0.2">
      <c r="L1419" s="18"/>
    </row>
    <row r="1420" spans="12:12" ht="12.75" customHeight="1" x14ac:dyDescent="0.2">
      <c r="L1420" s="18"/>
    </row>
    <row r="1421" spans="12:12" ht="12.75" customHeight="1" x14ac:dyDescent="0.2">
      <c r="L1421" s="18"/>
    </row>
    <row r="1422" spans="12:12" ht="12.75" customHeight="1" x14ac:dyDescent="0.2">
      <c r="L1422" s="18"/>
    </row>
    <row r="1423" spans="12:12" ht="12.75" customHeight="1" x14ac:dyDescent="0.2">
      <c r="L1423" s="18"/>
    </row>
    <row r="1424" spans="12:12" ht="12.75" customHeight="1" x14ac:dyDescent="0.2">
      <c r="L1424" s="18"/>
    </row>
    <row r="1425" spans="12:12" ht="12.75" customHeight="1" x14ac:dyDescent="0.2">
      <c r="L1425" s="18"/>
    </row>
    <row r="1426" spans="12:12" ht="12.75" customHeight="1" x14ac:dyDescent="0.2">
      <c r="L1426" s="18"/>
    </row>
    <row r="1427" spans="12:12" ht="12.75" customHeight="1" x14ac:dyDescent="0.2">
      <c r="L1427" s="18"/>
    </row>
    <row r="1428" spans="12:12" ht="12.75" customHeight="1" x14ac:dyDescent="0.2">
      <c r="L1428" s="18"/>
    </row>
    <row r="1429" spans="12:12" ht="12.75" customHeight="1" x14ac:dyDescent="0.2">
      <c r="L1429" s="18"/>
    </row>
    <row r="1430" spans="12:12" ht="12.75" customHeight="1" x14ac:dyDescent="0.2">
      <c r="L1430" s="18"/>
    </row>
    <row r="1431" spans="12:12" ht="12.75" customHeight="1" x14ac:dyDescent="0.2">
      <c r="L1431" s="18"/>
    </row>
    <row r="1432" spans="12:12" ht="12.75" customHeight="1" x14ac:dyDescent="0.2">
      <c r="L1432" s="18"/>
    </row>
    <row r="1433" spans="12:12" ht="12.75" customHeight="1" x14ac:dyDescent="0.2">
      <c r="L1433" s="18"/>
    </row>
    <row r="1434" spans="12:12" ht="12.75" customHeight="1" x14ac:dyDescent="0.2">
      <c r="L1434" s="18"/>
    </row>
    <row r="1435" spans="12:12" ht="12.75" customHeight="1" x14ac:dyDescent="0.2">
      <c r="L1435" s="18"/>
    </row>
    <row r="1436" spans="12:12" ht="12.75" customHeight="1" x14ac:dyDescent="0.2">
      <c r="L1436" s="18"/>
    </row>
    <row r="1437" spans="12:12" ht="12.75" customHeight="1" x14ac:dyDescent="0.2">
      <c r="L1437" s="18"/>
    </row>
    <row r="1438" spans="12:12" ht="12.75" customHeight="1" x14ac:dyDescent="0.2">
      <c r="L1438" s="18"/>
    </row>
    <row r="1439" spans="12:12" ht="12.75" customHeight="1" x14ac:dyDescent="0.2">
      <c r="L1439" s="18"/>
    </row>
    <row r="1440" spans="12:12" ht="12.75" customHeight="1" x14ac:dyDescent="0.2">
      <c r="L1440" s="18"/>
    </row>
    <row r="1441" spans="12:12" ht="12.75" customHeight="1" x14ac:dyDescent="0.2">
      <c r="L1441" s="18"/>
    </row>
    <row r="1442" spans="12:12" ht="12.75" customHeight="1" x14ac:dyDescent="0.2">
      <c r="L1442" s="18"/>
    </row>
    <row r="1443" spans="12:12" ht="12.75" customHeight="1" x14ac:dyDescent="0.2">
      <c r="L1443" s="18"/>
    </row>
    <row r="1444" spans="12:12" ht="12.75" customHeight="1" x14ac:dyDescent="0.2">
      <c r="L1444" s="18"/>
    </row>
    <row r="1445" spans="12:12" ht="12.75" customHeight="1" x14ac:dyDescent="0.2">
      <c r="L1445" s="18"/>
    </row>
    <row r="1446" spans="12:12" ht="12.75" customHeight="1" x14ac:dyDescent="0.2">
      <c r="L1446" s="18"/>
    </row>
    <row r="1447" spans="12:12" ht="12.75" customHeight="1" x14ac:dyDescent="0.2">
      <c r="L1447" s="18"/>
    </row>
    <row r="1448" spans="12:12" ht="12.75" customHeight="1" x14ac:dyDescent="0.2">
      <c r="L1448" s="18"/>
    </row>
    <row r="1449" spans="12:12" ht="12.75" customHeight="1" x14ac:dyDescent="0.2">
      <c r="L1449" s="18"/>
    </row>
    <row r="1450" spans="12:12" ht="12.75" customHeight="1" x14ac:dyDescent="0.2">
      <c r="L1450" s="18"/>
    </row>
    <row r="1451" spans="12:12" ht="12.75" customHeight="1" x14ac:dyDescent="0.2">
      <c r="L1451" s="18"/>
    </row>
    <row r="1452" spans="12:12" ht="12.75" customHeight="1" x14ac:dyDescent="0.2">
      <c r="L1452" s="18"/>
    </row>
    <row r="1453" spans="12:12" ht="12.75" customHeight="1" x14ac:dyDescent="0.2">
      <c r="L1453" s="18"/>
    </row>
    <row r="1454" spans="12:12" ht="12.75" customHeight="1" x14ac:dyDescent="0.2">
      <c r="L1454" s="18"/>
    </row>
    <row r="1455" spans="12:12" ht="12.75" customHeight="1" x14ac:dyDescent="0.2">
      <c r="L1455" s="18"/>
    </row>
    <row r="1456" spans="12:12" ht="12.75" customHeight="1" x14ac:dyDescent="0.2">
      <c r="L1456" s="18"/>
    </row>
    <row r="1457" spans="12:12" ht="12.75" customHeight="1" x14ac:dyDescent="0.2">
      <c r="L1457" s="18"/>
    </row>
    <row r="1458" spans="12:12" ht="12.75" customHeight="1" x14ac:dyDescent="0.2">
      <c r="L1458" s="18"/>
    </row>
    <row r="1459" spans="12:12" ht="12.75" customHeight="1" x14ac:dyDescent="0.2">
      <c r="L1459" s="18"/>
    </row>
    <row r="1460" spans="12:12" ht="12.75" customHeight="1" x14ac:dyDescent="0.2">
      <c r="L1460" s="18"/>
    </row>
    <row r="1461" spans="12:12" ht="12.75" customHeight="1" x14ac:dyDescent="0.2">
      <c r="L1461" s="18"/>
    </row>
    <row r="1462" spans="12:12" ht="12.75" customHeight="1" x14ac:dyDescent="0.2">
      <c r="L1462" s="18"/>
    </row>
    <row r="1463" spans="12:12" ht="12.75" customHeight="1" x14ac:dyDescent="0.2">
      <c r="L1463" s="18"/>
    </row>
    <row r="1464" spans="12:12" ht="12.75" customHeight="1" x14ac:dyDescent="0.2">
      <c r="L1464" s="18"/>
    </row>
    <row r="1465" spans="12:12" ht="12.75" customHeight="1" x14ac:dyDescent="0.2">
      <c r="L1465" s="18"/>
    </row>
    <row r="1466" spans="12:12" ht="12.75" customHeight="1" x14ac:dyDescent="0.2">
      <c r="L1466" s="18"/>
    </row>
    <row r="1467" spans="12:12" ht="12.75" customHeight="1" x14ac:dyDescent="0.2">
      <c r="L1467" s="18"/>
    </row>
    <row r="1468" spans="12:12" ht="12.75" customHeight="1" x14ac:dyDescent="0.2">
      <c r="L1468" s="18"/>
    </row>
    <row r="1469" spans="12:12" ht="12.75" customHeight="1" x14ac:dyDescent="0.2">
      <c r="L1469" s="18"/>
    </row>
    <row r="1470" spans="12:12" ht="12.75" customHeight="1" x14ac:dyDescent="0.2">
      <c r="L1470" s="18"/>
    </row>
    <row r="1471" spans="12:12" ht="12.75" customHeight="1" x14ac:dyDescent="0.2">
      <c r="L1471" s="18"/>
    </row>
    <row r="1472" spans="12:12" ht="12.75" customHeight="1" x14ac:dyDescent="0.2">
      <c r="L1472" s="18"/>
    </row>
    <row r="1473" spans="12:12" ht="12.75" customHeight="1" x14ac:dyDescent="0.2">
      <c r="L1473" s="18"/>
    </row>
    <row r="1474" spans="12:12" ht="12.75" customHeight="1" x14ac:dyDescent="0.2">
      <c r="L1474" s="18"/>
    </row>
    <row r="1475" spans="12:12" ht="12.75" customHeight="1" x14ac:dyDescent="0.2">
      <c r="L1475" s="18"/>
    </row>
    <row r="1476" spans="12:12" ht="12.75" customHeight="1" x14ac:dyDescent="0.2">
      <c r="L1476" s="18"/>
    </row>
    <row r="1477" spans="12:12" ht="12.75" customHeight="1" x14ac:dyDescent="0.2">
      <c r="L1477" s="18"/>
    </row>
    <row r="1478" spans="12:12" ht="12.75" customHeight="1" x14ac:dyDescent="0.2">
      <c r="L1478" s="18"/>
    </row>
    <row r="1479" spans="12:12" ht="12.75" customHeight="1" x14ac:dyDescent="0.2">
      <c r="L1479" s="18"/>
    </row>
    <row r="1480" spans="12:12" ht="12.75" customHeight="1" x14ac:dyDescent="0.2">
      <c r="L1480" s="18"/>
    </row>
    <row r="1481" spans="12:12" ht="12.75" customHeight="1" x14ac:dyDescent="0.2">
      <c r="L1481" s="18"/>
    </row>
    <row r="1482" spans="12:12" ht="12.75" customHeight="1" x14ac:dyDescent="0.2">
      <c r="L1482" s="18"/>
    </row>
    <row r="1483" spans="12:12" ht="12.75" customHeight="1" x14ac:dyDescent="0.2">
      <c r="L1483" s="18"/>
    </row>
    <row r="1484" spans="12:12" ht="12.75" customHeight="1" x14ac:dyDescent="0.2">
      <c r="L1484" s="18"/>
    </row>
    <row r="1485" spans="12:12" ht="12.75" customHeight="1" x14ac:dyDescent="0.2">
      <c r="L1485" s="18"/>
    </row>
    <row r="1486" spans="12:12" ht="12.75" customHeight="1" x14ac:dyDescent="0.2">
      <c r="L1486" s="18"/>
    </row>
    <row r="1487" spans="12:12" ht="12.75" customHeight="1" x14ac:dyDescent="0.2">
      <c r="L1487" s="18"/>
    </row>
    <row r="1488" spans="12:12" ht="12.75" customHeight="1" x14ac:dyDescent="0.2">
      <c r="L1488" s="18"/>
    </row>
    <row r="1489" spans="12:12" ht="12.75" customHeight="1" x14ac:dyDescent="0.2">
      <c r="L1489" s="18"/>
    </row>
    <row r="1490" spans="12:12" ht="12.75" customHeight="1" x14ac:dyDescent="0.2">
      <c r="L1490" s="18"/>
    </row>
    <row r="1491" spans="12:12" ht="12.75" customHeight="1" x14ac:dyDescent="0.2">
      <c r="L1491" s="18"/>
    </row>
    <row r="1492" spans="12:12" ht="12.75" customHeight="1" x14ac:dyDescent="0.2">
      <c r="L1492" s="18"/>
    </row>
    <row r="1493" spans="12:12" ht="12.75" customHeight="1" x14ac:dyDescent="0.2">
      <c r="L1493" s="18"/>
    </row>
    <row r="1494" spans="12:12" ht="12.75" customHeight="1" x14ac:dyDescent="0.2">
      <c r="L1494" s="18"/>
    </row>
    <row r="1495" spans="12:12" ht="12.75" customHeight="1" x14ac:dyDescent="0.2">
      <c r="L1495" s="18"/>
    </row>
    <row r="1496" spans="12:12" ht="12.75" customHeight="1" x14ac:dyDescent="0.2">
      <c r="L1496" s="18"/>
    </row>
    <row r="1497" spans="12:12" ht="12.75" customHeight="1" x14ac:dyDescent="0.2">
      <c r="L1497" s="18"/>
    </row>
    <row r="1498" spans="12:12" ht="12.75" customHeight="1" x14ac:dyDescent="0.2">
      <c r="L1498" s="18"/>
    </row>
    <row r="1499" spans="12:12" ht="12.75" customHeight="1" x14ac:dyDescent="0.2">
      <c r="L1499" s="18"/>
    </row>
    <row r="1500" spans="12:12" ht="12.75" customHeight="1" x14ac:dyDescent="0.2">
      <c r="L1500" s="18"/>
    </row>
    <row r="1501" spans="12:12" ht="12.75" customHeight="1" x14ac:dyDescent="0.2">
      <c r="L1501" s="18"/>
    </row>
    <row r="1502" spans="12:12" ht="12.75" customHeight="1" x14ac:dyDescent="0.2">
      <c r="L1502" s="18"/>
    </row>
    <row r="1503" spans="12:12" ht="12.75" customHeight="1" x14ac:dyDescent="0.2">
      <c r="L1503" s="18"/>
    </row>
    <row r="1504" spans="12:12" ht="12.75" customHeight="1" x14ac:dyDescent="0.2">
      <c r="L1504" s="18"/>
    </row>
    <row r="1505" spans="12:12" ht="12.75" customHeight="1" x14ac:dyDescent="0.2">
      <c r="L1505" s="18"/>
    </row>
    <row r="1506" spans="12:12" ht="12.75" customHeight="1" x14ac:dyDescent="0.2">
      <c r="L1506" s="18"/>
    </row>
    <row r="1507" spans="12:12" ht="12.75" customHeight="1" x14ac:dyDescent="0.2">
      <c r="L1507" s="18"/>
    </row>
    <row r="1508" spans="12:12" ht="12.75" customHeight="1" x14ac:dyDescent="0.2">
      <c r="L1508" s="18"/>
    </row>
    <row r="1509" spans="12:12" ht="12.75" customHeight="1" x14ac:dyDescent="0.2">
      <c r="L1509" s="18"/>
    </row>
    <row r="1510" spans="12:12" ht="12.75" customHeight="1" x14ac:dyDescent="0.2">
      <c r="L1510" s="18"/>
    </row>
    <row r="1511" spans="12:12" ht="12.75" customHeight="1" x14ac:dyDescent="0.2">
      <c r="L1511" s="18"/>
    </row>
    <row r="1512" spans="12:12" ht="12.75" customHeight="1" x14ac:dyDescent="0.2">
      <c r="L1512" s="18"/>
    </row>
    <row r="1513" spans="12:12" ht="12.75" customHeight="1" x14ac:dyDescent="0.2">
      <c r="L1513" s="18"/>
    </row>
    <row r="1514" spans="12:12" ht="12.75" customHeight="1" x14ac:dyDescent="0.2">
      <c r="L1514" s="18"/>
    </row>
    <row r="1515" spans="12:12" ht="12.75" customHeight="1" x14ac:dyDescent="0.2">
      <c r="L1515" s="18"/>
    </row>
    <row r="1516" spans="12:12" ht="12.75" customHeight="1" x14ac:dyDescent="0.2">
      <c r="L1516" s="18"/>
    </row>
    <row r="1517" spans="12:12" ht="12.75" customHeight="1" x14ac:dyDescent="0.2">
      <c r="L1517" s="18"/>
    </row>
    <row r="1518" spans="12:12" ht="12.75" customHeight="1" x14ac:dyDescent="0.2">
      <c r="L1518" s="18"/>
    </row>
    <row r="1519" spans="12:12" ht="12.75" customHeight="1" x14ac:dyDescent="0.2">
      <c r="L1519" s="18"/>
    </row>
    <row r="1520" spans="12:12" ht="12.75" customHeight="1" x14ac:dyDescent="0.2">
      <c r="L1520" s="18"/>
    </row>
    <row r="1521" spans="12:12" ht="12.75" customHeight="1" x14ac:dyDescent="0.2">
      <c r="L1521" s="18"/>
    </row>
    <row r="1522" spans="12:12" ht="12.75" customHeight="1" x14ac:dyDescent="0.2">
      <c r="L1522" s="18"/>
    </row>
    <row r="1523" spans="12:12" ht="12.75" customHeight="1" x14ac:dyDescent="0.2">
      <c r="L1523" s="18"/>
    </row>
    <row r="1524" spans="12:12" ht="12.75" customHeight="1" x14ac:dyDescent="0.2">
      <c r="L1524" s="18"/>
    </row>
    <row r="1525" spans="12:12" ht="12.75" customHeight="1" x14ac:dyDescent="0.2">
      <c r="L1525" s="18"/>
    </row>
    <row r="1526" spans="12:12" ht="12.75" customHeight="1" x14ac:dyDescent="0.2">
      <c r="L1526" s="18"/>
    </row>
    <row r="1527" spans="12:12" ht="12.75" customHeight="1" x14ac:dyDescent="0.2">
      <c r="L1527" s="18"/>
    </row>
    <row r="1528" spans="12:12" ht="12.75" customHeight="1" x14ac:dyDescent="0.2">
      <c r="L1528" s="18"/>
    </row>
    <row r="1529" spans="12:12" ht="12.75" customHeight="1" x14ac:dyDescent="0.2">
      <c r="L1529" s="18"/>
    </row>
    <row r="1530" spans="12:12" ht="12.75" customHeight="1" x14ac:dyDescent="0.2">
      <c r="L1530" s="18"/>
    </row>
    <row r="1531" spans="12:12" ht="12.75" customHeight="1" x14ac:dyDescent="0.2">
      <c r="L1531" s="18"/>
    </row>
    <row r="1532" spans="12:12" ht="12.75" customHeight="1" x14ac:dyDescent="0.2">
      <c r="L1532" s="18"/>
    </row>
    <row r="1533" spans="12:12" ht="12.75" customHeight="1" x14ac:dyDescent="0.2">
      <c r="L1533" s="18"/>
    </row>
    <row r="1534" spans="12:12" ht="12.75" customHeight="1" x14ac:dyDescent="0.2">
      <c r="L1534" s="18"/>
    </row>
    <row r="1535" spans="12:12" ht="12.75" customHeight="1" x14ac:dyDescent="0.2">
      <c r="L1535" s="18"/>
    </row>
    <row r="1536" spans="12:12" ht="12.75" customHeight="1" x14ac:dyDescent="0.2">
      <c r="L1536" s="18"/>
    </row>
    <row r="1537" spans="12:12" ht="12.75" customHeight="1" x14ac:dyDescent="0.2">
      <c r="L1537" s="18"/>
    </row>
    <row r="1538" spans="12:12" ht="12.75" customHeight="1" x14ac:dyDescent="0.2">
      <c r="L1538" s="18"/>
    </row>
    <row r="1539" spans="12:12" ht="12.75" customHeight="1" x14ac:dyDescent="0.2">
      <c r="L1539" s="18"/>
    </row>
    <row r="1540" spans="12:12" ht="12.75" customHeight="1" x14ac:dyDescent="0.2">
      <c r="L1540" s="18"/>
    </row>
    <row r="1541" spans="12:12" ht="12.75" customHeight="1" x14ac:dyDescent="0.2">
      <c r="L1541" s="18"/>
    </row>
    <row r="1542" spans="12:12" ht="12.75" customHeight="1" x14ac:dyDescent="0.2">
      <c r="L1542" s="18"/>
    </row>
    <row r="1543" spans="12:12" ht="12.75" customHeight="1" x14ac:dyDescent="0.2">
      <c r="L1543" s="18"/>
    </row>
    <row r="1544" spans="12:12" ht="12.75" customHeight="1" x14ac:dyDescent="0.2">
      <c r="L1544" s="18"/>
    </row>
    <row r="1545" spans="12:12" ht="12.75" customHeight="1" x14ac:dyDescent="0.2">
      <c r="L1545" s="18"/>
    </row>
    <row r="1546" spans="12:12" ht="12.75" customHeight="1" x14ac:dyDescent="0.2">
      <c r="L1546" s="18"/>
    </row>
    <row r="1547" spans="12:12" ht="12.75" customHeight="1" x14ac:dyDescent="0.2">
      <c r="L1547" s="18"/>
    </row>
    <row r="1548" spans="12:12" ht="12.75" customHeight="1" x14ac:dyDescent="0.2">
      <c r="L1548" s="18"/>
    </row>
    <row r="1549" spans="12:12" ht="12.75" customHeight="1" x14ac:dyDescent="0.2">
      <c r="L1549" s="18"/>
    </row>
    <row r="1550" spans="12:12" ht="12.75" customHeight="1" x14ac:dyDescent="0.2">
      <c r="L1550" s="18"/>
    </row>
    <row r="1551" spans="12:12" ht="12.75" customHeight="1" x14ac:dyDescent="0.2">
      <c r="L1551" s="18"/>
    </row>
    <row r="1552" spans="12:12" ht="12.75" customHeight="1" x14ac:dyDescent="0.2">
      <c r="L1552" s="18"/>
    </row>
    <row r="1553" spans="12:12" ht="12.75" customHeight="1" x14ac:dyDescent="0.2">
      <c r="L1553" s="18"/>
    </row>
    <row r="1554" spans="12:12" ht="12.75" customHeight="1" x14ac:dyDescent="0.2">
      <c r="L1554" s="18"/>
    </row>
    <row r="1555" spans="12:12" ht="12.75" customHeight="1" x14ac:dyDescent="0.2">
      <c r="L1555" s="18"/>
    </row>
    <row r="1556" spans="12:12" ht="12.75" customHeight="1" x14ac:dyDescent="0.2">
      <c r="L1556" s="18"/>
    </row>
    <row r="1557" spans="12:12" ht="12.75" customHeight="1" x14ac:dyDescent="0.2">
      <c r="L1557" s="18"/>
    </row>
    <row r="1558" spans="12:12" ht="12.75" customHeight="1" x14ac:dyDescent="0.2">
      <c r="L1558" s="18"/>
    </row>
    <row r="1559" spans="12:12" ht="12.75" customHeight="1" x14ac:dyDescent="0.2">
      <c r="L1559" s="18"/>
    </row>
    <row r="1560" spans="12:12" ht="12.75" customHeight="1" x14ac:dyDescent="0.2">
      <c r="L1560" s="18"/>
    </row>
    <row r="1561" spans="12:12" ht="12.75" customHeight="1" x14ac:dyDescent="0.2">
      <c r="L1561" s="18"/>
    </row>
    <row r="1562" spans="12:12" ht="12.75" customHeight="1" x14ac:dyDescent="0.2">
      <c r="L1562" s="18"/>
    </row>
    <row r="1563" spans="12:12" ht="12.75" customHeight="1" x14ac:dyDescent="0.2">
      <c r="L1563" s="18"/>
    </row>
    <row r="1564" spans="12:12" ht="12.75" customHeight="1" x14ac:dyDescent="0.2">
      <c r="L1564" s="18"/>
    </row>
    <row r="1565" spans="12:12" ht="12.75" customHeight="1" x14ac:dyDescent="0.2">
      <c r="L1565" s="18"/>
    </row>
    <row r="1566" spans="12:12" ht="12.75" customHeight="1" x14ac:dyDescent="0.2">
      <c r="L1566" s="18"/>
    </row>
    <row r="1567" spans="12:12" ht="12.75" customHeight="1" x14ac:dyDescent="0.2">
      <c r="L1567" s="18"/>
    </row>
    <row r="1568" spans="12:12" ht="12.75" customHeight="1" x14ac:dyDescent="0.2">
      <c r="L1568" s="18"/>
    </row>
    <row r="1569" spans="12:12" ht="12.75" customHeight="1" x14ac:dyDescent="0.2">
      <c r="L1569" s="18"/>
    </row>
    <row r="1570" spans="12:12" ht="12.75" customHeight="1" x14ac:dyDescent="0.2">
      <c r="L1570" s="18"/>
    </row>
    <row r="1571" spans="12:12" ht="12.75" customHeight="1" x14ac:dyDescent="0.2">
      <c r="L1571" s="18"/>
    </row>
    <row r="1572" spans="12:12" ht="12.75" customHeight="1" x14ac:dyDescent="0.2">
      <c r="L1572" s="18"/>
    </row>
    <row r="1573" spans="12:12" ht="12.75" customHeight="1" x14ac:dyDescent="0.2">
      <c r="L1573" s="18"/>
    </row>
    <row r="1574" spans="12:12" ht="12.75" customHeight="1" x14ac:dyDescent="0.2">
      <c r="L1574" s="18"/>
    </row>
    <row r="1575" spans="12:12" ht="12.75" customHeight="1" x14ac:dyDescent="0.2">
      <c r="L1575" s="18"/>
    </row>
    <row r="1576" spans="12:12" ht="12.75" customHeight="1" x14ac:dyDescent="0.2">
      <c r="L1576" s="18"/>
    </row>
    <row r="1577" spans="12:12" ht="12.75" customHeight="1" x14ac:dyDescent="0.2">
      <c r="L1577" s="18"/>
    </row>
    <row r="1578" spans="12:12" ht="12.75" customHeight="1" x14ac:dyDescent="0.2">
      <c r="L1578" s="18"/>
    </row>
    <row r="1579" spans="12:12" ht="12.75" customHeight="1" x14ac:dyDescent="0.2">
      <c r="L1579" s="18"/>
    </row>
    <row r="1580" spans="12:12" ht="12.75" customHeight="1" x14ac:dyDescent="0.2">
      <c r="L1580" s="18"/>
    </row>
    <row r="1581" spans="12:12" ht="12.75" customHeight="1" x14ac:dyDescent="0.2">
      <c r="L1581" s="18"/>
    </row>
  </sheetData>
  <mergeCells count="5">
    <mergeCell ref="A372:F372"/>
    <mergeCell ref="A1:M2"/>
    <mergeCell ref="A4:M4"/>
    <mergeCell ref="F10:M10"/>
    <mergeCell ref="A339:D339"/>
  </mergeCells>
  <printOptions horizontalCentered="1"/>
  <pageMargins left="0" right="0" top="0.2" bottom="0.2" header="0.17" footer="0.19"/>
  <pageSetup scale="31" fitToHeight="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3086100</xdr:colOff>
                <xdr:row>4</xdr:row>
                <xdr:rowOff>171450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9"/>
  <sheetViews>
    <sheetView topLeftCell="A10" zoomScale="75" workbookViewId="0">
      <selection activeCell="D30" sqref="D30"/>
    </sheetView>
  </sheetViews>
  <sheetFormatPr defaultRowHeight="12.75" x14ac:dyDescent="0.2"/>
  <cols>
    <col min="8" max="8" width="17" bestFit="1" customWidth="1"/>
    <col min="9" max="9" width="13.140625" bestFit="1" customWidth="1"/>
    <col min="10" max="12" width="12.5703125" bestFit="1" customWidth="1"/>
    <col min="13" max="13" width="13.140625" bestFit="1" customWidth="1"/>
    <col min="15" max="17" width="8.7109375" customWidth="1"/>
    <col min="19" max="19" width="11.5703125" bestFit="1" customWidth="1"/>
  </cols>
  <sheetData>
    <row r="1" spans="1:19" x14ac:dyDescent="0.2">
      <c r="N1" s="14"/>
      <c r="O1" s="14"/>
      <c r="P1" s="14"/>
      <c r="Q1" s="14"/>
      <c r="R1" s="14"/>
      <c r="S1" s="14"/>
    </row>
    <row r="2" spans="1:19" x14ac:dyDescent="0.2">
      <c r="N2" s="14"/>
      <c r="O2" s="14"/>
      <c r="P2" s="14"/>
      <c r="Q2" s="14"/>
      <c r="R2" s="14"/>
      <c r="S2" s="14"/>
    </row>
    <row r="3" spans="1:19" ht="27.75" x14ac:dyDescent="0.4">
      <c r="H3" s="2"/>
      <c r="I3" s="1"/>
      <c r="J3" s="2" t="s">
        <v>348</v>
      </c>
      <c r="K3" s="1"/>
      <c r="L3" s="16"/>
      <c r="M3" s="16"/>
      <c r="N3" s="14"/>
      <c r="O3" s="14"/>
      <c r="P3" s="14"/>
      <c r="Q3" s="14"/>
      <c r="R3" s="14"/>
      <c r="S3" s="14"/>
    </row>
    <row r="4" spans="1:19" ht="27.75" x14ac:dyDescent="0.4">
      <c r="H4" s="1"/>
      <c r="I4" s="1"/>
      <c r="J4" s="2" t="s">
        <v>349</v>
      </c>
      <c r="K4" s="1"/>
      <c r="L4" s="16"/>
      <c r="M4" s="16"/>
      <c r="N4" s="14"/>
      <c r="O4" s="14"/>
      <c r="P4" s="14"/>
      <c r="Q4" s="14"/>
      <c r="R4" s="14"/>
      <c r="S4" s="14"/>
    </row>
    <row r="5" spans="1:19" x14ac:dyDescent="0.2">
      <c r="N5" s="14"/>
      <c r="O5" s="14"/>
      <c r="P5" s="14"/>
      <c r="Q5" s="14"/>
      <c r="R5" s="14"/>
      <c r="S5" s="14"/>
    </row>
    <row r="6" spans="1:19" x14ac:dyDescent="0.2">
      <c r="N6" s="14"/>
      <c r="O6" s="14"/>
      <c r="P6" s="14"/>
      <c r="Q6" s="14"/>
      <c r="R6" s="14"/>
      <c r="S6" s="14"/>
    </row>
    <row r="7" spans="1:19" x14ac:dyDescent="0.2">
      <c r="N7" s="14"/>
      <c r="O7" s="14"/>
      <c r="P7" s="14"/>
      <c r="Q7" s="14"/>
      <c r="R7" s="14"/>
      <c r="S7" s="14"/>
    </row>
    <row r="8" spans="1:19" x14ac:dyDescent="0.2">
      <c r="N8" s="14"/>
      <c r="O8" s="14"/>
      <c r="P8" s="14"/>
      <c r="Q8" s="14"/>
      <c r="R8" s="14"/>
      <c r="S8" s="14"/>
    </row>
    <row r="9" spans="1:19" x14ac:dyDescent="0.2">
      <c r="A9" s="368" t="str">
        <f>'[1]Q4 Hard Look'!N3</f>
        <v>Results based on activity through 10 October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</row>
    <row r="10" spans="1:1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6"/>
      <c r="O10" s="17"/>
      <c r="P10" s="17"/>
      <c r="Q10" s="17"/>
      <c r="R10" s="17"/>
      <c r="S10" s="17"/>
    </row>
    <row r="11" spans="1:19" x14ac:dyDescent="0.2">
      <c r="N11" s="14"/>
      <c r="O11" s="14"/>
      <c r="P11" s="14"/>
      <c r="Q11" s="14"/>
      <c r="R11" s="14"/>
      <c r="S11" s="14"/>
    </row>
    <row r="12" spans="1:19" ht="13.5" thickBot="1" x14ac:dyDescent="0.25">
      <c r="N12" s="14"/>
      <c r="O12" s="14"/>
      <c r="P12" s="14"/>
      <c r="Q12" s="14"/>
      <c r="R12" s="14"/>
      <c r="S12" s="14"/>
    </row>
    <row r="13" spans="1:19" ht="13.5" thickBot="1" x14ac:dyDescent="0.25">
      <c r="A13" s="23"/>
      <c r="B13" s="24"/>
      <c r="C13" s="24"/>
      <c r="D13" s="24"/>
      <c r="E13" s="24"/>
      <c r="F13" s="24"/>
      <c r="G13" s="370" t="s">
        <v>1</v>
      </c>
      <c r="H13" s="371"/>
      <c r="I13" s="371"/>
      <c r="J13" s="371"/>
      <c r="K13" s="371"/>
      <c r="L13" s="371"/>
      <c r="M13" s="372"/>
      <c r="N13" s="225"/>
      <c r="O13" s="373" t="s">
        <v>2</v>
      </c>
      <c r="P13" s="374"/>
      <c r="Q13" s="375"/>
      <c r="R13" s="226"/>
      <c r="S13" s="227"/>
    </row>
    <row r="14" spans="1:19" ht="36" x14ac:dyDescent="0.2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350</v>
      </c>
      <c r="H14" s="376" t="s">
        <v>9</v>
      </c>
      <c r="I14" s="378" t="s">
        <v>10</v>
      </c>
      <c r="J14" s="380" t="s">
        <v>11</v>
      </c>
      <c r="K14" s="380" t="s">
        <v>351</v>
      </c>
      <c r="L14" s="381" t="s">
        <v>13</v>
      </c>
      <c r="M14" s="376" t="s">
        <v>49</v>
      </c>
      <c r="N14" s="228"/>
      <c r="O14" s="118" t="s">
        <v>14</v>
      </c>
      <c r="P14" s="229" t="s">
        <v>15</v>
      </c>
      <c r="Q14" s="117" t="s">
        <v>16</v>
      </c>
      <c r="R14" s="26"/>
      <c r="S14" s="227" t="s">
        <v>28</v>
      </c>
    </row>
    <row r="15" spans="1:19" ht="24.75" thickBot="1" x14ac:dyDescent="0.25">
      <c r="A15" s="32" t="s">
        <v>352</v>
      </c>
      <c r="B15" s="33"/>
      <c r="C15" s="33"/>
      <c r="D15" s="33"/>
      <c r="E15" s="33"/>
      <c r="F15" s="33"/>
      <c r="G15" s="377" t="s">
        <v>353</v>
      </c>
      <c r="H15" s="377"/>
      <c r="I15" s="379"/>
      <c r="J15" s="377"/>
      <c r="K15" s="377"/>
      <c r="L15" s="382"/>
      <c r="M15" s="377"/>
      <c r="N15" s="230"/>
      <c r="O15" s="33" t="s">
        <v>17</v>
      </c>
      <c r="P15" s="284"/>
      <c r="Q15" s="285" t="s">
        <v>18</v>
      </c>
      <c r="R15" s="26"/>
      <c r="S15" s="231" t="s">
        <v>50</v>
      </c>
    </row>
    <row r="16" spans="1:19" x14ac:dyDescent="0.2">
      <c r="A16" s="232"/>
      <c r="B16" s="14"/>
      <c r="C16" s="14"/>
      <c r="D16" s="14"/>
      <c r="E16" s="14"/>
      <c r="F16" s="14"/>
      <c r="G16" s="233"/>
      <c r="H16" s="36"/>
      <c r="I16" s="14"/>
      <c r="J16" s="14"/>
      <c r="K16" s="14"/>
      <c r="L16" s="14"/>
      <c r="M16" s="49"/>
      <c r="N16" s="234"/>
      <c r="O16" s="14"/>
      <c r="P16" s="14"/>
      <c r="Q16" s="230"/>
      <c r="R16" s="14"/>
      <c r="S16" s="14"/>
    </row>
    <row r="17" spans="1:19" ht="15.75" x14ac:dyDescent="0.25">
      <c r="A17" s="235" t="s">
        <v>354</v>
      </c>
      <c r="B17" s="12"/>
      <c r="C17" s="12"/>
      <c r="D17" s="12"/>
      <c r="E17" s="12"/>
      <c r="F17" s="12"/>
      <c r="G17" s="236"/>
      <c r="H17" s="45"/>
      <c r="I17" s="12"/>
      <c r="J17" s="12"/>
      <c r="K17" s="12"/>
      <c r="L17" s="12"/>
      <c r="M17" s="50"/>
      <c r="N17" s="237"/>
      <c r="O17" s="12"/>
      <c r="P17" s="12"/>
      <c r="Q17" s="238"/>
      <c r="R17" s="12"/>
      <c r="S17" s="12"/>
    </row>
    <row r="18" spans="1:19" ht="15.75" x14ac:dyDescent="0.25">
      <c r="A18" s="235"/>
      <c r="B18" s="12"/>
      <c r="C18" s="12"/>
      <c r="D18" s="12"/>
      <c r="E18" s="12"/>
      <c r="F18" s="12"/>
      <c r="G18" s="236"/>
      <c r="H18" s="239"/>
      <c r="I18" s="240"/>
      <c r="J18" s="240"/>
      <c r="K18" s="240"/>
      <c r="L18" s="240"/>
      <c r="M18" s="241"/>
      <c r="N18" s="242"/>
      <c r="O18" s="12"/>
      <c r="P18" s="12"/>
      <c r="Q18" s="238"/>
      <c r="R18" s="12"/>
      <c r="S18" s="12"/>
    </row>
    <row r="19" spans="1:19" ht="15.75" x14ac:dyDescent="0.2">
      <c r="A19" s="243" t="s">
        <v>355</v>
      </c>
      <c r="B19" s="12"/>
      <c r="C19" s="12"/>
      <c r="D19" s="12"/>
      <c r="E19" s="12"/>
      <c r="F19" s="12"/>
      <c r="G19" s="236" t="s">
        <v>356</v>
      </c>
      <c r="H19" s="244">
        <f>'[2]Live Elec Sites 28-9 to 11-10'!$F$5601*1.4/1000</f>
        <v>30069.177956048261</v>
      </c>
      <c r="I19" s="245">
        <f>'[1]Origination - Middle Market'!D10-J19-K19-L19</f>
        <v>1140.9315780479062</v>
      </c>
      <c r="J19" s="245">
        <f>('[3]Balance Sheet_TOTAL'!$B$89-'[4]ED_Balance Sheet'!$B$89)/1000*1.4</f>
        <v>-37.421670948583447</v>
      </c>
      <c r="K19" s="245">
        <f>(('[3]Balance Sheet_TOTAL'!$B$93+'[3]Balance Sheet_TOTAL'!$B$81+'[3]Balance Sheet_TOTAL'!$B$77)-('[4]ED_Balance Sheet'!$B$93+'[4]ED_Balance Sheet'!$B$81+'[4]ED_Balance Sheet'!$B$77))/1000*1.4</f>
        <v>233.5197512609013</v>
      </c>
      <c r="L19" s="245">
        <v>0</v>
      </c>
      <c r="M19" s="246">
        <f>SUM(I19:L19)</f>
        <v>1337.0296583602242</v>
      </c>
      <c r="N19" s="247"/>
      <c r="O19" s="248">
        <v>0</v>
      </c>
      <c r="P19" s="248">
        <v>0</v>
      </c>
      <c r="Q19" s="248">
        <f>SUM(O19:P19)</f>
        <v>0</v>
      </c>
      <c r="R19" s="247"/>
      <c r="S19" s="248">
        <f>M19+Q19</f>
        <v>1337.0296583602242</v>
      </c>
    </row>
    <row r="20" spans="1:19" ht="15.75" x14ac:dyDescent="0.2">
      <c r="A20" s="243" t="s">
        <v>355</v>
      </c>
      <c r="B20" s="12"/>
      <c r="C20" s="12"/>
      <c r="D20" s="12"/>
      <c r="E20" s="12"/>
      <c r="F20" s="12"/>
      <c r="G20" s="236" t="s">
        <v>357</v>
      </c>
      <c r="H20" s="244">
        <v>0</v>
      </c>
      <c r="I20" s="245">
        <f>'[1]Origination - Middle Market'!D11-J20-K20-L20</f>
        <v>0</v>
      </c>
      <c r="J20" s="245">
        <v>0</v>
      </c>
      <c r="K20" s="245">
        <v>0</v>
      </c>
      <c r="L20" s="245">
        <v>0</v>
      </c>
      <c r="M20" s="246">
        <f>SUM(I20:L20)</f>
        <v>0</v>
      </c>
      <c r="N20" s="247"/>
      <c r="O20" s="248"/>
      <c r="P20" s="248"/>
      <c r="Q20" s="248"/>
      <c r="R20" s="247"/>
      <c r="S20" s="248"/>
    </row>
    <row r="21" spans="1:19" ht="15.75" x14ac:dyDescent="0.2">
      <c r="A21" s="243" t="s">
        <v>358</v>
      </c>
      <c r="B21" s="12"/>
      <c r="C21" s="12"/>
      <c r="D21" s="12"/>
      <c r="E21" s="12"/>
      <c r="F21" s="12"/>
      <c r="G21" s="236" t="s">
        <v>356</v>
      </c>
      <c r="H21" s="244">
        <v>0</v>
      </c>
      <c r="I21" s="245">
        <f>'[1]Origination - Middle Market'!D14</f>
        <v>0</v>
      </c>
      <c r="J21" s="245">
        <v>0</v>
      </c>
      <c r="K21" s="245">
        <v>0</v>
      </c>
      <c r="L21" s="245">
        <v>0</v>
      </c>
      <c r="M21" s="246">
        <f>SUM(I21:L21)</f>
        <v>0</v>
      </c>
      <c r="N21" s="247"/>
      <c r="O21" s="248"/>
      <c r="P21" s="248"/>
      <c r="Q21" s="248"/>
      <c r="R21" s="247"/>
      <c r="S21" s="248">
        <f>M21+Q21</f>
        <v>0</v>
      </c>
    </row>
    <row r="22" spans="1:19" ht="16.5" thickBot="1" x14ac:dyDescent="0.25">
      <c r="A22" s="243" t="s">
        <v>359</v>
      </c>
      <c r="B22" s="249"/>
      <c r="C22" s="249"/>
      <c r="D22" s="249"/>
      <c r="E22" s="249"/>
      <c r="F22" s="249"/>
      <c r="G22" s="236" t="s">
        <v>356</v>
      </c>
      <c r="H22" s="250">
        <v>0</v>
      </c>
      <c r="I22" s="251">
        <f>'[1]Origination - Middle Market'!D17-L22-K22</f>
        <v>0</v>
      </c>
      <c r="J22" s="252">
        <v>0</v>
      </c>
      <c r="K22" s="252">
        <v>0</v>
      </c>
      <c r="L22" s="252">
        <v>0</v>
      </c>
      <c r="M22" s="253">
        <f>SUM(I22:L22)</f>
        <v>0</v>
      </c>
      <c r="N22" s="247"/>
      <c r="O22" s="248">
        <v>0</v>
      </c>
      <c r="P22" s="248">
        <v>0</v>
      </c>
      <c r="Q22" s="248">
        <f>SUM(O22:P22)</f>
        <v>0</v>
      </c>
      <c r="R22" s="247"/>
      <c r="S22" s="248">
        <f>M22+Q22</f>
        <v>0</v>
      </c>
    </row>
    <row r="23" spans="1:19" ht="15" x14ac:dyDescent="0.2">
      <c r="A23" s="254" t="s">
        <v>360</v>
      </c>
      <c r="B23" s="12"/>
      <c r="C23" s="12"/>
      <c r="D23" s="12"/>
      <c r="E23" s="12"/>
      <c r="F23" s="12"/>
      <c r="G23" s="236"/>
      <c r="H23" s="244">
        <f t="shared" ref="H23:M23" si="0">SUM(H19:H22)</f>
        <v>30069.177956048261</v>
      </c>
      <c r="I23" s="255">
        <f t="shared" si="0"/>
        <v>1140.9315780479062</v>
      </c>
      <c r="J23" s="255">
        <f t="shared" si="0"/>
        <v>-37.421670948583447</v>
      </c>
      <c r="K23" s="255">
        <f t="shared" si="0"/>
        <v>233.5197512609013</v>
      </c>
      <c r="L23" s="255">
        <f t="shared" si="0"/>
        <v>0</v>
      </c>
      <c r="M23" s="256">
        <f t="shared" si="0"/>
        <v>1337.0296583602242</v>
      </c>
      <c r="N23" s="257"/>
      <c r="O23" s="248">
        <f>SUM(O19:O22)</f>
        <v>0</v>
      </c>
      <c r="P23" s="248">
        <f>SUM(P19:P22)</f>
        <v>0</v>
      </c>
      <c r="Q23" s="248">
        <f>SUM(Q19:Q22)</f>
        <v>0</v>
      </c>
      <c r="R23" s="258"/>
      <c r="S23" s="248">
        <f>SUM(S19:S22)</f>
        <v>1337.0296583602242</v>
      </c>
    </row>
    <row r="24" spans="1:19" ht="15.75" x14ac:dyDescent="0.25">
      <c r="A24" s="243"/>
      <c r="B24" s="12"/>
      <c r="C24" s="12"/>
      <c r="D24" s="12"/>
      <c r="E24" s="12"/>
      <c r="F24" s="12"/>
      <c r="G24" s="236"/>
      <c r="H24" s="259"/>
      <c r="I24" s="245"/>
      <c r="J24" s="245"/>
      <c r="K24" s="260"/>
      <c r="L24" s="260"/>
      <c r="M24" s="261"/>
      <c r="N24" s="247"/>
      <c r="O24" s="258"/>
      <c r="P24" s="258"/>
      <c r="Q24" s="262"/>
      <c r="R24" s="258"/>
      <c r="S24" s="258"/>
    </row>
    <row r="25" spans="1:19" ht="15.75" x14ac:dyDescent="0.25">
      <c r="A25" s="235" t="s">
        <v>361</v>
      </c>
      <c r="B25" s="12"/>
      <c r="C25" s="12"/>
      <c r="D25" s="12"/>
      <c r="E25" s="12"/>
      <c r="F25" s="12"/>
      <c r="G25" s="236"/>
      <c r="H25" s="259"/>
      <c r="I25" s="245"/>
      <c r="J25" s="245"/>
      <c r="K25" s="260"/>
      <c r="L25" s="260"/>
      <c r="M25" s="261"/>
      <c r="N25" s="247"/>
      <c r="O25" s="258"/>
      <c r="P25" s="258"/>
      <c r="Q25" s="262"/>
      <c r="R25" s="258"/>
      <c r="S25" s="258"/>
    </row>
    <row r="26" spans="1:19" ht="15.75" x14ac:dyDescent="0.25">
      <c r="A26" s="243"/>
      <c r="B26" s="12"/>
      <c r="C26" s="12"/>
      <c r="D26" s="12"/>
      <c r="E26" s="12"/>
      <c r="F26" s="12"/>
      <c r="G26" s="236"/>
      <c r="H26" s="259"/>
      <c r="I26" s="245"/>
      <c r="J26" s="245"/>
      <c r="K26" s="260"/>
      <c r="L26" s="260"/>
      <c r="M26" s="261"/>
      <c r="N26" s="247"/>
      <c r="O26" s="258"/>
      <c r="P26" s="258"/>
      <c r="Q26" s="262"/>
      <c r="R26" s="258"/>
      <c r="S26" s="258"/>
    </row>
    <row r="27" spans="1:19" ht="15.75" x14ac:dyDescent="0.2">
      <c r="A27" s="243"/>
      <c r="B27" s="12"/>
      <c r="C27" s="12"/>
      <c r="D27" s="12"/>
      <c r="E27" s="12"/>
      <c r="F27" s="12"/>
      <c r="G27" s="236"/>
      <c r="H27" s="244">
        <v>0</v>
      </c>
      <c r="I27" s="245">
        <v>0</v>
      </c>
      <c r="J27" s="245">
        <v>0</v>
      </c>
      <c r="K27" s="245">
        <v>0</v>
      </c>
      <c r="L27" s="245">
        <v>0</v>
      </c>
      <c r="M27" s="246">
        <f>SUM(I27:L27)</f>
        <v>0</v>
      </c>
      <c r="N27" s="247"/>
      <c r="O27" s="248">
        <v>0</v>
      </c>
      <c r="P27" s="248">
        <v>0</v>
      </c>
      <c r="Q27" s="248">
        <f>SUM(O27:P27)</f>
        <v>0</v>
      </c>
      <c r="R27" s="258"/>
      <c r="S27" s="248">
        <f>M27+Q27</f>
        <v>0</v>
      </c>
    </row>
    <row r="28" spans="1:19" ht="15.75" x14ac:dyDescent="0.2">
      <c r="A28" s="243"/>
      <c r="B28" s="12"/>
      <c r="C28" s="12"/>
      <c r="D28" s="12"/>
      <c r="E28" s="12"/>
      <c r="F28" s="12"/>
      <c r="G28" s="236"/>
      <c r="H28" s="244">
        <v>0</v>
      </c>
      <c r="I28" s="245">
        <v>0</v>
      </c>
      <c r="J28" s="245">
        <v>0</v>
      </c>
      <c r="K28" s="245">
        <v>0</v>
      </c>
      <c r="L28" s="245">
        <v>0</v>
      </c>
      <c r="M28" s="246">
        <f>SUM(I28:L28)</f>
        <v>0</v>
      </c>
      <c r="N28" s="247"/>
      <c r="O28" s="248"/>
      <c r="P28" s="248"/>
      <c r="Q28" s="248"/>
      <c r="R28" s="258"/>
      <c r="S28" s="248"/>
    </row>
    <row r="29" spans="1:19" ht="15.75" x14ac:dyDescent="0.2">
      <c r="A29" s="243"/>
      <c r="B29" s="12"/>
      <c r="C29" s="12"/>
      <c r="D29" s="12"/>
      <c r="E29" s="12"/>
      <c r="F29" s="12"/>
      <c r="G29" s="236"/>
      <c r="H29" s="244">
        <v>0</v>
      </c>
      <c r="I29" s="245">
        <v>0</v>
      </c>
      <c r="J29" s="245">
        <v>0</v>
      </c>
      <c r="K29" s="245">
        <v>0</v>
      </c>
      <c r="L29" s="245">
        <v>0</v>
      </c>
      <c r="M29" s="246">
        <f>SUM(I29:L29)</f>
        <v>0</v>
      </c>
      <c r="N29" s="247"/>
      <c r="O29" s="248"/>
      <c r="P29" s="248"/>
      <c r="Q29" s="248"/>
      <c r="R29" s="258"/>
      <c r="S29" s="248"/>
    </row>
    <row r="30" spans="1:19" ht="15.75" x14ac:dyDescent="0.2">
      <c r="A30" s="243"/>
      <c r="B30" s="12"/>
      <c r="C30" s="12"/>
      <c r="D30" s="12"/>
      <c r="E30" s="12"/>
      <c r="F30" s="12"/>
      <c r="G30" s="236"/>
      <c r="H30" s="244">
        <v>0</v>
      </c>
      <c r="I30" s="245">
        <v>0</v>
      </c>
      <c r="J30" s="245">
        <v>0</v>
      </c>
      <c r="K30" s="245">
        <v>0</v>
      </c>
      <c r="L30" s="245">
        <v>0</v>
      </c>
      <c r="M30" s="246">
        <f>SUM(I30:L30)</f>
        <v>0</v>
      </c>
      <c r="N30" s="247"/>
      <c r="O30" s="248"/>
      <c r="P30" s="248"/>
      <c r="Q30" s="248"/>
      <c r="R30" s="258"/>
      <c r="S30" s="248">
        <f>M30+Q30</f>
        <v>0</v>
      </c>
    </row>
    <row r="31" spans="1:19" ht="15.75" x14ac:dyDescent="0.2">
      <c r="A31" s="243"/>
      <c r="B31" s="12"/>
      <c r="C31" s="12"/>
      <c r="D31" s="12"/>
      <c r="E31" s="12"/>
      <c r="F31" s="12"/>
      <c r="G31" s="236"/>
      <c r="H31" s="244">
        <v>0</v>
      </c>
      <c r="I31" s="245">
        <v>0</v>
      </c>
      <c r="J31" s="245">
        <v>0</v>
      </c>
      <c r="K31" s="245">
        <v>0</v>
      </c>
      <c r="L31" s="245">
        <v>0</v>
      </c>
      <c r="M31" s="246">
        <f>SUM(I31:L31)</f>
        <v>0</v>
      </c>
      <c r="N31" s="247"/>
      <c r="O31" s="248"/>
      <c r="P31" s="248"/>
      <c r="Q31" s="248"/>
      <c r="R31" s="258"/>
      <c r="S31" s="248"/>
    </row>
    <row r="32" spans="1:19" ht="15" x14ac:dyDescent="0.2">
      <c r="A32" s="254"/>
      <c r="B32" s="12"/>
      <c r="C32" s="12"/>
      <c r="D32" s="12"/>
      <c r="E32" s="12"/>
      <c r="F32" s="12"/>
      <c r="G32" s="11"/>
      <c r="H32" s="263">
        <f t="shared" ref="H32:M32" si="1">SUM(H27:H31)</f>
        <v>0</v>
      </c>
      <c r="I32" s="264">
        <f t="shared" si="1"/>
        <v>0</v>
      </c>
      <c r="J32" s="264">
        <f t="shared" si="1"/>
        <v>0</v>
      </c>
      <c r="K32" s="264">
        <f t="shared" si="1"/>
        <v>0</v>
      </c>
      <c r="L32" s="264">
        <f t="shared" si="1"/>
        <v>0</v>
      </c>
      <c r="M32" s="265">
        <f t="shared" si="1"/>
        <v>0</v>
      </c>
      <c r="N32" s="257"/>
      <c r="O32" s="248">
        <f>SUM(O22:O27)</f>
        <v>0</v>
      </c>
      <c r="P32" s="248">
        <f>SUM(P22:P27)</f>
        <v>0</v>
      </c>
      <c r="Q32" s="248">
        <f>SUM(Q22:Q27)</f>
        <v>0</v>
      </c>
      <c r="R32" s="258"/>
      <c r="S32" s="248">
        <f>SUM(S27:S27)</f>
        <v>0</v>
      </c>
    </row>
    <row r="33" spans="1:73" x14ac:dyDescent="0.2">
      <c r="A33" s="232"/>
      <c r="B33" s="14"/>
      <c r="C33" s="14"/>
      <c r="D33" s="14"/>
      <c r="E33" s="14"/>
      <c r="F33" s="14"/>
      <c r="G33" s="64"/>
      <c r="H33" s="266"/>
      <c r="I33" s="267"/>
      <c r="J33" s="267"/>
      <c r="K33" s="267"/>
      <c r="L33" s="267"/>
      <c r="M33" s="268"/>
      <c r="N33" s="269"/>
      <c r="O33" s="267"/>
      <c r="P33" s="267"/>
      <c r="Q33" s="270"/>
      <c r="R33" s="267"/>
      <c r="S33" s="267"/>
    </row>
    <row r="34" spans="1:73" ht="13.5" thickBot="1" x14ac:dyDescent="0.25">
      <c r="A34" s="232"/>
      <c r="B34" s="14"/>
      <c r="C34" s="14"/>
      <c r="D34" s="14"/>
      <c r="E34" s="14"/>
      <c r="F34" s="14"/>
      <c r="G34" s="64"/>
      <c r="H34" s="266"/>
      <c r="I34" s="267"/>
      <c r="J34" s="267"/>
      <c r="K34" s="267"/>
      <c r="L34" s="267"/>
      <c r="M34" s="268"/>
      <c r="N34" s="269"/>
      <c r="O34" s="267"/>
      <c r="P34" s="267"/>
      <c r="Q34" s="270"/>
      <c r="R34" s="267"/>
      <c r="S34" s="267"/>
    </row>
    <row r="35" spans="1:73" ht="18.75" thickBot="1" x14ac:dyDescent="0.3">
      <c r="A35" s="47" t="s">
        <v>362</v>
      </c>
      <c r="B35" s="48"/>
      <c r="C35" s="48"/>
      <c r="D35" s="48"/>
      <c r="E35" s="48"/>
      <c r="F35" s="48"/>
      <c r="G35" s="271"/>
      <c r="H35" s="272">
        <f t="shared" ref="H35:M35" si="2">H23+H32</f>
        <v>30069.177956048261</v>
      </c>
      <c r="I35" s="273">
        <f t="shared" si="2"/>
        <v>1140.9315780479062</v>
      </c>
      <c r="J35" s="273">
        <f t="shared" si="2"/>
        <v>-37.421670948583447</v>
      </c>
      <c r="K35" s="273">
        <f t="shared" si="2"/>
        <v>233.5197512609013</v>
      </c>
      <c r="L35" s="273">
        <f t="shared" si="2"/>
        <v>0</v>
      </c>
      <c r="M35" s="274">
        <f t="shared" si="2"/>
        <v>1337.0296583602242</v>
      </c>
      <c r="N35" s="275"/>
      <c r="O35" s="286"/>
      <c r="P35" s="287"/>
      <c r="Q35" s="288"/>
      <c r="R35" s="287"/>
      <c r="S35" s="289">
        <f>S23+S32</f>
        <v>1337.0296583602242</v>
      </c>
    </row>
    <row r="36" spans="1:73" ht="13.5" thickBot="1" x14ac:dyDescent="0.25">
      <c r="H36" s="276"/>
      <c r="I36" s="277"/>
      <c r="J36" s="277"/>
      <c r="K36" s="277"/>
      <c r="L36" s="277"/>
      <c r="M36" s="277"/>
      <c r="N36" s="278"/>
      <c r="O36" s="14"/>
      <c r="P36" s="14"/>
      <c r="Q36" s="14"/>
      <c r="R36" s="14"/>
      <c r="S36" s="14"/>
    </row>
    <row r="37" spans="1:73" ht="18.75" thickBot="1" x14ac:dyDescent="0.3">
      <c r="A37" s="279" t="s">
        <v>21</v>
      </c>
      <c r="B37" s="280"/>
      <c r="C37" s="280"/>
      <c r="D37" s="280"/>
      <c r="E37" s="280"/>
      <c r="F37" s="280"/>
      <c r="G37" s="280"/>
      <c r="H37" s="281">
        <f>[5]Sheet1!$G$6+[6]Summary!$C$7/1000</f>
        <v>196608.61316381386</v>
      </c>
      <c r="I37" s="282">
        <f>('[7]Current Estimate'!$G$6+'[7]Current Estimate'!$G$7)/1000-J37-K37-L37</f>
        <v>37632.292829767575</v>
      </c>
      <c r="J37" s="282">
        <f>(-2724.464--2432.946)*1.4</f>
        <v>-408.12520000000001</v>
      </c>
      <c r="K37" s="282">
        <f>(-9399.82--9593.797)*1.4</f>
        <v>271.56780000000106</v>
      </c>
      <c r="L37" s="282">
        <v>0</v>
      </c>
      <c r="M37" s="283">
        <f>SUM(I37:L37)</f>
        <v>37495.735429767577</v>
      </c>
      <c r="N37" s="95"/>
      <c r="O37" s="120">
        <v>0</v>
      </c>
      <c r="P37" s="102">
        <v>0</v>
      </c>
      <c r="Q37" s="103">
        <v>0</v>
      </c>
      <c r="R37" s="95"/>
      <c r="S37" s="104">
        <v>2597.0219999999999</v>
      </c>
    </row>
    <row r="38" spans="1:73" ht="18.75" thickBot="1" x14ac:dyDescent="0.3">
      <c r="A38" s="279" t="s">
        <v>22</v>
      </c>
      <c r="B38" s="280"/>
      <c r="C38" s="280"/>
      <c r="D38" s="280"/>
      <c r="E38" s="280"/>
      <c r="F38" s="280"/>
      <c r="G38" s="280"/>
      <c r="H38" s="281">
        <f>[5]Sheet1!$G$8+450000+(356.876*1.4)+[6]Summary!$C$8/1000</f>
        <v>561437.06737545063</v>
      </c>
      <c r="I38" s="282">
        <f>('[7]Current Estimate'!$L$6+'[7]Current Estimate'!$L$7)/1000-J38-K38-L38+(13231.36*1.4)+(20.711*1.4)</f>
        <v>47465.401455884188</v>
      </c>
      <c r="J38" s="282">
        <f>-1100+((-2830.06--2724.464)*1.4)</f>
        <v>-1247.8344</v>
      </c>
      <c r="K38" s="282">
        <f>(-3660.379--487.14)*1.4</f>
        <v>-4442.5346</v>
      </c>
      <c r="L38" s="282">
        <f>-717.714*1.4</f>
        <v>-1004.7996000000001</v>
      </c>
      <c r="M38" s="283">
        <f>SUM(I38:L38)</f>
        <v>40770.232855884191</v>
      </c>
      <c r="N38" s="95"/>
      <c r="O38" s="120"/>
      <c r="P38" s="102"/>
      <c r="Q38" s="103"/>
      <c r="R38" s="95"/>
      <c r="S38" s="104"/>
    </row>
    <row r="39" spans="1:73" ht="18.75" thickBot="1" x14ac:dyDescent="0.3">
      <c r="A39" s="279" t="s">
        <v>23</v>
      </c>
      <c r="B39" s="280"/>
      <c r="C39" s="280"/>
      <c r="D39" s="280"/>
      <c r="E39" s="280"/>
      <c r="F39" s="280"/>
      <c r="G39" s="280"/>
      <c r="H39" s="281">
        <v>276436.60166365589</v>
      </c>
      <c r="I39" s="282">
        <v>-2387.2120945933702</v>
      </c>
      <c r="J39" s="282">
        <v>-205.38688157187531</v>
      </c>
      <c r="K39" s="282">
        <v>5355.1590021652455</v>
      </c>
      <c r="L39" s="282">
        <v>0</v>
      </c>
      <c r="M39" s="283">
        <f>SUM(I39:L39)</f>
        <v>2762.5600260000001</v>
      </c>
      <c r="N39" s="95"/>
      <c r="O39" s="120"/>
      <c r="P39" s="102"/>
      <c r="Q39" s="103"/>
      <c r="R39" s="95"/>
      <c r="S39" s="104"/>
    </row>
    <row r="40" spans="1:73" ht="18.75" thickBot="1" x14ac:dyDescent="0.3">
      <c r="A40" s="279" t="s">
        <v>24</v>
      </c>
      <c r="B40" s="280"/>
      <c r="C40" s="280"/>
      <c r="D40" s="280"/>
      <c r="E40" s="280"/>
      <c r="F40" s="280"/>
      <c r="G40" s="280"/>
      <c r="H40" s="281">
        <f>+H35</f>
        <v>30069.177956048261</v>
      </c>
      <c r="I40" s="282">
        <f>I35</f>
        <v>1140.9315780479062</v>
      </c>
      <c r="J40" s="282">
        <f>+J35</f>
        <v>-37.421670948583447</v>
      </c>
      <c r="K40" s="282">
        <f>+K35</f>
        <v>233.5197512609013</v>
      </c>
      <c r="L40" s="282">
        <f>+L35</f>
        <v>0</v>
      </c>
      <c r="M40" s="283">
        <f>SUM(I40:L40)</f>
        <v>1337.0296583602242</v>
      </c>
      <c r="N40" s="95"/>
      <c r="O40" s="120"/>
      <c r="P40" s="102"/>
      <c r="Q40" s="103"/>
      <c r="R40" s="95"/>
      <c r="S40" s="104"/>
    </row>
    <row r="41" spans="1:73" ht="18.75" thickBot="1" x14ac:dyDescent="0.3">
      <c r="A41" s="279" t="s">
        <v>25</v>
      </c>
      <c r="B41" s="280"/>
      <c r="C41" s="280"/>
      <c r="D41" s="280"/>
      <c r="E41" s="280"/>
      <c r="F41" s="280"/>
      <c r="G41" s="280"/>
      <c r="H41" s="281">
        <f t="shared" ref="H41:M41" si="3">SUM(H37:H40)</f>
        <v>1064551.4601589686</v>
      </c>
      <c r="I41" s="282">
        <f t="shared" si="3"/>
        <v>83851.413769106293</v>
      </c>
      <c r="J41" s="282">
        <f t="shared" si="3"/>
        <v>-1898.7681525204587</v>
      </c>
      <c r="K41" s="282">
        <f t="shared" si="3"/>
        <v>1417.7119534261476</v>
      </c>
      <c r="L41" s="282">
        <f t="shared" si="3"/>
        <v>-1004.7996000000001</v>
      </c>
      <c r="M41" s="283">
        <f t="shared" si="3"/>
        <v>82365.557970011985</v>
      </c>
      <c r="N41" s="95"/>
      <c r="O41" s="120"/>
      <c r="P41" s="102"/>
      <c r="Q41" s="103"/>
      <c r="R41" s="95"/>
      <c r="S41" s="104"/>
    </row>
    <row r="43" spans="1:73" ht="13.5" thickBot="1" x14ac:dyDescent="0.25"/>
    <row r="44" spans="1:73" s="1" customFormat="1" ht="68.25" customHeight="1" thickBot="1" x14ac:dyDescent="0.25">
      <c r="A44" s="290" t="s">
        <v>53</v>
      </c>
      <c r="B44" s="291"/>
      <c r="C44" s="292"/>
      <c r="D44" s="293" t="s">
        <v>363</v>
      </c>
      <c r="E44" s="293" t="s">
        <v>364</v>
      </c>
      <c r="F44" s="293" t="s">
        <v>11</v>
      </c>
      <c r="G44" s="293" t="s">
        <v>12</v>
      </c>
      <c r="H44" s="91" t="s">
        <v>13</v>
      </c>
      <c r="I44" s="8" t="s">
        <v>365</v>
      </c>
      <c r="J44" s="12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</row>
    <row r="45" spans="1:73" s="1" customFormat="1" ht="16.5" customHeight="1" thickBot="1" x14ac:dyDescent="0.3">
      <c r="A45" s="149"/>
      <c r="B45" s="294"/>
      <c r="C45" s="128"/>
      <c r="D45" s="199"/>
      <c r="E45" s="9"/>
      <c r="F45" s="9"/>
      <c r="G45" s="9"/>
      <c r="H45" s="9"/>
      <c r="I45" s="295"/>
      <c r="J45" s="9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</row>
    <row r="46" spans="1:73" s="1" customFormat="1" ht="16.5" customHeight="1" x14ac:dyDescent="0.25">
      <c r="A46" s="296"/>
      <c r="B46" s="294"/>
      <c r="C46" s="297"/>
      <c r="D46" s="218"/>
      <c r="E46" s="298"/>
      <c r="F46" s="298"/>
      <c r="G46" s="298"/>
      <c r="H46" s="298"/>
      <c r="I46" s="295"/>
      <c r="J46" s="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</row>
    <row r="47" spans="1:73" s="1" customFormat="1" ht="15.75" customHeight="1" x14ac:dyDescent="0.25">
      <c r="A47" s="184"/>
      <c r="B47" s="299"/>
      <c r="C47" s="128"/>
      <c r="D47" s="199"/>
      <c r="E47" s="9">
        <v>0</v>
      </c>
      <c r="F47" s="9"/>
      <c r="G47" s="9">
        <v>0</v>
      </c>
      <c r="H47" s="9"/>
      <c r="I47" s="300">
        <f>SUM(E47:G47)</f>
        <v>0</v>
      </c>
      <c r="J47" s="12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</row>
    <row r="48" spans="1:73" s="1" customFormat="1" ht="15.75" customHeight="1" thickBot="1" x14ac:dyDescent="0.25">
      <c r="A48" s="301"/>
      <c r="B48" s="302"/>
      <c r="C48" s="303"/>
      <c r="D48" s="20"/>
      <c r="E48" s="19"/>
      <c r="F48" s="19"/>
      <c r="G48" s="19"/>
      <c r="H48" s="96"/>
      <c r="I48" s="304"/>
      <c r="J48" s="12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</row>
    <row r="49" spans="1:73" s="1" customFormat="1" ht="12.75" customHeight="1" thickBot="1" x14ac:dyDescent="0.25">
      <c r="A49" s="305" t="s">
        <v>27</v>
      </c>
      <c r="B49" s="306"/>
      <c r="C49" s="307"/>
      <c r="D49" s="110">
        <f t="shared" ref="D49:I49" si="4">SUM(D45:D48)</f>
        <v>0</v>
      </c>
      <c r="E49" s="110">
        <f t="shared" si="4"/>
        <v>0</v>
      </c>
      <c r="F49" s="110">
        <f t="shared" si="4"/>
        <v>0</v>
      </c>
      <c r="G49" s="110">
        <f t="shared" si="4"/>
        <v>0</v>
      </c>
      <c r="H49" s="110">
        <f t="shared" si="4"/>
        <v>0</v>
      </c>
      <c r="I49" s="110">
        <f t="shared" si="4"/>
        <v>0</v>
      </c>
      <c r="J49" s="12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</row>
  </sheetData>
  <mergeCells count="10">
    <mergeCell ref="A9:S9"/>
    <mergeCell ref="G13:M13"/>
    <mergeCell ref="O13:Q13"/>
    <mergeCell ref="G14:G15"/>
    <mergeCell ref="H14:H15"/>
    <mergeCell ref="I14:I15"/>
    <mergeCell ref="J14:J15"/>
    <mergeCell ref="K14:K15"/>
    <mergeCell ref="L14:L15"/>
    <mergeCell ref="M14:M15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3073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4</xdr:col>
                <xdr:colOff>428625</xdr:colOff>
                <xdr:row>6</xdr:row>
                <xdr:rowOff>66675</xdr:rowOff>
              </to>
            </anchor>
          </objectPr>
        </oleObject>
      </mc:Choice>
      <mc:Fallback>
        <oleObject progId="MSPhotoEd.3"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76"/>
  <sheetViews>
    <sheetView zoomScale="75" workbookViewId="0">
      <selection activeCell="A39" sqref="A39"/>
    </sheetView>
  </sheetViews>
  <sheetFormatPr defaultRowHeight="12.75" x14ac:dyDescent="0.2"/>
  <cols>
    <col min="1" max="1" width="62.85546875" bestFit="1" customWidth="1"/>
    <col min="2" max="6" width="0" hidden="1" customWidth="1"/>
    <col min="7" max="7" width="17" style="1" customWidth="1"/>
    <col min="8" max="11" width="17" customWidth="1"/>
    <col min="12" max="12" width="17.140625" customWidth="1"/>
    <col min="13" max="13" width="6.28515625" hidden="1" customWidth="1"/>
    <col min="14" max="16" width="17" hidden="1" customWidth="1"/>
    <col min="17" max="17" width="8.85546875" customWidth="1"/>
    <col min="18" max="18" width="17" customWidth="1"/>
    <col min="19" max="58" width="9.140625" style="1"/>
  </cols>
  <sheetData>
    <row r="1" spans="1:88" x14ac:dyDescent="0.2">
      <c r="G1"/>
    </row>
    <row r="2" spans="1:88" x14ac:dyDescent="0.2">
      <c r="G2"/>
    </row>
    <row r="3" spans="1:88" ht="27.75" x14ac:dyDescent="0.4">
      <c r="G3" s="2"/>
      <c r="H3" s="1"/>
      <c r="I3" s="2" t="s">
        <v>48</v>
      </c>
      <c r="J3" s="1"/>
      <c r="K3" s="16"/>
      <c r="L3" s="16"/>
    </row>
    <row r="4" spans="1:88" ht="27.75" x14ac:dyDescent="0.4">
      <c r="H4" s="1"/>
      <c r="I4" s="2" t="s">
        <v>0</v>
      </c>
      <c r="J4" s="1"/>
      <c r="K4" s="16"/>
      <c r="L4" s="16"/>
    </row>
    <row r="5" spans="1:88" x14ac:dyDescent="0.2">
      <c r="G5"/>
    </row>
    <row r="6" spans="1:88" x14ac:dyDescent="0.2">
      <c r="G6"/>
    </row>
    <row r="7" spans="1:88" ht="0.75" customHeight="1" x14ac:dyDescent="0.2">
      <c r="G7"/>
    </row>
    <row r="8" spans="1:88" hidden="1" x14ac:dyDescent="0.2">
      <c r="G8"/>
    </row>
    <row r="9" spans="1:88" s="1" customFormat="1" ht="12.75" customHeight="1" x14ac:dyDescent="0.2">
      <c r="A9" s="369" t="s">
        <v>55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22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s="1" customFormat="1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7"/>
      <c r="M10" s="4"/>
      <c r="N10" s="4"/>
      <c r="O10" s="4"/>
      <c r="P10" s="4"/>
      <c r="Q10" s="4"/>
      <c r="R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2">
      <c r="G11"/>
    </row>
    <row r="12" spans="1:88" ht="13.5" thickBot="1" x14ac:dyDescent="0.25">
      <c r="G12"/>
    </row>
    <row r="13" spans="1:88" s="27" customFormat="1" ht="18.75" customHeight="1" thickBot="1" x14ac:dyDescent="0.25">
      <c r="A13" s="23"/>
      <c r="B13" s="24"/>
      <c r="C13" s="24"/>
      <c r="D13" s="24"/>
      <c r="E13" s="24"/>
      <c r="F13" s="24"/>
      <c r="G13" s="383" t="s">
        <v>1</v>
      </c>
      <c r="H13" s="384"/>
      <c r="I13" s="384"/>
      <c r="J13" s="384"/>
      <c r="K13" s="384"/>
      <c r="L13" s="385"/>
      <c r="M13" s="25"/>
      <c r="N13" s="386" t="s">
        <v>2</v>
      </c>
      <c r="O13" s="387"/>
      <c r="P13" s="388"/>
      <c r="Q13" s="82"/>
      <c r="R13" s="40"/>
    </row>
    <row r="14" spans="1:88" s="27" customFormat="1" ht="24" customHeight="1" x14ac:dyDescent="0.2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9</v>
      </c>
      <c r="H14" s="378" t="s">
        <v>10</v>
      </c>
      <c r="I14" s="380" t="s">
        <v>11</v>
      </c>
      <c r="J14" s="380" t="s">
        <v>12</v>
      </c>
      <c r="K14" s="381" t="s">
        <v>13</v>
      </c>
      <c r="L14" s="376" t="s">
        <v>49</v>
      </c>
      <c r="M14" s="31"/>
      <c r="N14" s="30" t="s">
        <v>14</v>
      </c>
      <c r="O14" s="30" t="s">
        <v>15</v>
      </c>
      <c r="P14" s="30" t="s">
        <v>16</v>
      </c>
      <c r="Q14" s="83"/>
      <c r="R14" s="23" t="s">
        <v>28</v>
      </c>
      <c r="T14" s="26"/>
      <c r="U14" s="26"/>
      <c r="V14" s="26"/>
      <c r="W14" s="26"/>
      <c r="X14" s="26"/>
    </row>
    <row r="15" spans="1:88" s="27" customFormat="1" ht="27.75" customHeight="1" thickBot="1" x14ac:dyDescent="0.25">
      <c r="A15" s="32" t="s">
        <v>29</v>
      </c>
      <c r="B15" s="33"/>
      <c r="C15" s="33"/>
      <c r="D15" s="33"/>
      <c r="E15" s="33"/>
      <c r="F15" s="33"/>
      <c r="G15" s="377"/>
      <c r="H15" s="379"/>
      <c r="I15" s="377"/>
      <c r="J15" s="377"/>
      <c r="K15" s="382"/>
      <c r="L15" s="377"/>
      <c r="M15" s="34"/>
      <c r="N15" s="32" t="s">
        <v>17</v>
      </c>
      <c r="O15" s="35"/>
      <c r="P15" s="32" t="s">
        <v>18</v>
      </c>
      <c r="Q15" s="83"/>
      <c r="R15" s="41" t="s">
        <v>50</v>
      </c>
      <c r="T15" s="26"/>
      <c r="U15" s="26"/>
      <c r="V15" s="26"/>
      <c r="W15" s="26"/>
      <c r="X15" s="26"/>
    </row>
    <row r="16" spans="1:88" x14ac:dyDescent="0.2">
      <c r="A16" s="38"/>
      <c r="B16" s="14"/>
      <c r="C16" s="14"/>
      <c r="D16" s="14"/>
      <c r="E16" s="14"/>
      <c r="F16" s="14"/>
      <c r="G16" s="36"/>
      <c r="H16" s="14"/>
      <c r="I16" s="14"/>
      <c r="J16" s="14"/>
      <c r="K16" s="14"/>
      <c r="L16" s="49"/>
      <c r="M16" s="36"/>
      <c r="P16" s="37"/>
      <c r="Q16" s="64"/>
      <c r="R16" s="38"/>
    </row>
    <row r="17" spans="1:58" ht="15.75" x14ac:dyDescent="0.25">
      <c r="A17" s="13" t="s">
        <v>30</v>
      </c>
      <c r="B17" s="12"/>
      <c r="C17" s="12"/>
      <c r="D17" s="12"/>
      <c r="E17" s="12"/>
      <c r="F17" s="12"/>
      <c r="G17" s="45"/>
      <c r="H17" s="12"/>
      <c r="I17" s="12"/>
      <c r="J17" s="12"/>
      <c r="K17" s="12"/>
      <c r="L17" s="50"/>
      <c r="M17" s="45"/>
      <c r="N17" s="44"/>
      <c r="O17" s="44"/>
      <c r="P17" s="46"/>
      <c r="Q17" s="11"/>
      <c r="R17" s="11"/>
    </row>
    <row r="18" spans="1:58" ht="15.75" x14ac:dyDescent="0.25">
      <c r="A18" s="13"/>
      <c r="B18" s="12"/>
      <c r="C18" s="12"/>
      <c r="D18" s="12"/>
      <c r="E18" s="12"/>
      <c r="F18" s="12"/>
      <c r="G18" s="45"/>
      <c r="H18" s="12"/>
      <c r="I18" s="12"/>
      <c r="J18" s="12"/>
      <c r="K18" s="12"/>
      <c r="L18" s="50"/>
      <c r="M18" s="45"/>
      <c r="N18" s="44"/>
      <c r="O18" s="44"/>
      <c r="P18" s="46"/>
      <c r="Q18" s="11"/>
      <c r="R18" s="11"/>
    </row>
    <row r="19" spans="1:58" x14ac:dyDescent="0.2">
      <c r="A19" s="84" t="s">
        <v>31</v>
      </c>
      <c r="G19" s="36"/>
      <c r="L19" s="49"/>
      <c r="M19" s="36"/>
      <c r="P19" s="63"/>
      <c r="Q19" s="64"/>
      <c r="R19" s="6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">
      <c r="A20" s="84"/>
      <c r="G20" s="36"/>
      <c r="L20" s="49"/>
      <c r="M20" s="36"/>
      <c r="P20" s="63"/>
      <c r="Q20" s="64"/>
      <c r="R20" s="6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">
      <c r="A21" s="85" t="s">
        <v>59</v>
      </c>
      <c r="G21" s="36"/>
      <c r="L21" s="49"/>
      <c r="M21" s="36"/>
      <c r="P21" s="63"/>
      <c r="R21" s="6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9.75" hidden="1" customHeight="1" x14ac:dyDescent="0.2">
      <c r="A22" s="64" t="s">
        <v>32</v>
      </c>
      <c r="G22" s="65"/>
      <c r="H22" s="66">
        <v>0</v>
      </c>
      <c r="I22" s="66">
        <v>0</v>
      </c>
      <c r="J22" s="66">
        <v>0</v>
      </c>
      <c r="K22" s="66">
        <v>0</v>
      </c>
      <c r="L22" s="66">
        <f t="shared" ref="L22:L37" si="0">SUM(H22:K22)</f>
        <v>0</v>
      </c>
      <c r="M22" s="65"/>
      <c r="N22" s="66">
        <v>0</v>
      </c>
      <c r="O22" s="66">
        <v>0</v>
      </c>
      <c r="P22" s="66">
        <f t="shared" ref="P22:P39" si="1">SUM(N22:O22)</f>
        <v>0</v>
      </c>
      <c r="Q22" s="65"/>
      <c r="R22" s="67">
        <f t="shared" ref="R22:R39" si="2">L22+P22</f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">
      <c r="A23" s="64" t="s">
        <v>60</v>
      </c>
      <c r="G23" s="68">
        <v>2260</v>
      </c>
      <c r="H23" s="69">
        <v>97.521000000000001</v>
      </c>
      <c r="I23" s="69">
        <v>-22.179000000000002</v>
      </c>
      <c r="J23" s="69">
        <v>0</v>
      </c>
      <c r="K23" s="69">
        <v>0</v>
      </c>
      <c r="L23" s="69">
        <f t="shared" si="0"/>
        <v>75.341999999999999</v>
      </c>
      <c r="M23" s="51"/>
      <c r="N23" s="69">
        <v>0</v>
      </c>
      <c r="O23" s="69">
        <v>0</v>
      </c>
      <c r="P23" s="69">
        <f t="shared" si="1"/>
        <v>0</v>
      </c>
      <c r="Q23" s="51"/>
      <c r="R23" s="70">
        <f t="shared" si="2"/>
        <v>75.341999999999999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">
      <c r="A24" s="64" t="s">
        <v>61</v>
      </c>
      <c r="G24" s="68">
        <v>2450</v>
      </c>
      <c r="H24" s="69">
        <v>76.478999999999999</v>
      </c>
      <c r="I24" s="69">
        <v>-24.045000000000002</v>
      </c>
      <c r="J24" s="69">
        <v>0</v>
      </c>
      <c r="K24" s="69">
        <v>0</v>
      </c>
      <c r="L24" s="69">
        <f t="shared" si="0"/>
        <v>52.433999999999997</v>
      </c>
      <c r="M24" s="51"/>
      <c r="N24" s="69"/>
      <c r="O24" s="69">
        <v>0</v>
      </c>
      <c r="P24" s="69">
        <f t="shared" si="1"/>
        <v>0</v>
      </c>
      <c r="Q24" s="51"/>
      <c r="R24" s="70">
        <f t="shared" si="2"/>
        <v>52.433999999999997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idden="1" x14ac:dyDescent="0.2">
      <c r="A25" s="64" t="s">
        <v>33</v>
      </c>
      <c r="G25" s="68">
        <v>0</v>
      </c>
      <c r="H25" s="69">
        <v>0</v>
      </c>
      <c r="I25" s="69">
        <v>0</v>
      </c>
      <c r="J25" s="69">
        <v>0</v>
      </c>
      <c r="K25" s="69">
        <v>0</v>
      </c>
      <c r="L25" s="69">
        <f t="shared" si="0"/>
        <v>0</v>
      </c>
      <c r="M25" s="51"/>
      <c r="N25" s="69">
        <v>0</v>
      </c>
      <c r="O25" s="69">
        <v>0</v>
      </c>
      <c r="P25" s="69">
        <f t="shared" si="1"/>
        <v>0</v>
      </c>
      <c r="Q25" s="51"/>
      <c r="R25" s="70">
        <f t="shared" si="2"/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">
      <c r="A26" s="64" t="s">
        <v>62</v>
      </c>
      <c r="G26" s="68">
        <v>17.873000000000001</v>
      </c>
      <c r="H26" s="69">
        <v>17.535999999999998</v>
      </c>
      <c r="I26" s="69">
        <v>0</v>
      </c>
      <c r="J26" s="69">
        <v>0</v>
      </c>
      <c r="K26" s="69">
        <v>0</v>
      </c>
      <c r="L26" s="69">
        <f t="shared" si="0"/>
        <v>17.535999999999998</v>
      </c>
      <c r="M26" s="51"/>
      <c r="N26" s="69"/>
      <c r="O26" s="69"/>
      <c r="P26" s="69"/>
      <c r="Q26" s="51"/>
      <c r="R26" s="70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x14ac:dyDescent="0.2">
      <c r="A27" s="64" t="s">
        <v>63</v>
      </c>
      <c r="G27" s="68">
        <v>34.099400000000003</v>
      </c>
      <c r="H27" s="69">
        <v>295.41800000000001</v>
      </c>
      <c r="I27" s="69">
        <v>0</v>
      </c>
      <c r="J27" s="69">
        <v>0</v>
      </c>
      <c r="K27" s="69">
        <v>0</v>
      </c>
      <c r="L27" s="69">
        <f t="shared" si="0"/>
        <v>295.41800000000001</v>
      </c>
      <c r="M27" s="51"/>
      <c r="N27" s="69"/>
      <c r="O27" s="69"/>
      <c r="P27" s="69"/>
      <c r="Q27" s="51"/>
      <c r="R27" s="70">
        <f>L27+P27</f>
        <v>295.41800000000001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">
      <c r="A28" s="64" t="s">
        <v>34</v>
      </c>
      <c r="G28" s="68">
        <v>127</v>
      </c>
      <c r="H28" s="69">
        <v>8.4700000000000006</v>
      </c>
      <c r="I28" s="69">
        <v>-1.2030000000000001</v>
      </c>
      <c r="J28" s="69">
        <v>0</v>
      </c>
      <c r="K28" s="69">
        <v>0</v>
      </c>
      <c r="L28" s="69">
        <f t="shared" si="0"/>
        <v>7.2670000000000003</v>
      </c>
      <c r="M28" s="51"/>
      <c r="N28" s="69">
        <v>0</v>
      </c>
      <c r="O28" s="69">
        <v>0</v>
      </c>
      <c r="P28" s="69">
        <f t="shared" si="1"/>
        <v>0</v>
      </c>
      <c r="Q28" s="51"/>
      <c r="R28" s="70">
        <f t="shared" si="2"/>
        <v>7.2670000000000003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">
      <c r="A29" s="64" t="s">
        <v>35</v>
      </c>
      <c r="G29" s="68">
        <v>48</v>
      </c>
      <c r="H29" s="69">
        <v>4.415</v>
      </c>
      <c r="I29" s="69">
        <v>-0.434</v>
      </c>
      <c r="J29" s="69">
        <v>0</v>
      </c>
      <c r="K29" s="69">
        <v>0</v>
      </c>
      <c r="L29" s="69">
        <f t="shared" si="0"/>
        <v>3.9809999999999999</v>
      </c>
      <c r="M29" s="51"/>
      <c r="N29" s="69">
        <v>0</v>
      </c>
      <c r="O29" s="69">
        <v>0</v>
      </c>
      <c r="P29" s="69">
        <f t="shared" si="1"/>
        <v>0</v>
      </c>
      <c r="Q29" s="51"/>
      <c r="R29" s="70">
        <f t="shared" si="2"/>
        <v>3.9809999999999999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">
      <c r="A30" s="64" t="s">
        <v>36</v>
      </c>
      <c r="G30" s="68">
        <v>270</v>
      </c>
      <c r="H30" s="69">
        <v>20.440000000000001</v>
      </c>
      <c r="I30" s="69">
        <v>-2.5099999999999998</v>
      </c>
      <c r="J30" s="69">
        <v>0</v>
      </c>
      <c r="K30" s="69">
        <v>0</v>
      </c>
      <c r="L30" s="69">
        <f t="shared" si="0"/>
        <v>17.93</v>
      </c>
      <c r="M30" s="51"/>
      <c r="N30" s="69">
        <v>0</v>
      </c>
      <c r="O30" s="69">
        <v>0</v>
      </c>
      <c r="P30" s="69">
        <f t="shared" si="1"/>
        <v>0</v>
      </c>
      <c r="Q30" s="51"/>
      <c r="R30" s="70">
        <f t="shared" si="2"/>
        <v>17.93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">
      <c r="A31" s="64" t="s">
        <v>37</v>
      </c>
      <c r="G31" s="68">
        <v>20</v>
      </c>
      <c r="H31" s="69">
        <v>1.82</v>
      </c>
      <c r="I31" s="69">
        <v>-0.19400000000000001</v>
      </c>
      <c r="J31" s="69">
        <v>0</v>
      </c>
      <c r="K31" s="69">
        <v>0</v>
      </c>
      <c r="L31" s="69">
        <f t="shared" si="0"/>
        <v>1.6260000000000001</v>
      </c>
      <c r="M31" s="51"/>
      <c r="N31" s="69">
        <v>0</v>
      </c>
      <c r="O31" s="69">
        <v>0</v>
      </c>
      <c r="P31" s="69">
        <f t="shared" si="1"/>
        <v>0</v>
      </c>
      <c r="Q31" s="51"/>
      <c r="R31" s="70">
        <f t="shared" si="2"/>
        <v>1.6260000000000001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">
      <c r="A32" s="64" t="s">
        <v>38</v>
      </c>
      <c r="G32" s="68">
        <v>810</v>
      </c>
      <c r="H32" s="69">
        <v>72</v>
      </c>
      <c r="I32" s="69">
        <v>-7.6139999999999999</v>
      </c>
      <c r="J32" s="69">
        <v>0</v>
      </c>
      <c r="K32" s="69">
        <v>0</v>
      </c>
      <c r="L32" s="69">
        <f t="shared" si="0"/>
        <v>64.385999999999996</v>
      </c>
      <c r="M32" s="51"/>
      <c r="N32" s="69">
        <v>0</v>
      </c>
      <c r="O32" s="69">
        <v>0</v>
      </c>
      <c r="P32" s="69">
        <f t="shared" si="1"/>
        <v>0</v>
      </c>
      <c r="Q32" s="51"/>
      <c r="R32" s="70">
        <f t="shared" si="2"/>
        <v>64.385999999999996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">
      <c r="A33" s="64" t="s">
        <v>39</v>
      </c>
      <c r="G33" s="68">
        <v>155</v>
      </c>
      <c r="H33" s="69">
        <v>15.806000000000001</v>
      </c>
      <c r="I33" s="69">
        <v>-1.29</v>
      </c>
      <c r="J33" s="69">
        <v>0</v>
      </c>
      <c r="K33" s="69">
        <v>0</v>
      </c>
      <c r="L33" s="69">
        <f t="shared" si="0"/>
        <v>14.516000000000002</v>
      </c>
      <c r="M33" s="51"/>
      <c r="N33" s="69">
        <v>0</v>
      </c>
      <c r="O33" s="69">
        <v>0</v>
      </c>
      <c r="P33" s="69">
        <f t="shared" si="1"/>
        <v>0</v>
      </c>
      <c r="Q33" s="51"/>
      <c r="R33" s="70">
        <f t="shared" si="2"/>
        <v>14.516000000000002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">
      <c r="A34" s="64" t="s">
        <v>40</v>
      </c>
      <c r="G34" s="68">
        <v>1200</v>
      </c>
      <c r="H34" s="69">
        <v>93.394999999999996</v>
      </c>
      <c r="I34" s="69">
        <v>-9.5419999999999998</v>
      </c>
      <c r="J34" s="69">
        <v>0</v>
      </c>
      <c r="K34" s="69">
        <v>0</v>
      </c>
      <c r="L34" s="69">
        <f t="shared" si="0"/>
        <v>83.852999999999994</v>
      </c>
      <c r="M34" s="51"/>
      <c r="N34" s="69">
        <v>0</v>
      </c>
      <c r="O34" s="69">
        <v>0</v>
      </c>
      <c r="P34" s="69">
        <f t="shared" si="1"/>
        <v>0</v>
      </c>
      <c r="Q34" s="51"/>
      <c r="R34" s="70">
        <f t="shared" si="2"/>
        <v>83.852999999999994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">
      <c r="A35" s="64" t="s">
        <v>41</v>
      </c>
      <c r="G35" s="68">
        <v>330</v>
      </c>
      <c r="H35" s="69">
        <v>2.512</v>
      </c>
      <c r="I35" s="69">
        <v>0</v>
      </c>
      <c r="J35" s="69">
        <v>0</v>
      </c>
      <c r="K35" s="69">
        <v>0</v>
      </c>
      <c r="L35" s="69">
        <f t="shared" si="0"/>
        <v>2.512</v>
      </c>
      <c r="M35" s="51"/>
      <c r="N35" s="69">
        <v>0</v>
      </c>
      <c r="O35" s="69">
        <v>0</v>
      </c>
      <c r="P35" s="69">
        <f t="shared" si="1"/>
        <v>0</v>
      </c>
      <c r="Q35" s="51"/>
      <c r="R35" s="70">
        <f t="shared" si="2"/>
        <v>2.512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">
      <c r="A36" s="64" t="s">
        <v>42</v>
      </c>
      <c r="G36" s="68">
        <v>360</v>
      </c>
      <c r="H36" s="69">
        <v>2.7039999999999997</v>
      </c>
      <c r="I36" s="69">
        <v>0</v>
      </c>
      <c r="J36" s="69">
        <v>0</v>
      </c>
      <c r="K36" s="69">
        <v>0</v>
      </c>
      <c r="L36" s="69">
        <f t="shared" si="0"/>
        <v>2.7039999999999997</v>
      </c>
      <c r="M36" s="51"/>
      <c r="N36" s="69">
        <v>0</v>
      </c>
      <c r="O36" s="69">
        <v>0</v>
      </c>
      <c r="P36" s="69">
        <f t="shared" si="1"/>
        <v>0</v>
      </c>
      <c r="Q36" s="51"/>
      <c r="R36" s="70">
        <f t="shared" si="2"/>
        <v>2.7039999999999997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">
      <c r="A37" s="64" t="s">
        <v>43</v>
      </c>
      <c r="G37" s="68">
        <v>146</v>
      </c>
      <c r="H37" s="69">
        <v>17.649999999999999</v>
      </c>
      <c r="I37" s="69">
        <v>-1.415</v>
      </c>
      <c r="J37" s="69">
        <v>0</v>
      </c>
      <c r="K37" s="69">
        <v>0</v>
      </c>
      <c r="L37" s="69">
        <f t="shared" si="0"/>
        <v>16.234999999999999</v>
      </c>
      <c r="M37" s="51"/>
      <c r="N37" s="69">
        <v>0</v>
      </c>
      <c r="O37" s="69">
        <v>0</v>
      </c>
      <c r="P37" s="69">
        <f t="shared" si="1"/>
        <v>0</v>
      </c>
      <c r="Q37" s="51"/>
      <c r="R37" s="70">
        <f t="shared" si="2"/>
        <v>16.234999999999999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s="14" customFormat="1" x14ac:dyDescent="0.2">
      <c r="A38" s="64" t="s">
        <v>44</v>
      </c>
      <c r="G38" s="68">
        <v>38</v>
      </c>
      <c r="H38" s="71">
        <v>5.9639999999999995</v>
      </c>
      <c r="I38" s="69">
        <v>-0.35300000000000004</v>
      </c>
      <c r="J38" s="69">
        <v>0</v>
      </c>
      <c r="K38" s="69">
        <v>0</v>
      </c>
      <c r="L38" s="69">
        <f>SUM(H38:K38)</f>
        <v>5.6109999999999998</v>
      </c>
      <c r="M38" s="51"/>
      <c r="N38" s="69">
        <v>0</v>
      </c>
      <c r="O38" s="69">
        <v>0</v>
      </c>
      <c r="P38" s="69">
        <f t="shared" si="1"/>
        <v>0</v>
      </c>
      <c r="Q38" s="51"/>
      <c r="R38" s="70">
        <f t="shared" si="2"/>
        <v>5.6109999999999998</v>
      </c>
    </row>
    <row r="39" spans="1:58" ht="13.5" thickBot="1" x14ac:dyDescent="0.25">
      <c r="A39" s="86" t="s">
        <v>56</v>
      </c>
      <c r="B39" s="62"/>
      <c r="C39" s="62"/>
      <c r="D39" s="62"/>
      <c r="E39" s="62"/>
      <c r="F39" s="62"/>
      <c r="G39" s="72">
        <v>688</v>
      </c>
      <c r="H39" s="73">
        <v>60.3</v>
      </c>
      <c r="I39" s="73">
        <v>-6.02</v>
      </c>
      <c r="J39" s="73">
        <v>0</v>
      </c>
      <c r="K39" s="73">
        <v>0</v>
      </c>
      <c r="L39" s="74">
        <f>SUM(H39:K39)</f>
        <v>54.28</v>
      </c>
      <c r="M39" s="51"/>
      <c r="N39" s="73">
        <v>0</v>
      </c>
      <c r="O39" s="73">
        <v>0</v>
      </c>
      <c r="P39" s="74">
        <f t="shared" si="1"/>
        <v>0</v>
      </c>
      <c r="Q39" s="51"/>
      <c r="R39" s="75">
        <f t="shared" si="2"/>
        <v>54.28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">
      <c r="A40" s="87" t="s">
        <v>64</v>
      </c>
      <c r="G40" s="51">
        <f t="shared" ref="G40:L40" si="3">SUM(G22:G39)</f>
        <v>8953.9723999999987</v>
      </c>
      <c r="H40" s="76">
        <f t="shared" si="3"/>
        <v>792.43000000000006</v>
      </c>
      <c r="I40" s="76">
        <f t="shared" si="3"/>
        <v>-76.798999999999992</v>
      </c>
      <c r="J40" s="76">
        <f t="shared" si="3"/>
        <v>0</v>
      </c>
      <c r="K40" s="76">
        <f t="shared" si="3"/>
        <v>0</v>
      </c>
      <c r="L40" s="76">
        <f t="shared" si="3"/>
        <v>715.63099999999974</v>
      </c>
      <c r="M40" s="51"/>
      <c r="N40" s="69">
        <f>SUM(N22:N39)</f>
        <v>0</v>
      </c>
      <c r="O40" s="69">
        <f>SUM(O22:O39)</f>
        <v>0</v>
      </c>
      <c r="P40" s="77">
        <f>SUM(P22:P39)</f>
        <v>0</v>
      </c>
      <c r="Q40" s="56"/>
      <c r="R40" s="78">
        <f>SUM(R22:R39)</f>
        <v>698.0949999999998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">
      <c r="A41" s="64"/>
      <c r="G41" s="51"/>
      <c r="H41" s="79"/>
      <c r="I41" s="79"/>
      <c r="J41" s="54"/>
      <c r="K41" s="54"/>
      <c r="L41" s="54"/>
      <c r="M41" s="51"/>
      <c r="N41" s="54"/>
      <c r="O41" s="54"/>
      <c r="P41" s="55"/>
      <c r="Q41" s="56"/>
      <c r="R41" s="56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">
      <c r="A42" s="85" t="s">
        <v>65</v>
      </c>
      <c r="G42" s="51"/>
      <c r="H42" s="79"/>
      <c r="I42" s="79"/>
      <c r="J42" s="54"/>
      <c r="K42" s="54"/>
      <c r="L42" s="54"/>
      <c r="M42" s="51"/>
      <c r="N42" s="54"/>
      <c r="O42" s="54"/>
      <c r="P42" s="55"/>
      <c r="Q42" s="56"/>
      <c r="R42" s="56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A43" s="64" t="s">
        <v>45</v>
      </c>
      <c r="G43" s="68">
        <v>2230</v>
      </c>
      <c r="H43" s="69">
        <v>1946.5</v>
      </c>
      <c r="I43" s="69">
        <v>-155.72300000000001</v>
      </c>
      <c r="J43" s="69">
        <v>0</v>
      </c>
      <c r="K43" s="69">
        <v>0</v>
      </c>
      <c r="L43" s="69">
        <f t="shared" ref="L43:L48" si="4">SUM(H43:K43)</f>
        <v>1790.777</v>
      </c>
      <c r="M43" s="51"/>
      <c r="N43" s="69">
        <v>0</v>
      </c>
      <c r="O43" s="69">
        <v>0</v>
      </c>
      <c r="P43" s="77">
        <f t="shared" ref="P43:P48" si="5">SUM(N43:O43)</f>
        <v>0</v>
      </c>
      <c r="Q43" s="56"/>
      <c r="R43" s="70">
        <f t="shared" ref="R43:R48" si="6">L43+P43</f>
        <v>1790.777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">
      <c r="A44" s="64" t="s">
        <v>46</v>
      </c>
      <c r="G44" s="68">
        <v>18.8</v>
      </c>
      <c r="H44" s="69">
        <v>17.399999999999999</v>
      </c>
      <c r="I44" s="69">
        <v>-1.7</v>
      </c>
      <c r="J44" s="69">
        <v>0</v>
      </c>
      <c r="K44" s="69">
        <v>0</v>
      </c>
      <c r="L44" s="69">
        <f t="shared" si="4"/>
        <v>15.7</v>
      </c>
      <c r="M44" s="51"/>
      <c r="N44" s="69">
        <v>0</v>
      </c>
      <c r="O44" s="69">
        <v>0</v>
      </c>
      <c r="P44" s="77">
        <f t="shared" si="5"/>
        <v>0</v>
      </c>
      <c r="Q44" s="56"/>
      <c r="R44" s="70">
        <f t="shared" si="6"/>
        <v>15.7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s="14" customFormat="1" x14ac:dyDescent="0.2">
      <c r="A45" s="64" t="s">
        <v>47</v>
      </c>
      <c r="G45" s="68">
        <v>20.8</v>
      </c>
      <c r="H45" s="71">
        <v>18.244</v>
      </c>
      <c r="I45" s="69">
        <v>-1.8</v>
      </c>
      <c r="J45" s="69">
        <v>0</v>
      </c>
      <c r="K45" s="69">
        <v>0</v>
      </c>
      <c r="L45" s="69">
        <f t="shared" si="4"/>
        <v>16.443999999999999</v>
      </c>
      <c r="M45" s="51"/>
      <c r="N45" s="69">
        <v>0</v>
      </c>
      <c r="O45" s="69">
        <v>0</v>
      </c>
      <c r="P45" s="77">
        <f t="shared" si="5"/>
        <v>0</v>
      </c>
      <c r="Q45" s="56"/>
      <c r="R45" s="70">
        <f t="shared" si="6"/>
        <v>16.443999999999999</v>
      </c>
    </row>
    <row r="46" spans="1:58" s="14" customFormat="1" x14ac:dyDescent="0.2">
      <c r="A46" s="42" t="s">
        <v>57</v>
      </c>
      <c r="G46" s="68">
        <v>23.8</v>
      </c>
      <c r="H46" s="69">
        <v>20.9</v>
      </c>
      <c r="I46" s="69">
        <v>-2.09</v>
      </c>
      <c r="J46" s="69">
        <v>0</v>
      </c>
      <c r="K46" s="69">
        <v>0</v>
      </c>
      <c r="L46" s="69">
        <f t="shared" si="4"/>
        <v>18.809999999999999</v>
      </c>
      <c r="M46" s="51"/>
      <c r="N46" s="69">
        <v>0</v>
      </c>
      <c r="O46" s="69">
        <v>0</v>
      </c>
      <c r="P46" s="77">
        <f t="shared" si="5"/>
        <v>0</v>
      </c>
      <c r="Q46" s="56"/>
      <c r="R46" s="70">
        <f t="shared" si="6"/>
        <v>18.809999999999999</v>
      </c>
    </row>
    <row r="47" spans="1:58" s="14" customFormat="1" x14ac:dyDescent="0.2">
      <c r="A47" s="64" t="s">
        <v>56</v>
      </c>
      <c r="G47" s="68">
        <v>20.399999999999999</v>
      </c>
      <c r="H47" s="69">
        <v>18</v>
      </c>
      <c r="I47" s="69">
        <v>-1.8</v>
      </c>
      <c r="J47" s="69">
        <v>0</v>
      </c>
      <c r="K47" s="69">
        <v>0</v>
      </c>
      <c r="L47" s="77">
        <f t="shared" si="4"/>
        <v>16.2</v>
      </c>
      <c r="M47" s="51"/>
      <c r="N47" s="69">
        <v>0</v>
      </c>
      <c r="O47" s="69">
        <v>0</v>
      </c>
      <c r="P47" s="77">
        <f t="shared" si="5"/>
        <v>0</v>
      </c>
      <c r="Q47" s="56"/>
      <c r="R47" s="70">
        <f t="shared" si="6"/>
        <v>16.2</v>
      </c>
    </row>
    <row r="48" spans="1:58" s="14" customFormat="1" ht="13.5" thickBot="1" x14ac:dyDescent="0.25">
      <c r="A48" s="86" t="s">
        <v>58</v>
      </c>
      <c r="B48" s="62"/>
      <c r="C48" s="62"/>
      <c r="D48" s="62"/>
      <c r="E48" s="62"/>
      <c r="F48" s="62"/>
      <c r="G48" s="72">
        <v>265</v>
      </c>
      <c r="H48" s="73">
        <v>44.1</v>
      </c>
      <c r="I48" s="73">
        <v>-3.1040000000000001</v>
      </c>
      <c r="J48" s="73">
        <v>0</v>
      </c>
      <c r="K48" s="73">
        <v>0</v>
      </c>
      <c r="L48" s="73">
        <f t="shared" si="4"/>
        <v>40.996000000000002</v>
      </c>
      <c r="M48" s="51"/>
      <c r="N48" s="73">
        <v>0</v>
      </c>
      <c r="O48" s="73">
        <v>0</v>
      </c>
      <c r="P48" s="74">
        <f t="shared" si="5"/>
        <v>0</v>
      </c>
      <c r="Q48" s="56"/>
      <c r="R48" s="75">
        <f t="shared" si="6"/>
        <v>40.996000000000002</v>
      </c>
    </row>
    <row r="49" spans="1:58" x14ac:dyDescent="0.2">
      <c r="A49" s="88" t="s">
        <v>66</v>
      </c>
      <c r="G49" s="51">
        <f t="shared" ref="G49:L49" si="7">SUM(G43:G48)</f>
        <v>2578.8000000000006</v>
      </c>
      <c r="H49" s="76">
        <f t="shared" si="7"/>
        <v>2065.1440000000002</v>
      </c>
      <c r="I49" s="76">
        <f t="shared" si="7"/>
        <v>-166.21700000000004</v>
      </c>
      <c r="J49" s="76">
        <f t="shared" si="7"/>
        <v>0</v>
      </c>
      <c r="K49" s="76">
        <f t="shared" si="7"/>
        <v>0</v>
      </c>
      <c r="L49" s="76">
        <f t="shared" si="7"/>
        <v>1898.9270000000001</v>
      </c>
      <c r="M49" s="51"/>
      <c r="N49" s="69">
        <f>SUM(N43:N48)</f>
        <v>0</v>
      </c>
      <c r="O49" s="69">
        <f>SUM(O43:O48)</f>
        <v>0</v>
      </c>
      <c r="P49" s="77">
        <f>SUM(P43:P48)</f>
        <v>0</v>
      </c>
      <c r="Q49" s="56"/>
      <c r="R49" s="78">
        <f>SUM(R43:R48)</f>
        <v>1898.9270000000001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">
      <c r="A50" s="64"/>
      <c r="G50" s="51"/>
      <c r="H50" s="54"/>
      <c r="I50" s="54"/>
      <c r="J50" s="54"/>
      <c r="K50" s="54"/>
      <c r="L50" s="54"/>
      <c r="M50" s="51"/>
      <c r="N50" s="54"/>
      <c r="O50" s="54"/>
      <c r="P50" s="55"/>
      <c r="Q50" s="56"/>
      <c r="R50" s="56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">
      <c r="A51" s="64"/>
      <c r="G51" s="51"/>
      <c r="H51" s="54"/>
      <c r="I51" s="54"/>
      <c r="J51" s="54"/>
      <c r="K51" s="54"/>
      <c r="L51" s="54"/>
      <c r="M51" s="51"/>
      <c r="N51" s="54"/>
      <c r="O51" s="54"/>
      <c r="P51" s="55"/>
      <c r="Q51" s="56"/>
      <c r="R51" s="5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">
      <c r="A52" s="89" t="s">
        <v>67</v>
      </c>
      <c r="G52" s="51">
        <f t="shared" ref="G52:R52" si="8">G40+G49</f>
        <v>11532.7724</v>
      </c>
      <c r="H52" s="76">
        <f t="shared" si="8"/>
        <v>2857.5740000000005</v>
      </c>
      <c r="I52" s="76">
        <f t="shared" si="8"/>
        <v>-243.01600000000002</v>
      </c>
      <c r="J52" s="76">
        <f t="shared" si="8"/>
        <v>0</v>
      </c>
      <c r="K52" s="76">
        <f t="shared" si="8"/>
        <v>0</v>
      </c>
      <c r="L52" s="76">
        <f t="shared" si="8"/>
        <v>2614.558</v>
      </c>
      <c r="M52" s="51"/>
      <c r="N52" s="54">
        <f t="shared" si="8"/>
        <v>0</v>
      </c>
      <c r="O52" s="54">
        <f t="shared" si="8"/>
        <v>0</v>
      </c>
      <c r="P52" s="55">
        <f t="shared" si="8"/>
        <v>0</v>
      </c>
      <c r="Q52" s="56"/>
      <c r="R52" s="56">
        <f t="shared" si="8"/>
        <v>2597.0219999999999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">
      <c r="A53" s="64"/>
      <c r="G53" s="36"/>
      <c r="I53" s="54"/>
      <c r="J53" s="54"/>
      <c r="K53" s="54"/>
      <c r="L53" s="53"/>
      <c r="M53" s="51"/>
      <c r="N53" s="54"/>
      <c r="O53" s="54"/>
      <c r="P53" s="55"/>
      <c r="Q53" s="54"/>
      <c r="R53" s="56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3.5" thickBot="1" x14ac:dyDescent="0.25">
      <c r="A54" s="86"/>
      <c r="B54" s="14"/>
      <c r="C54" s="14"/>
      <c r="D54" s="14"/>
      <c r="E54" s="14"/>
      <c r="F54" s="14"/>
      <c r="G54" s="51"/>
      <c r="H54" s="52"/>
      <c r="I54" s="52"/>
      <c r="J54" s="52"/>
      <c r="K54" s="52"/>
      <c r="L54" s="53"/>
      <c r="M54" s="51"/>
      <c r="N54" s="54"/>
      <c r="O54" s="54"/>
      <c r="P54" s="55"/>
      <c r="Q54" s="54"/>
      <c r="R54" s="56"/>
    </row>
    <row r="55" spans="1:58" ht="18.75" thickBot="1" x14ac:dyDescent="0.3">
      <c r="A55" s="47" t="s">
        <v>51</v>
      </c>
      <c r="B55" s="48"/>
      <c r="C55" s="48"/>
      <c r="D55" s="48"/>
      <c r="E55" s="48"/>
      <c r="F55" s="48"/>
      <c r="G55" s="57">
        <f t="shared" ref="G55:L55" si="9">G52</f>
        <v>11532.7724</v>
      </c>
      <c r="H55" s="58">
        <f t="shared" si="9"/>
        <v>2857.5740000000005</v>
      </c>
      <c r="I55" s="58">
        <f t="shared" si="9"/>
        <v>-243.01600000000002</v>
      </c>
      <c r="J55" s="58">
        <f t="shared" si="9"/>
        <v>0</v>
      </c>
      <c r="K55" s="58">
        <f t="shared" si="9"/>
        <v>0</v>
      </c>
      <c r="L55" s="59">
        <f t="shared" si="9"/>
        <v>2614.558</v>
      </c>
      <c r="M55" s="60"/>
      <c r="N55" s="80">
        <f>N52</f>
        <v>0</v>
      </c>
      <c r="O55" s="80">
        <f>O52</f>
        <v>0</v>
      </c>
      <c r="P55" s="61">
        <f>P52</f>
        <v>0</v>
      </c>
      <c r="Q55" s="81"/>
      <c r="R55" s="57">
        <f>R52</f>
        <v>2597.0219999999999</v>
      </c>
    </row>
    <row r="56" spans="1:58" x14ac:dyDescent="0.2">
      <c r="M56" s="14"/>
    </row>
    <row r="57" spans="1:58" x14ac:dyDescent="0.2">
      <c r="M57" s="14"/>
    </row>
    <row r="58" spans="1:58" x14ac:dyDescent="0.2">
      <c r="M58" s="14"/>
    </row>
    <row r="59" spans="1:58" x14ac:dyDescent="0.2">
      <c r="M59" s="14"/>
    </row>
    <row r="60" spans="1:58" x14ac:dyDescent="0.2">
      <c r="M60" s="14"/>
    </row>
    <row r="61" spans="1:58" x14ac:dyDescent="0.2">
      <c r="M61" s="14"/>
    </row>
    <row r="62" spans="1:58" x14ac:dyDescent="0.2">
      <c r="M62" s="14"/>
    </row>
    <row r="63" spans="1:58" x14ac:dyDescent="0.2">
      <c r="M63" s="14"/>
    </row>
    <row r="64" spans="1:58" x14ac:dyDescent="0.2">
      <c r="M64" s="14"/>
    </row>
    <row r="65" spans="13:13" x14ac:dyDescent="0.2">
      <c r="M65" s="14"/>
    </row>
    <row r="66" spans="13:13" x14ac:dyDescent="0.2">
      <c r="M66" s="14"/>
    </row>
    <row r="67" spans="13:13" x14ac:dyDescent="0.2">
      <c r="M67" s="14"/>
    </row>
    <row r="68" spans="13:13" x14ac:dyDescent="0.2">
      <c r="M68" s="14"/>
    </row>
    <row r="69" spans="13:13" x14ac:dyDescent="0.2">
      <c r="M69" s="14"/>
    </row>
    <row r="70" spans="13:13" x14ac:dyDescent="0.2">
      <c r="M70" s="14"/>
    </row>
    <row r="71" spans="13:13" x14ac:dyDescent="0.2">
      <c r="M71" s="14"/>
    </row>
    <row r="72" spans="13:13" x14ac:dyDescent="0.2">
      <c r="M72" s="14"/>
    </row>
    <row r="73" spans="13:13" x14ac:dyDescent="0.2">
      <c r="M73" s="14"/>
    </row>
    <row r="74" spans="13:13" x14ac:dyDescent="0.2">
      <c r="M74" s="14"/>
    </row>
    <row r="75" spans="13:13" x14ac:dyDescent="0.2">
      <c r="M75" s="14"/>
    </row>
    <row r="76" spans="13:13" x14ac:dyDescent="0.2">
      <c r="M76" s="14"/>
    </row>
  </sheetData>
  <mergeCells count="9"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5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3876675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Pwr Orig Summ</vt:lpstr>
      <vt:lpstr>Europe</vt:lpstr>
      <vt:lpstr>Canada</vt:lpstr>
      <vt:lpstr>Gas Detail</vt:lpstr>
      <vt:lpstr>Sheet5</vt:lpstr>
      <vt:lpstr>Sheet4</vt:lpstr>
      <vt:lpstr>Canada Origination Summary</vt:lpstr>
      <vt:lpstr>'Canada Origination Summary'!Print_Area</vt:lpstr>
      <vt:lpstr>'Pwr Orig Summ'!Print_Area</vt:lpstr>
      <vt:lpstr>'Pwr Orig Summ'!Print_Titles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hmoryl</dc:creator>
  <cp:lastModifiedBy>Jan Havlíček</cp:lastModifiedBy>
  <cp:lastPrinted>2001-10-19T21:08:52Z</cp:lastPrinted>
  <dcterms:created xsi:type="dcterms:W3CDTF">2001-05-04T20:06:26Z</dcterms:created>
  <dcterms:modified xsi:type="dcterms:W3CDTF">2023-09-15T21:07:39Z</dcterms:modified>
</cp:coreProperties>
</file>