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CCD9B8C7-4931-4F47-A44B-B4DBBD2AE377}" xr6:coauthVersionLast="47" xr6:coauthVersionMax="47" xr10:uidLastSave="{00000000-0000-0000-0000-000000000000}"/>
  <bookViews>
    <workbookView xWindow="-120" yWindow="-120" windowWidth="38640" windowHeight="1572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Deals!$C$93</definedName>
    <definedName name="EndofDType">Deals!$B$93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3" i="2"/>
  <c r="AE73" i="2"/>
  <c r="AF73" i="2"/>
  <c r="AD74" i="2"/>
  <c r="AE74" i="2"/>
  <c r="AF74" i="2"/>
  <c r="AD75" i="2"/>
  <c r="AE75" i="2"/>
  <c r="AF75" i="2"/>
  <c r="AD77" i="2"/>
  <c r="AE77" i="2"/>
  <c r="AF77" i="2"/>
  <c r="AD78" i="2"/>
  <c r="AE78" i="2"/>
  <c r="AF78" i="2"/>
  <c r="AD79" i="2"/>
  <c r="AE79" i="2"/>
  <c r="AF79" i="2"/>
  <c r="AD81" i="2"/>
  <c r="AE81" i="2"/>
  <c r="AF81" i="2"/>
  <c r="AD82" i="2"/>
  <c r="AE82" i="2"/>
  <c r="AF82" i="2"/>
  <c r="AD83" i="2"/>
  <c r="AE83" i="2"/>
  <c r="AF83" i="2"/>
  <c r="AD85" i="2"/>
  <c r="AE85" i="2"/>
  <c r="AD86" i="2"/>
  <c r="AE86" i="2"/>
  <c r="AD88" i="2"/>
  <c r="AE88" i="2"/>
  <c r="AF88" i="2"/>
  <c r="AD89" i="2"/>
  <c r="AE89" i="2"/>
  <c r="AF89" i="2"/>
  <c r="AD90" i="2"/>
  <c r="AE90" i="2"/>
  <c r="AF90" i="2"/>
  <c r="AD91" i="2"/>
  <c r="AE91" i="2"/>
  <c r="AF91" i="2"/>
  <c r="AD99" i="2"/>
  <c r="AE99" i="2"/>
  <c r="AD100" i="2"/>
  <c r="AE100" i="2"/>
  <c r="AD104" i="2"/>
  <c r="AE104"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F33" i="1" a="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<sst xmlns="http://schemas.openxmlformats.org/spreadsheetml/2006/main" count="760" uniqueCount="399">
  <si>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</si>
  <si>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</si>
  <si>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</si>
  <si>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</si>
  <si>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</si>
  <si>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</si>
  <si>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</si>
  <si>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</si>
  <si>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</si>
  <si>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</si>
  <si>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</si>
  <si>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</si>
  <si>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</si>
  <si>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</si>
  <si>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</si>
  <si>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</si>
  <si>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</si>
  <si>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</si>
  <si>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</si>
  <si>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</si>
  <si>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</si>
  <si>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</si>
  <si>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</si>
  <si>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</si>
  <si>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</si>
  <si>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</si>
  <si>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</si>
  <si>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</si>
  <si>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</si>
  <si>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</si>
  <si>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</si>
  <si>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</si>
  <si>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</si>
  <si>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</si>
  <si>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</si>
  <si>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</si>
  <si>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</si>
  <si>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</si>
  <si>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</si>
  <si>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</si>
  <si>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</si>
  <si>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</si>
  <si>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</si>
  <si>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</si>
  <si>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</si>
  <si>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</si>
  <si>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</si>
  <si>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</si>
  <si>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</si>
  <si>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</si>
  <si>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</si>
  <si>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</si>
  <si>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</si>
  <si>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</si>
  <si>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</si>
  <si>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</si>
  <si>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</si>
  <si>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</si>
  <si>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</si>
  <si>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</si>
  <si>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</si>
  <si>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</si>
  <si>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</si>
  <si>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</si>
  <si>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</si>
  <si>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</si>
  <si>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</si>
  <si>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</si>
  <si>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</si>
  <si>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</si>
  <si>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</si>
  <si>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</si>
  <si>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</si>
  <si>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</si>
  <si>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</si>
  <si>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</si>
  <si>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</si>
  <si>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</si>
  <si>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</si>
  <si>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</si>
  <si>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</si>
  <si>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</si>
  <si>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</si>
  <si>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</si>
  <si>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</si>
  <si>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</si>
  <si>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</si>
  <si>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</si>
  <si>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</si>
  <si>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</si>
  <si>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</si>
  <si>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</si>
  <si>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</si>
  <si>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</si>
  <si>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</si>
  <si>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</si>
  <si>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</si>
  <si>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</si>
  <si>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</si>
  <si>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</si>
  <si>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</si>
  <si>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</si>
  <si>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</si>
  <si>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</si>
  <si>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</si>
  <si>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</si>
  <si>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</si>
  <si>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</si>
  <si>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</si>
  <si>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</si>
  <si>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</si>
  <si>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</si>
  <si>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</si>
  <si>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</si>
  <si>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</si>
  <si>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</si>
  <si>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</si>
  <si>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</si>
  <si>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</si>
  <si>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</si>
  <si>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</si>
  <si>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</si>
  <si>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</si>
  <si>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</si>
  <si>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</si>
  <si>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</si>
  <si>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</si>
  <si>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</si>
  <si>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</si>
  <si>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</si>
  <si>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</si>
  <si>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</si>
  <si>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</si>
  <si>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</si>
  <si>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</si>
  <si>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</si>
  <si>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</si>
  <si>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</si>
  <si>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</si>
  <si>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</si>
  <si>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</si>
  <si>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</si>
  <si>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</si>
  <si>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</si>
  <si>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</si>
  <si>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</si>
  <si>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</si>
  <si>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</si>
  <si>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</si>
  <si>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</si>
  <si>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</si>
  <si>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</si>
  <si>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</si>
  <si>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</si>
  <si>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</si>
  <si>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</si>
  <si>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</si>
  <si>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</si>
  <si>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</si>
  <si>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</si>
  <si>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</si>
  <si>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</si>
  <si>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</si>
  <si>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</si>
  <si>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</si>
  <si>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</si>
  <si>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</si>
  <si>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</si>
  <si>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</si>
  <si>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</si>
  <si>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</si>
  <si>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</si>
  <si>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</si>
  <si>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</si>
  <si>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</si>
  <si>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</si>
  <si>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</si>
  <si>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</si>
  <si>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</si>
  <si>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</si>
  <si>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</si>
  <si>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</si>
  <si>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</si>
  <si>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</si>
  <si>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</si>
  <si>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</si>
  <si>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</si>
  <si>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</si>
  <si>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</si>
  <si>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</si>
  <si>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</si>
  <si>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</si>
  <si>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</si>
  <si>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</si>
  <si>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</si>
  <si>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</si>
  <si>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</si>
  <si>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</si>
  <si>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</si>
  <si>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</si>
  <si>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</si>
  <si>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</si>
  <si>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</si>
  <si>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</si>
  <si>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</si>
  <si>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</si>
  <si>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</si>
  <si>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</si>
  <si>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</si>
  <si>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</si>
  <si>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</si>
  <si>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</si>
  <si>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</si>
  <si>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</si>
  <si>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</si>
  <si>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</si>
  <si>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</si>
  <si>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</si>
  <si>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</si>
  <si>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</si>
  <si>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</si>
  <si>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</si>
  <si>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</si>
  <si>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</si>
  <si>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</si>
  <si>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</si>
  <si>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</si>
  <si>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</si>
  <si>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</si>
  <si>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</si>
  <si>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</si>
  <si>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</si>
  <si>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</si>
  <si>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</si>
  <si>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</si>
  <si>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</si>
  <si>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</si>
  <si>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</si>
  <si>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</si>
  <si>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</si>
  <si>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</si>
  <si>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</si>
  <si>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</si>
  <si>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</si>
  <si>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</si>
  <si>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</si>
  <si>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</si>
  <si>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</si>
  <si>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</si>
  <si>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</si>
  <si>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</si>
  <si>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</si>
  <si>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</si>
  <si>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</si>
  <si>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</si>
  <si>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</si>
  <si>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</si>
  <si>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</si>
  <si>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</si>
  <si>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</si>
  <si>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</si>
  <si>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</si>
  <si>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</si>
  <si>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</si>
  <si>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</si>
  <si>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</si>
  <si>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</si>
  <si>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</si>
  <si>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</si>
  <si>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</si>
  <si>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</si>
  <si>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</si>
  <si>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</si>
  <si>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</si>
  <si>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</si>
  <si>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</si>
  <si>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</si>
  <si>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</si>
  <si>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</si>
  <si>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</si>
  <si>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</si>
  <si>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</si>
  <si>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</si>
  <si>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</si>
  <si>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</si>
  <si>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</si>
  <si>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</si>
  <si>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</si>
  <si>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</si>
  <si>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</si>
  <si>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</si>
  <si>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</si>
  <si>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</si>
  <si>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</si>
  <si>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</si>
  <si>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</si>
  <si>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</si>
  <si>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</si>
  <si>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</si>
  <si>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</si>
  <si>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</si>
  <si>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</si>
  <si>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</si>
  <si>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</si>
  <si>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</si>
  <si>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</si>
  <si>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</si>
  <si>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</si>
  <si>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</si>
  <si>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</si>
  <si>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</si>
  <si>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</si>
  <si>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</si>
  <si>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</si>
  <si>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</si>
  <si>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</si>
  <si>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</si>
  <si>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</si>
  <si>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</si>
  <si>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</si>
  <si>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</si>
  <si>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</si>
  <si>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</si>
  <si>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</si>
  <si>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</si>
  <si>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</si>
  <si>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</si>
  <si>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</si>
  <si>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</si>
  <si>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</si>
  <si>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</si>
  <si>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</si>
  <si>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</si>
  <si>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</si>
  <si>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</si>
  <si>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</si>
  <si>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</si>
  <si>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</si>
  <si>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</si>
  <si>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</si>
  <si>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</si>
  <si>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</si>
  <si>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</si>
  <si>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</si>
  <si>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</si>
  <si>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</si>
  <si>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</si>
  <si>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</si>
  <si>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</si>
  <si>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</si>
  <si>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</si>
  <si>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</si>
  <si>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</si>
  <si>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</si>
  <si>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</si>
  <si>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</si>
  <si>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</si>
  <si>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</si>
  <si>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</si>
  <si>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</si>
  <si>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</si>
  <si>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</si>
  <si>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</si>
  <si>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</si>
  <si>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</si>
  <si>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</si>
  <si>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</si>
  <si>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</si>
  <si>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</si>
  <si>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</si>
  <si>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</si>
  <si>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</si>
  <si>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</si>
  <si>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</si>
  <si>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</si>
  <si>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</si>
  <si>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</si>
  <si>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</si>
  <si>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</si>
  <si>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</si>
  <si>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</si>
  <si>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ISO</t>
  </si>
  <si>
    <t>AEP/BOOKOUT</t>
  </si>
  <si>
    <t>PNM     ,LOSS    ,WM,  ,   3,   3</t>
  </si>
  <si>
    <t>Sempra/ISO</t>
  </si>
  <si>
    <t>Firm</t>
  </si>
  <si>
    <t>NEWMAN 2 ,ECON, 36  , 70  , 34  , 83  , 35  ,1</t>
  </si>
  <si>
    <t>NEWMAN 3 ,ECON, 87  ,100  , 35  ,103  , 16  ,1</t>
  </si>
  <si>
    <t>NEWMN/GT1,MANL, 20  , 60  , 18  , 60  ,  0  ,1</t>
  </si>
  <si>
    <t>NEWMN/GT2,MANL, 20  , 60  , 18  , 60  ,  0  ,1</t>
  </si>
  <si>
    <t>NEWMAN 4 ,UNAV,  0  ,215  , 86  ,214  ,  0  ,1</t>
  </si>
  <si>
    <t xml:space="preserve">NEWMAN   ,, 164 ,  290,  105, 306 ,  51 , </t>
  </si>
  <si>
    <t>PALOVERDE,MANL,604  ,600  ,600  ,600  ,  0  ,1</t>
  </si>
  <si>
    <t>FOURCRNRS,MANL, 52  , 52  , 52  ,104  ,  0  ,1</t>
  </si>
  <si>
    <t>LAMBDA, 39.07,  669,  671,  132,    2,    0,10963,0</t>
  </si>
  <si>
    <t>APS     ,FIRM    ,FC,  ,  25,  25</t>
  </si>
  <si>
    <t>IID     ,FIRM    ,PV,  ,  59,  59</t>
  </si>
  <si>
    <t>PGT     ,LOSS    ,LC,  ,  -1,  -2</t>
  </si>
  <si>
    <t>TNP     ,FIRM    ,HI,  ,  60,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</si>
</sst>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22" fillId="12" borderId="58" xfId="0" applyFont="1" applyFill="1" applyBorder="1" applyAlignment="1">
      <alignment wrapText="1"/>
    </xf>
    <xf numFmtId="0" fontId="61" fillId="12" borderId="58" xfId="0" applyFont="1" applyFill="1" applyBorder="1" applyAlignment="1">
      <alignment wrapText="1"/>
    </xf>
    <xf numFmtId="0" fontId="22" fillId="13" borderId="58" xfId="0" applyFont="1" applyFill="1" applyBorder="1" applyAlignment="1">
      <alignment wrapText="1"/>
    </xf>
    <xf numFmtId="0" fontId="22" fillId="2" borderId="60"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2" fillId="2" borderId="0" xfId="0" applyFont="1" applyFill="1" applyBorder="1" applyAlignment="1">
      <alignment wrapText="1"/>
    </xf>
    <xf numFmtId="0" fontId="22" fillId="4" borderId="69" xfId="0" applyFont="1" applyFill="1" applyBorder="1" applyAlignment="1">
      <alignment wrapText="1"/>
    </xf>
    <xf numFmtId="0" fontId="62" fillId="13" borderId="83" xfId="0" applyFont="1" applyFill="1" applyBorder="1" applyAlignment="1" applyProtection="1">
      <alignment wrapText="1"/>
      <protection locked="0"/>
    </xf>
    <xf numFmtId="170" fontId="61" fillId="14" borderId="3"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EE7E6D64-47CD-82D3-CEDD-A762793062E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EFA9196-38EE-9828-93DB-CEB829A02B4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F5F7BCB-2236-09E1-2888-E8559E83A72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FF7486DB-2191-6337-68DD-0BD0ED1D1D1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49AD2546-A334-A2D0-0CBD-102CD068DA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94</xdr:row>
      <xdr:rowOff>114300</xdr:rowOff>
    </xdr:from>
    <xdr:to>
      <xdr:col>22</xdr:col>
      <xdr:colOff>123825</xdr:colOff>
      <xdr:row>103</xdr:row>
      <xdr:rowOff>95250</xdr:rowOff>
    </xdr:to>
    <xdr:sp macro="" textlink="">
      <xdr:nvSpPr>
        <xdr:cNvPr id="2303" name="Text Box 255">
          <a:extLst>
            <a:ext uri="{FF2B5EF4-FFF2-40B4-BE49-F238E27FC236}">
              <a16:creationId xmlns:a16="http://schemas.microsoft.com/office/drawing/2014/main" id="{9E45A388-3879-4E40-39EB-A91395E4E070}"/>
            </a:ext>
          </a:extLst>
        </xdr:cNvPr>
        <xdr:cNvSpPr txBox="1">
          <a:spLocks noChangeArrowheads="1"/>
        </xdr:cNvSpPr>
      </xdr:nvSpPr>
      <xdr:spPr bwMode="auto">
        <a:xfrm>
          <a:off x="171450" y="7791450"/>
          <a:ext cx="1123950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110</xdr:row>
      <xdr:rowOff>0</xdr:rowOff>
    </xdr:from>
    <xdr:to>
      <xdr:col>22</xdr:col>
      <xdr:colOff>66675</xdr:colOff>
      <xdr:row>116</xdr:row>
      <xdr:rowOff>47625</xdr:rowOff>
    </xdr:to>
    <xdr:sp macro="" textlink="">
      <xdr:nvSpPr>
        <xdr:cNvPr id="10463" name="Text Box 1247">
          <a:extLst>
            <a:ext uri="{FF2B5EF4-FFF2-40B4-BE49-F238E27FC236}">
              <a16:creationId xmlns:a16="http://schemas.microsoft.com/office/drawing/2014/main" id="{1FB3FD84-4759-9CF2-B37F-518B865733EF}"/>
            </a:ext>
          </a:extLst>
        </xdr:cNvPr>
        <xdr:cNvSpPr txBox="1">
          <a:spLocks noChangeArrowheads="1"/>
        </xdr:cNvSpPr>
      </xdr:nvSpPr>
      <xdr:spPr bwMode="auto">
        <a:xfrm>
          <a:off x="209550" y="104679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D6C8DB8E-56D1-A8F4-15D6-47D423CB1AE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4" activePane="bottomLeft" state="frozen"/>
      <selection activeCell="O4" sqref="O4:AC4"/>
      <selection pane="bottomLeft" activeCell="Y2" sqref="Y2"/>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37279</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5"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4" t="s">
        <v>294</v>
      </c>
      <c r="B4" s="518">
        <v>607</v>
      </c>
      <c r="C4" s="518">
        <v>598</v>
      </c>
      <c r="D4" s="518">
        <v>586</v>
      </c>
      <c r="E4" s="518">
        <v>574</v>
      </c>
      <c r="F4" s="518">
        <v>597</v>
      </c>
      <c r="G4" s="518">
        <v>647</v>
      </c>
      <c r="H4" s="518">
        <v>751</v>
      </c>
      <c r="I4" s="518">
        <v>814</v>
      </c>
      <c r="J4" s="518">
        <v>804</v>
      </c>
      <c r="K4" s="518">
        <v>822</v>
      </c>
      <c r="L4" s="518">
        <v>818</v>
      </c>
      <c r="M4" s="518">
        <v>795</v>
      </c>
      <c r="N4" s="518">
        <v>791</v>
      </c>
      <c r="O4" s="518">
        <v>791</v>
      </c>
      <c r="P4" s="518">
        <v>786</v>
      </c>
      <c r="Q4" s="518">
        <v>772</v>
      </c>
      <c r="R4" s="518">
        <v>770</v>
      </c>
      <c r="S4" s="518">
        <v>820</v>
      </c>
      <c r="T4" s="518">
        <v>885</v>
      </c>
      <c r="U4" s="518">
        <v>872</v>
      </c>
      <c r="V4" s="518">
        <v>849</v>
      </c>
      <c r="W4" s="518">
        <v>811</v>
      </c>
      <c r="X4" s="519">
        <v>741</v>
      </c>
      <c r="Y4" s="519">
        <v>671</v>
      </c>
      <c r="Z4" s="354"/>
      <c r="AA4" s="354"/>
      <c r="AB4" s="354"/>
      <c r="AC4" s="354"/>
      <c r="AD4" s="354"/>
    </row>
    <row r="5" spans="1:213" s="161" customFormat="1" thickBot="1" x14ac:dyDescent="0.25">
      <c r="A5" s="706" t="s">
        <v>64</v>
      </c>
      <c r="B5" s="707">
        <f>Deals!F4</f>
        <v>55</v>
      </c>
      <c r="C5" s="707">
        <f>Deals!G4</f>
        <v>55</v>
      </c>
      <c r="D5" s="707">
        <f>Deals!H4</f>
        <v>55</v>
      </c>
      <c r="E5" s="707">
        <f>Deals!I4</f>
        <v>55</v>
      </c>
      <c r="F5" s="707">
        <f>Deals!J4</f>
        <v>55</v>
      </c>
      <c r="G5" s="707">
        <f>Deals!K4</f>
        <v>55</v>
      </c>
      <c r="H5" s="707">
        <f>Deals!L4</f>
        <v>65</v>
      </c>
      <c r="I5" s="707">
        <f>Deals!M4</f>
        <v>70</v>
      </c>
      <c r="J5" s="707">
        <f>Deals!N4</f>
        <v>70</v>
      </c>
      <c r="K5" s="707">
        <f>Deals!O4</f>
        <v>75</v>
      </c>
      <c r="L5" s="707">
        <f>Deals!P4</f>
        <v>75</v>
      </c>
      <c r="M5" s="707">
        <f>Deals!Q4</f>
        <v>75</v>
      </c>
      <c r="N5" s="707">
        <f>Deals!R4</f>
        <v>70</v>
      </c>
      <c r="O5" s="707">
        <f>Deals!S4</f>
        <v>70</v>
      </c>
      <c r="P5" s="707">
        <f>Deals!T4</f>
        <v>70</v>
      </c>
      <c r="Q5" s="707">
        <f>Deals!U4</f>
        <v>70</v>
      </c>
      <c r="R5" s="707">
        <f>Deals!V4</f>
        <v>65</v>
      </c>
      <c r="S5" s="707">
        <f>Deals!W4</f>
        <v>75</v>
      </c>
      <c r="T5" s="707">
        <f>Deals!X4</f>
        <v>75</v>
      </c>
      <c r="U5" s="707">
        <f>Deals!Y4</f>
        <v>75</v>
      </c>
      <c r="V5" s="707">
        <f>Deals!Z4</f>
        <v>75</v>
      </c>
      <c r="W5" s="707">
        <f>Deals!AA4</f>
        <v>70</v>
      </c>
      <c r="X5" s="707">
        <f>Deals!AB4</f>
        <v>65</v>
      </c>
      <c r="Y5" s="708">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-100</v>
      </c>
      <c r="C18" s="483">
        <f>Deals!G7</f>
        <v>0</v>
      </c>
      <c r="D18" s="483">
        <f>Deals!H7</f>
        <v>0</v>
      </c>
      <c r="E18" s="483">
        <f>Deals!I7</f>
        <v>0</v>
      </c>
      <c r="F18" s="483">
        <f>Deals!J7</f>
        <v>0</v>
      </c>
      <c r="G18" s="483">
        <f>Deals!K7</f>
        <v>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95</v>
      </c>
      <c r="C22" s="418">
        <f>Deals!G3</f>
        <v>70</v>
      </c>
      <c r="D22" s="418">
        <f>Deals!H3</f>
        <v>60</v>
      </c>
      <c r="E22" s="418">
        <f>Deals!I3</f>
        <v>60</v>
      </c>
      <c r="F22" s="418">
        <f>Deals!J3</f>
        <v>60</v>
      </c>
      <c r="G22" s="418">
        <f>Deals!K3</f>
        <v>75</v>
      </c>
      <c r="H22" s="418">
        <f>Deals!L3</f>
        <v>90</v>
      </c>
      <c r="I22" s="418">
        <f>Deals!M3</f>
        <v>108</v>
      </c>
      <c r="J22" s="418">
        <f>Deals!N3</f>
        <v>108</v>
      </c>
      <c r="K22" s="418">
        <f>Deals!O3</f>
        <v>108</v>
      </c>
      <c r="L22" s="418">
        <f>Deals!P3</f>
        <v>108</v>
      </c>
      <c r="M22" s="418">
        <f>Deals!Q3</f>
        <v>108</v>
      </c>
      <c r="N22" s="418">
        <f>Deals!R3</f>
        <v>100</v>
      </c>
      <c r="O22" s="418">
        <f>Deals!S3</f>
        <v>100</v>
      </c>
      <c r="P22" s="418">
        <f>Deals!T3</f>
        <v>100</v>
      </c>
      <c r="Q22" s="418">
        <f>Deals!U3</f>
        <v>100</v>
      </c>
      <c r="R22" s="418">
        <f>Deals!V3</f>
        <v>100</v>
      </c>
      <c r="S22" s="418">
        <f>Deals!W3</f>
        <v>100</v>
      </c>
      <c r="T22" s="418">
        <f>Deals!X3</f>
        <v>108</v>
      </c>
      <c r="U22" s="418">
        <f>Deals!Y3</f>
        <v>108</v>
      </c>
      <c r="V22" s="418">
        <f>Deals!Z3</f>
        <v>108</v>
      </c>
      <c r="W22" s="418">
        <f>Deals!AA3</f>
        <v>108</v>
      </c>
      <c r="X22" s="418">
        <f>Deals!AB3</f>
        <v>108</v>
      </c>
      <c r="Y22" s="507">
        <f>Deals!AC3</f>
        <v>59</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25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100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25</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882</v>
      </c>
      <c r="C38" s="674">
        <f t="shared" ca="1" si="4"/>
        <v>748</v>
      </c>
      <c r="D38" s="674">
        <f t="shared" ca="1" si="4"/>
        <v>726</v>
      </c>
      <c r="E38" s="674">
        <f t="shared" ca="1" si="4"/>
        <v>714</v>
      </c>
      <c r="F38" s="674">
        <f t="shared" ca="1" si="4"/>
        <v>737</v>
      </c>
      <c r="G38" s="674">
        <f t="shared" ca="1" si="4"/>
        <v>802</v>
      </c>
      <c r="H38" s="674">
        <f t="shared" ca="1" si="4"/>
        <v>931</v>
      </c>
      <c r="I38" s="674">
        <f t="shared" ca="1" si="4"/>
        <v>1072</v>
      </c>
      <c r="J38" s="674">
        <f t="shared" ca="1" si="4"/>
        <v>1062</v>
      </c>
      <c r="K38" s="674">
        <f t="shared" ca="1" si="4"/>
        <v>1085</v>
      </c>
      <c r="L38" s="674">
        <f t="shared" ca="1" si="4"/>
        <v>1081</v>
      </c>
      <c r="M38" s="674">
        <f t="shared" ca="1" si="4"/>
        <v>1058</v>
      </c>
      <c r="N38" s="674">
        <f t="shared" ca="1" si="4"/>
        <v>1041</v>
      </c>
      <c r="O38" s="674">
        <f t="shared" ca="1" si="4"/>
        <v>1041</v>
      </c>
      <c r="P38" s="674">
        <f t="shared" ca="1" si="4"/>
        <v>1036</v>
      </c>
      <c r="Q38" s="674">
        <f t="shared" ca="1" si="4"/>
        <v>1022</v>
      </c>
      <c r="R38" s="674">
        <f t="shared" ca="1" si="4"/>
        <v>1015</v>
      </c>
      <c r="S38" s="674">
        <f t="shared" ca="1" si="4"/>
        <v>1075</v>
      </c>
      <c r="T38" s="674">
        <f t="shared" ca="1" si="4"/>
        <v>1148</v>
      </c>
      <c r="U38" s="674">
        <f t="shared" ca="1" si="4"/>
        <v>1135</v>
      </c>
      <c r="V38" s="674">
        <f t="shared" ca="1" si="4"/>
        <v>1137</v>
      </c>
      <c r="W38" s="674">
        <f t="shared" ca="1" si="4"/>
        <v>1069</v>
      </c>
      <c r="X38" s="674">
        <f t="shared" ca="1" si="4"/>
        <v>994</v>
      </c>
      <c r="Y38" s="675">
        <f t="shared" ca="1" si="4"/>
        <v>815</v>
      </c>
      <c r="Z38" s="348"/>
      <c r="AA38" s="162"/>
    </row>
    <row r="39" spans="1:33" s="161" customFormat="1" ht="16.5" thickBot="1" x14ac:dyDescent="0.25">
      <c r="A39" s="699" t="s">
        <v>260</v>
      </c>
      <c r="B39" s="700"/>
      <c r="C39" s="701"/>
      <c r="D39" s="701"/>
      <c r="E39" s="702"/>
      <c r="F39" s="701"/>
      <c r="G39" s="701"/>
      <c r="H39" s="701"/>
      <c r="I39" s="701"/>
      <c r="J39" s="701"/>
      <c r="K39" s="701"/>
      <c r="L39" s="701"/>
      <c r="M39" s="701"/>
      <c r="N39" s="701"/>
      <c r="O39" s="701"/>
      <c r="P39" s="701"/>
      <c r="Q39" s="701"/>
      <c r="R39" s="701"/>
      <c r="S39" s="701"/>
      <c r="T39" s="701"/>
      <c r="U39" s="701"/>
      <c r="V39" s="701"/>
      <c r="W39" s="701"/>
      <c r="X39" s="701"/>
      <c r="Y39" s="703"/>
      <c r="Z39" s="160"/>
      <c r="AA39" s="162"/>
    </row>
    <row r="40" spans="1:33" s="161" customFormat="1" ht="13.5" thickTop="1" thickBot="1" x14ac:dyDescent="0.25">
      <c r="A40" s="709"/>
      <c r="B40" s="710"/>
      <c r="C40" s="711"/>
      <c r="D40" s="711"/>
      <c r="E40" s="712"/>
      <c r="F40" s="711"/>
      <c r="G40" s="711"/>
      <c r="H40" s="711"/>
      <c r="I40" s="711"/>
      <c r="J40" s="711"/>
      <c r="K40" s="711"/>
      <c r="L40" s="711"/>
      <c r="M40" s="711"/>
      <c r="N40" s="711"/>
      <c r="O40" s="711"/>
      <c r="P40" s="711"/>
      <c r="Q40" s="711"/>
      <c r="R40" s="711"/>
      <c r="S40" s="711"/>
      <c r="T40" s="711"/>
      <c r="U40" s="711"/>
      <c r="V40" s="711"/>
      <c r="W40" s="711"/>
      <c r="X40" s="711"/>
      <c r="Y40" s="713"/>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33</v>
      </c>
      <c r="C42" s="592">
        <v>36</v>
      </c>
      <c r="D42" s="592">
        <v>36</v>
      </c>
      <c r="E42" s="593">
        <v>34</v>
      </c>
      <c r="F42" s="592">
        <v>39</v>
      </c>
      <c r="G42" s="592">
        <v>62</v>
      </c>
      <c r="H42" s="592">
        <v>33</v>
      </c>
      <c r="I42" s="592">
        <v>33</v>
      </c>
      <c r="J42" s="592">
        <v>34</v>
      </c>
      <c r="K42" s="592">
        <v>34</v>
      </c>
      <c r="L42" s="592">
        <v>34</v>
      </c>
      <c r="M42" s="592">
        <v>34</v>
      </c>
      <c r="N42" s="592">
        <v>35</v>
      </c>
      <c r="O42" s="592">
        <v>39</v>
      </c>
      <c r="P42" s="592">
        <v>34</v>
      </c>
      <c r="Q42" s="592">
        <v>34</v>
      </c>
      <c r="R42" s="592">
        <v>34</v>
      </c>
      <c r="S42" s="592">
        <v>35</v>
      </c>
      <c r="T42" s="592">
        <v>34</v>
      </c>
      <c r="U42" s="592">
        <v>33</v>
      </c>
      <c r="V42" s="592">
        <v>34</v>
      </c>
      <c r="W42" s="592">
        <v>34</v>
      </c>
      <c r="X42" s="592">
        <v>34</v>
      </c>
      <c r="Y42" s="592">
        <v>36</v>
      </c>
      <c r="Z42" s="350">
        <v>78</v>
      </c>
      <c r="AA42" s="210">
        <f ca="1">-Economics!D35/Economics!I35</f>
        <v>9300.4952566964294</v>
      </c>
    </row>
    <row r="43" spans="1:33" s="161" customFormat="1" ht="12.75" customHeight="1" x14ac:dyDescent="0.2">
      <c r="A43" s="591" t="s">
        <v>131</v>
      </c>
      <c r="B43" s="595">
        <v>60</v>
      </c>
      <c r="C43" s="595">
        <v>63</v>
      </c>
      <c r="D43" s="595">
        <v>50</v>
      </c>
      <c r="E43" s="596">
        <v>41</v>
      </c>
      <c r="F43" s="595">
        <v>44</v>
      </c>
      <c r="G43" s="595">
        <v>98</v>
      </c>
      <c r="H43" s="595">
        <v>86</v>
      </c>
      <c r="I43" s="595">
        <v>50</v>
      </c>
      <c r="J43" s="595">
        <v>38</v>
      </c>
      <c r="K43" s="595">
        <v>38</v>
      </c>
      <c r="L43" s="595">
        <v>38</v>
      </c>
      <c r="M43" s="595">
        <v>38</v>
      </c>
      <c r="N43" s="595">
        <v>38</v>
      </c>
      <c r="O43" s="595">
        <v>43</v>
      </c>
      <c r="P43" s="595">
        <v>41</v>
      </c>
      <c r="Q43" s="595">
        <v>38</v>
      </c>
      <c r="R43" s="595">
        <v>38</v>
      </c>
      <c r="S43" s="595">
        <v>38</v>
      </c>
      <c r="T43" s="595">
        <v>51</v>
      </c>
      <c r="U43" s="595">
        <v>51</v>
      </c>
      <c r="V43" s="595">
        <v>53</v>
      </c>
      <c r="W43" s="595">
        <v>48</v>
      </c>
      <c r="X43" s="595">
        <v>36</v>
      </c>
      <c r="Y43" s="595">
        <v>87</v>
      </c>
      <c r="Z43" s="352">
        <v>103</v>
      </c>
      <c r="AA43" s="211">
        <f ca="1">-Economics!D36/Economics!I36</f>
        <v>12675.582948022959</v>
      </c>
    </row>
    <row r="44" spans="1:33" s="161" customFormat="1" ht="12.75" customHeight="1" x14ac:dyDescent="0.2">
      <c r="A44" s="590" t="s">
        <v>49</v>
      </c>
      <c r="B44" s="592">
        <v>20</v>
      </c>
      <c r="C44" s="592">
        <v>20</v>
      </c>
      <c r="D44" s="592">
        <v>20</v>
      </c>
      <c r="E44" s="592">
        <v>20</v>
      </c>
      <c r="F44" s="592">
        <v>20</v>
      </c>
      <c r="G44" s="592">
        <v>21</v>
      </c>
      <c r="H44" s="592">
        <v>0</v>
      </c>
      <c r="I44" s="592"/>
      <c r="J44" s="592">
        <v>0</v>
      </c>
      <c r="K44" s="592"/>
      <c r="L44" s="592">
        <v>0</v>
      </c>
      <c r="M44" s="592">
        <v>0</v>
      </c>
      <c r="N44" s="592">
        <v>0</v>
      </c>
      <c r="O44" s="592"/>
      <c r="P44" s="592">
        <v>0</v>
      </c>
      <c r="Q44" s="592">
        <v>0</v>
      </c>
      <c r="R44" s="592">
        <v>0</v>
      </c>
      <c r="S44" s="592">
        <v>0</v>
      </c>
      <c r="T44" s="592">
        <v>0</v>
      </c>
      <c r="U44" s="592">
        <v>0</v>
      </c>
      <c r="V44" s="592">
        <v>0</v>
      </c>
      <c r="W44" s="592">
        <v>0</v>
      </c>
      <c r="X44" s="592">
        <v>0</v>
      </c>
      <c r="Y44" s="594">
        <v>20</v>
      </c>
      <c r="Z44" s="350">
        <v>40</v>
      </c>
      <c r="AA44" s="210">
        <f ca="1">-Economics!D37/Economics!I37</f>
        <v>2433.9347995057396</v>
      </c>
    </row>
    <row r="45" spans="1:33" s="161" customFormat="1" ht="12.75" customHeight="1" x14ac:dyDescent="0.2">
      <c r="A45" s="590" t="s">
        <v>50</v>
      </c>
      <c r="B45" s="592">
        <v>20</v>
      </c>
      <c r="C45" s="592">
        <v>20</v>
      </c>
      <c r="D45" s="592">
        <v>20</v>
      </c>
      <c r="E45" s="592">
        <v>20</v>
      </c>
      <c r="F45" s="592">
        <v>20</v>
      </c>
      <c r="G45" s="592">
        <v>20</v>
      </c>
      <c r="H45" s="592">
        <v>0</v>
      </c>
      <c r="I45" s="592"/>
      <c r="J45" s="592">
        <v>0</v>
      </c>
      <c r="K45" s="592"/>
      <c r="L45" s="592">
        <v>0</v>
      </c>
      <c r="M45" s="592">
        <v>0</v>
      </c>
      <c r="N45" s="592">
        <v>0</v>
      </c>
      <c r="O45" s="592"/>
      <c r="P45" s="592">
        <v>0</v>
      </c>
      <c r="Q45" s="592">
        <v>0</v>
      </c>
      <c r="R45" s="592">
        <v>0</v>
      </c>
      <c r="S45" s="592">
        <v>0</v>
      </c>
      <c r="T45" s="592">
        <v>0</v>
      </c>
      <c r="U45" s="592">
        <v>0</v>
      </c>
      <c r="V45" s="592">
        <v>0</v>
      </c>
      <c r="W45" s="592">
        <v>0</v>
      </c>
      <c r="X45" s="592">
        <v>0</v>
      </c>
      <c r="Y45" s="594">
        <v>20</v>
      </c>
      <c r="Z45" s="350">
        <v>40</v>
      </c>
      <c r="AA45" s="210">
        <f ca="1">-Economics!D38/Economics!I38</f>
        <v>2423.6240931919642</v>
      </c>
    </row>
    <row r="46" spans="1:33" s="161" customFormat="1" ht="12.75" customHeight="1" x14ac:dyDescent="0.2">
      <c r="A46" s="694" t="s">
        <v>348</v>
      </c>
      <c r="B46" s="695">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126</v>
      </c>
      <c r="I48" s="595">
        <v>178</v>
      </c>
      <c r="J48" s="595">
        <v>184</v>
      </c>
      <c r="K48" s="595">
        <v>199</v>
      </c>
      <c r="L48" s="595">
        <v>193</v>
      </c>
      <c r="M48" s="595">
        <v>178</v>
      </c>
      <c r="N48" s="595">
        <v>159</v>
      </c>
      <c r="O48" s="595">
        <v>149</v>
      </c>
      <c r="P48" s="595">
        <v>149</v>
      </c>
      <c r="Q48" s="595">
        <v>142</v>
      </c>
      <c r="R48" s="595">
        <v>132</v>
      </c>
      <c r="S48" s="595">
        <v>137</v>
      </c>
      <c r="T48" s="595">
        <v>199</v>
      </c>
      <c r="U48" s="595">
        <v>196</v>
      </c>
      <c r="V48" s="595">
        <v>194</v>
      </c>
      <c r="W48" s="595">
        <v>173</v>
      </c>
      <c r="X48" s="595">
        <v>116</v>
      </c>
      <c r="Y48" s="595">
        <v>0</v>
      </c>
      <c r="Z48" s="352">
        <v>212</v>
      </c>
      <c r="AA48" s="211">
        <f ca="1">-Economics!D41/Economics!I41</f>
        <v>26624.593431122448</v>
      </c>
    </row>
    <row r="49" spans="1:27" s="161" customFormat="1" ht="12.75" customHeight="1" x14ac:dyDescent="0.2">
      <c r="A49" s="591" t="s">
        <v>133</v>
      </c>
      <c r="B49" s="595">
        <v>0</v>
      </c>
      <c r="C49" s="595">
        <v>0</v>
      </c>
      <c r="D49" s="595">
        <v>0</v>
      </c>
      <c r="E49" s="595">
        <v>0</v>
      </c>
      <c r="F49" s="595">
        <v>0</v>
      </c>
      <c r="G49" s="595">
        <v>0</v>
      </c>
      <c r="H49" s="595">
        <v>0</v>
      </c>
      <c r="I49" s="595">
        <v>0</v>
      </c>
      <c r="J49" s="595">
        <v>0</v>
      </c>
      <c r="K49" s="595"/>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201</v>
      </c>
      <c r="E53" s="592">
        <v>201</v>
      </c>
      <c r="F53" s="592">
        <v>201</v>
      </c>
      <c r="G53" s="592">
        <v>202</v>
      </c>
      <c r="H53" s="592">
        <v>201</v>
      </c>
      <c r="I53" s="592">
        <v>201</v>
      </c>
      <c r="J53" s="592">
        <v>201</v>
      </c>
      <c r="K53" s="592">
        <v>201</v>
      </c>
      <c r="L53" s="592">
        <v>201</v>
      </c>
      <c r="M53" s="592">
        <v>201</v>
      </c>
      <c r="N53" s="592">
        <v>201</v>
      </c>
      <c r="O53" s="592">
        <v>201</v>
      </c>
      <c r="P53" s="592">
        <v>201</v>
      </c>
      <c r="Q53" s="592">
        <v>201</v>
      </c>
      <c r="R53" s="592">
        <v>201</v>
      </c>
      <c r="S53" s="592">
        <v>200</v>
      </c>
      <c r="T53" s="592">
        <v>201</v>
      </c>
      <c r="U53" s="592">
        <v>201</v>
      </c>
      <c r="V53" s="592">
        <v>201</v>
      </c>
      <c r="W53" s="592">
        <v>201</v>
      </c>
      <c r="X53" s="592">
        <v>201</v>
      </c>
      <c r="Y53" s="594">
        <v>201</v>
      </c>
      <c r="Z53" s="350">
        <v>198</v>
      </c>
      <c r="AA53" s="208"/>
    </row>
    <row r="54" spans="1:27" s="161" customFormat="1" ht="12.75" customHeight="1" x14ac:dyDescent="0.2">
      <c r="A54" s="590" t="s">
        <v>127</v>
      </c>
      <c r="B54" s="592">
        <v>202</v>
      </c>
      <c r="C54" s="592">
        <v>202</v>
      </c>
      <c r="D54" s="592">
        <v>202</v>
      </c>
      <c r="E54" s="592">
        <v>202</v>
      </c>
      <c r="F54" s="592">
        <v>202</v>
      </c>
      <c r="G54" s="592">
        <v>202</v>
      </c>
      <c r="H54" s="592">
        <v>201</v>
      </c>
      <c r="I54" s="592">
        <v>201</v>
      </c>
      <c r="J54" s="592">
        <v>201</v>
      </c>
      <c r="K54" s="592">
        <v>201</v>
      </c>
      <c r="L54" s="592">
        <v>201</v>
      </c>
      <c r="M54" s="592">
        <v>201</v>
      </c>
      <c r="N54" s="592">
        <v>201</v>
      </c>
      <c r="O54" s="592">
        <v>201</v>
      </c>
      <c r="P54" s="592">
        <v>201</v>
      </c>
      <c r="Q54" s="592">
        <v>201</v>
      </c>
      <c r="R54" s="592">
        <v>201</v>
      </c>
      <c r="S54" s="592">
        <v>200</v>
      </c>
      <c r="T54" s="592">
        <v>201</v>
      </c>
      <c r="U54" s="592">
        <v>201</v>
      </c>
      <c r="V54" s="592">
        <v>202</v>
      </c>
      <c r="W54" s="592">
        <v>201</v>
      </c>
      <c r="X54" s="592">
        <v>202</v>
      </c>
      <c r="Y54" s="592">
        <v>201</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202</v>
      </c>
      <c r="J55" s="592">
        <v>201</v>
      </c>
      <c r="K55" s="592">
        <v>202</v>
      </c>
      <c r="L55" s="592">
        <v>201</v>
      </c>
      <c r="M55" s="592">
        <v>201</v>
      </c>
      <c r="N55" s="592">
        <v>201</v>
      </c>
      <c r="O55" s="592">
        <v>201</v>
      </c>
      <c r="P55" s="592">
        <v>201</v>
      </c>
      <c r="Q55" s="592">
        <v>201</v>
      </c>
      <c r="R55" s="592">
        <v>201</v>
      </c>
      <c r="S55" s="592">
        <v>200</v>
      </c>
      <c r="T55" s="592">
        <v>201</v>
      </c>
      <c r="U55" s="592">
        <v>201</v>
      </c>
      <c r="V55" s="592">
        <v>202</v>
      </c>
      <c r="W55" s="592">
        <v>201</v>
      </c>
      <c r="X55" s="592">
        <v>202</v>
      </c>
      <c r="Y55" s="592">
        <v>201</v>
      </c>
      <c r="Z55" s="350">
        <v>198</v>
      </c>
      <c r="AA55" s="208"/>
    </row>
    <row r="56" spans="1:27" s="161" customFormat="1" ht="12" customHeight="1" x14ac:dyDescent="0.2">
      <c r="A56" s="590" t="s">
        <v>124</v>
      </c>
      <c r="B56" s="592">
        <v>52</v>
      </c>
      <c r="C56" s="592">
        <v>2</v>
      </c>
      <c r="D56" s="592">
        <v>2</v>
      </c>
      <c r="E56" s="592">
        <v>2</v>
      </c>
      <c r="F56" s="592">
        <v>2</v>
      </c>
      <c r="G56" s="592">
        <v>2</v>
      </c>
      <c r="H56" s="592">
        <v>52</v>
      </c>
      <c r="I56" s="592">
        <v>52</v>
      </c>
      <c r="J56" s="592">
        <v>52</v>
      </c>
      <c r="K56" s="592">
        <v>52</v>
      </c>
      <c r="L56" s="592">
        <v>52</v>
      </c>
      <c r="M56" s="592">
        <v>52</v>
      </c>
      <c r="N56" s="592">
        <v>52</v>
      </c>
      <c r="O56" s="592">
        <v>52</v>
      </c>
      <c r="P56" s="592">
        <v>52</v>
      </c>
      <c r="Q56" s="592">
        <v>52</v>
      </c>
      <c r="R56" s="592">
        <v>52</v>
      </c>
      <c r="S56" s="592">
        <v>52</v>
      </c>
      <c r="T56" s="592">
        <v>52</v>
      </c>
      <c r="U56" s="592">
        <v>53</v>
      </c>
      <c r="V56" s="592">
        <v>52</v>
      </c>
      <c r="W56" s="592">
        <v>54</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6" t="s">
        <v>10</v>
      </c>
      <c r="B58" s="697">
        <f ca="1">B59-B38</f>
        <v>8</v>
      </c>
      <c r="C58" s="697">
        <f t="shared" ref="C58:I58" ca="1" si="5">C59-C38</f>
        <v>-2</v>
      </c>
      <c r="D58" s="697">
        <f t="shared" ca="1" si="5"/>
        <v>7</v>
      </c>
      <c r="E58" s="697">
        <f t="shared" ca="1" si="5"/>
        <v>8</v>
      </c>
      <c r="F58" s="697">
        <f t="shared" ca="1" si="5"/>
        <v>-7</v>
      </c>
      <c r="G58" s="697">
        <f ca="1">G59-G38</f>
        <v>7</v>
      </c>
      <c r="H58" s="697">
        <f t="shared" ca="1" si="5"/>
        <v>0</v>
      </c>
      <c r="I58" s="697">
        <f t="shared" ca="1" si="5"/>
        <v>0</v>
      </c>
      <c r="J58" s="697">
        <f t="shared" ref="J58:Y58" ca="1" si="6">J59-J38</f>
        <v>4</v>
      </c>
      <c r="K58" s="697">
        <f t="shared" ca="1" si="6"/>
        <v>-3</v>
      </c>
      <c r="L58" s="697">
        <f t="shared" ca="1" si="6"/>
        <v>-6</v>
      </c>
      <c r="M58" s="697">
        <f t="shared" ca="1" si="6"/>
        <v>2</v>
      </c>
      <c r="N58" s="697">
        <f t="shared" ca="1" si="6"/>
        <v>1</v>
      </c>
      <c r="O58" s="697">
        <f t="shared" ca="1" si="6"/>
        <v>0</v>
      </c>
      <c r="P58" s="697">
        <f t="shared" ca="1" si="6"/>
        <v>-2</v>
      </c>
      <c r="Q58" s="697">
        <f t="shared" ca="1" si="6"/>
        <v>2</v>
      </c>
      <c r="R58" s="697">
        <f t="shared" ca="1" si="6"/>
        <v>-1</v>
      </c>
      <c r="S58" s="697">
        <f t="shared" ca="1" si="6"/>
        <v>-5</v>
      </c>
      <c r="T58" s="697">
        <f t="shared" ca="1" si="6"/>
        <v>-1</v>
      </c>
      <c r="U58" s="697">
        <f t="shared" ca="1" si="6"/>
        <v>9</v>
      </c>
      <c r="V58" s="697">
        <f t="shared" ca="1" si="6"/>
        <v>9</v>
      </c>
      <c r="W58" s="697">
        <f t="shared" ca="1" si="6"/>
        <v>-2</v>
      </c>
      <c r="X58" s="697">
        <f t="shared" ca="1" si="6"/>
        <v>4</v>
      </c>
      <c r="Y58" s="698">
        <f t="shared" ca="1" si="6"/>
        <v>3</v>
      </c>
      <c r="Z58" s="351">
        <f ca="1">SUM(Z41:Z55)+Z41+Z42+Z43+Z48+Z49+Z50+Z51+Z52</f>
        <v>2416</v>
      </c>
      <c r="AA58" s="209">
        <f ca="1">SUM(AA41:AA55)</f>
        <v>53458.230528539541</v>
      </c>
    </row>
    <row r="59" spans="1:27" s="161" customFormat="1" ht="12" x14ac:dyDescent="0.2">
      <c r="A59" s="548">
        <v>0</v>
      </c>
      <c r="B59" s="549">
        <f t="shared" ref="B59:I59" ca="1" si="7">SUM(B41:B57)-SUM(B7:B20)</f>
        <v>890</v>
      </c>
      <c r="C59" s="549">
        <f t="shared" ca="1" si="7"/>
        <v>746</v>
      </c>
      <c r="D59" s="549">
        <f t="shared" ca="1" si="7"/>
        <v>733</v>
      </c>
      <c r="E59" s="549">
        <f t="shared" ca="1" si="7"/>
        <v>722</v>
      </c>
      <c r="F59" s="549">
        <f t="shared" ca="1" si="7"/>
        <v>730</v>
      </c>
      <c r="G59" s="549">
        <f t="shared" ca="1" si="7"/>
        <v>809</v>
      </c>
      <c r="H59" s="549">
        <f t="shared" ca="1" si="7"/>
        <v>931</v>
      </c>
      <c r="I59" s="549">
        <f t="shared" ca="1" si="7"/>
        <v>1072</v>
      </c>
      <c r="J59" s="549">
        <f t="shared" ref="J59:Y59" ca="1" si="8">SUM(J41:J57)-SUM(J7:J20)</f>
        <v>1066</v>
      </c>
      <c r="K59" s="549">
        <f t="shared" ca="1" si="8"/>
        <v>1082</v>
      </c>
      <c r="L59" s="549">
        <f t="shared" ca="1" si="8"/>
        <v>1075</v>
      </c>
      <c r="M59" s="549">
        <f t="shared" ca="1" si="8"/>
        <v>1060</v>
      </c>
      <c r="N59" s="549">
        <f t="shared" ca="1" si="8"/>
        <v>1042</v>
      </c>
      <c r="O59" s="549">
        <f t="shared" ca="1" si="8"/>
        <v>1041</v>
      </c>
      <c r="P59" s="549">
        <f t="shared" ca="1" si="8"/>
        <v>1034</v>
      </c>
      <c r="Q59" s="549">
        <f t="shared" ca="1" si="8"/>
        <v>1024</v>
      </c>
      <c r="R59" s="549">
        <f t="shared" ca="1" si="8"/>
        <v>1014</v>
      </c>
      <c r="S59" s="549">
        <f t="shared" ca="1" si="8"/>
        <v>1070</v>
      </c>
      <c r="T59" s="549">
        <f t="shared" ca="1" si="8"/>
        <v>1147</v>
      </c>
      <c r="U59" s="549">
        <f ca="1">SUM(U41:U57)-SUM(U7:U20)</f>
        <v>1144</v>
      </c>
      <c r="V59" s="549">
        <f t="shared" ca="1" si="8"/>
        <v>1146</v>
      </c>
      <c r="W59" s="549">
        <f t="shared" ca="1" si="8"/>
        <v>1067</v>
      </c>
      <c r="X59" s="549">
        <f t="shared" ca="1" si="8"/>
        <v>998</v>
      </c>
      <c r="Y59" s="549">
        <f t="shared" ca="1" si="8"/>
        <v>818</v>
      </c>
      <c r="Z59" s="213">
        <f ca="1">SUM(Economics!D28:D45)</f>
        <v>-206191.03071593749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100</v>
      </c>
      <c r="C61" s="169">
        <f t="shared" ca="1" si="9"/>
        <v>0</v>
      </c>
      <c r="D61" s="169">
        <f t="shared" ca="1" si="9"/>
        <v>0</v>
      </c>
      <c r="E61" s="169">
        <f ca="1">IF(-SUM(E18:E20,E35:E37)&gt;134,"err",-SUM(E18:E20,))</f>
        <v>0</v>
      </c>
      <c r="F61" s="169">
        <f t="shared" ca="1" si="9"/>
        <v>0</v>
      </c>
      <c r="G61" s="169">
        <f t="shared" ca="1" si="9"/>
        <v>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410</v>
      </c>
      <c r="C62" s="169">
        <f t="shared" ca="1" si="10"/>
        <v>535</v>
      </c>
      <c r="D62" s="169">
        <f t="shared" ca="1" si="10"/>
        <v>545</v>
      </c>
      <c r="E62" s="169">
        <f t="shared" ca="1" si="10"/>
        <v>545</v>
      </c>
      <c r="F62" s="169">
        <f t="shared" ca="1" si="10"/>
        <v>545</v>
      </c>
      <c r="G62" s="169">
        <f t="shared" ca="1" si="10"/>
        <v>531</v>
      </c>
      <c r="H62" s="169">
        <f t="shared" ca="1" si="10"/>
        <v>514</v>
      </c>
      <c r="I62" s="169">
        <f t="shared" ca="1" si="10"/>
        <v>521</v>
      </c>
      <c r="J62" s="169">
        <f t="shared" ca="1" si="10"/>
        <v>520</v>
      </c>
      <c r="K62" s="169">
        <f t="shared" ca="1" si="10"/>
        <v>521</v>
      </c>
      <c r="L62" s="169">
        <f t="shared" ca="1" si="10"/>
        <v>520</v>
      </c>
      <c r="M62" s="169">
        <f t="shared" ca="1" si="10"/>
        <v>520</v>
      </c>
      <c r="N62" s="169">
        <f t="shared" ca="1" si="10"/>
        <v>528</v>
      </c>
      <c r="O62" s="169">
        <f t="shared" ca="1" si="10"/>
        <v>528</v>
      </c>
      <c r="P62" s="169">
        <f t="shared" ca="1" si="10"/>
        <v>528</v>
      </c>
      <c r="Q62" s="169">
        <f t="shared" ca="1" si="10"/>
        <v>528</v>
      </c>
      <c r="R62" s="169">
        <f t="shared" ca="1" si="10"/>
        <v>528</v>
      </c>
      <c r="S62" s="169">
        <f t="shared" ca="1" si="10"/>
        <v>525</v>
      </c>
      <c r="T62" s="169">
        <f t="shared" ca="1" si="10"/>
        <v>520</v>
      </c>
      <c r="U62" s="169">
        <f t="shared" ca="1" si="10"/>
        <v>520</v>
      </c>
      <c r="V62" s="169">
        <f t="shared" ca="1" si="10"/>
        <v>497</v>
      </c>
      <c r="W62" s="169">
        <f t="shared" ca="1" si="10"/>
        <v>520</v>
      </c>
      <c r="X62" s="169">
        <f t="shared" ca="1" si="10"/>
        <v>522</v>
      </c>
      <c r="Y62" s="170">
        <f t="shared" ca="1" si="10"/>
        <v>544</v>
      </c>
      <c r="Z62" s="191"/>
      <c r="AA62" s="162"/>
    </row>
    <row r="63" spans="1:27" s="161" customFormat="1" ht="12" x14ac:dyDescent="0.2">
      <c r="A63" s="193" t="s">
        <v>140</v>
      </c>
      <c r="B63" s="169">
        <f t="shared" ref="B63:L63" ca="1" si="11">-SUM(B8:B10,B25:B28) + SUM(B56:B57)</f>
        <v>27</v>
      </c>
      <c r="C63" s="169">
        <f t="shared" ca="1" si="11"/>
        <v>-23</v>
      </c>
      <c r="D63" s="169">
        <f t="shared" ca="1" si="11"/>
        <v>-23</v>
      </c>
      <c r="E63" s="169">
        <f t="shared" ca="1" si="11"/>
        <v>-23</v>
      </c>
      <c r="F63" s="169">
        <f t="shared" ca="1" si="11"/>
        <v>-23</v>
      </c>
      <c r="G63" s="169">
        <f t="shared" ca="1" si="11"/>
        <v>-23</v>
      </c>
      <c r="H63" s="169">
        <f t="shared" ca="1" si="11"/>
        <v>27</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22</v>
      </c>
      <c r="T63" s="169">
        <f t="shared" ca="1" si="12"/>
        <v>22</v>
      </c>
      <c r="U63" s="169">
        <f t="shared" ca="1" si="12"/>
        <v>23</v>
      </c>
      <c r="V63" s="169">
        <f t="shared" ca="1" si="12"/>
        <v>22</v>
      </c>
      <c r="W63" s="169">
        <f t="shared" ca="1" si="12"/>
        <v>24</v>
      </c>
      <c r="X63" s="169">
        <f t="shared" ca="1" si="12"/>
        <v>22</v>
      </c>
      <c r="Y63" s="170">
        <f t="shared" ca="1" si="12"/>
        <v>27</v>
      </c>
      <c r="Z63" s="191"/>
      <c r="AA63" s="162"/>
    </row>
    <row r="64" spans="1:27" s="161" customFormat="1" ht="12" x14ac:dyDescent="0.2">
      <c r="A64" s="193" t="s">
        <v>141</v>
      </c>
      <c r="B64" s="169">
        <f ca="1">IF(B62+B63&gt;645,"err",B62+B63)</f>
        <v>437</v>
      </c>
      <c r="C64" s="169">
        <f t="shared" ref="C64:Y64" ca="1" si="13">IF(C62+C63&gt;645,"err",C62+C63)</f>
        <v>512</v>
      </c>
      <c r="D64" s="169">
        <f t="shared" ca="1" si="13"/>
        <v>522</v>
      </c>
      <c r="E64" s="169">
        <f t="shared" ca="1" si="13"/>
        <v>522</v>
      </c>
      <c r="F64" s="169">
        <f t="shared" ca="1" si="13"/>
        <v>522</v>
      </c>
      <c r="G64" s="169">
        <f t="shared" ca="1" si="13"/>
        <v>508</v>
      </c>
      <c r="H64" s="169">
        <f t="shared" ca="1" si="13"/>
        <v>541</v>
      </c>
      <c r="I64" s="169">
        <f t="shared" ca="1" si="13"/>
        <v>543</v>
      </c>
      <c r="J64" s="169">
        <f t="shared" ca="1" si="13"/>
        <v>542</v>
      </c>
      <c r="K64" s="169">
        <f t="shared" ca="1" si="13"/>
        <v>543</v>
      </c>
      <c r="L64" s="169">
        <f t="shared" ca="1" si="13"/>
        <v>542</v>
      </c>
      <c r="M64" s="169">
        <f t="shared" ca="1" si="13"/>
        <v>490</v>
      </c>
      <c r="N64" s="169">
        <f t="shared" ca="1" si="13"/>
        <v>550</v>
      </c>
      <c r="O64" s="169">
        <f t="shared" ca="1" si="13"/>
        <v>550</v>
      </c>
      <c r="P64" s="169">
        <f t="shared" ca="1" si="13"/>
        <v>550</v>
      </c>
      <c r="Q64" s="169">
        <f t="shared" ca="1" si="13"/>
        <v>550</v>
      </c>
      <c r="R64" s="169">
        <f t="shared" ca="1" si="13"/>
        <v>550</v>
      </c>
      <c r="S64" s="169">
        <f t="shared" ca="1" si="13"/>
        <v>547</v>
      </c>
      <c r="T64" s="169">
        <f t="shared" ca="1" si="13"/>
        <v>542</v>
      </c>
      <c r="U64" s="169">
        <f t="shared" ca="1" si="13"/>
        <v>543</v>
      </c>
      <c r="V64" s="169">
        <f t="shared" ca="1" si="13"/>
        <v>519</v>
      </c>
      <c r="W64" s="169">
        <f t="shared" ca="1" si="13"/>
        <v>544</v>
      </c>
      <c r="X64" s="169">
        <f t="shared" ca="1" si="13"/>
        <v>544</v>
      </c>
      <c r="Y64" s="170">
        <f t="shared" ca="1" si="13"/>
        <v>571</v>
      </c>
      <c r="Z64" s="192"/>
      <c r="AA64" s="162"/>
    </row>
    <row r="65" spans="1:27" s="161" customFormat="1" ht="12" x14ac:dyDescent="0.2">
      <c r="A65" s="193" t="s">
        <v>18</v>
      </c>
      <c r="B65" s="169">
        <f ca="1">SUM(B61:B63)</f>
        <v>537</v>
      </c>
      <c r="C65" s="169">
        <f t="shared" ref="C65:Y65" ca="1" si="14">SUM(C61:C63)</f>
        <v>512</v>
      </c>
      <c r="D65" s="169">
        <f t="shared" ca="1" si="14"/>
        <v>522</v>
      </c>
      <c r="E65" s="169">
        <f t="shared" ca="1" si="14"/>
        <v>522</v>
      </c>
      <c r="F65" s="169">
        <f t="shared" ca="1" si="14"/>
        <v>522</v>
      </c>
      <c r="G65" s="169">
        <f t="shared" ca="1" si="14"/>
        <v>508</v>
      </c>
      <c r="H65" s="169">
        <f t="shared" ca="1" si="14"/>
        <v>571</v>
      </c>
      <c r="I65" s="169">
        <f t="shared" ca="1" si="14"/>
        <v>623</v>
      </c>
      <c r="J65" s="169">
        <f t="shared" ca="1" si="14"/>
        <v>622</v>
      </c>
      <c r="K65" s="169">
        <f t="shared" ca="1" si="14"/>
        <v>623</v>
      </c>
      <c r="L65" s="169">
        <f t="shared" ca="1" si="14"/>
        <v>622</v>
      </c>
      <c r="M65" s="169">
        <f t="shared" ca="1" si="14"/>
        <v>570</v>
      </c>
      <c r="N65" s="169">
        <f t="shared" ca="1" si="14"/>
        <v>630</v>
      </c>
      <c r="O65" s="169">
        <f t="shared" ca="1" si="14"/>
        <v>630</v>
      </c>
      <c r="P65" s="169">
        <f t="shared" ca="1" si="14"/>
        <v>630</v>
      </c>
      <c r="Q65" s="169">
        <f t="shared" ca="1" si="14"/>
        <v>630</v>
      </c>
      <c r="R65" s="169">
        <f t="shared" ca="1" si="14"/>
        <v>630</v>
      </c>
      <c r="S65" s="169">
        <f t="shared" ca="1" si="14"/>
        <v>680</v>
      </c>
      <c r="T65" s="169">
        <f t="shared" ca="1" si="14"/>
        <v>675</v>
      </c>
      <c r="U65" s="169">
        <f t="shared" ca="1" si="14"/>
        <v>676</v>
      </c>
      <c r="V65" s="169">
        <f t="shared" ca="1" si="14"/>
        <v>652</v>
      </c>
      <c r="W65" s="169">
        <f t="shared" ca="1" si="14"/>
        <v>624</v>
      </c>
      <c r="X65" s="169">
        <f t="shared" ca="1" si="14"/>
        <v>624</v>
      </c>
      <c r="Y65" s="170">
        <f t="shared" ca="1" si="14"/>
        <v>571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117</v>
      </c>
      <c r="C67" s="169">
        <f t="array" ref="C67">SUM(IF(C$41:C$55 = 0,0,$Z$41:$Z$55-C$41:C$55))-INDEX(Balancing!$R$4:$R$27,C$3)</f>
        <v>111</v>
      </c>
      <c r="D67" s="169">
        <f t="array" ref="D67">SUM(IF(D$41:D$55 = 0,0,$Z$41:$Z$55-D$41:D$55))-INDEX(Balancing!$R$4:$R$27,D$3)</f>
        <v>124</v>
      </c>
      <c r="E67" s="169">
        <f t="array" ref="E67">SUM(IF(E$41:E$55 = 0,0,$Z$41:$Z$55-E$41:E$55))-INDEX(Balancing!$R$4:$R$27,E$3)</f>
        <v>135</v>
      </c>
      <c r="F67" s="169">
        <f t="array" ref="F67">SUM(IF(F$41:F$55 = 0,0,$Z$41:$Z$55-F$41:F$55))-INDEX(Balancing!$R$4:$R$27,F$3)</f>
        <v>127</v>
      </c>
      <c r="G67" s="169">
        <f t="array" ref="G67">SUM(IF(G$41:G$55 = 0,0,$Z$41:$Z$55-G$41:G$55))-INDEX(Balancing!$R$4:$R$27,G$3)</f>
        <v>48</v>
      </c>
      <c r="H67" s="169">
        <f t="array" ref="H67">SUM(IF(H$41:H$55 = 0,0,$Z$41:$Z$55-H$41:H$55))-INDEX(Balancing!$R$4:$R$27,H$3)</f>
        <v>138</v>
      </c>
      <c r="I67" s="169">
        <f t="array" ref="I67">SUM(IF(I$41:I$55 = 0,0,$Z$41:$Z$55-I$41:I$55))-INDEX(Balancing!$R$4:$R$27,I$3)</f>
        <v>122</v>
      </c>
      <c r="J67" s="169">
        <f t="array" ref="J67">SUM(IF(J$41:J$55 = 0,0,$Z$41:$Z$55-J$41:J$55))-INDEX(Balancing!$R$4:$R$27,J$3)</f>
        <v>128</v>
      </c>
      <c r="K67" s="169">
        <f t="array" ref="K67">SUM(IF(K$41:K$55 = 0,0,$Z$41:$Z$55-K$41:K$55))-INDEX(Balancing!$R$4:$R$27,K$3)</f>
        <v>112</v>
      </c>
      <c r="L67" s="169">
        <f t="array" ref="L67">SUM(IF(L$41:L$55 = 0,0,$Z$41:$Z$55-L$41:L$55))-INDEX(Balancing!$R$4:$R$27,L$3)</f>
        <v>119</v>
      </c>
      <c r="M67" s="169">
        <f t="array" ref="M67">SUM(IF(M$41:M$55 = 0,0,$Z$41:$Z$55-M$41:M$55))-INDEX(Balancing!$R$4:$R$27,M$3)</f>
        <v>134</v>
      </c>
      <c r="N67" s="169">
        <v>179</v>
      </c>
      <c r="O67" s="169">
        <f t="array" ref="O67">SUM(IF(O$41:O$55 = 0,0,$Z$41:$Z$55-O$41:O$55))-INDEX(Balancing!$R$4:$R$27,O$3)</f>
        <v>153</v>
      </c>
      <c r="P67" s="169">
        <f t="array" ref="P67">SUM(IF(P$41:P$55 = 0,0,$Z$41:$Z$55-P$41:P$55))-INDEX(Balancing!$R$4:$R$27,P$3)</f>
        <v>160</v>
      </c>
      <c r="Q67" s="169">
        <f t="array" ref="Q67">SUM(IF(Q$41:Q$55 = 0,0,$Z$41:$Z$55-Q$41:Q$55))-INDEX(Balancing!$R$4:$R$27,Q$3)</f>
        <v>170</v>
      </c>
      <c r="R67" s="169">
        <f t="array" ref="R67">SUM(IF(R$41:R$55 = 0,0,$Z$41:$Z$55-R$41:R$55))-INDEX(Balancing!$R$4:$R$27,R$3)</f>
        <v>180</v>
      </c>
      <c r="S67" s="169">
        <f t="array" ref="S67">SUM(IF(S$41:S$55 = 0,0,$Z$41:$Z$55-S$41:S$55))-INDEX(Balancing!$R$4:$R$27,S$3)</f>
        <v>177</v>
      </c>
      <c r="T67" s="169">
        <f t="array" ref="T67">SUM(IF(T$41:T$55 = 0,0,$Z$41:$Z$55-T$41:T$55))-INDEX(Balancing!$R$4:$R$27,T$3)</f>
        <v>100</v>
      </c>
      <c r="U67" s="169">
        <f t="array" ref="U67">SUM(IF(U$41:U$55 = 0,0,$Z$41:$Z$55-U$41:U$55))-INDEX(Balancing!$R$4:$R$27,U$3)</f>
        <v>104</v>
      </c>
      <c r="V67" s="169">
        <f t="array" ref="V67">SUM(IF(V$41:V$55 = 0,0,$Z$41:$Z$55-V$41:V$55))-INDEX(Balancing!$R$4:$R$27,V$3)</f>
        <v>101</v>
      </c>
      <c r="W67" s="169">
        <f t="array" ref="W67">SUM(IF(W$41:W$55 = 0,0,$Z$41:$Z$55-W$41:W$55))-INDEX(Balancing!$R$4:$R$27,W$3)</f>
        <v>129</v>
      </c>
      <c r="X67" s="169">
        <f t="array" ref="X67">SUM(IF(X$41:X$55 = 0,0,$Z$41:$Z$55-X$41:X$55))-INDEX(Balancing!$R$4:$R$27,X$3)</f>
        <v>196</v>
      </c>
      <c r="Y67" s="170">
        <f t="array" ref="Y67">SUM(IF(Y$41:Y$55 = 0,0,$Z$41:$Z$55-Y$41:Y$55))-INDEX(Balancing!$R$4:$R$27,Y$3)</f>
        <v>89</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42</v>
      </c>
      <c r="C69" s="171">
        <f t="shared" si="15"/>
        <v>42</v>
      </c>
      <c r="D69" s="171">
        <f t="shared" si="15"/>
        <v>41</v>
      </c>
      <c r="E69" s="171">
        <f t="shared" si="15"/>
        <v>40</v>
      </c>
      <c r="F69" s="171">
        <f t="shared" si="15"/>
        <v>42</v>
      </c>
      <c r="G69" s="171">
        <f t="shared" si="15"/>
        <v>45</v>
      </c>
      <c r="H69" s="171">
        <f t="shared" ref="H69:X69" si="16">IF(H67&lt;0.07*I4,"err",ROUND(I4*0.07,0))</f>
        <v>57</v>
      </c>
      <c r="I69" s="171">
        <f t="shared" si="16"/>
        <v>56</v>
      </c>
      <c r="J69" s="171">
        <f t="shared" si="16"/>
        <v>58</v>
      </c>
      <c r="K69" s="171">
        <f t="shared" si="16"/>
        <v>57</v>
      </c>
      <c r="L69" s="171">
        <f t="shared" si="16"/>
        <v>56</v>
      </c>
      <c r="M69" s="171">
        <f t="shared" si="16"/>
        <v>55</v>
      </c>
      <c r="N69" s="171">
        <f t="shared" si="16"/>
        <v>55</v>
      </c>
      <c r="O69" s="171">
        <f t="shared" si="16"/>
        <v>55</v>
      </c>
      <c r="P69" s="171">
        <f t="shared" si="16"/>
        <v>54</v>
      </c>
      <c r="Q69" s="171">
        <f t="shared" si="16"/>
        <v>54</v>
      </c>
      <c r="R69" s="171">
        <f t="shared" si="16"/>
        <v>57</v>
      </c>
      <c r="S69" s="171">
        <f t="shared" si="16"/>
        <v>62</v>
      </c>
      <c r="T69" s="171">
        <f t="shared" si="16"/>
        <v>61</v>
      </c>
      <c r="U69" s="171">
        <f t="shared" si="16"/>
        <v>59</v>
      </c>
      <c r="V69" s="171">
        <f t="shared" si="16"/>
        <v>57</v>
      </c>
      <c r="W69" s="171">
        <f t="shared" si="16"/>
        <v>52</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220</v>
      </c>
      <c r="C78" s="462">
        <f t="shared" ca="1" si="17"/>
        <v>95</v>
      </c>
      <c r="D78" s="462">
        <f t="shared" ca="1" si="17"/>
        <v>85</v>
      </c>
      <c r="E78" s="462">
        <f ca="1">(E22+E25+E29)</f>
        <v>85</v>
      </c>
      <c r="F78" s="462">
        <f t="shared" ca="1" si="17"/>
        <v>85</v>
      </c>
      <c r="G78" s="462">
        <f ca="1">(G22+G25+G29)</f>
        <v>100</v>
      </c>
      <c r="H78" s="462">
        <f ca="1">(H22+H25+H29)</f>
        <v>115</v>
      </c>
      <c r="I78" s="462">
        <f ca="1">(I22+I25+I29)</f>
        <v>188</v>
      </c>
      <c r="J78" s="462">
        <f ca="1">(J22+J25+J29)</f>
        <v>188</v>
      </c>
      <c r="K78" s="462">
        <f t="shared" ca="1" si="17"/>
        <v>188</v>
      </c>
      <c r="L78" s="462">
        <f t="shared" ca="1" si="17"/>
        <v>188</v>
      </c>
      <c r="M78" s="462">
        <f t="shared" ca="1" si="17"/>
        <v>188</v>
      </c>
      <c r="N78" s="462">
        <f t="shared" ca="1" si="17"/>
        <v>180</v>
      </c>
      <c r="O78" s="462">
        <f t="shared" ca="1" si="17"/>
        <v>180</v>
      </c>
      <c r="P78" s="462">
        <f t="shared" ca="1" si="17"/>
        <v>180</v>
      </c>
      <c r="Q78" s="462">
        <f t="shared" ca="1" si="17"/>
        <v>180</v>
      </c>
      <c r="R78" s="462">
        <f t="shared" ca="1" si="17"/>
        <v>180</v>
      </c>
      <c r="S78" s="462">
        <f t="shared" ca="1" si="17"/>
        <v>180</v>
      </c>
      <c r="T78" s="462">
        <f t="shared" ca="1" si="17"/>
        <v>188</v>
      </c>
      <c r="U78" s="462">
        <f t="shared" ca="1" si="17"/>
        <v>188</v>
      </c>
      <c r="V78" s="462">
        <f t="shared" ca="1" si="17"/>
        <v>188</v>
      </c>
      <c r="W78" s="462">
        <f t="shared" ca="1" si="17"/>
        <v>188</v>
      </c>
      <c r="X78" s="462">
        <f t="shared" ca="1" si="17"/>
        <v>188</v>
      </c>
      <c r="Y78" s="462">
        <f t="shared" ca="1" si="17"/>
        <v>84</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3829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209412.51968003321</v>
      </c>
    </row>
    <row r="87" spans="1:27" x14ac:dyDescent="0.2">
      <c r="X87" s="223"/>
      <c r="Y87" s="224" t="s">
        <v>163</v>
      </c>
      <c r="Z87" s="255">
        <f ca="1">SUM(Z90,Z93,Z96,Z99,Z102,Z107,Z112,Z117,Z122,Z127,Z132,Z137,Z142,Z147,Z152,Z157,Z162)</f>
        <v>245158.73966737621</v>
      </c>
    </row>
    <row r="88" spans="1:27" ht="13.5" thickBot="1" x14ac:dyDescent="0.25">
      <c r="A88" s="173" t="s">
        <v>164</v>
      </c>
      <c r="X88" s="225"/>
      <c r="Y88" s="226" t="s">
        <v>165</v>
      </c>
      <c r="Z88" s="256">
        <f ca="1">Z86-Z87</f>
        <v>-35746.219987343007</v>
      </c>
    </row>
    <row r="89" spans="1:27" x14ac:dyDescent="0.2">
      <c r="A89" s="227" t="str">
        <f>Economics!A28</f>
        <v>4 Corners Unit 4</v>
      </c>
      <c r="B89" s="228">
        <f t="shared" ref="B89:Y89" si="18">B56</f>
        <v>52</v>
      </c>
      <c r="C89" s="228">
        <f t="shared" si="18"/>
        <v>2</v>
      </c>
      <c r="D89" s="228">
        <f t="shared" si="18"/>
        <v>2</v>
      </c>
      <c r="E89" s="228">
        <f>E56</f>
        <v>2</v>
      </c>
      <c r="F89" s="228">
        <f t="shared" si="18"/>
        <v>2</v>
      </c>
      <c r="G89" s="228">
        <f t="shared" si="18"/>
        <v>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52</v>
      </c>
      <c r="T89" s="228">
        <f t="shared" si="18"/>
        <v>52</v>
      </c>
      <c r="U89" s="228">
        <f t="shared" si="18"/>
        <v>53</v>
      </c>
      <c r="V89" s="228">
        <f t="shared" si="18"/>
        <v>52</v>
      </c>
      <c r="W89" s="228">
        <f t="shared" si="18"/>
        <v>54</v>
      </c>
      <c r="X89" s="228">
        <f t="shared" si="18"/>
        <v>52</v>
      </c>
      <c r="Y89" s="228">
        <f t="shared" si="18"/>
        <v>52</v>
      </c>
      <c r="Z89" s="257">
        <f t="array" ref="Z89">SUM(B89:Y89*Economics!F$28)</f>
        <v>12408.061120000004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50</v>
      </c>
      <c r="D91" s="206">
        <f t="shared" si="19"/>
        <v>0</v>
      </c>
      <c r="E91" s="206">
        <f t="shared" si="19"/>
        <v>0</v>
      </c>
      <c r="F91" s="206">
        <f t="shared" si="19"/>
        <v>0</v>
      </c>
      <c r="G91" s="206">
        <f t="shared" si="19"/>
        <v>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51</v>
      </c>
      <c r="T91" s="206">
        <f t="shared" si="19"/>
        <v>51</v>
      </c>
      <c r="U91" s="206">
        <f t="shared" si="19"/>
        <v>50</v>
      </c>
      <c r="V91" s="206">
        <f t="shared" si="19"/>
        <v>0</v>
      </c>
      <c r="W91" s="206">
        <f t="shared" si="19"/>
        <v>-2</v>
      </c>
      <c r="X91" s="206">
        <f t="shared" si="19"/>
        <v>0</v>
      </c>
      <c r="Y91" s="206">
        <f t="shared" si="19"/>
        <v>0</v>
      </c>
      <c r="Z91" s="260">
        <f>Z89-Z90</f>
        <v>-8629.4207999999908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202</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200</v>
      </c>
      <c r="T95" s="181">
        <f t="shared" si="22"/>
        <v>201</v>
      </c>
      <c r="U95" s="181">
        <f t="shared" si="22"/>
        <v>201</v>
      </c>
      <c r="V95" s="181">
        <f t="shared" si="22"/>
        <v>201</v>
      </c>
      <c r="W95" s="181">
        <f t="shared" si="22"/>
        <v>201</v>
      </c>
      <c r="X95" s="181">
        <f t="shared" si="22"/>
        <v>201</v>
      </c>
      <c r="Y95" s="181">
        <f t="shared" si="22"/>
        <v>201</v>
      </c>
      <c r="Z95" s="259">
        <f t="array" ref="Z95">SUM(B95:Y95*Economics!F$30)</f>
        <v>29407.103999999988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-2</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0</v>
      </c>
      <c r="T97" s="206">
        <f t="shared" si="23"/>
        <v>-1</v>
      </c>
      <c r="U97" s="206">
        <f t="shared" si="23"/>
        <v>-1</v>
      </c>
      <c r="V97" s="206">
        <f t="shared" si="23"/>
        <v>-1</v>
      </c>
      <c r="W97" s="206">
        <f t="shared" si="23"/>
        <v>-1</v>
      </c>
      <c r="X97" s="206">
        <f t="shared" si="23"/>
        <v>-1</v>
      </c>
      <c r="Y97" s="206">
        <f t="shared" si="23"/>
        <v>-1</v>
      </c>
      <c r="Z97" s="260">
        <f>Z95-Z96</f>
        <v>146.30399999997826</v>
      </c>
    </row>
    <row r="98" spans="1:29" x14ac:dyDescent="0.2">
      <c r="A98" s="183" t="str">
        <f>Economics!A31</f>
        <v>PV Unit 2</v>
      </c>
      <c r="B98" s="181">
        <f t="shared" ref="B98:Y98" si="24">B54</f>
        <v>202</v>
      </c>
      <c r="C98" s="181">
        <f t="shared" si="24"/>
        <v>202</v>
      </c>
      <c r="D98" s="181">
        <f t="shared" si="24"/>
        <v>202</v>
      </c>
      <c r="E98" s="181">
        <f>E54</f>
        <v>202</v>
      </c>
      <c r="F98" s="181">
        <f t="shared" si="24"/>
        <v>202</v>
      </c>
      <c r="G98" s="181">
        <f t="shared" si="24"/>
        <v>202</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200</v>
      </c>
      <c r="T98" s="181">
        <f t="shared" si="24"/>
        <v>201</v>
      </c>
      <c r="U98" s="181">
        <f t="shared" si="24"/>
        <v>201</v>
      </c>
      <c r="V98" s="181">
        <f t="shared" si="24"/>
        <v>202</v>
      </c>
      <c r="W98" s="181">
        <f t="shared" si="24"/>
        <v>201</v>
      </c>
      <c r="X98" s="181">
        <f t="shared" si="24"/>
        <v>202</v>
      </c>
      <c r="Y98" s="181">
        <f t="shared" si="24"/>
        <v>201</v>
      </c>
      <c r="Z98" s="259">
        <f t="array" ref="Z98">SUM(B98:Y98*Economics!F$31)</f>
        <v>29449.775999999991</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-8</v>
      </c>
      <c r="D100" s="206">
        <f t="shared" si="25"/>
        <v>-8</v>
      </c>
      <c r="E100" s="206">
        <f t="shared" si="25"/>
        <v>-8</v>
      </c>
      <c r="F100" s="206">
        <f t="shared" si="25"/>
        <v>-7</v>
      </c>
      <c r="G100" s="206">
        <f t="shared" si="25"/>
        <v>-7</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-5</v>
      </c>
      <c r="T100" s="206">
        <f t="shared" si="25"/>
        <v>-6</v>
      </c>
      <c r="U100" s="206">
        <f t="shared" si="25"/>
        <v>-6</v>
      </c>
      <c r="V100" s="206">
        <f t="shared" si="25"/>
        <v>-7</v>
      </c>
      <c r="W100" s="206">
        <f t="shared" si="25"/>
        <v>-6</v>
      </c>
      <c r="X100" s="206">
        <f t="shared" si="25"/>
        <v>-7</v>
      </c>
      <c r="Y100" s="206">
        <f t="shared" si="25"/>
        <v>-6</v>
      </c>
      <c r="Z100" s="260">
        <f>Z98-Z99</f>
        <v>944.87999999998283</v>
      </c>
    </row>
    <row r="101" spans="1:29" x14ac:dyDescent="0.2">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202</v>
      </c>
      <c r="J101" s="181">
        <f t="shared" si="26"/>
        <v>201</v>
      </c>
      <c r="K101" s="181">
        <f t="shared" si="26"/>
        <v>202</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200</v>
      </c>
      <c r="T101" s="181">
        <f t="shared" si="26"/>
        <v>201</v>
      </c>
      <c r="U101" s="181">
        <f t="shared" si="26"/>
        <v>201</v>
      </c>
      <c r="V101" s="181">
        <f t="shared" si="26"/>
        <v>202</v>
      </c>
      <c r="W101" s="181">
        <f t="shared" si="26"/>
        <v>201</v>
      </c>
      <c r="X101" s="181">
        <f t="shared" si="26"/>
        <v>202</v>
      </c>
      <c r="Y101" s="181">
        <f t="shared" si="26"/>
        <v>201</v>
      </c>
      <c r="Z101" s="259">
        <f t="array" ref="Z101">SUM(B101:Y101*Economics!F$32)</f>
        <v>29468.063999999991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-2</v>
      </c>
      <c r="J103" s="206">
        <f t="shared" si="27"/>
        <v>-1</v>
      </c>
      <c r="K103" s="206">
        <f t="shared" si="27"/>
        <v>-2</v>
      </c>
      <c r="L103" s="206">
        <f t="shared" si="27"/>
        <v>-1</v>
      </c>
      <c r="M103" s="206">
        <f t="shared" si="27"/>
        <v>-1</v>
      </c>
      <c r="N103" s="206">
        <f t="shared" si="27"/>
        <v>-1</v>
      </c>
      <c r="O103" s="206">
        <f t="shared" si="27"/>
        <v>-1</v>
      </c>
      <c r="P103" s="206">
        <f t="shared" si="27"/>
        <v>-1</v>
      </c>
      <c r="Q103" s="206">
        <f t="shared" si="27"/>
        <v>-1</v>
      </c>
      <c r="R103" s="206">
        <f t="shared" si="27"/>
        <v>-1</v>
      </c>
      <c r="S103" s="206">
        <f t="shared" si="27"/>
        <v>0</v>
      </c>
      <c r="T103" s="206">
        <f t="shared" si="27"/>
        <v>-1</v>
      </c>
      <c r="U103" s="206">
        <f t="shared" si="27"/>
        <v>-1</v>
      </c>
      <c r="V103" s="206">
        <f t="shared" si="27"/>
        <v>-2</v>
      </c>
      <c r="W103" s="206">
        <f t="shared" si="27"/>
        <v>-1</v>
      </c>
      <c r="X103" s="206">
        <f t="shared" si="27"/>
        <v>-2</v>
      </c>
      <c r="Y103" s="206">
        <f t="shared" si="27"/>
        <v>-1</v>
      </c>
      <c r="Z103" s="260">
        <f>Z101-Z102</f>
        <v>207.26399999998102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33</v>
      </c>
      <c r="C109" s="181">
        <f t="shared" ref="C109:Y109" si="32">C42</f>
        <v>36</v>
      </c>
      <c r="D109" s="181">
        <f t="shared" si="32"/>
        <v>36</v>
      </c>
      <c r="E109" s="181">
        <f>E42</f>
        <v>34</v>
      </c>
      <c r="F109" s="181">
        <f t="shared" si="32"/>
        <v>39</v>
      </c>
      <c r="G109" s="181">
        <f t="shared" si="32"/>
        <v>62</v>
      </c>
      <c r="H109" s="181">
        <f t="shared" si="32"/>
        <v>33</v>
      </c>
      <c r="I109" s="181">
        <f>I42</f>
        <v>33</v>
      </c>
      <c r="J109" s="181">
        <f t="shared" si="32"/>
        <v>34</v>
      </c>
      <c r="K109" s="181">
        <f t="shared" si="32"/>
        <v>34</v>
      </c>
      <c r="L109" s="181">
        <f t="shared" si="32"/>
        <v>34</v>
      </c>
      <c r="M109" s="181">
        <f t="shared" si="32"/>
        <v>34</v>
      </c>
      <c r="N109" s="181">
        <f t="shared" si="32"/>
        <v>35</v>
      </c>
      <c r="O109" s="181">
        <f t="shared" si="32"/>
        <v>39</v>
      </c>
      <c r="P109" s="181">
        <f t="shared" si="32"/>
        <v>34</v>
      </c>
      <c r="Q109" s="181">
        <f t="shared" si="32"/>
        <v>34</v>
      </c>
      <c r="R109" s="181">
        <f t="shared" si="32"/>
        <v>34</v>
      </c>
      <c r="S109" s="181">
        <f t="shared" si="32"/>
        <v>35</v>
      </c>
      <c r="T109" s="181">
        <f t="shared" si="32"/>
        <v>34</v>
      </c>
      <c r="U109" s="181">
        <f t="shared" si="32"/>
        <v>33</v>
      </c>
      <c r="V109" s="181">
        <f t="shared" si="32"/>
        <v>34</v>
      </c>
      <c r="W109" s="181">
        <f t="shared" si="32"/>
        <v>34</v>
      </c>
      <c r="X109" s="181">
        <f t="shared" si="32"/>
        <v>34</v>
      </c>
      <c r="Y109" s="181">
        <f t="shared" si="32"/>
        <v>36</v>
      </c>
      <c r="Z109" s="219">
        <f>SUM(B109:Y109)</f>
        <v>858</v>
      </c>
      <c r="AA109" s="318" t="s">
        <v>170</v>
      </c>
    </row>
    <row r="110" spans="1:29" x14ac:dyDescent="0.2">
      <c r="A110" s="185">
        <f>Economics!$I35</f>
        <v>1.96</v>
      </c>
      <c r="B110" s="189">
        <f t="shared" ref="B110:Y110" ca="1" si="33">IndGencost(B109,OFFSET(HeatRateStart,1,MATCH($A109,HeatRateNames,0)-1,250,1),$A110)</f>
        <v>21.427652901889342</v>
      </c>
      <c r="C110" s="189">
        <f t="shared" ca="1" si="33"/>
        <v>21.220746190791662</v>
      </c>
      <c r="D110" s="189">
        <f t="shared" ca="1" si="33"/>
        <v>21.220746190791662</v>
      </c>
      <c r="E110" s="189">
        <f ca="1">IndGencost(E109,OFFSET(HeatRateStart,1,MATCH($A109,HeatRateNames,0)-1,250,1),$A110)</f>
        <v>21.354015945019448</v>
      </c>
      <c r="F110" s="189">
        <f t="shared" ca="1" si="33"/>
        <v>21.050465743033094</v>
      </c>
      <c r="G110" s="189">
        <f t="shared" ca="1" si="33"/>
        <v>20.392637042057899</v>
      </c>
      <c r="H110" s="189">
        <f t="shared" ca="1" si="33"/>
        <v>21.427652901889342</v>
      </c>
      <c r="I110" s="189">
        <f t="shared" ca="1" si="33"/>
        <v>21.427652901889342</v>
      </c>
      <c r="J110" s="189">
        <f t="shared" ca="1" si="33"/>
        <v>21.354015945019448</v>
      </c>
      <c r="K110" s="189">
        <f t="shared" ca="1" si="33"/>
        <v>21.354015945019448</v>
      </c>
      <c r="L110" s="189">
        <f t="shared" ca="1" si="33"/>
        <v>21.354015945019448</v>
      </c>
      <c r="M110" s="189">
        <f t="shared" ca="1" si="33"/>
        <v>21.354015945019448</v>
      </c>
      <c r="N110" s="189">
        <f t="shared" ca="1" si="33"/>
        <v>21.285180414267952</v>
      </c>
      <c r="O110" s="189">
        <f t="shared" ca="1" si="33"/>
        <v>21.050465743033094</v>
      </c>
      <c r="P110" s="189">
        <f t="shared" ca="1" si="33"/>
        <v>21.354015945019448</v>
      </c>
      <c r="Q110" s="189">
        <f t="shared" ca="1" si="33"/>
        <v>21.354015945019448</v>
      </c>
      <c r="R110" s="189">
        <f t="shared" ca="1" si="33"/>
        <v>21.354015945019448</v>
      </c>
      <c r="S110" s="189">
        <f t="shared" ca="1" si="33"/>
        <v>21.285180414267952</v>
      </c>
      <c r="T110" s="189">
        <f t="shared" ca="1" si="33"/>
        <v>21.354015945019448</v>
      </c>
      <c r="U110" s="189">
        <f t="shared" ca="1" si="33"/>
        <v>21.427652901889342</v>
      </c>
      <c r="V110" s="189">
        <f t="shared" ca="1" si="33"/>
        <v>21.354015945019448</v>
      </c>
      <c r="W110" s="189">
        <f t="shared" ca="1" si="33"/>
        <v>21.354015945019448</v>
      </c>
      <c r="X110" s="189">
        <f t="shared" ca="1" si="33"/>
        <v>21.354015945019448</v>
      </c>
      <c r="Y110" s="189">
        <f t="shared" ca="1" si="33"/>
        <v>21.220746190791662</v>
      </c>
      <c r="Z110" s="259">
        <f t="array" aca="1" ref="Z110" ca="1">SUM(B109:Y109*B110:Y110)</f>
        <v>18228.971730785754</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0.16353680865696774</v>
      </c>
      <c r="C113" s="188">
        <f t="shared" ca="1" si="35"/>
        <v>0.37044351975464807</v>
      </c>
      <c r="D113" s="188">
        <f t="shared" ca="1" si="35"/>
        <v>0.37044351975464807</v>
      </c>
      <c r="E113" s="188">
        <f t="shared" ca="1" si="35"/>
        <v>0.23717376552686176</v>
      </c>
      <c r="F113" s="188">
        <f t="shared" ca="1" si="35"/>
        <v>0.54072396751321605</v>
      </c>
      <c r="G113" s="188">
        <f t="shared" ca="1" si="35"/>
        <v>1.1985526684884107</v>
      </c>
      <c r="H113" s="188">
        <f t="shared" ca="1" si="35"/>
        <v>0.16353680865696774</v>
      </c>
      <c r="I113" s="188">
        <f t="shared" ca="1" si="35"/>
        <v>0.16353680865696774</v>
      </c>
      <c r="J113" s="188">
        <f t="shared" ca="1" si="35"/>
        <v>0.23717376552686176</v>
      </c>
      <c r="K113" s="188">
        <f t="shared" ca="1" si="35"/>
        <v>0.23717376552686176</v>
      </c>
      <c r="L113" s="188">
        <f t="shared" ca="1" si="35"/>
        <v>0.23717376552686176</v>
      </c>
      <c r="M113" s="188">
        <f t="shared" ca="1" si="35"/>
        <v>0.23717376552686176</v>
      </c>
      <c r="N113" s="188">
        <f t="shared" ca="1" si="35"/>
        <v>0.30600929627835782</v>
      </c>
      <c r="O113" s="188">
        <f t="shared" ca="1" si="35"/>
        <v>0.54072396751321605</v>
      </c>
      <c r="P113" s="188">
        <f t="shared" ca="1" si="35"/>
        <v>0.23717376552686176</v>
      </c>
      <c r="Q113" s="188">
        <f t="shared" ca="1" si="35"/>
        <v>0.23717376552686176</v>
      </c>
      <c r="R113" s="188">
        <f t="shared" ca="1" si="35"/>
        <v>0.23717376552686176</v>
      </c>
      <c r="S113" s="188">
        <f t="shared" ca="1" si="35"/>
        <v>0.30600929627835782</v>
      </c>
      <c r="T113" s="188">
        <f t="shared" ca="1" si="35"/>
        <v>0.23717376552686176</v>
      </c>
      <c r="U113" s="188">
        <f t="shared" ca="1" si="35"/>
        <v>0.16353680865696774</v>
      </c>
      <c r="V113" s="188">
        <f t="shared" ca="1" si="35"/>
        <v>0.23717376552686176</v>
      </c>
      <c r="W113" s="188">
        <f t="shared" ca="1" si="35"/>
        <v>0.23717376552686176</v>
      </c>
      <c r="X113" s="188">
        <f t="shared" ca="1" si="35"/>
        <v>0.23717376552686176</v>
      </c>
      <c r="Y113" s="188">
        <f t="shared" ca="1" si="35"/>
        <v>0.37044351975464807</v>
      </c>
      <c r="Z113" s="260">
        <f ca="1">Z110-Z112</f>
        <v>2165.1265861392894</v>
      </c>
      <c r="AC113" s="174"/>
    </row>
    <row r="114" spans="1:29" x14ac:dyDescent="0.2">
      <c r="A114" s="183" t="str">
        <f>Economics!A36</f>
        <v>Newman 3</v>
      </c>
      <c r="B114" s="181">
        <f t="shared" ref="B114:Y114" si="36">B43</f>
        <v>60</v>
      </c>
      <c r="C114" s="181">
        <f t="shared" si="36"/>
        <v>63</v>
      </c>
      <c r="D114" s="181">
        <f t="shared" si="36"/>
        <v>50</v>
      </c>
      <c r="E114" s="181">
        <f>E43</f>
        <v>41</v>
      </c>
      <c r="F114" s="181">
        <f t="shared" si="36"/>
        <v>44</v>
      </c>
      <c r="G114" s="181">
        <f t="shared" si="36"/>
        <v>98</v>
      </c>
      <c r="H114" s="181">
        <f t="shared" si="36"/>
        <v>86</v>
      </c>
      <c r="I114" s="181">
        <f t="shared" si="36"/>
        <v>50</v>
      </c>
      <c r="J114" s="181">
        <f t="shared" si="36"/>
        <v>38</v>
      </c>
      <c r="K114" s="181">
        <f t="shared" si="36"/>
        <v>38</v>
      </c>
      <c r="L114" s="181">
        <f t="shared" si="36"/>
        <v>38</v>
      </c>
      <c r="M114" s="181">
        <f t="shared" si="36"/>
        <v>38</v>
      </c>
      <c r="N114" s="181">
        <f t="shared" si="36"/>
        <v>38</v>
      </c>
      <c r="O114" s="181">
        <f t="shared" si="36"/>
        <v>43</v>
      </c>
      <c r="P114" s="181">
        <f t="shared" si="36"/>
        <v>41</v>
      </c>
      <c r="Q114" s="181">
        <f t="shared" si="36"/>
        <v>38</v>
      </c>
      <c r="R114" s="181">
        <f t="shared" si="36"/>
        <v>38</v>
      </c>
      <c r="S114" s="181">
        <f t="shared" si="36"/>
        <v>38</v>
      </c>
      <c r="T114" s="181">
        <f t="shared" si="36"/>
        <v>51</v>
      </c>
      <c r="U114" s="181">
        <f t="shared" si="36"/>
        <v>51</v>
      </c>
      <c r="V114" s="181">
        <f t="shared" si="36"/>
        <v>53</v>
      </c>
      <c r="W114" s="181">
        <f t="shared" si="36"/>
        <v>48</v>
      </c>
      <c r="X114" s="181">
        <f t="shared" si="36"/>
        <v>36</v>
      </c>
      <c r="Y114" s="181">
        <f t="shared" si="36"/>
        <v>87</v>
      </c>
      <c r="Z114" s="219">
        <f>SUM(B114:Y114)</f>
        <v>1206</v>
      </c>
      <c r="AA114" s="318" t="s">
        <v>172</v>
      </c>
    </row>
    <row r="115" spans="1:29" x14ac:dyDescent="0.2">
      <c r="A115" s="185">
        <f>Economics!$I36</f>
        <v>1.96</v>
      </c>
      <c r="B115" s="189">
        <f t="shared" ref="B115:Y115" ca="1" si="37">IndGencost(B114,OFFSET(HeatRateStart,1,MATCH($A114,HeatRateNames,0)-1,250,1),$A115)</f>
        <v>20.066153723875679</v>
      </c>
      <c r="C115" s="189">
        <f t="shared" ca="1" si="37"/>
        <v>19.985995944537812</v>
      </c>
      <c r="D115" s="189">
        <f t="shared" ca="1" si="37"/>
        <v>20.469064398384099</v>
      </c>
      <c r="E115" s="189">
        <f ca="1">IndGencost(E114,OFFSET(HeatRateStart,1,MATCH($A114,HeatRateNames,0)-1,250,1),$A115)</f>
        <v>21.105997483951292</v>
      </c>
      <c r="F115" s="189">
        <f t="shared" ca="1" si="37"/>
        <v>20.854311314972964</v>
      </c>
      <c r="G115" s="189">
        <f t="shared" ca="1" si="37"/>
        <v>19.759240384568976</v>
      </c>
      <c r="H115" s="189">
        <f t="shared" ca="1" si="37"/>
        <v>19.734419918969621</v>
      </c>
      <c r="I115" s="189">
        <f t="shared" ca="1" si="37"/>
        <v>20.469064398384099</v>
      </c>
      <c r="J115" s="189">
        <f t="shared" ca="1" si="37"/>
        <v>21.409493048266363</v>
      </c>
      <c r="K115" s="189">
        <f t="shared" ca="1" si="37"/>
        <v>21.409493048266363</v>
      </c>
      <c r="L115" s="189">
        <f t="shared" ca="1" si="37"/>
        <v>21.409493048266363</v>
      </c>
      <c r="M115" s="189">
        <f t="shared" ca="1" si="37"/>
        <v>21.409493048266363</v>
      </c>
      <c r="N115" s="189">
        <f t="shared" ca="1" si="37"/>
        <v>21.409493048266363</v>
      </c>
      <c r="O115" s="189">
        <f t="shared" ca="1" si="37"/>
        <v>20.933119477183322</v>
      </c>
      <c r="P115" s="189">
        <f t="shared" ca="1" si="37"/>
        <v>21.105997483951292</v>
      </c>
      <c r="Q115" s="189">
        <f t="shared" ca="1" si="37"/>
        <v>21.409493048266363</v>
      </c>
      <c r="R115" s="189">
        <f t="shared" ca="1" si="37"/>
        <v>21.409493048266363</v>
      </c>
      <c r="S115" s="189">
        <f t="shared" ca="1" si="37"/>
        <v>21.409493048266363</v>
      </c>
      <c r="T115" s="189">
        <f t="shared" ca="1" si="37"/>
        <v>20.417166671883827</v>
      </c>
      <c r="U115" s="189">
        <f t="shared" ca="1" si="37"/>
        <v>20.417166671883827</v>
      </c>
      <c r="V115" s="189">
        <f t="shared" ca="1" si="37"/>
        <v>20.322130961562106</v>
      </c>
      <c r="W115" s="189">
        <f t="shared" ca="1" si="37"/>
        <v>20.582532067259152</v>
      </c>
      <c r="X115" s="189">
        <f t="shared" ca="1" si="37"/>
        <v>21.647002643532225</v>
      </c>
      <c r="Y115" s="189">
        <f t="shared" ca="1" si="37"/>
        <v>19.733528200160496</v>
      </c>
      <c r="Z115" s="259">
        <f t="array" aca="1" ref="Z115" ca="1">SUM(B114:Y114*B115:Y115)</f>
        <v>24844.14512353516</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-20.066153723875679</v>
      </c>
      <c r="C118" s="188">
        <f t="shared" ca="1" si="39"/>
        <v>-19.985995944537812</v>
      </c>
      <c r="D118" s="188">
        <f t="shared" ca="1" si="39"/>
        <v>-20.469064398384099</v>
      </c>
      <c r="E118" s="188">
        <f t="shared" ca="1" si="39"/>
        <v>-21.105997483951292</v>
      </c>
      <c r="F118" s="188">
        <f t="shared" ca="1" si="39"/>
        <v>-20.854311314972964</v>
      </c>
      <c r="G118" s="188">
        <f t="shared" ca="1" si="39"/>
        <v>-19.759240384568976</v>
      </c>
      <c r="H118" s="188">
        <f t="shared" ca="1" si="39"/>
        <v>-19.734419918969621</v>
      </c>
      <c r="I118" s="188">
        <f t="shared" ca="1" si="39"/>
        <v>-20.469064398384099</v>
      </c>
      <c r="J118" s="188">
        <f t="shared" ca="1" si="39"/>
        <v>-21.409493048266363</v>
      </c>
      <c r="K118" s="188">
        <f t="shared" ca="1" si="39"/>
        <v>-21.409493048266363</v>
      </c>
      <c r="L118" s="188">
        <f t="shared" ca="1" si="39"/>
        <v>-21.409493048266363</v>
      </c>
      <c r="M118" s="188">
        <f t="shared" ca="1" si="39"/>
        <v>-21.409493048266363</v>
      </c>
      <c r="N118" s="188">
        <f t="shared" ca="1" si="39"/>
        <v>-21.409493048266363</v>
      </c>
      <c r="O118" s="188">
        <f t="shared" ca="1" si="39"/>
        <v>-20.933119477183322</v>
      </c>
      <c r="P118" s="188">
        <f t="shared" ca="1" si="39"/>
        <v>-21.105997483951292</v>
      </c>
      <c r="Q118" s="188">
        <f t="shared" ca="1" si="39"/>
        <v>-21.409493048266363</v>
      </c>
      <c r="R118" s="188">
        <f t="shared" ca="1" si="39"/>
        <v>-21.409493048266363</v>
      </c>
      <c r="S118" s="188">
        <f t="shared" ca="1" si="39"/>
        <v>-21.409493048266363</v>
      </c>
      <c r="T118" s="188">
        <f t="shared" ca="1" si="39"/>
        <v>-20.417166671883827</v>
      </c>
      <c r="U118" s="188">
        <f t="shared" ca="1" si="39"/>
        <v>-20.417166671883827</v>
      </c>
      <c r="V118" s="188">
        <f t="shared" ca="1" si="39"/>
        <v>-20.322130961562106</v>
      </c>
      <c r="W118" s="188">
        <f t="shared" ca="1" si="39"/>
        <v>-20.582532067259152</v>
      </c>
      <c r="X118" s="188">
        <f t="shared" ca="1" si="39"/>
        <v>-21.647002643532225</v>
      </c>
      <c r="Y118" s="188">
        <f t="shared" ca="1" si="39"/>
        <v>-19.733528200160496</v>
      </c>
      <c r="Z118" s="260">
        <f ca="1">Z115-Z117</f>
        <v>24844.14512353516</v>
      </c>
    </row>
    <row r="119" spans="1:29" x14ac:dyDescent="0.2">
      <c r="A119" s="183" t="str">
        <f>Economics!A37</f>
        <v>GT 1</v>
      </c>
      <c r="B119" s="181">
        <f t="shared" ref="B119:Y119" si="40">B44</f>
        <v>20</v>
      </c>
      <c r="C119" s="181">
        <f t="shared" si="40"/>
        <v>20</v>
      </c>
      <c r="D119" s="181">
        <f t="shared" si="40"/>
        <v>20</v>
      </c>
      <c r="E119" s="181">
        <f>E44</f>
        <v>20</v>
      </c>
      <c r="F119" s="181">
        <f t="shared" si="40"/>
        <v>20</v>
      </c>
      <c r="G119" s="181">
        <f t="shared" si="40"/>
        <v>21</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20</v>
      </c>
      <c r="Z119" s="219">
        <f>SUM(B119:Y119)</f>
        <v>141</v>
      </c>
      <c r="AA119" s="318" t="s">
        <v>174</v>
      </c>
    </row>
    <row r="120" spans="1:29" x14ac:dyDescent="0.2">
      <c r="A120" s="185">
        <f>Economics!$I37</f>
        <v>1.96</v>
      </c>
      <c r="B120" s="189">
        <f t="shared" ref="B120:Y120" ca="1" si="41">IndGencost(B119,OFFSET(HeatRateStart,1,MATCH($A119,HeatRateNames,0)-1,250,1),$A120)</f>
        <v>33.930736660385129</v>
      </c>
      <c r="C120" s="189">
        <f t="shared" ca="1" si="41"/>
        <v>33.930736660385129</v>
      </c>
      <c r="D120" s="189">
        <f t="shared" ca="1" si="41"/>
        <v>33.930736660385129</v>
      </c>
      <c r="E120" s="189">
        <f ca="1">IndGencost(E119,OFFSET(HeatRateStart,1,MATCH($A119,HeatRateNames,0)-1,250,1),$A120)</f>
        <v>33.930736660385129</v>
      </c>
      <c r="F120" s="189">
        <f t="shared" ca="1" si="41"/>
        <v>33.930736660385129</v>
      </c>
      <c r="G120" s="189">
        <f t="shared" ca="1" si="41"/>
        <v>33.277313434334395</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33.930736660385129</v>
      </c>
      <c r="Z120" s="259">
        <f t="array" aca="1" ref="Z120" ca="1">SUM(B119:Y119*B120:Y120)</f>
        <v>4770.5119813672372</v>
      </c>
      <c r="AA120" s="318" t="s">
        <v>167</v>
      </c>
    </row>
    <row r="121" spans="1:29" x14ac:dyDescent="0.2">
      <c r="A121" s="184" t="s">
        <v>163</v>
      </c>
      <c r="B121" s="186">
        <f t="shared" ref="B121:Y121" si="42">B119</f>
        <v>20</v>
      </c>
      <c r="C121" s="186">
        <f t="shared" si="42"/>
        <v>20</v>
      </c>
      <c r="D121" s="186">
        <f t="shared" si="42"/>
        <v>20</v>
      </c>
      <c r="E121" s="186">
        <f t="shared" si="42"/>
        <v>20</v>
      </c>
      <c r="F121" s="186">
        <f t="shared" si="42"/>
        <v>20</v>
      </c>
      <c r="G121" s="186">
        <f t="shared" si="42"/>
        <v>21</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20</v>
      </c>
      <c r="Z121" s="220">
        <f>SUM(B121:Y121)</f>
        <v>141</v>
      </c>
    </row>
    <row r="122" spans="1:29" x14ac:dyDescent="0.2">
      <c r="A122" s="182"/>
      <c r="B122" s="190">
        <f t="shared" ref="B122:Y122" ca="1" si="43">IndGencost(B121,OFFSET(HeatRateStart,1,MATCH($A119,HeatRateNames,0)-1,250,1),$A120)</f>
        <v>33.930736660385129</v>
      </c>
      <c r="C122" s="190">
        <f t="shared" ca="1" si="43"/>
        <v>33.930736660385129</v>
      </c>
      <c r="D122" s="190">
        <f t="shared" ca="1" si="43"/>
        <v>33.930736660385129</v>
      </c>
      <c r="E122" s="190">
        <f ca="1">IndGencost(E121,OFFSET(HeatRateStart,1,MATCH($A119,HeatRateNames,0)-1,250,1),$A120)</f>
        <v>33.930736660385129</v>
      </c>
      <c r="F122" s="190">
        <f t="shared" ca="1" si="43"/>
        <v>33.930736660385129</v>
      </c>
      <c r="G122" s="190">
        <f t="shared" ca="1" si="43"/>
        <v>33.277313434334395</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33.930736660385129</v>
      </c>
      <c r="Z122" s="258">
        <f t="array" aca="1" ref="Z122" ca="1">SUM(B121:Y121*B122:Y122)</f>
        <v>4770.5119813672372</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140</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33.930736660385129</v>
      </c>
      <c r="Z125" s="259">
        <f t="array" aca="1" ref="Z125" ca="1">SUM(B124:Y124*B125:Y125)</f>
        <v>4750.3031324539179</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140</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33.930736660385129</v>
      </c>
      <c r="Z127" s="258">
        <f t="array" aca="1" ref="Z127" ca="1">SUM(B126:Y126*B127:Y127)</f>
        <v>4750.3031324539179</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126</v>
      </c>
      <c r="I139" s="181">
        <f t="shared" si="59"/>
        <v>178</v>
      </c>
      <c r="J139" s="181">
        <f t="shared" si="59"/>
        <v>184</v>
      </c>
      <c r="K139" s="181">
        <f t="shared" si="59"/>
        <v>199</v>
      </c>
      <c r="L139" s="181">
        <f t="shared" si="59"/>
        <v>193</v>
      </c>
      <c r="M139" s="181">
        <f t="shared" si="59"/>
        <v>178</v>
      </c>
      <c r="N139" s="181">
        <f t="shared" si="59"/>
        <v>159</v>
      </c>
      <c r="O139" s="181">
        <f t="shared" si="59"/>
        <v>149</v>
      </c>
      <c r="P139" s="181">
        <f t="shared" si="59"/>
        <v>149</v>
      </c>
      <c r="Q139" s="181">
        <f t="shared" si="59"/>
        <v>142</v>
      </c>
      <c r="R139" s="181">
        <f t="shared" si="59"/>
        <v>132</v>
      </c>
      <c r="S139" s="181">
        <f t="shared" si="59"/>
        <v>137</v>
      </c>
      <c r="T139" s="181">
        <f t="shared" si="59"/>
        <v>199</v>
      </c>
      <c r="U139" s="181">
        <f t="shared" si="59"/>
        <v>196</v>
      </c>
      <c r="V139" s="181">
        <f t="shared" si="59"/>
        <v>194</v>
      </c>
      <c r="W139" s="181">
        <f t="shared" si="59"/>
        <v>173</v>
      </c>
      <c r="X139" s="181">
        <f t="shared" si="59"/>
        <v>116</v>
      </c>
      <c r="Y139" s="181">
        <f t="shared" si="59"/>
        <v>0</v>
      </c>
      <c r="Z139" s="219">
        <f>SUM(B139:Y139)</f>
        <v>2804</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19.705957787531947</v>
      </c>
      <c r="I140" s="189">
        <f t="shared" ca="1" si="60"/>
        <v>18.326058128225881</v>
      </c>
      <c r="J140" s="189">
        <f t="shared" ca="1" si="60"/>
        <v>18.244101908471531</v>
      </c>
      <c r="K140" s="189">
        <f t="shared" ca="1" si="60"/>
        <v>18.083492641170409</v>
      </c>
      <c r="L140" s="189">
        <f t="shared" ca="1" si="60"/>
        <v>18.140735251234229</v>
      </c>
      <c r="M140" s="189">
        <f t="shared" ca="1" si="60"/>
        <v>18.326058128225881</v>
      </c>
      <c r="N140" s="189">
        <f t="shared" ca="1" si="60"/>
        <v>18.669157849352978</v>
      </c>
      <c r="O140" s="189">
        <f t="shared" ca="1" si="60"/>
        <v>18.912744569127401</v>
      </c>
      <c r="P140" s="189">
        <f t="shared" ca="1" si="60"/>
        <v>18.912744569127401</v>
      </c>
      <c r="Q140" s="189">
        <f t="shared" ca="1" si="60"/>
        <v>19.115665028775627</v>
      </c>
      <c r="R140" s="189">
        <f t="shared" ca="1" si="60"/>
        <v>19.461321434043377</v>
      </c>
      <c r="S140" s="189">
        <f t="shared" ca="1" si="60"/>
        <v>19.279573378342828</v>
      </c>
      <c r="T140" s="189">
        <f t="shared" ca="1" si="60"/>
        <v>18.083492641170409</v>
      </c>
      <c r="U140" s="189">
        <f t="shared" ca="1" si="60"/>
        <v>18.111018536490057</v>
      </c>
      <c r="V140" s="189">
        <f t="shared" ca="1" si="60"/>
        <v>18.130579981448101</v>
      </c>
      <c r="W140" s="189">
        <f t="shared" ca="1" si="60"/>
        <v>18.403248612894419</v>
      </c>
      <c r="X140" s="189">
        <f t="shared" ca="1" si="60"/>
        <v>20.189668325911796</v>
      </c>
      <c r="Y140" s="189">
        <f t="shared" ca="1" si="60"/>
        <v>0</v>
      </c>
      <c r="Z140" s="259">
        <f t="array" aca="1" ref="Z140" ca="1">SUM(B139:Y139*B140:Y140)</f>
        <v>52184.204181959634</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-0.16648092570171258</v>
      </c>
      <c r="I143" s="188">
        <f t="shared" ca="1" si="62"/>
        <v>1.9179773236046174</v>
      </c>
      <c r="J143" s="188">
        <f t="shared" ca="1" si="62"/>
        <v>1.9999335433589671</v>
      </c>
      <c r="K143" s="188">
        <f t="shared" ca="1" si="62"/>
        <v>2.1605428106600897</v>
      </c>
      <c r="L143" s="188">
        <f t="shared" ca="1" si="62"/>
        <v>2.1033002005962693</v>
      </c>
      <c r="M143" s="188">
        <f t="shared" ca="1" si="62"/>
        <v>1.9179773236046174</v>
      </c>
      <c r="N143" s="188">
        <f t="shared" ca="1" si="62"/>
        <v>1.5748776024775211</v>
      </c>
      <c r="O143" s="188">
        <f t="shared" ca="1" si="62"/>
        <v>1.3312908827030974</v>
      </c>
      <c r="P143" s="188">
        <f t="shared" ca="1" si="62"/>
        <v>1.3312908827030974</v>
      </c>
      <c r="Q143" s="188">
        <f t="shared" ca="1" si="62"/>
        <v>1.1283704230548715</v>
      </c>
      <c r="R143" s="188">
        <f t="shared" ca="1" si="62"/>
        <v>0.78271401778712146</v>
      </c>
      <c r="S143" s="188">
        <f t="shared" ca="1" si="62"/>
        <v>0.96446207348767032</v>
      </c>
      <c r="T143" s="188">
        <f t="shared" ca="1" si="62"/>
        <v>0.14800839285375744</v>
      </c>
      <c r="U143" s="188">
        <f t="shared" ca="1" si="62"/>
        <v>0.120482497534109</v>
      </c>
      <c r="V143" s="188">
        <f t="shared" ca="1" si="62"/>
        <v>0.32318338124212431</v>
      </c>
      <c r="W143" s="188">
        <f t="shared" ca="1" si="62"/>
        <v>0.1422583398701569</v>
      </c>
      <c r="X143" s="188">
        <f t="shared" ca="1" si="62"/>
        <v>-1.1645529704584909</v>
      </c>
      <c r="Y143" s="188">
        <f t="shared" ca="1" si="62"/>
        <v>19.025115355453305</v>
      </c>
      <c r="Z143" s="260">
        <f ca="1">Z140-Z142</f>
        <v>-9529.8593150651941</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821</v>
      </c>
      <c r="C164" s="303">
        <f t="shared" si="80"/>
        <v>746</v>
      </c>
      <c r="D164" s="303">
        <f t="shared" si="80"/>
        <v>733</v>
      </c>
      <c r="E164" s="303">
        <f t="shared" si="80"/>
        <v>722</v>
      </c>
      <c r="F164" s="303">
        <f t="shared" si="80"/>
        <v>730</v>
      </c>
      <c r="G164" s="303">
        <f t="shared" si="80"/>
        <v>809</v>
      </c>
      <c r="H164" s="303">
        <f t="shared" si="80"/>
        <v>901</v>
      </c>
      <c r="I164" s="303">
        <f t="shared" si="80"/>
        <v>917</v>
      </c>
      <c r="J164" s="303">
        <f t="shared" si="80"/>
        <v>911</v>
      </c>
      <c r="K164" s="303">
        <f t="shared" si="80"/>
        <v>927</v>
      </c>
      <c r="L164" s="303">
        <f t="shared" si="80"/>
        <v>920</v>
      </c>
      <c r="M164" s="303">
        <f t="shared" si="80"/>
        <v>853</v>
      </c>
      <c r="N164" s="303">
        <f t="shared" si="80"/>
        <v>887</v>
      </c>
      <c r="O164" s="303">
        <f t="shared" si="80"/>
        <v>886</v>
      </c>
      <c r="P164" s="303">
        <f t="shared" si="80"/>
        <v>879</v>
      </c>
      <c r="Q164" s="303">
        <f t="shared" si="80"/>
        <v>869</v>
      </c>
      <c r="R164" s="303">
        <f t="shared" si="80"/>
        <v>859</v>
      </c>
      <c r="S164" s="303">
        <f t="shared" si="80"/>
        <v>896</v>
      </c>
      <c r="T164" s="303">
        <f t="shared" si="80"/>
        <v>973</v>
      </c>
      <c r="U164" s="303">
        <f t="shared" si="80"/>
        <v>970</v>
      </c>
      <c r="V164" s="303">
        <f t="shared" si="80"/>
        <v>972</v>
      </c>
      <c r="W164" s="303">
        <f t="shared" si="80"/>
        <v>912</v>
      </c>
      <c r="X164" s="303">
        <f t="shared" si="80"/>
        <v>843</v>
      </c>
      <c r="Y164" s="304">
        <f t="shared" si="80"/>
        <v>818</v>
      </c>
      <c r="Z164" s="270"/>
      <c r="AA164" s="268"/>
    </row>
    <row r="165" spans="1:27" s="269" customFormat="1" ht="13.5" customHeight="1" thickBot="1" x14ac:dyDescent="0.25">
      <c r="A165" s="305" t="s">
        <v>183</v>
      </c>
      <c r="B165" s="306">
        <f t="shared" ref="B165:Y165" si="81">B161+B156+B151+B146+B141+B136+B131+B126+B121+B116+B111+B106+B102+B99+B96+B93+B90</f>
        <v>1019</v>
      </c>
      <c r="C165" s="306">
        <f t="shared" si="81"/>
        <v>918</v>
      </c>
      <c r="D165" s="306">
        <f t="shared" si="81"/>
        <v>888</v>
      </c>
      <c r="E165" s="306">
        <f t="shared" si="81"/>
        <v>888</v>
      </c>
      <c r="F165" s="306">
        <f t="shared" si="81"/>
        <v>898</v>
      </c>
      <c r="G165" s="306">
        <f t="shared" si="81"/>
        <v>909</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949</v>
      </c>
      <c r="Z165" s="271"/>
      <c r="AA165" s="174">
        <f ca="1">Z163+Z158+Z153+Z148+Z143+Z138+Z133+Z128+Z123+Z118+Z113+Z108+Z103+Z100+Z97+Z94+Z91</f>
        <v>-35746.219987343022</v>
      </c>
    </row>
    <row r="166" spans="1:27" x14ac:dyDescent="0.2">
      <c r="A166" s="330" t="s">
        <v>184</v>
      </c>
      <c r="B166" s="331">
        <f t="shared" ref="B166:Y166" si="82">B165-B164</f>
        <v>198</v>
      </c>
      <c r="C166" s="331">
        <f t="shared" si="82"/>
        <v>172</v>
      </c>
      <c r="D166" s="331">
        <f t="shared" si="82"/>
        <v>155</v>
      </c>
      <c r="E166" s="331">
        <f t="shared" si="82"/>
        <v>166</v>
      </c>
      <c r="F166" s="331">
        <f t="shared" si="82"/>
        <v>168</v>
      </c>
      <c r="G166" s="331">
        <f t="shared" si="82"/>
        <v>100</v>
      </c>
      <c r="H166" s="331">
        <f t="shared" si="82"/>
        <v>-7</v>
      </c>
      <c r="I166" s="331">
        <f t="shared" si="82"/>
        <v>-38</v>
      </c>
      <c r="J166" s="331">
        <f t="shared" si="82"/>
        <v>-32</v>
      </c>
      <c r="K166" s="331">
        <f t="shared" si="82"/>
        <v>-48</v>
      </c>
      <c r="L166" s="331">
        <f t="shared" si="82"/>
        <v>10</v>
      </c>
      <c r="M166" s="331">
        <f t="shared" si="82"/>
        <v>77</v>
      </c>
      <c r="N166" s="331">
        <f t="shared" si="82"/>
        <v>43</v>
      </c>
      <c r="O166" s="331">
        <f t="shared" si="82"/>
        <v>44</v>
      </c>
      <c r="P166" s="331">
        <f t="shared" si="82"/>
        <v>51</v>
      </c>
      <c r="Q166" s="331">
        <f t="shared" si="82"/>
        <v>61</v>
      </c>
      <c r="R166" s="331">
        <f t="shared" si="82"/>
        <v>71</v>
      </c>
      <c r="S166" s="331">
        <f t="shared" si="82"/>
        <v>34</v>
      </c>
      <c r="T166" s="331">
        <f t="shared" si="82"/>
        <v>56</v>
      </c>
      <c r="U166" s="331">
        <f t="shared" si="82"/>
        <v>84</v>
      </c>
      <c r="V166" s="331">
        <f t="shared" si="82"/>
        <v>-4</v>
      </c>
      <c r="W166" s="331">
        <f t="shared" si="82"/>
        <v>26</v>
      </c>
      <c r="X166" s="331">
        <f t="shared" si="82"/>
        <v>66</v>
      </c>
      <c r="Y166" s="332">
        <f t="shared" si="82"/>
        <v>131</v>
      </c>
      <c r="Z166" s="336">
        <f>SUM(B166:Y166)</f>
        <v>1584</v>
      </c>
    </row>
    <row r="167" spans="1:27" s="325" customFormat="1" ht="32.25" customHeight="1" thickBot="1" x14ac:dyDescent="0.25">
      <c r="A167" s="333" t="s">
        <v>185</v>
      </c>
      <c r="B167" s="334">
        <f t="shared" ref="B167:Y167" ca="1" si="83">B58</f>
        <v>8</v>
      </c>
      <c r="C167" s="334">
        <f t="shared" ca="1" si="83"/>
        <v>-2</v>
      </c>
      <c r="D167" s="334">
        <f t="shared" ca="1" si="83"/>
        <v>7</v>
      </c>
      <c r="E167" s="334">
        <f ca="1">E58</f>
        <v>8</v>
      </c>
      <c r="F167" s="334">
        <f t="shared" ca="1" si="83"/>
        <v>-7</v>
      </c>
      <c r="G167" s="334">
        <f t="shared" ca="1" si="83"/>
        <v>7</v>
      </c>
      <c r="H167" s="334">
        <f t="shared" ca="1" si="83"/>
        <v>0</v>
      </c>
      <c r="I167" s="334">
        <f t="shared" ca="1" si="83"/>
        <v>0</v>
      </c>
      <c r="J167" s="334">
        <f t="shared" ca="1" si="83"/>
        <v>4</v>
      </c>
      <c r="K167" s="334">
        <f t="shared" ca="1" si="83"/>
        <v>-3</v>
      </c>
      <c r="L167" s="334">
        <f t="shared" ca="1" si="83"/>
        <v>-6</v>
      </c>
      <c r="M167" s="334">
        <f t="shared" ca="1" si="83"/>
        <v>2</v>
      </c>
      <c r="N167" s="334">
        <f t="shared" ca="1" si="83"/>
        <v>1</v>
      </c>
      <c r="O167" s="334">
        <f t="shared" ca="1" si="83"/>
        <v>0</v>
      </c>
      <c r="P167" s="334">
        <f t="shared" ca="1" si="83"/>
        <v>-2</v>
      </c>
      <c r="Q167" s="334">
        <f t="shared" ca="1" si="83"/>
        <v>2</v>
      </c>
      <c r="R167" s="334">
        <f t="shared" ca="1" si="83"/>
        <v>-1</v>
      </c>
      <c r="S167" s="334">
        <f t="shared" ca="1" si="83"/>
        <v>-5</v>
      </c>
      <c r="T167" s="334">
        <f t="shared" ca="1" si="83"/>
        <v>-1</v>
      </c>
      <c r="U167" s="334">
        <f t="shared" ca="1" si="83"/>
        <v>9</v>
      </c>
      <c r="V167" s="334">
        <f t="shared" ca="1" si="83"/>
        <v>9</v>
      </c>
      <c r="W167" s="334">
        <f t="shared" ca="1" si="83"/>
        <v>-2</v>
      </c>
      <c r="X167" s="334">
        <f t="shared" ca="1" si="83"/>
        <v>4</v>
      </c>
      <c r="Y167" s="335">
        <f t="shared" ca="1" si="83"/>
        <v>3</v>
      </c>
      <c r="Z167" s="323">
        <f ca="1">SUM(B167:Y167)</f>
        <v>35</v>
      </c>
      <c r="AA167" s="324"/>
    </row>
    <row r="168" spans="1:27" ht="13.5" hidden="1" thickBot="1" x14ac:dyDescent="0.25">
      <c r="A168" s="326" t="s">
        <v>186</v>
      </c>
      <c r="B168" s="327">
        <f t="shared" ref="B168:Y168" ca="1" si="84">B167+B166</f>
        <v>206</v>
      </c>
      <c r="C168" s="327">
        <f t="shared" ca="1" si="84"/>
        <v>170</v>
      </c>
      <c r="D168" s="327">
        <f t="shared" ca="1" si="84"/>
        <v>162</v>
      </c>
      <c r="E168" s="327">
        <f t="shared" ca="1" si="84"/>
        <v>174</v>
      </c>
      <c r="F168" s="327">
        <f t="shared" ca="1" si="84"/>
        <v>161</v>
      </c>
      <c r="G168" s="327">
        <f t="shared" ca="1" si="84"/>
        <v>107</v>
      </c>
      <c r="H168" s="327">
        <f t="shared" ca="1" si="84"/>
        <v>-7</v>
      </c>
      <c r="I168" s="327">
        <f t="shared" ca="1" si="84"/>
        <v>-38</v>
      </c>
      <c r="J168" s="327">
        <f t="shared" ca="1" si="84"/>
        <v>-28</v>
      </c>
      <c r="K168" s="327">
        <f t="shared" ca="1" si="84"/>
        <v>-51</v>
      </c>
      <c r="L168" s="327">
        <f t="shared" ca="1" si="84"/>
        <v>4</v>
      </c>
      <c r="M168" s="327">
        <f t="shared" ca="1" si="84"/>
        <v>79</v>
      </c>
      <c r="N168" s="327">
        <f t="shared" ca="1" si="84"/>
        <v>44</v>
      </c>
      <c r="O168" s="327">
        <f t="shared" ca="1" si="84"/>
        <v>44</v>
      </c>
      <c r="P168" s="327">
        <f t="shared" ca="1" si="84"/>
        <v>49</v>
      </c>
      <c r="Q168" s="327">
        <f t="shared" ca="1" si="84"/>
        <v>63</v>
      </c>
      <c r="R168" s="327">
        <f t="shared" ca="1" si="84"/>
        <v>70</v>
      </c>
      <c r="S168" s="327">
        <f t="shared" ca="1" si="84"/>
        <v>29</v>
      </c>
      <c r="T168" s="327">
        <f t="shared" ca="1" si="84"/>
        <v>55</v>
      </c>
      <c r="U168" s="327">
        <f t="shared" ca="1" si="84"/>
        <v>93</v>
      </c>
      <c r="V168" s="327">
        <f t="shared" ca="1" si="84"/>
        <v>5</v>
      </c>
      <c r="W168" s="327">
        <f t="shared" ca="1" si="84"/>
        <v>24</v>
      </c>
      <c r="X168" s="327">
        <f t="shared" ca="1" si="84"/>
        <v>70</v>
      </c>
      <c r="Y168" s="327">
        <f t="shared" ca="1" si="84"/>
        <v>134</v>
      </c>
      <c r="Z168" s="328">
        <f ca="1">SUM(B168:Y168)</f>
        <v>1619</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1619</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244</v>
      </c>
      <c r="D171" s="338">
        <f t="shared" si="85"/>
        <v>257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268</v>
      </c>
      <c r="F171" s="338">
        <f t="shared" si="85"/>
        <v>260</v>
      </c>
      <c r="G171" s="338">
        <f t="shared" si="85"/>
        <v>182</v>
      </c>
      <c r="H171" s="338">
        <f t="shared" si="85"/>
        <v>174</v>
      </c>
      <c r="I171" s="338">
        <f t="shared" si="85"/>
        <v>158</v>
      </c>
      <c r="J171" s="338">
        <f t="shared" si="85"/>
        <v>164</v>
      </c>
      <c r="K171" s="338">
        <f t="shared" si="85"/>
        <v>148</v>
      </c>
      <c r="L171" s="338">
        <f t="shared" si="85"/>
        <v>155</v>
      </c>
      <c r="M171" s="338">
        <f t="shared" si="85"/>
        <v>119</v>
      </c>
      <c r="N171" s="338">
        <f t="shared" si="85"/>
        <v>188</v>
      </c>
      <c r="O171" s="338">
        <f t="shared" si="85"/>
        <v>189</v>
      </c>
      <c r="P171" s="338">
        <f t="shared" si="85"/>
        <v>196</v>
      </c>
      <c r="Q171" s="338">
        <f t="shared" si="85"/>
        <v>206</v>
      </c>
      <c r="R171" s="338">
        <f t="shared" si="85"/>
        <v>216</v>
      </c>
      <c r="S171" s="338">
        <f t="shared" si="85"/>
        <v>249</v>
      </c>
      <c r="T171" s="338">
        <f t="shared" si="85"/>
        <v>172</v>
      </c>
      <c r="U171" s="338">
        <f t="shared" si="85"/>
        <v>175</v>
      </c>
      <c r="V171" s="338">
        <f t="shared" si="85"/>
        <v>173</v>
      </c>
      <c r="W171" s="338">
        <f t="shared" si="85"/>
        <v>163</v>
      </c>
      <c r="X171" s="338">
        <f t="shared" si="85"/>
        <v>222</v>
      </c>
      <c r="Y171" s="339">
        <f t="shared" si="85"/>
        <v>172</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229</v>
      </c>
      <c r="G172" s="341">
        <f t="shared" si="86"/>
        <v>228</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-35746.219987343007</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4"/>
  <sheetViews>
    <sheetView showGridLines="0" zoomScale="60" zoomScaleNormal="65" workbookViewId="0">
      <selection activeCell="AC5" sqref="AC5"/>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95</v>
      </c>
      <c r="G3" s="660">
        <v>70</v>
      </c>
      <c r="H3" s="660">
        <v>60</v>
      </c>
      <c r="I3" s="660">
        <v>60</v>
      </c>
      <c r="J3" s="660">
        <v>60</v>
      </c>
      <c r="K3" s="660">
        <v>75</v>
      </c>
      <c r="L3" s="660">
        <v>90</v>
      </c>
      <c r="M3" s="660">
        <v>108</v>
      </c>
      <c r="N3" s="660">
        <v>108</v>
      </c>
      <c r="O3" s="660">
        <v>108</v>
      </c>
      <c r="P3" s="660">
        <v>108</v>
      </c>
      <c r="Q3" s="660">
        <v>108</v>
      </c>
      <c r="R3" s="660">
        <v>100</v>
      </c>
      <c r="S3" s="660">
        <v>100</v>
      </c>
      <c r="T3" s="660">
        <v>100</v>
      </c>
      <c r="U3" s="660">
        <v>100</v>
      </c>
      <c r="V3" s="660">
        <v>100</v>
      </c>
      <c r="W3" s="660">
        <v>100</v>
      </c>
      <c r="X3" s="660">
        <v>108</v>
      </c>
      <c r="Y3" s="660">
        <v>108</v>
      </c>
      <c r="Z3" s="660">
        <v>108</v>
      </c>
      <c r="AA3" s="660">
        <v>108</v>
      </c>
      <c r="AB3" s="660">
        <v>108</v>
      </c>
      <c r="AC3" s="660">
        <v>59</v>
      </c>
      <c r="AD3" s="601">
        <f>SUM(F3:AC3)</f>
        <v>2249</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55</v>
      </c>
      <c r="G4" s="598">
        <v>55</v>
      </c>
      <c r="H4" s="598">
        <v>55</v>
      </c>
      <c r="I4" s="598">
        <v>55</v>
      </c>
      <c r="J4" s="598">
        <v>55</v>
      </c>
      <c r="K4" s="598">
        <v>55</v>
      </c>
      <c r="L4" s="598">
        <v>65</v>
      </c>
      <c r="M4" s="598">
        <v>70</v>
      </c>
      <c r="N4" s="598">
        <v>70</v>
      </c>
      <c r="O4" s="598">
        <v>75</v>
      </c>
      <c r="P4" s="598">
        <v>75</v>
      </c>
      <c r="Q4" s="598">
        <v>75</v>
      </c>
      <c r="R4" s="598">
        <v>70</v>
      </c>
      <c r="S4" s="598">
        <v>70</v>
      </c>
      <c r="T4" s="598">
        <v>70</v>
      </c>
      <c r="U4" s="598">
        <v>70</v>
      </c>
      <c r="V4" s="598">
        <v>65</v>
      </c>
      <c r="W4" s="598">
        <v>75</v>
      </c>
      <c r="X4" s="598">
        <v>75</v>
      </c>
      <c r="Y4" s="598">
        <v>75</v>
      </c>
      <c r="Z4" s="598">
        <v>75</v>
      </c>
      <c r="AA4" s="598">
        <v>70</v>
      </c>
      <c r="AB4" s="598">
        <v>65</v>
      </c>
      <c r="AC4" s="598">
        <v>60</v>
      </c>
      <c r="AD4" s="565">
        <f>SUM(F4:AC4)</f>
        <v>1600</v>
      </c>
      <c r="AE4" s="566">
        <f>AD4*D4</f>
        <v>0</v>
      </c>
      <c r="AF4" s="526"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-100</v>
      </c>
      <c r="G7" s="676"/>
      <c r="H7" s="676"/>
      <c r="I7" s="676"/>
      <c r="J7" s="676"/>
      <c r="K7" s="676"/>
      <c r="L7" s="676">
        <v>-30</v>
      </c>
      <c r="M7" s="676">
        <v>-80</v>
      </c>
      <c r="N7" s="676">
        <v>-80</v>
      </c>
      <c r="O7" s="676">
        <v>-80</v>
      </c>
      <c r="P7" s="676">
        <v>-80</v>
      </c>
      <c r="Q7" s="676">
        <v>-80</v>
      </c>
      <c r="R7" s="676">
        <v>-80</v>
      </c>
      <c r="S7" s="676">
        <v>-80</v>
      </c>
      <c r="T7" s="676">
        <v>-80</v>
      </c>
      <c r="U7" s="676">
        <v>-80</v>
      </c>
      <c r="V7" s="676">
        <v>-80</v>
      </c>
      <c r="W7" s="676">
        <v>-133</v>
      </c>
      <c r="X7" s="676">
        <v>-133</v>
      </c>
      <c r="Y7" s="676">
        <v>-133</v>
      </c>
      <c r="Z7" s="676">
        <v>-133</v>
      </c>
      <c r="AA7" s="676">
        <v>-80</v>
      </c>
      <c r="AB7" s="676">
        <v>-80</v>
      </c>
      <c r="AC7" s="676"/>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715"/>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715"/>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715"/>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714"/>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714"/>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714"/>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716"/>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717"/>
      <c r="Z15" s="624"/>
      <c r="AA15" s="624"/>
      <c r="AB15" s="624"/>
      <c r="AC15" s="624"/>
      <c r="AD15" s="643"/>
      <c r="AE15" s="646"/>
      <c r="AF15" s="646"/>
    </row>
    <row r="16" spans="1:75" s="356" customFormat="1" ht="15" x14ac:dyDescent="0.25">
      <c r="A16" s="692"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717"/>
      <c r="Z16" s="624"/>
      <c r="AA16" s="624"/>
      <c r="AB16" s="624"/>
      <c r="AC16" s="624"/>
      <c r="AD16" s="643"/>
      <c r="AE16" s="646"/>
      <c r="AF16" s="646"/>
    </row>
    <row r="17" spans="1:32" s="356" customFormat="1" hidden="1" x14ac:dyDescent="0.2">
      <c r="A17" s="581" t="s">
        <v>267</v>
      </c>
      <c r="B17" s="471" t="s">
        <v>240</v>
      </c>
      <c r="C17" s="471" t="s">
        <v>151</v>
      </c>
      <c r="D17" s="472">
        <f>F98</f>
        <v>0</v>
      </c>
      <c r="E17" s="472"/>
      <c r="F17" s="475">
        <v>0</v>
      </c>
      <c r="G17" s="625"/>
      <c r="H17" s="475"/>
      <c r="I17" s="472">
        <f>K98</f>
        <v>0</v>
      </c>
      <c r="J17" s="475"/>
      <c r="K17" s="475"/>
      <c r="L17" s="475"/>
      <c r="M17" s="475"/>
      <c r="N17" s="475"/>
      <c r="O17" s="475"/>
      <c r="P17" s="475"/>
      <c r="Q17" s="475"/>
      <c r="R17" s="475"/>
      <c r="S17" s="688"/>
      <c r="T17" s="475"/>
      <c r="U17" s="475"/>
      <c r="V17" s="475"/>
      <c r="W17" s="475"/>
      <c r="X17" s="475"/>
      <c r="Y17" s="718"/>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F99</f>
        <v>0</v>
      </c>
      <c r="E18" s="472"/>
      <c r="F18" s="475"/>
      <c r="G18" s="475"/>
      <c r="H18" s="475"/>
      <c r="I18" s="472">
        <f>K99</f>
        <v>0</v>
      </c>
      <c r="J18" s="475"/>
      <c r="K18" s="475"/>
      <c r="L18" s="475"/>
      <c r="M18" s="475"/>
      <c r="N18" s="475"/>
      <c r="O18" s="475"/>
      <c r="P18" s="475"/>
      <c r="Q18" s="475"/>
      <c r="R18" s="475"/>
      <c r="S18" s="688"/>
      <c r="T18" s="475"/>
      <c r="U18" s="475"/>
      <c r="V18" s="475"/>
      <c r="W18" s="475"/>
      <c r="X18" s="475"/>
      <c r="Y18" s="718"/>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F100</f>
        <v>0</v>
      </c>
      <c r="E19" s="472"/>
      <c r="F19" s="475"/>
      <c r="G19" s="625"/>
      <c r="H19" s="475"/>
      <c r="I19" s="472">
        <f>K100</f>
        <v>0</v>
      </c>
      <c r="J19" s="475"/>
      <c r="K19" s="475"/>
      <c r="L19" s="475"/>
      <c r="M19" s="475"/>
      <c r="N19" s="475"/>
      <c r="O19" s="475"/>
      <c r="P19" s="475"/>
      <c r="Q19" s="475"/>
      <c r="R19" s="475"/>
      <c r="S19" s="688"/>
      <c r="T19" s="475"/>
      <c r="U19" s="475"/>
      <c r="V19" s="475"/>
      <c r="W19" s="475"/>
      <c r="X19" s="475"/>
      <c r="Y19" s="718"/>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F101</f>
        <v>0</v>
      </c>
      <c r="E20" s="472"/>
      <c r="F20" s="475"/>
      <c r="G20" s="625"/>
      <c r="H20" s="475"/>
      <c r="I20" s="472">
        <f>K101</f>
        <v>0</v>
      </c>
      <c r="J20" s="475"/>
      <c r="K20" s="475"/>
      <c r="L20" s="475"/>
      <c r="M20" s="475"/>
      <c r="N20" s="475"/>
      <c r="O20" s="475"/>
      <c r="P20" s="475"/>
      <c r="Q20" s="475"/>
      <c r="R20" s="475"/>
      <c r="S20" s="688"/>
      <c r="T20" s="475"/>
      <c r="U20" s="475"/>
      <c r="V20" s="475"/>
      <c r="W20" s="475"/>
      <c r="X20" s="475"/>
      <c r="Y20" s="718"/>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F102</f>
        <v>0</v>
      </c>
      <c r="E21" s="472"/>
      <c r="F21" s="475"/>
      <c r="G21" s="625"/>
      <c r="H21" s="475"/>
      <c r="I21" s="472">
        <f t="shared" ref="I21:I40" si="4">K102</f>
        <v>0</v>
      </c>
      <c r="J21" s="475"/>
      <c r="K21" s="475"/>
      <c r="L21" s="475"/>
      <c r="M21" s="475"/>
      <c r="N21" s="475"/>
      <c r="O21" s="475"/>
      <c r="P21" s="475"/>
      <c r="Q21" s="475"/>
      <c r="R21" s="475"/>
      <c r="S21" s="688"/>
      <c r="T21" s="475"/>
      <c r="U21" s="475"/>
      <c r="V21" s="475"/>
      <c r="W21" s="475"/>
      <c r="X21" s="475"/>
      <c r="Y21" s="718"/>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718"/>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718"/>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718"/>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718"/>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718"/>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718"/>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718"/>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718"/>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718"/>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718"/>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718"/>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718"/>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718"/>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718"/>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718"/>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718"/>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718"/>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718"/>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718"/>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718"/>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F128</f>
        <v>0</v>
      </c>
      <c r="E42" s="472"/>
      <c r="F42" s="475">
        <v>0</v>
      </c>
      <c r="G42" s="475"/>
      <c r="H42" s="475"/>
      <c r="I42" s="472">
        <f t="shared" ref="I42:I64" si="6">K128</f>
        <v>0</v>
      </c>
      <c r="J42" s="475"/>
      <c r="K42" s="475"/>
      <c r="L42" s="475"/>
      <c r="M42" s="475"/>
      <c r="N42" s="475"/>
      <c r="O42" s="475"/>
      <c r="P42" s="475"/>
      <c r="Q42" s="475"/>
      <c r="R42" s="475"/>
      <c r="S42" s="688"/>
      <c r="T42" s="475"/>
      <c r="U42" s="475"/>
      <c r="V42" s="475"/>
      <c r="W42" s="475"/>
      <c r="X42" s="475"/>
      <c r="Y42" s="718"/>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718"/>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718"/>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718"/>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718"/>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718"/>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718"/>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718"/>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718"/>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718"/>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718"/>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718"/>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718"/>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718"/>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718"/>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718"/>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718"/>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718"/>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718"/>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718"/>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718"/>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718"/>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718"/>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718"/>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718"/>
      <c r="G66" s="718"/>
      <c r="H66" s="718"/>
      <c r="I66" s="723"/>
      <c r="J66" s="718"/>
      <c r="K66" s="718"/>
      <c r="L66" s="718"/>
      <c r="M66" s="718"/>
      <c r="N66" s="718"/>
      <c r="O66" s="718"/>
      <c r="P66" s="718"/>
      <c r="Q66" s="718"/>
      <c r="R66" s="718"/>
      <c r="S66" s="719"/>
      <c r="T66" s="718"/>
      <c r="U66" s="718"/>
      <c r="V66" s="718"/>
      <c r="W66" s="718"/>
      <c r="X66" s="718"/>
      <c r="Y66" s="718"/>
      <c r="Z66" s="718"/>
      <c r="AA66" s="718"/>
      <c r="AB66" s="718"/>
      <c r="AC66" s="718"/>
      <c r="AD66" s="563">
        <f t="shared" ref="AD66:AD75" si="9">SUM(E66:AC66)</f>
        <v>0</v>
      </c>
      <c r="AE66" s="649">
        <f t="shared" ref="AE66:AE75" si="10">AD66*D66</f>
        <v>0</v>
      </c>
      <c r="AF66" s="650" t="str">
        <f t="shared" ref="AF66:AF75" si="11">IF(AD66&lt;0,"buy","sell")</f>
        <v>sell</v>
      </c>
    </row>
    <row r="67" spans="1:32" s="356" customFormat="1" ht="12.75" customHeight="1" x14ac:dyDescent="0.2">
      <c r="A67" s="585" t="s">
        <v>224</v>
      </c>
      <c r="B67" s="584" t="s">
        <v>240</v>
      </c>
      <c r="C67" s="584" t="s">
        <v>151</v>
      </c>
      <c r="D67" s="655"/>
      <c r="E67" s="654"/>
      <c r="F67" s="475">
        <v>50</v>
      </c>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563">
        <f t="shared" si="9"/>
        <v>50</v>
      </c>
      <c r="AE67" s="649">
        <f t="shared" si="10"/>
        <v>0</v>
      </c>
      <c r="AF67" s="650" t="str">
        <f t="shared" si="11"/>
        <v>sell</v>
      </c>
    </row>
    <row r="68" spans="1:32" s="356" customFormat="1" ht="12.75" customHeight="1" x14ac:dyDescent="0.2">
      <c r="A68" s="585" t="s">
        <v>67</v>
      </c>
      <c r="B68" s="587" t="s">
        <v>240</v>
      </c>
      <c r="C68" s="584" t="s">
        <v>151</v>
      </c>
      <c r="D68" s="655"/>
      <c r="E68" s="654"/>
      <c r="F68" s="475">
        <v>25</v>
      </c>
      <c r="G68" s="475"/>
      <c r="H68" s="475"/>
      <c r="I68" s="475"/>
      <c r="J68" s="475"/>
      <c r="K68" s="475"/>
      <c r="L68" s="475"/>
      <c r="M68" s="475"/>
      <c r="N68" s="475"/>
      <c r="O68" s="475"/>
      <c r="P68" s="475"/>
      <c r="Q68" s="475"/>
      <c r="R68" s="475"/>
      <c r="S68" s="475"/>
      <c r="T68" s="475"/>
      <c r="U68" s="475"/>
      <c r="V68" s="475"/>
      <c r="W68" s="475"/>
      <c r="X68" s="475"/>
      <c r="Y68" s="475"/>
      <c r="Z68" s="475"/>
      <c r="AA68" s="475"/>
      <c r="AB68" s="475"/>
      <c r="AC68" s="475"/>
      <c r="AD68" s="563">
        <f t="shared" si="9"/>
        <v>25</v>
      </c>
      <c r="AE68" s="649">
        <f t="shared" si="10"/>
        <v>0</v>
      </c>
      <c r="AF68" s="650" t="str">
        <f t="shared" si="11"/>
        <v>sell</v>
      </c>
    </row>
    <row r="69" spans="1:32" s="356" customFormat="1" ht="12.75" customHeight="1" x14ac:dyDescent="0.2">
      <c r="A69" s="585" t="s">
        <v>381</v>
      </c>
      <c r="B69" s="587" t="s">
        <v>240</v>
      </c>
      <c r="C69" s="584" t="s">
        <v>151</v>
      </c>
      <c r="D69" s="655"/>
      <c r="E69" s="654"/>
      <c r="F69" s="475">
        <v>25</v>
      </c>
      <c r="G69" s="475"/>
      <c r="H69" s="475"/>
      <c r="I69" s="475"/>
      <c r="J69" s="475"/>
      <c r="K69" s="475"/>
      <c r="L69" s="475"/>
      <c r="M69" s="475"/>
      <c r="N69" s="475"/>
      <c r="O69" s="475"/>
      <c r="P69" s="475"/>
      <c r="Q69" s="475"/>
      <c r="R69" s="475"/>
      <c r="S69" s="475"/>
      <c r="T69" s="475"/>
      <c r="U69" s="475"/>
      <c r="V69" s="475"/>
      <c r="W69" s="475"/>
      <c r="X69" s="475"/>
      <c r="Y69" s="475"/>
      <c r="Z69" s="475"/>
      <c r="AA69" s="475"/>
      <c r="AB69" s="475"/>
      <c r="AC69" s="475"/>
      <c r="AD69" s="563">
        <f t="shared" si="9"/>
        <v>25</v>
      </c>
      <c r="AE69" s="649">
        <f t="shared" si="10"/>
        <v>0</v>
      </c>
      <c r="AF69" s="650" t="str">
        <f t="shared" si="11"/>
        <v>sell</v>
      </c>
    </row>
    <row r="70" spans="1:32" s="356" customFormat="1" ht="12.75" customHeight="1" x14ac:dyDescent="0.2">
      <c r="A70" s="585" t="s">
        <v>65</v>
      </c>
      <c r="B70" s="587" t="s">
        <v>240</v>
      </c>
      <c r="C70" s="584" t="s">
        <v>151</v>
      </c>
      <c r="D70" s="655"/>
      <c r="E70" s="654"/>
      <c r="F70" s="475"/>
      <c r="G70" s="475"/>
      <c r="H70" s="475"/>
      <c r="I70" s="475"/>
      <c r="J70" s="475"/>
      <c r="K70" s="475"/>
      <c r="L70" s="475"/>
      <c r="M70" s="475"/>
      <c r="N70" s="475"/>
      <c r="O70" s="475"/>
      <c r="P70" s="475"/>
      <c r="Q70" s="475"/>
      <c r="R70" s="475"/>
      <c r="S70" s="475"/>
      <c r="T70" s="475"/>
      <c r="U70" s="475"/>
      <c r="V70" s="475"/>
      <c r="W70" s="475"/>
      <c r="X70" s="475"/>
      <c r="Y70" s="475"/>
      <c r="Z70" s="475"/>
      <c r="AA70" s="475"/>
      <c r="AB70" s="475"/>
      <c r="AC70" s="475"/>
      <c r="AD70" s="563">
        <f>SUM(E70:AC70)</f>
        <v>0</v>
      </c>
      <c r="AE70" s="649">
        <f>AD70*D70</f>
        <v>0</v>
      </c>
      <c r="AF70" s="650" t="str">
        <f>IF(AD70&lt;0,"buy","sell")</f>
        <v>sell</v>
      </c>
    </row>
    <row r="71" spans="1:32" s="356" customFormat="1" ht="12.75" customHeight="1" x14ac:dyDescent="0.2">
      <c r="A71" s="585" t="s">
        <v>224</v>
      </c>
      <c r="B71" s="587" t="s">
        <v>240</v>
      </c>
      <c r="C71" s="584" t="s">
        <v>151</v>
      </c>
      <c r="D71" s="655"/>
      <c r="E71" s="654"/>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63">
        <f t="shared" si="9"/>
        <v>400</v>
      </c>
      <c r="AE71" s="649">
        <f t="shared" si="10"/>
        <v>0</v>
      </c>
      <c r="AF71" s="650" t="str">
        <f t="shared" si="11"/>
        <v>sell</v>
      </c>
    </row>
    <row r="72" spans="1:32" s="356" customFormat="1" ht="12.75" customHeight="1" x14ac:dyDescent="0.2">
      <c r="A72" s="585" t="s">
        <v>382</v>
      </c>
      <c r="B72" s="584" t="s">
        <v>240</v>
      </c>
      <c r="C72" s="584" t="s">
        <v>151</v>
      </c>
      <c r="D72" s="655"/>
      <c r="E72" s="654"/>
      <c r="F72" s="475"/>
      <c r="G72" s="475"/>
      <c r="H72" s="475"/>
      <c r="I72" s="475"/>
      <c r="J72" s="475"/>
      <c r="K72" s="475"/>
      <c r="L72" s="475"/>
      <c r="M72" s="475">
        <v>25</v>
      </c>
      <c r="N72" s="475">
        <v>25</v>
      </c>
      <c r="O72" s="475">
        <v>25</v>
      </c>
      <c r="P72" s="475">
        <v>25</v>
      </c>
      <c r="Q72" s="475">
        <v>25</v>
      </c>
      <c r="R72" s="475">
        <v>25</v>
      </c>
      <c r="S72" s="475">
        <v>25</v>
      </c>
      <c r="T72" s="475">
        <v>25</v>
      </c>
      <c r="U72" s="475">
        <v>25</v>
      </c>
      <c r="V72" s="475">
        <v>25</v>
      </c>
      <c r="W72" s="475">
        <v>25</v>
      </c>
      <c r="X72" s="475">
        <v>25</v>
      </c>
      <c r="Y72" s="475">
        <v>25</v>
      </c>
      <c r="Z72" s="475">
        <v>25</v>
      </c>
      <c r="AA72" s="475">
        <v>25</v>
      </c>
      <c r="AB72" s="475">
        <v>25</v>
      </c>
      <c r="AC72" s="475"/>
      <c r="AD72" s="563">
        <f t="shared" si="9"/>
        <v>400</v>
      </c>
      <c r="AE72" s="649">
        <f t="shared" si="10"/>
        <v>0</v>
      </c>
      <c r="AF72" s="650" t="str">
        <f t="shared" si="11"/>
        <v>sell</v>
      </c>
    </row>
    <row r="73" spans="1:32" s="356" customFormat="1" ht="12.75" customHeight="1" x14ac:dyDescent="0.2">
      <c r="A73" s="585" t="s">
        <v>224</v>
      </c>
      <c r="B73" s="584" t="s">
        <v>240</v>
      </c>
      <c r="C73" s="584" t="s">
        <v>268</v>
      </c>
      <c r="D73" s="655">
        <v>22.25</v>
      </c>
      <c r="E73" s="654"/>
      <c r="F73" s="475">
        <v>25</v>
      </c>
      <c r="G73" s="475">
        <v>25</v>
      </c>
      <c r="H73" s="475">
        <v>25</v>
      </c>
      <c r="I73" s="475">
        <v>25</v>
      </c>
      <c r="J73" s="475">
        <v>25</v>
      </c>
      <c r="K73" s="475">
        <v>25</v>
      </c>
      <c r="L73" s="475">
        <v>25</v>
      </c>
      <c r="M73" s="688"/>
      <c r="N73" s="688"/>
      <c r="O73" s="688"/>
      <c r="P73" s="688"/>
      <c r="Q73" s="688"/>
      <c r="R73" s="688"/>
      <c r="S73" s="688"/>
      <c r="T73" s="688"/>
      <c r="U73" s="688"/>
      <c r="V73" s="688"/>
      <c r="W73" s="688"/>
      <c r="X73" s="688"/>
      <c r="Y73" s="688"/>
      <c r="Z73" s="688"/>
      <c r="AA73" s="688"/>
      <c r="AB73" s="688"/>
      <c r="AC73" s="475">
        <v>25</v>
      </c>
      <c r="AD73" s="563">
        <f>SUM(E73:AC73)</f>
        <v>200</v>
      </c>
      <c r="AE73" s="649">
        <f>AD73*D73</f>
        <v>4450</v>
      </c>
      <c r="AF73" s="650" t="str">
        <f>IF(AD73&lt;0,"buy","sell")</f>
        <v>sell</v>
      </c>
    </row>
    <row r="74" spans="1:32" s="356" customFormat="1" ht="12.75" customHeight="1" x14ac:dyDescent="0.2">
      <c r="A74" s="585" t="s">
        <v>63</v>
      </c>
      <c r="B74" s="584" t="s">
        <v>240</v>
      </c>
      <c r="C74" s="584" t="s">
        <v>268</v>
      </c>
      <c r="D74" s="655"/>
      <c r="E74" s="654"/>
      <c r="F74" s="475"/>
      <c r="G74" s="475"/>
      <c r="H74" s="475"/>
      <c r="I74" s="475"/>
      <c r="J74" s="475"/>
      <c r="K74" s="475"/>
      <c r="L74" s="475"/>
      <c r="M74" s="475">
        <v>30</v>
      </c>
      <c r="N74" s="475">
        <v>30</v>
      </c>
      <c r="O74" s="475">
        <v>30</v>
      </c>
      <c r="P74" s="475">
        <v>30</v>
      </c>
      <c r="Q74" s="475">
        <v>30</v>
      </c>
      <c r="R74" s="475">
        <v>30</v>
      </c>
      <c r="S74" s="475">
        <v>30</v>
      </c>
      <c r="T74" s="475">
        <v>30</v>
      </c>
      <c r="U74" s="475">
        <v>30</v>
      </c>
      <c r="V74" s="475">
        <v>30</v>
      </c>
      <c r="W74" s="475">
        <v>30</v>
      </c>
      <c r="X74" s="475">
        <v>30</v>
      </c>
      <c r="Y74" s="475">
        <v>30</v>
      </c>
      <c r="Z74" s="475">
        <v>30</v>
      </c>
      <c r="AA74" s="475">
        <v>30</v>
      </c>
      <c r="AB74" s="475">
        <v>30</v>
      </c>
      <c r="AC74" s="475"/>
      <c r="AD74" s="563">
        <f>SUM(E74:AC74)</f>
        <v>480</v>
      </c>
      <c r="AE74" s="649">
        <f>AD74*D74</f>
        <v>0</v>
      </c>
      <c r="AF74" s="650" t="str">
        <f>IF(AD74&lt;0,"buy","sell")</f>
        <v>sell</v>
      </c>
    </row>
    <row r="75" spans="1:32" s="356" customFormat="1" ht="12.75" customHeight="1" x14ac:dyDescent="0.2">
      <c r="A75" s="585"/>
      <c r="B75" s="584"/>
      <c r="C75" s="584"/>
      <c r="D75" s="655"/>
      <c r="E75" s="654"/>
      <c r="F75" s="475"/>
      <c r="G75" s="475"/>
      <c r="H75" s="475"/>
      <c r="I75" s="475"/>
      <c r="J75" s="475"/>
      <c r="K75" s="475"/>
      <c r="L75" s="475"/>
      <c r="M75" s="475"/>
      <c r="N75" s="475"/>
      <c r="O75" s="475"/>
      <c r="P75" s="475"/>
      <c r="Q75" s="475"/>
      <c r="R75" s="475"/>
      <c r="S75" s="688"/>
      <c r="T75" s="688"/>
      <c r="U75" s="688"/>
      <c r="V75" s="688"/>
      <c r="W75" s="688"/>
      <c r="X75" s="688"/>
      <c r="Y75" s="688"/>
      <c r="Z75" s="688"/>
      <c r="AA75" s="688"/>
      <c r="AB75" s="688"/>
      <c r="AC75" s="475"/>
      <c r="AD75" s="563">
        <f t="shared" si="9"/>
        <v>0</v>
      </c>
      <c r="AE75" s="649">
        <f t="shared" si="10"/>
        <v>0</v>
      </c>
      <c r="AF75" s="650" t="str">
        <f t="shared" si="11"/>
        <v>sell</v>
      </c>
    </row>
    <row r="76" spans="1:32" s="356" customFormat="1" ht="15" x14ac:dyDescent="0.25">
      <c r="A76" s="692" t="s">
        <v>361</v>
      </c>
      <c r="B76" s="643"/>
      <c r="C76" s="578"/>
      <c r="D76" s="643"/>
      <c r="E76" s="363"/>
      <c r="F76" s="624"/>
      <c r="G76" s="624"/>
      <c r="H76" s="624"/>
      <c r="I76" s="624"/>
      <c r="J76" s="624"/>
      <c r="K76" s="624"/>
      <c r="L76" s="624"/>
      <c r="M76" s="624"/>
      <c r="N76" s="624"/>
      <c r="O76" s="624"/>
      <c r="P76" s="624"/>
      <c r="Q76" s="624"/>
      <c r="R76" s="624"/>
      <c r="S76" s="687"/>
      <c r="T76" s="624"/>
      <c r="U76" s="624"/>
      <c r="V76" s="624"/>
      <c r="W76" s="624"/>
      <c r="X76" s="624"/>
      <c r="Y76" s="624"/>
      <c r="Z76" s="624"/>
      <c r="AA76" s="624"/>
      <c r="AB76" s="624"/>
      <c r="AC76" s="624"/>
      <c r="AD76" s="643"/>
      <c r="AE76" s="646"/>
      <c r="AF76" s="646"/>
    </row>
    <row r="77" spans="1:32" s="356" customFormat="1" x14ac:dyDescent="0.2">
      <c r="A77" s="586"/>
      <c r="B77" s="589"/>
      <c r="C77" s="589"/>
      <c r="D77" s="588"/>
      <c r="E77" s="583"/>
      <c r="F77" s="656"/>
      <c r="G77" s="656"/>
      <c r="H77" s="656"/>
      <c r="I77" s="656"/>
      <c r="J77" s="656"/>
      <c r="K77" s="656"/>
      <c r="L77" s="656"/>
      <c r="M77" s="656"/>
      <c r="N77" s="656"/>
      <c r="O77" s="656"/>
      <c r="P77" s="656"/>
      <c r="Q77" s="656"/>
      <c r="R77" s="656"/>
      <c r="S77" s="689"/>
      <c r="T77" s="656"/>
      <c r="U77" s="656"/>
      <c r="V77" s="656"/>
      <c r="W77" s="656"/>
      <c r="X77" s="656"/>
      <c r="Y77" s="656"/>
      <c r="Z77" s="656"/>
      <c r="AA77" s="656"/>
      <c r="AB77" s="656"/>
      <c r="AC77" s="656"/>
      <c r="AD77" s="563">
        <f>SUM(E77:AC77)</f>
        <v>0</v>
      </c>
      <c r="AE77" s="649">
        <f>AD77*D77</f>
        <v>0</v>
      </c>
      <c r="AF77" s="650" t="str">
        <f>IF(AD77&lt;0,"buy","sell")</f>
        <v>sell</v>
      </c>
    </row>
    <row r="78" spans="1:32" s="356" customFormat="1" x14ac:dyDescent="0.2">
      <c r="A78" s="586" t="s">
        <v>384</v>
      </c>
      <c r="B78" s="589" t="s">
        <v>385</v>
      </c>
      <c r="C78" s="589" t="s">
        <v>151</v>
      </c>
      <c r="D78" s="588">
        <v>35</v>
      </c>
      <c r="E78" s="583"/>
      <c r="F78" s="656"/>
      <c r="G78" s="656"/>
      <c r="H78" s="656"/>
      <c r="I78" s="656"/>
      <c r="J78" s="656"/>
      <c r="K78" s="656"/>
      <c r="L78" s="656"/>
      <c r="M78" s="656"/>
      <c r="N78" s="656"/>
      <c r="O78" s="656"/>
      <c r="P78" s="656"/>
      <c r="Q78" s="656"/>
      <c r="R78" s="656"/>
      <c r="S78" s="689"/>
      <c r="T78" s="656"/>
      <c r="U78" s="656"/>
      <c r="V78" s="656"/>
      <c r="W78" s="656"/>
      <c r="X78" s="656"/>
      <c r="Y78" s="656"/>
      <c r="Z78" s="656">
        <v>25</v>
      </c>
      <c r="AA78" s="656"/>
      <c r="AB78" s="656"/>
      <c r="AC78" s="656"/>
      <c r="AD78" s="563">
        <f>SUM(E78:AC78)</f>
        <v>25</v>
      </c>
      <c r="AE78" s="649">
        <f>AD78*D78</f>
        <v>875</v>
      </c>
      <c r="AF78" s="650" t="str">
        <f>IF(AD78&lt;0,"buy","sell")</f>
        <v>sell</v>
      </c>
    </row>
    <row r="79" spans="1:32" s="356" customFormat="1" x14ac:dyDescent="0.2">
      <c r="A79" s="586"/>
      <c r="B79" s="589"/>
      <c r="C79" s="589"/>
      <c r="D79" s="588"/>
      <c r="E79" s="583"/>
      <c r="F79" s="656"/>
      <c r="G79" s="656"/>
      <c r="H79" s="656"/>
      <c r="I79" s="656"/>
      <c r="J79" s="656"/>
      <c r="K79" s="656"/>
      <c r="L79" s="656"/>
      <c r="M79" s="656"/>
      <c r="N79" s="656"/>
      <c r="O79" s="656"/>
      <c r="P79" s="656"/>
      <c r="Q79" s="656"/>
      <c r="R79" s="656"/>
      <c r="S79" s="689"/>
      <c r="T79" s="656"/>
      <c r="U79" s="656"/>
      <c r="V79" s="656"/>
      <c r="W79" s="656"/>
      <c r="X79" s="656"/>
      <c r="Y79" s="656"/>
      <c r="Z79" s="656"/>
      <c r="AA79" s="656"/>
      <c r="AB79" s="656"/>
      <c r="AC79" s="656"/>
      <c r="AD79" s="563">
        <f>SUM(E79:AC79)</f>
        <v>0</v>
      </c>
      <c r="AE79" s="649">
        <f>AD79*D79</f>
        <v>0</v>
      </c>
      <c r="AF79" s="650" t="str">
        <f>IF(AD79&lt;0,"buy","sell")</f>
        <v>sell</v>
      </c>
    </row>
    <row r="80" spans="1:32" s="356" customFormat="1" ht="15" x14ac:dyDescent="0.25">
      <c r="A80" s="692" t="s">
        <v>358</v>
      </c>
      <c r="B80" s="643"/>
      <c r="C80" s="578"/>
      <c r="D80" s="643"/>
      <c r="E80" s="363"/>
      <c r="F80" s="624"/>
      <c r="G80" s="624"/>
      <c r="H80" s="624"/>
      <c r="I80" s="624"/>
      <c r="J80" s="624"/>
      <c r="K80" s="624"/>
      <c r="L80" s="624"/>
      <c r="M80" s="624"/>
      <c r="N80" s="624"/>
      <c r="O80" s="624"/>
      <c r="P80" s="624"/>
      <c r="Q80" s="624"/>
      <c r="R80" s="624"/>
      <c r="S80" s="624"/>
      <c r="T80" s="624"/>
      <c r="U80" s="624"/>
      <c r="V80" s="624"/>
      <c r="W80" s="624"/>
      <c r="X80" s="624"/>
      <c r="Y80" s="624"/>
      <c r="Z80" s="624"/>
      <c r="AA80" s="624"/>
      <c r="AB80" s="624"/>
      <c r="AC80" s="624"/>
      <c r="AD80" s="643"/>
      <c r="AE80" s="646"/>
      <c r="AF80" s="646"/>
    </row>
    <row r="81" spans="1:33" s="356" customFormat="1" ht="12.75" customHeight="1" x14ac:dyDescent="0.2">
      <c r="A81" s="585" t="s">
        <v>382</v>
      </c>
      <c r="B81" s="584" t="s">
        <v>240</v>
      </c>
      <c r="C81" s="584" t="s">
        <v>151</v>
      </c>
      <c r="D81" s="655">
        <v>121</v>
      </c>
      <c r="E81" s="654"/>
      <c r="F81" s="475"/>
      <c r="G81" s="475"/>
      <c r="H81" s="475"/>
      <c r="I81" s="475"/>
      <c r="J81" s="475"/>
      <c r="K81" s="475"/>
      <c r="L81" s="475"/>
      <c r="M81" s="475">
        <v>-25</v>
      </c>
      <c r="N81" s="475">
        <v>-25</v>
      </c>
      <c r="O81" s="475">
        <v>-25</v>
      </c>
      <c r="P81" s="475">
        <v>-25</v>
      </c>
      <c r="Q81" s="475">
        <v>-25</v>
      </c>
      <c r="R81" s="475">
        <v>-25</v>
      </c>
      <c r="S81" s="475">
        <v>-25</v>
      </c>
      <c r="T81" s="475">
        <v>-25</v>
      </c>
      <c r="U81" s="475">
        <v>-25</v>
      </c>
      <c r="V81" s="475">
        <v>-25</v>
      </c>
      <c r="W81" s="475">
        <v>-25</v>
      </c>
      <c r="X81" s="475">
        <v>-25</v>
      </c>
      <c r="Y81" s="475">
        <v>-25</v>
      </c>
      <c r="Z81" s="475">
        <v>-25</v>
      </c>
      <c r="AA81" s="475">
        <v>-25</v>
      </c>
      <c r="AB81" s="475">
        <v>-25</v>
      </c>
      <c r="AC81" s="475"/>
      <c r="AD81" s="563">
        <f>SUM(E81:AC81)</f>
        <v>-400</v>
      </c>
      <c r="AE81" s="649">
        <f>AD81*D81</f>
        <v>-48400</v>
      </c>
      <c r="AF81" s="650" t="str">
        <f>IF(AD81&lt;0,"buy","sell")</f>
        <v>buy</v>
      </c>
    </row>
    <row r="82" spans="1:33" s="356" customFormat="1" ht="12.75" customHeight="1" x14ac:dyDescent="0.2">
      <c r="A82" s="585" t="s">
        <v>381</v>
      </c>
      <c r="B82" s="584" t="s">
        <v>240</v>
      </c>
      <c r="C82" s="584" t="s">
        <v>151</v>
      </c>
      <c r="D82" s="655">
        <v>121</v>
      </c>
      <c r="E82" s="654"/>
      <c r="F82" s="475"/>
      <c r="G82" s="475"/>
      <c r="H82" s="475"/>
      <c r="I82" s="475"/>
      <c r="J82" s="475"/>
      <c r="K82" s="475"/>
      <c r="L82" s="475"/>
      <c r="M82" s="475">
        <v>-25</v>
      </c>
      <c r="N82" s="475">
        <v>-25</v>
      </c>
      <c r="O82" s="475">
        <v>-25</v>
      </c>
      <c r="P82" s="475">
        <v>-25</v>
      </c>
      <c r="Q82" s="475">
        <v>-25</v>
      </c>
      <c r="R82" s="475">
        <v>-25</v>
      </c>
      <c r="S82" s="475">
        <v>-25</v>
      </c>
      <c r="T82" s="475">
        <v>-25</v>
      </c>
      <c r="U82" s="475">
        <v>-25</v>
      </c>
      <c r="V82" s="475">
        <v>-25</v>
      </c>
      <c r="W82" s="475">
        <v>-25</v>
      </c>
      <c r="X82" s="475">
        <v>-25</v>
      </c>
      <c r="Y82" s="475">
        <v>-25</v>
      </c>
      <c r="Z82" s="475">
        <v>-25</v>
      </c>
      <c r="AA82" s="475">
        <v>-25</v>
      </c>
      <c r="AB82" s="475">
        <v>-25</v>
      </c>
      <c r="AC82" s="475"/>
      <c r="AD82" s="563">
        <f>SUM(E82:AC82)</f>
        <v>-400</v>
      </c>
      <c r="AE82" s="649">
        <f>AD82*D82</f>
        <v>-48400</v>
      </c>
      <c r="AF82" s="650" t="str">
        <f>IF(AD82&lt;0,"buy","sell")</f>
        <v>buy</v>
      </c>
    </row>
    <row r="83" spans="1:33" s="356" customFormat="1" x14ac:dyDescent="0.2">
      <c r="A83" s="585" t="s">
        <v>63</v>
      </c>
      <c r="B83" s="584" t="s">
        <v>240</v>
      </c>
      <c r="C83" s="584" t="s">
        <v>151</v>
      </c>
      <c r="D83" s="655">
        <v>141.4</v>
      </c>
      <c r="E83" s="654"/>
      <c r="F83" s="475"/>
      <c r="G83" s="475"/>
      <c r="H83" s="475"/>
      <c r="I83" s="475"/>
      <c r="J83" s="475"/>
      <c r="K83" s="475"/>
      <c r="L83" s="475"/>
      <c r="M83" s="475">
        <v>-25</v>
      </c>
      <c r="N83" s="475">
        <v>-25</v>
      </c>
      <c r="O83" s="475">
        <v>-25</v>
      </c>
      <c r="P83" s="475">
        <v>-25</v>
      </c>
      <c r="Q83" s="475">
        <v>-25</v>
      </c>
      <c r="R83" s="475">
        <v>-25</v>
      </c>
      <c r="S83" s="475">
        <v>-25</v>
      </c>
      <c r="T83" s="475">
        <v>-25</v>
      </c>
      <c r="U83" s="475">
        <v>-25</v>
      </c>
      <c r="V83" s="475">
        <v>-25</v>
      </c>
      <c r="W83" s="475">
        <v>-25</v>
      </c>
      <c r="X83" s="475">
        <v>-25</v>
      </c>
      <c r="Y83" s="475">
        <v>-25</v>
      </c>
      <c r="Z83" s="475">
        <v>-25</v>
      </c>
      <c r="AA83" s="475">
        <v>-25</v>
      </c>
      <c r="AB83" s="475">
        <v>-25</v>
      </c>
      <c r="AC83" s="475"/>
      <c r="AD83" s="563">
        <f>SUM(E83:AC83)</f>
        <v>-400</v>
      </c>
      <c r="AE83" s="649">
        <f>AD83*D83</f>
        <v>-56560</v>
      </c>
      <c r="AF83" s="650" t="str">
        <f>IF(AD83&lt;0,"buy","sell")</f>
        <v>buy</v>
      </c>
    </row>
    <row r="84" spans="1:33" s="356" customFormat="1" ht="15" x14ac:dyDescent="0.25">
      <c r="A84" s="693" t="s">
        <v>359</v>
      </c>
      <c r="B84" s="537"/>
      <c r="C84" s="537"/>
      <c r="D84" s="537"/>
      <c r="E84" s="579"/>
      <c r="F84" s="537"/>
      <c r="G84" s="537"/>
      <c r="H84" s="537"/>
      <c r="I84" s="537"/>
      <c r="J84" s="537"/>
      <c r="K84" s="537"/>
      <c r="L84" s="537"/>
      <c r="M84" s="537"/>
      <c r="N84" s="537"/>
      <c r="O84" s="537"/>
      <c r="P84" s="537"/>
      <c r="Q84" s="537"/>
      <c r="R84" s="537"/>
      <c r="S84" s="690"/>
      <c r="T84" s="537"/>
      <c r="U84" s="537"/>
      <c r="V84" s="537"/>
      <c r="W84" s="537"/>
      <c r="X84" s="537"/>
      <c r="Y84" s="720"/>
      <c r="Z84" s="537"/>
      <c r="AA84" s="537"/>
      <c r="AB84" s="537"/>
      <c r="AC84" s="537"/>
      <c r="AD84" s="537"/>
      <c r="AE84" s="537"/>
      <c r="AF84" s="537"/>
      <c r="AG84" s="466"/>
    </row>
    <row r="85" spans="1:33" s="356" customFormat="1" x14ac:dyDescent="0.2">
      <c r="A85" s="682"/>
      <c r="B85" s="589"/>
      <c r="C85" s="683"/>
      <c r="D85" s="588"/>
      <c r="E85" s="684"/>
      <c r="F85" s="656"/>
      <c r="G85" s="685"/>
      <c r="H85" s="685"/>
      <c r="I85" s="685"/>
      <c r="J85" s="685"/>
      <c r="K85" s="685"/>
      <c r="L85" s="685"/>
      <c r="M85" s="685"/>
      <c r="N85" s="685"/>
      <c r="O85" s="685"/>
      <c r="P85" s="685"/>
      <c r="Q85" s="685"/>
      <c r="R85" s="685"/>
      <c r="S85" s="691"/>
      <c r="T85" s="685"/>
      <c r="U85" s="685"/>
      <c r="V85" s="685"/>
      <c r="W85" s="685"/>
      <c r="X85" s="685"/>
      <c r="Y85" s="721"/>
      <c r="Z85" s="685"/>
      <c r="AA85" s="685"/>
      <c r="AB85" s="685"/>
      <c r="AC85" s="685"/>
      <c r="AD85" s="563">
        <f>SUM(AA85:AC85)</f>
        <v>0</v>
      </c>
      <c r="AE85" s="649">
        <f>AD85*D85</f>
        <v>0</v>
      </c>
      <c r="AF85" s="650"/>
    </row>
    <row r="86" spans="1:33" s="356" customFormat="1" x14ac:dyDescent="0.2">
      <c r="A86" s="682"/>
      <c r="B86" s="589"/>
      <c r="C86" s="683"/>
      <c r="D86" s="588"/>
      <c r="E86" s="684"/>
      <c r="F86" s="656"/>
      <c r="G86" s="685"/>
      <c r="H86" s="685"/>
      <c r="I86" s="685"/>
      <c r="J86" s="685"/>
      <c r="K86" s="685"/>
      <c r="L86" s="685"/>
      <c r="M86" s="685"/>
      <c r="N86" s="685"/>
      <c r="O86" s="685"/>
      <c r="P86" s="685"/>
      <c r="Q86" s="685"/>
      <c r="R86" s="685"/>
      <c r="S86" s="685"/>
      <c r="T86" s="685"/>
      <c r="U86" s="685"/>
      <c r="V86" s="685"/>
      <c r="W86" s="685"/>
      <c r="X86" s="685"/>
      <c r="Y86" s="721"/>
      <c r="Z86" s="685"/>
      <c r="AA86" s="685"/>
      <c r="AB86" s="685"/>
      <c r="AC86" s="685"/>
      <c r="AD86" s="563">
        <f>SUM(AA86:AC86)</f>
        <v>0</v>
      </c>
      <c r="AE86" s="649">
        <f>AD86*D86</f>
        <v>0</v>
      </c>
      <c r="AF86" s="650"/>
    </row>
    <row r="87" spans="1:33" s="356" customFormat="1" ht="15" x14ac:dyDescent="0.25">
      <c r="A87" s="693" t="s">
        <v>362</v>
      </c>
      <c r="B87" s="537"/>
      <c r="C87" s="537"/>
      <c r="D87" s="537"/>
      <c r="E87" s="579"/>
      <c r="F87" s="537"/>
      <c r="G87" s="537"/>
      <c r="H87" s="537"/>
      <c r="I87" s="537"/>
      <c r="J87" s="537"/>
      <c r="K87" s="537"/>
      <c r="L87" s="537"/>
      <c r="M87" s="537"/>
      <c r="N87" s="537"/>
      <c r="O87" s="537"/>
      <c r="P87" s="537"/>
      <c r="Q87" s="537"/>
      <c r="R87" s="537"/>
      <c r="S87" s="537"/>
      <c r="T87" s="537"/>
      <c r="U87" s="537"/>
      <c r="V87" s="537"/>
      <c r="W87" s="537"/>
      <c r="X87" s="537"/>
      <c r="Y87" s="720"/>
      <c r="Z87" s="537"/>
      <c r="AA87" s="537"/>
      <c r="AB87" s="537"/>
      <c r="AC87" s="537"/>
      <c r="AD87" s="537"/>
      <c r="AE87" s="537"/>
      <c r="AF87" s="537"/>
      <c r="AG87" s="466"/>
    </row>
    <row r="88" spans="1:33" s="356" customFormat="1" x14ac:dyDescent="0.2">
      <c r="A88" s="542"/>
      <c r="B88" s="547"/>
      <c r="C88" s="547"/>
      <c r="D88" s="661"/>
      <c r="E88" s="544"/>
      <c r="F88" s="544"/>
      <c r="G88" s="544"/>
      <c r="H88" s="544"/>
      <c r="I88" s="544"/>
      <c r="J88" s="544"/>
      <c r="K88" s="544"/>
      <c r="L88" s="544"/>
      <c r="M88" s="544"/>
      <c r="N88" s="544"/>
      <c r="O88" s="544"/>
      <c r="P88" s="544"/>
      <c r="Q88" s="544"/>
      <c r="R88" s="544"/>
      <c r="S88" s="544"/>
      <c r="T88" s="544"/>
      <c r="U88" s="544"/>
      <c r="V88" s="544"/>
      <c r="W88" s="544"/>
      <c r="X88" s="544"/>
      <c r="Y88" s="722"/>
      <c r="Z88" s="544"/>
      <c r="AA88" s="544"/>
      <c r="AB88" s="544"/>
      <c r="AC88" s="544"/>
      <c r="AD88" s="563">
        <f>SUM(AA88:AC88)</f>
        <v>0</v>
      </c>
      <c r="AE88" s="649">
        <f>AD88*D88</f>
        <v>0</v>
      </c>
      <c r="AF88" s="650" t="str">
        <f>IF(AD88&lt;0,"buy","sell")</f>
        <v>sell</v>
      </c>
    </row>
    <row r="89" spans="1:33" s="356" customFormat="1" x14ac:dyDescent="0.2">
      <c r="A89" s="542"/>
      <c r="B89" s="547"/>
      <c r="C89" s="547"/>
      <c r="D89" s="661"/>
      <c r="E89" s="544"/>
      <c r="F89" s="544"/>
      <c r="G89" s="544"/>
      <c r="H89" s="544"/>
      <c r="I89" s="544"/>
      <c r="J89" s="544"/>
      <c r="K89" s="544"/>
      <c r="L89" s="544"/>
      <c r="M89" s="544"/>
      <c r="N89" s="544"/>
      <c r="O89" s="544"/>
      <c r="P89" s="544"/>
      <c r="Q89" s="544"/>
      <c r="R89" s="544"/>
      <c r="S89" s="544"/>
      <c r="T89" s="544"/>
      <c r="U89" s="544"/>
      <c r="V89" s="544"/>
      <c r="W89" s="544"/>
      <c r="X89" s="544"/>
      <c r="Y89" s="722"/>
      <c r="Z89" s="544"/>
      <c r="AA89" s="544"/>
      <c r="AB89" s="544"/>
      <c r="AC89" s="544"/>
      <c r="AD89" s="563">
        <f>SUM(E89:AC89)</f>
        <v>0</v>
      </c>
      <c r="AE89" s="649">
        <f>AD89*D89</f>
        <v>0</v>
      </c>
      <c r="AF89" s="650" t="str">
        <f>IF(AD89&lt;0,"buy","sell")</f>
        <v>sell</v>
      </c>
    </row>
    <row r="90" spans="1:33" s="356" customFormat="1" x14ac:dyDescent="0.2">
      <c r="A90" s="542"/>
      <c r="B90" s="547"/>
      <c r="C90" s="547"/>
      <c r="D90" s="661"/>
      <c r="E90" s="544"/>
      <c r="F90" s="544"/>
      <c r="G90" s="544"/>
      <c r="H90" s="544"/>
      <c r="I90" s="544"/>
      <c r="J90" s="544"/>
      <c r="K90" s="544"/>
      <c r="L90" s="544"/>
      <c r="M90" s="544"/>
      <c r="N90" s="544"/>
      <c r="O90" s="544"/>
      <c r="P90" s="544"/>
      <c r="Q90" s="544"/>
      <c r="R90" s="544"/>
      <c r="S90" s="544"/>
      <c r="T90" s="544"/>
      <c r="U90" s="544"/>
      <c r="V90" s="544"/>
      <c r="W90" s="544"/>
      <c r="X90" s="544"/>
      <c r="Y90" s="722"/>
      <c r="Z90" s="544"/>
      <c r="AA90" s="544"/>
      <c r="AB90" s="544"/>
      <c r="AC90" s="544"/>
      <c r="AD90" s="563">
        <f>SUM(AA90:AC90)</f>
        <v>0</v>
      </c>
      <c r="AE90" s="649">
        <f>AD90*D90</f>
        <v>0</v>
      </c>
      <c r="AF90" s="650" t="str">
        <f>IF(AD90&lt;0,"buy","sell")</f>
        <v>sell</v>
      </c>
    </row>
    <row r="91" spans="1:33" s="356" customFormat="1" x14ac:dyDescent="0.2">
      <c r="A91" s="542"/>
      <c r="B91" s="547"/>
      <c r="C91" s="547"/>
      <c r="D91" s="543"/>
      <c r="E91" s="544"/>
      <c r="F91" s="544"/>
      <c r="G91" s="544"/>
      <c r="H91" s="544"/>
      <c r="I91" s="544"/>
      <c r="J91" s="544"/>
      <c r="K91" s="544"/>
      <c r="L91" s="544"/>
      <c r="M91" s="544"/>
      <c r="N91" s="544"/>
      <c r="O91" s="544"/>
      <c r="P91" s="544"/>
      <c r="Q91" s="544"/>
      <c r="R91" s="544"/>
      <c r="S91" s="544"/>
      <c r="T91" s="544"/>
      <c r="U91" s="544"/>
      <c r="V91" s="544"/>
      <c r="W91" s="544"/>
      <c r="X91" s="544"/>
      <c r="Y91" s="722"/>
      <c r="Z91" s="544"/>
      <c r="AA91" s="544"/>
      <c r="AB91" s="544"/>
      <c r="AC91" s="544"/>
      <c r="AD91" s="553">
        <f>SUM(F96:AC96)</f>
        <v>0</v>
      </c>
      <c r="AE91" s="554">
        <f>AD91*D91</f>
        <v>0</v>
      </c>
      <c r="AF91" s="525" t="str">
        <f>IF(AD91&lt;0,"buy","sell")</f>
        <v>sell</v>
      </c>
    </row>
    <row r="92" spans="1:33" s="356" customFormat="1" x14ac:dyDescent="0.2">
      <c r="A92" s="545" t="s">
        <v>206</v>
      </c>
      <c r="B92" s="480"/>
      <c r="C92" s="480"/>
      <c r="D92" s="480"/>
      <c r="E92" s="480"/>
      <c r="F92" s="480"/>
      <c r="G92" s="480"/>
      <c r="H92" s="480"/>
      <c r="I92" s="480"/>
      <c r="J92" s="480"/>
      <c r="K92" s="480"/>
      <c r="L92" s="480"/>
      <c r="M92" s="480"/>
      <c r="N92" s="480"/>
      <c r="O92" s="480"/>
      <c r="P92" s="480"/>
      <c r="Q92" s="480"/>
      <c r="R92" s="480"/>
      <c r="S92" s="480"/>
      <c r="T92" s="480"/>
      <c r="U92" s="480"/>
      <c r="V92" s="480"/>
      <c r="W92" s="480"/>
      <c r="X92" s="480"/>
      <c r="Y92" s="480"/>
      <c r="Z92" s="480"/>
      <c r="AA92" s="480"/>
      <c r="AB92" s="480"/>
      <c r="AC92" s="480"/>
      <c r="AD92" s="480"/>
      <c r="AE92" s="480"/>
      <c r="AF92" s="480"/>
    </row>
    <row r="93" spans="1:33" s="356" customFormat="1" x14ac:dyDescent="0.2">
      <c r="B93" s="364"/>
      <c r="C93" s="364"/>
      <c r="D93" s="365"/>
      <c r="E93" s="365"/>
      <c r="F93" s="364"/>
      <c r="G93" s="366"/>
      <c r="H93" s="366"/>
      <c r="I93" s="366"/>
      <c r="J93" s="366"/>
      <c r="K93" s="366"/>
      <c r="L93" s="366"/>
      <c r="M93" s="366"/>
      <c r="N93" s="366"/>
      <c r="O93" s="366"/>
      <c r="P93" s="366"/>
      <c r="Q93" s="366"/>
      <c r="R93" s="366"/>
      <c r="S93" s="366"/>
      <c r="T93" s="366"/>
      <c r="U93" s="366"/>
      <c r="V93" s="366"/>
      <c r="W93" s="366"/>
      <c r="X93" s="366"/>
      <c r="Y93" s="366"/>
      <c r="Z93" s="440"/>
      <c r="AA93" s="440"/>
      <c r="AB93" s="440"/>
      <c r="AC93" s="528"/>
      <c r="AD93" s="457"/>
      <c r="AE93" s="458"/>
      <c r="AF93" s="440"/>
    </row>
    <row r="94" spans="1:33" s="356" customFormat="1" ht="18" x14ac:dyDescent="0.25">
      <c r="A94" s="680" t="s">
        <v>363</v>
      </c>
      <c r="B94" s="431"/>
      <c r="C94" s="538"/>
      <c r="D94" s="432"/>
      <c r="E94" s="432"/>
      <c r="F94" s="433"/>
      <c r="G94" s="434"/>
      <c r="H94" s="370"/>
      <c r="I94" s="370"/>
      <c r="J94" s="370"/>
      <c r="K94" s="371"/>
      <c r="L94" s="370"/>
      <c r="M94" s="370"/>
      <c r="N94" s="370"/>
      <c r="O94" s="370"/>
      <c r="P94" s="370"/>
      <c r="Q94" s="370"/>
      <c r="R94" s="370"/>
      <c r="S94" s="370" t="s">
        <v>15</v>
      </c>
      <c r="T94" s="370"/>
      <c r="U94" s="370"/>
      <c r="V94" s="370"/>
      <c r="W94" s="370"/>
      <c r="X94" s="370"/>
      <c r="Y94" s="370"/>
      <c r="Z94" s="372"/>
      <c r="AA94" s="372"/>
      <c r="AB94" s="372"/>
      <c r="AC94" s="529"/>
      <c r="AD94" s="457"/>
      <c r="AE94" s="458"/>
      <c r="AF94" s="372"/>
    </row>
    <row r="95" spans="1:33" s="356" customFormat="1" x14ac:dyDescent="0.2">
      <c r="A95" s="435"/>
      <c r="B95" s="436"/>
      <c r="C95" s="436"/>
      <c r="D95" s="432"/>
      <c r="E95" s="432"/>
      <c r="F95" s="434"/>
      <c r="G95" s="434"/>
      <c r="H95" s="370"/>
      <c r="I95" s="370"/>
      <c r="J95" s="370"/>
      <c r="K95" s="373"/>
      <c r="L95" s="373"/>
      <c r="M95" s="370"/>
      <c r="N95" s="370"/>
      <c r="O95" s="370"/>
      <c r="P95" s="370"/>
      <c r="Q95" s="370"/>
      <c r="R95" s="370"/>
      <c r="S95" s="370"/>
      <c r="T95" s="370"/>
      <c r="U95" s="370"/>
      <c r="V95" s="370"/>
      <c r="W95" s="370"/>
      <c r="X95" s="370"/>
      <c r="Y95" s="370"/>
      <c r="Z95" s="372"/>
      <c r="AA95" s="372"/>
      <c r="AB95" s="372"/>
      <c r="AC95" s="529"/>
      <c r="AD95" s="457"/>
      <c r="AE95" s="458"/>
      <c r="AF95" s="372"/>
    </row>
    <row r="96" spans="1:33" s="356" customFormat="1" ht="18" x14ac:dyDescent="0.25">
      <c r="A96" s="438"/>
      <c r="B96" s="439"/>
      <c r="C96" s="439"/>
      <c r="D96" s="439"/>
      <c r="E96" s="439"/>
      <c r="F96" s="678"/>
      <c r="G96" s="679"/>
      <c r="H96" s="370"/>
      <c r="I96" s="370"/>
      <c r="J96" s="370"/>
      <c r="K96" s="373"/>
      <c r="L96" s="371"/>
      <c r="M96" s="370"/>
      <c r="N96" s="370"/>
      <c r="O96" s="370"/>
      <c r="P96" s="370"/>
      <c r="Q96" s="370"/>
      <c r="R96" s="370"/>
      <c r="S96" s="370"/>
      <c r="T96" s="370"/>
      <c r="U96" s="370"/>
      <c r="V96" s="370"/>
      <c r="W96" s="370"/>
      <c r="X96" s="370"/>
      <c r="Y96" s="370"/>
      <c r="AA96" s="372"/>
      <c r="AB96" s="372"/>
      <c r="AC96" s="529"/>
      <c r="AD96" s="457"/>
      <c r="AE96" s="458"/>
      <c r="AF96" s="372"/>
    </row>
    <row r="97" spans="1:33" s="356" customFormat="1" ht="18" x14ac:dyDescent="0.25">
      <c r="A97" s="438"/>
      <c r="B97" s="439"/>
      <c r="C97" s="439"/>
      <c r="D97" s="551"/>
      <c r="E97" s="439"/>
      <c r="F97" s="437"/>
      <c r="G97" s="434"/>
      <c r="H97" s="370"/>
      <c r="I97" s="370"/>
      <c r="J97" s="370"/>
      <c r="K97" s="373"/>
      <c r="L97" s="371"/>
      <c r="M97" s="370"/>
      <c r="N97" s="370"/>
      <c r="O97" s="370"/>
      <c r="P97" s="370"/>
      <c r="Q97" s="370"/>
      <c r="R97" s="370"/>
      <c r="S97" s="370"/>
      <c r="T97" s="370"/>
      <c r="U97" s="370"/>
      <c r="V97" s="370"/>
      <c r="W97" s="370"/>
      <c r="X97" s="370"/>
      <c r="Y97" s="370"/>
      <c r="Z97" s="372" t="s">
        <v>207</v>
      </c>
      <c r="AA97" s="372"/>
      <c r="AB97" s="372"/>
      <c r="AC97" s="530"/>
      <c r="AD97" s="453"/>
      <c r="AE97" s="454"/>
      <c r="AF97" s="372"/>
    </row>
    <row r="98" spans="1:33" x14ac:dyDescent="0.2">
      <c r="A98" s="436"/>
      <c r="B98" s="436"/>
      <c r="C98" s="440"/>
      <c r="D98" s="555"/>
      <c r="E98" s="527"/>
      <c r="F98" s="561"/>
      <c r="G98" s="546"/>
      <c r="K98" s="373"/>
      <c r="M98" s="370"/>
      <c r="N98" s="370"/>
      <c r="Z98" s="372"/>
      <c r="AA98" s="531"/>
      <c r="AB98" s="531"/>
      <c r="AC98" s="530"/>
      <c r="AD98" s="402"/>
      <c r="AE98" s="402"/>
      <c r="AF98" s="531"/>
      <c r="AG98" s="356"/>
    </row>
    <row r="99" spans="1:33" s="356" customFormat="1" x14ac:dyDescent="0.2">
      <c r="A99" s="434"/>
      <c r="B99" s="434"/>
      <c r="C99" s="440"/>
      <c r="D99" s="555"/>
      <c r="E99" s="485"/>
      <c r="F99" s="561"/>
      <c r="G99" s="546"/>
      <c r="H99" s="370"/>
      <c r="I99" s="370"/>
      <c r="J99" s="370"/>
      <c r="K99" s="373"/>
      <c r="L99" s="370"/>
      <c r="M99" s="370"/>
      <c r="N99" s="370"/>
      <c r="O99" s="370"/>
      <c r="P99" s="370"/>
      <c r="Q99" s="370"/>
      <c r="R99" s="370"/>
      <c r="S99" s="370"/>
      <c r="T99" s="370"/>
      <c r="U99" s="370"/>
      <c r="V99" s="370"/>
      <c r="W99" s="370"/>
      <c r="X99" s="370"/>
      <c r="Y99" s="370"/>
      <c r="Z99" s="531" t="s">
        <v>261</v>
      </c>
      <c r="AA99" s="531"/>
      <c r="AB99" s="531"/>
      <c r="AC99" s="530"/>
      <c r="AD99" s="473">
        <f>SUM(AD16:AD66)+SUM(AD76:AD80)</f>
        <v>25</v>
      </c>
      <c r="AE99" s="473">
        <f>SUM(AE16:AE66)+SUM(AE76:AE80)</f>
        <v>875</v>
      </c>
      <c r="AF99" s="531"/>
    </row>
    <row r="100" spans="1:33" s="356" customFormat="1" x14ac:dyDescent="0.2">
      <c r="A100" s="436"/>
      <c r="B100" s="436"/>
      <c r="C100" s="440"/>
      <c r="D100" s="555"/>
      <c r="E100" s="485"/>
      <c r="F100" s="561"/>
      <c r="G100" s="546"/>
      <c r="H100" s="370"/>
      <c r="I100" s="370"/>
      <c r="J100" s="370"/>
      <c r="K100" s="373"/>
      <c r="L100" s="370"/>
      <c r="M100" s="370"/>
      <c r="N100" s="370"/>
      <c r="O100" s="370"/>
      <c r="P100" s="370"/>
      <c r="Q100" s="370"/>
      <c r="R100" s="370"/>
      <c r="S100" s="370"/>
      <c r="T100" s="370"/>
      <c r="U100" s="370"/>
      <c r="V100" s="370"/>
      <c r="W100" s="370"/>
      <c r="X100" s="370"/>
      <c r="Y100" s="370"/>
      <c r="Z100" s="531" t="s">
        <v>262</v>
      </c>
      <c r="AA100" s="531"/>
      <c r="AB100" s="531"/>
      <c r="AC100" s="532"/>
      <c r="AD100" s="473">
        <f>SUM(AD80:AD83)+SUM(AD84:AD87)</f>
        <v>-1200</v>
      </c>
      <c r="AE100" s="473">
        <f>SUM(AE80:AE83)+SUM(AE84:AE87)</f>
        <v>-153360</v>
      </c>
      <c r="AF100" s="531"/>
    </row>
    <row r="101" spans="1:33" s="356" customFormat="1" x14ac:dyDescent="0.2">
      <c r="A101" s="434"/>
      <c r="B101" s="434"/>
      <c r="C101" s="440"/>
      <c r="D101" s="555"/>
      <c r="E101" s="485"/>
      <c r="F101" s="561"/>
      <c r="G101" s="546"/>
      <c r="H101" s="377"/>
      <c r="I101" s="377"/>
      <c r="J101" s="377"/>
      <c r="K101" s="378"/>
      <c r="L101" s="377"/>
      <c r="M101" s="370"/>
      <c r="N101" s="370"/>
      <c r="O101" s="377"/>
      <c r="P101" s="377"/>
      <c r="Q101" s="377"/>
      <c r="R101" s="377"/>
      <c r="S101" s="377"/>
      <c r="T101" s="377"/>
      <c r="U101" s="377"/>
      <c r="V101" s="377"/>
      <c r="W101" s="377"/>
      <c r="X101" s="377"/>
      <c r="Y101" s="377"/>
      <c r="Z101" s="384"/>
      <c r="AA101" s="384"/>
      <c r="AB101" s="384"/>
      <c r="AC101" s="466"/>
      <c r="AF101" s="384"/>
    </row>
    <row r="102" spans="1:33" s="356" customFormat="1" x14ac:dyDescent="0.2">
      <c r="A102" s="436"/>
      <c r="B102" s="436"/>
      <c r="C102" s="440"/>
      <c r="D102" s="555"/>
      <c r="E102" s="485"/>
      <c r="F102" s="561"/>
      <c r="G102" s="546"/>
      <c r="H102" s="377"/>
      <c r="O102" s="370"/>
      <c r="P102" s="370"/>
      <c r="Q102" s="381"/>
      <c r="R102" s="381"/>
      <c r="S102" s="381"/>
      <c r="T102" s="381"/>
      <c r="U102" s="381"/>
      <c r="V102" s="381"/>
      <c r="W102" s="381"/>
      <c r="X102" s="381"/>
      <c r="Y102" s="381"/>
      <c r="Z102" s="533" t="s">
        <v>269</v>
      </c>
      <c r="AA102" s="533"/>
      <c r="AB102" s="533"/>
      <c r="AC102" s="534"/>
      <c r="AD102" s="477"/>
      <c r="AE102" s="478"/>
      <c r="AF102" s="402"/>
    </row>
    <row r="103" spans="1:33" s="356" customFormat="1" x14ac:dyDescent="0.2">
      <c r="A103" s="434"/>
      <c r="B103" s="434"/>
      <c r="C103" s="440"/>
      <c r="D103" s="555"/>
      <c r="E103" s="485"/>
      <c r="F103" s="561"/>
      <c r="G103" s="546"/>
      <c r="H103" s="370"/>
      <c r="O103" s="370"/>
      <c r="P103" s="370"/>
      <c r="Q103" s="370"/>
      <c r="R103" s="370"/>
      <c r="S103" s="370"/>
      <c r="T103" s="370"/>
      <c r="U103" s="370"/>
      <c r="V103" s="370"/>
      <c r="W103" s="370"/>
      <c r="X103" s="370"/>
      <c r="Y103" s="370"/>
      <c r="Z103" s="533"/>
      <c r="AA103" s="533"/>
      <c r="AB103" s="533"/>
      <c r="AC103" s="534"/>
      <c r="AD103" s="477"/>
      <c r="AE103" s="478"/>
      <c r="AF103" s="402"/>
    </row>
    <row r="104" spans="1:33" s="356" customFormat="1" x14ac:dyDescent="0.2">
      <c r="A104" s="436"/>
      <c r="B104" s="436"/>
      <c r="C104" s="440"/>
      <c r="D104" s="555"/>
      <c r="E104" s="485"/>
      <c r="F104" s="561"/>
      <c r="G104" s="546"/>
      <c r="H104" s="382"/>
      <c r="O104" s="370"/>
      <c r="P104" s="370"/>
      <c r="Q104" s="382"/>
      <c r="R104" s="382"/>
      <c r="S104" s="382"/>
      <c r="T104" s="382"/>
      <c r="U104" s="382"/>
      <c r="V104" s="382"/>
      <c r="W104" s="382"/>
      <c r="X104" s="382"/>
      <c r="Y104" s="382"/>
      <c r="Z104" s="533" t="s">
        <v>262</v>
      </c>
      <c r="AA104" s="533"/>
      <c r="AB104" s="533"/>
      <c r="AC104" s="534"/>
      <c r="AD104" s="479">
        <f>SUM(AD90:AD92)</f>
        <v>0</v>
      </c>
      <c r="AE104" s="479">
        <f>SUM(AE90:AE92)</f>
        <v>0</v>
      </c>
      <c r="AF104" s="402"/>
    </row>
    <row r="105" spans="1:33" s="356" customFormat="1" x14ac:dyDescent="0.2">
      <c r="A105" s="434"/>
      <c r="B105" s="434"/>
      <c r="C105" s="440"/>
      <c r="D105" s="555"/>
      <c r="E105" s="485"/>
      <c r="F105" s="561"/>
      <c r="G105" s="546"/>
      <c r="H105" s="382"/>
      <c r="O105" s="370"/>
      <c r="P105" s="370"/>
      <c r="Q105" s="382"/>
      <c r="R105" s="382"/>
      <c r="S105" s="382"/>
      <c r="T105" s="382"/>
      <c r="U105" s="382"/>
      <c r="V105" s="382"/>
      <c r="W105" s="382"/>
      <c r="X105" s="382"/>
      <c r="Y105" s="382"/>
      <c r="Z105" s="402"/>
      <c r="AA105" s="402"/>
      <c r="AB105" s="402"/>
      <c r="AC105" s="467"/>
      <c r="AD105" s="402"/>
      <c r="AE105" s="402"/>
      <c r="AF105" s="402"/>
    </row>
    <row r="106" spans="1:33" s="356" customFormat="1" x14ac:dyDescent="0.2">
      <c r="A106" s="436"/>
      <c r="B106" s="436"/>
      <c r="C106" s="440"/>
      <c r="D106" s="555"/>
      <c r="E106" s="485"/>
      <c r="F106" s="561"/>
      <c r="G106" s="546"/>
      <c r="H106" s="370"/>
      <c r="O106" s="370"/>
      <c r="P106" s="370"/>
      <c r="Q106" s="370"/>
      <c r="R106" s="370"/>
      <c r="S106" s="370"/>
      <c r="T106" s="370"/>
      <c r="U106" s="370"/>
      <c r="V106" s="370"/>
      <c r="W106" s="370"/>
      <c r="X106" s="370"/>
      <c r="Y106" s="370"/>
      <c r="Z106" s="402"/>
      <c r="AA106" s="402"/>
      <c r="AB106" s="402"/>
      <c r="AC106" s="467"/>
      <c r="AD106" s="402"/>
      <c r="AE106" s="402"/>
      <c r="AF106" s="402"/>
    </row>
    <row r="107" spans="1:33" s="402" customFormat="1" x14ac:dyDescent="0.2">
      <c r="A107" s="434"/>
      <c r="B107" s="434"/>
      <c r="C107" s="440"/>
      <c r="D107" s="555"/>
      <c r="E107" s="485"/>
      <c r="F107" s="561"/>
      <c r="G107" s="546"/>
      <c r="H107" s="370"/>
      <c r="I107" s="356"/>
      <c r="J107" s="356"/>
      <c r="K107" s="356"/>
      <c r="L107" s="356"/>
      <c r="M107" s="356"/>
      <c r="N107" s="356"/>
      <c r="O107" s="370"/>
      <c r="P107" s="370"/>
      <c r="Q107" s="370"/>
      <c r="R107" s="370"/>
      <c r="S107" s="370"/>
      <c r="T107" s="370"/>
      <c r="U107" s="370"/>
      <c r="V107" s="370"/>
      <c r="W107" s="370"/>
      <c r="X107" s="370"/>
      <c r="Y107" s="370"/>
      <c r="AC107" s="467"/>
      <c r="AG107" s="356"/>
    </row>
    <row r="108" spans="1:33" s="402" customFormat="1" ht="18" x14ac:dyDescent="0.25">
      <c r="A108" s="680" t="s">
        <v>357</v>
      </c>
      <c r="B108" s="436"/>
      <c r="C108" s="440"/>
      <c r="D108" s="555"/>
      <c r="E108" s="485"/>
      <c r="F108" s="561"/>
      <c r="G108" s="546"/>
      <c r="H108" s="383"/>
      <c r="I108" s="404"/>
      <c r="J108" s="404"/>
      <c r="K108" s="404"/>
      <c r="L108" s="404"/>
      <c r="M108" s="404"/>
      <c r="N108" s="404"/>
      <c r="O108" s="383"/>
      <c r="P108" s="383"/>
      <c r="Q108" s="383"/>
      <c r="R108" s="383"/>
      <c r="S108" s="383"/>
      <c r="T108" s="383"/>
      <c r="U108" s="383"/>
      <c r="V108" s="383"/>
      <c r="W108" s="383"/>
      <c r="X108" s="383"/>
      <c r="Y108" s="383"/>
      <c r="AC108" s="467"/>
      <c r="AG108" s="370"/>
    </row>
    <row r="109" spans="1:33" s="402" customFormat="1" x14ac:dyDescent="0.2">
      <c r="A109" s="434"/>
      <c r="B109" s="434"/>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AC109" s="467"/>
      <c r="AG109" s="356"/>
    </row>
    <row r="110" spans="1:33" s="402" customFormat="1" x14ac:dyDescent="0.2">
      <c r="A110" s="436"/>
      <c r="B110" s="436"/>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G110" s="356"/>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ht="15.75" x14ac:dyDescent="0.25">
      <c r="A112" s="681"/>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
      <c r="A114" s="436"/>
      <c r="B114" s="436"/>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535"/>
      <c r="AG115" s="356"/>
    </row>
    <row r="116" spans="1:33" s="402" customFormat="1" x14ac:dyDescent="0.2">
      <c r="A116" s="436"/>
      <c r="B116" s="436"/>
      <c r="C116" s="440"/>
      <c r="D116" s="555"/>
      <c r="E116" s="485"/>
      <c r="F116" s="561"/>
      <c r="G116" s="546"/>
      <c r="H116" s="387"/>
      <c r="I116" s="356"/>
      <c r="J116" s="356"/>
      <c r="K116" s="356"/>
      <c r="L116" s="356"/>
      <c r="M116" s="356"/>
      <c r="N116" s="356"/>
      <c r="O116" s="386"/>
      <c r="P116" s="386"/>
      <c r="Q116" s="387"/>
      <c r="R116" s="387"/>
      <c r="S116" s="387"/>
      <c r="T116" s="387"/>
      <c r="U116" s="387"/>
      <c r="V116" s="387"/>
      <c r="W116" s="387"/>
      <c r="X116" s="387"/>
      <c r="Y116" s="387"/>
      <c r="Z116" s="387"/>
      <c r="AA116" s="387"/>
      <c r="AB116" s="387"/>
      <c r="AC116" s="468"/>
      <c r="AG116" s="356"/>
    </row>
    <row r="117" spans="1:33" s="402" customFormat="1" x14ac:dyDescent="0.2">
      <c r="A117" s="434"/>
      <c r="B117" s="434"/>
      <c r="C117" s="440"/>
      <c r="D117" s="555"/>
      <c r="E117" s="485"/>
      <c r="F117" s="561"/>
      <c r="G117" s="546"/>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69"/>
      <c r="AD117" s="536"/>
      <c r="AE117" s="461"/>
    </row>
    <row r="118" spans="1:33" s="460" customFormat="1" ht="13.5" thickBot="1" x14ac:dyDescent="0.25">
      <c r="A118" s="436"/>
      <c r="B118" s="436"/>
      <c r="C118" s="440"/>
      <c r="D118" s="555"/>
      <c r="E118" s="485"/>
      <c r="F118" s="561"/>
      <c r="G118" s="546"/>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69"/>
      <c r="AD118" s="461"/>
      <c r="AE118" s="461"/>
      <c r="AF118" s="402"/>
      <c r="AG118" s="402"/>
    </row>
    <row r="119" spans="1:33" s="402" customFormat="1" x14ac:dyDescent="0.2">
      <c r="A119" s="434"/>
      <c r="B119" s="434"/>
      <c r="C119" s="440"/>
      <c r="D119" s="555"/>
      <c r="E119" s="485"/>
      <c r="F119" s="561"/>
      <c r="G119" s="546"/>
      <c r="H119" s="388"/>
      <c r="I119" s="356"/>
      <c r="J119" s="428"/>
      <c r="K119" s="356"/>
      <c r="L119" s="356"/>
      <c r="M119" s="356"/>
      <c r="N119" s="356"/>
      <c r="O119" s="411"/>
      <c r="P119" s="411"/>
      <c r="Q119" s="388"/>
      <c r="R119" s="388"/>
      <c r="S119" s="388"/>
      <c r="T119" s="388"/>
      <c r="U119" s="388"/>
      <c r="V119" s="388"/>
      <c r="W119" s="388"/>
      <c r="X119" s="388"/>
      <c r="Y119" s="388"/>
      <c r="Z119" s="388"/>
      <c r="AA119" s="388"/>
      <c r="AB119" s="388"/>
      <c r="AC119" s="469"/>
      <c r="AD119" s="356"/>
      <c r="AE119" s="356"/>
    </row>
    <row r="120" spans="1:33" s="356" customFormat="1" x14ac:dyDescent="0.2">
      <c r="A120" s="436"/>
      <c r="B120" s="436"/>
      <c r="C120" s="440"/>
      <c r="D120" s="555"/>
      <c r="E120" s="485"/>
      <c r="F120" s="561"/>
      <c r="G120" s="546"/>
      <c r="H120" s="388"/>
      <c r="O120" s="411"/>
      <c r="P120" s="411"/>
      <c r="Q120" s="388"/>
      <c r="R120" s="388"/>
      <c r="S120" s="388"/>
      <c r="T120" s="388"/>
      <c r="U120" s="388"/>
      <c r="V120" s="388"/>
      <c r="W120" s="388"/>
      <c r="X120" s="388"/>
      <c r="Y120" s="388"/>
      <c r="Z120" s="388"/>
      <c r="AA120" s="388"/>
      <c r="AB120" s="388"/>
      <c r="AC120" s="469"/>
      <c r="AD120" s="457"/>
      <c r="AE120" s="535"/>
      <c r="AF120" s="537"/>
      <c r="AG120" s="402"/>
    </row>
    <row r="121" spans="1:33" s="356" customFormat="1" x14ac:dyDescent="0.2">
      <c r="A121" s="436"/>
      <c r="B121" s="434"/>
      <c r="C121" s="440"/>
      <c r="D121" s="555"/>
      <c r="E121" s="527"/>
      <c r="F121" s="561"/>
      <c r="G121" s="546"/>
      <c r="H121" s="391"/>
      <c r="O121" s="412"/>
      <c r="P121" s="412"/>
      <c r="Q121" s="391"/>
      <c r="R121" s="391"/>
      <c r="S121" s="391"/>
      <c r="T121" s="391"/>
      <c r="U121" s="391"/>
      <c r="V121" s="391"/>
      <c r="W121" s="391"/>
      <c r="X121" s="391"/>
      <c r="Y121" s="391"/>
      <c r="Z121" s="388"/>
      <c r="AA121" s="388"/>
      <c r="AB121" s="388"/>
      <c r="AC121" s="469"/>
      <c r="AD121" s="457"/>
      <c r="AE121" s="535"/>
      <c r="AF121" s="537"/>
      <c r="AG121" s="402"/>
    </row>
    <row r="122" spans="1:33" s="356" customFormat="1" x14ac:dyDescent="0.2">
      <c r="A122" s="550"/>
      <c r="B122" s="436"/>
      <c r="C122" s="440"/>
      <c r="D122" s="556"/>
      <c r="E122" s="481"/>
      <c r="F122" s="561"/>
      <c r="G122" s="546"/>
      <c r="H122" s="391"/>
      <c r="O122" s="412"/>
      <c r="P122" s="412"/>
      <c r="Q122" s="391"/>
      <c r="R122" s="391"/>
      <c r="S122" s="391"/>
      <c r="T122" s="391"/>
      <c r="U122" s="391"/>
      <c r="V122" s="391"/>
      <c r="W122" s="391"/>
      <c r="X122" s="391"/>
      <c r="Y122" s="391"/>
      <c r="Z122" s="388"/>
      <c r="AA122" s="388"/>
      <c r="AB122" s="388"/>
      <c r="AC122" s="469"/>
      <c r="AD122" s="461"/>
      <c r="AE122" s="461"/>
      <c r="AF122" s="537"/>
      <c r="AG122" s="402"/>
    </row>
    <row r="123" spans="1:33" s="402" customFormat="1" x14ac:dyDescent="0.2">
      <c r="A123" s="356"/>
      <c r="B123" s="356"/>
      <c r="C123" s="356"/>
      <c r="D123" s="555"/>
      <c r="E123" s="356"/>
      <c r="F123" s="356"/>
      <c r="G123" s="434"/>
      <c r="H123" s="391"/>
      <c r="I123" s="356"/>
      <c r="J123" s="356"/>
      <c r="K123" s="356"/>
      <c r="L123" s="356"/>
      <c r="M123" s="356"/>
      <c r="N123" s="356"/>
      <c r="O123" s="412"/>
      <c r="P123" s="412"/>
      <c r="Q123" s="391"/>
      <c r="R123" s="391"/>
      <c r="S123" s="391"/>
      <c r="T123" s="391"/>
      <c r="U123" s="391"/>
      <c r="V123" s="391"/>
      <c r="W123" s="391"/>
      <c r="X123" s="391"/>
      <c r="Y123" s="391"/>
      <c r="Z123" s="388"/>
      <c r="AA123" s="388"/>
      <c r="AB123" s="388"/>
      <c r="AC123" s="469"/>
      <c r="AF123" s="455"/>
    </row>
    <row r="124" spans="1:33" s="402" customFormat="1" ht="18" x14ac:dyDescent="0.25">
      <c r="A124" s="433"/>
      <c r="B124" s="442"/>
      <c r="C124" s="443"/>
      <c r="D124" s="557"/>
      <c r="E124" s="443"/>
      <c r="F124" s="443"/>
      <c r="G124" s="434"/>
      <c r="H124" s="434"/>
      <c r="I124" s="356"/>
      <c r="J124" s="356"/>
      <c r="K124" s="356"/>
      <c r="L124" s="356"/>
      <c r="M124" s="356"/>
      <c r="N124" s="356"/>
      <c r="O124" s="444"/>
      <c r="P124" s="444"/>
      <c r="Q124" s="434"/>
      <c r="R124" s="434"/>
      <c r="S124" s="434"/>
      <c r="T124" s="434"/>
      <c r="U124" s="434"/>
      <c r="V124" s="434"/>
      <c r="W124" s="434"/>
      <c r="X124" s="434"/>
      <c r="Y124" s="391"/>
      <c r="Z124" s="388"/>
      <c r="AA124" s="388"/>
      <c r="AB124" s="388"/>
      <c r="AC124" s="469"/>
      <c r="AF124" s="455"/>
    </row>
    <row r="125" spans="1:33" s="402" customFormat="1" x14ac:dyDescent="0.2">
      <c r="A125" s="434"/>
      <c r="B125" s="434"/>
      <c r="C125" s="434"/>
      <c r="D125" s="558"/>
      <c r="E125" s="434"/>
      <c r="F125" s="434"/>
      <c r="G125" s="434"/>
      <c r="H125" s="434"/>
      <c r="I125" s="356"/>
      <c r="J125" s="356"/>
      <c r="K125" s="356"/>
      <c r="L125" s="356"/>
      <c r="M125" s="356"/>
      <c r="N125" s="356"/>
      <c r="O125" s="444"/>
      <c r="P125" s="444"/>
      <c r="Q125" s="434"/>
      <c r="R125" s="434"/>
      <c r="S125" s="434"/>
      <c r="T125" s="434"/>
      <c r="U125" s="434"/>
      <c r="V125" s="434"/>
      <c r="W125" s="434"/>
      <c r="X125" s="434"/>
      <c r="Y125" s="391"/>
      <c r="Z125" s="388"/>
      <c r="AA125" s="388"/>
      <c r="AB125" s="388"/>
      <c r="AC125" s="469"/>
      <c r="AF125" s="356"/>
    </row>
    <row r="126" spans="1:33" s="402" customFormat="1" ht="18" x14ac:dyDescent="0.25">
      <c r="A126" s="438"/>
      <c r="B126" s="439"/>
      <c r="C126" s="439"/>
      <c r="D126" s="677"/>
      <c r="E126" s="439"/>
      <c r="F126" s="678"/>
      <c r="G126" s="439"/>
      <c r="H126" s="434"/>
      <c r="I126" s="356"/>
      <c r="J126" s="356"/>
      <c r="K126" s="356"/>
      <c r="L126" s="356"/>
      <c r="M126" s="356"/>
      <c r="N126" s="356"/>
      <c r="O126" s="444"/>
      <c r="P126" s="444"/>
      <c r="Q126" s="434"/>
      <c r="R126" s="434"/>
      <c r="S126" s="434"/>
      <c r="T126" s="434"/>
      <c r="U126" s="434"/>
      <c r="V126" s="434"/>
      <c r="W126" s="434"/>
      <c r="X126" s="434"/>
      <c r="Y126" s="391"/>
      <c r="Z126" s="391"/>
      <c r="AA126" s="391"/>
      <c r="AB126" s="391"/>
      <c r="AC126" s="470"/>
      <c r="AF126" s="356"/>
    </row>
    <row r="127" spans="1:33" s="402" customFormat="1" ht="18" x14ac:dyDescent="0.25">
      <c r="A127" s="438"/>
      <c r="B127" s="439"/>
      <c r="C127" s="439"/>
      <c r="D127" s="559"/>
      <c r="E127" s="437"/>
      <c r="F127" s="437"/>
      <c r="G127" s="434"/>
      <c r="H127" s="445"/>
      <c r="I127" s="446"/>
      <c r="J127" s="356"/>
      <c r="K127" s="356"/>
      <c r="L127" s="356"/>
      <c r="M127" s="447"/>
      <c r="N127" s="448"/>
      <c r="O127" s="444"/>
      <c r="P127" s="444"/>
      <c r="Q127" s="434"/>
      <c r="R127" s="434"/>
      <c r="S127" s="434"/>
      <c r="T127" s="434"/>
      <c r="U127" s="434"/>
      <c r="V127" s="434"/>
      <c r="W127" s="434"/>
      <c r="X127" s="434"/>
      <c r="Y127" s="391"/>
      <c r="Z127" s="391"/>
      <c r="AA127" s="391"/>
      <c r="AB127" s="391"/>
      <c r="AC127" s="470"/>
      <c r="AF127" s="356"/>
    </row>
    <row r="128" spans="1:33" s="402" customFormat="1" ht="13.5" thickBot="1" x14ac:dyDescent="0.25">
      <c r="A128" s="436"/>
      <c r="B128" s="434"/>
      <c r="C128" s="440"/>
      <c r="D128" s="555"/>
      <c r="E128" s="527"/>
      <c r="F128" s="561"/>
      <c r="G128" s="546"/>
      <c r="I128" s="449"/>
      <c r="J128" s="450"/>
      <c r="K128" s="356"/>
      <c r="L128" s="356"/>
      <c r="M128" s="356"/>
      <c r="N128" s="356"/>
      <c r="O128" s="444"/>
      <c r="P128" s="444"/>
      <c r="Q128" s="434"/>
      <c r="R128" s="434"/>
      <c r="S128" s="434"/>
      <c r="T128" s="434"/>
      <c r="U128" s="434"/>
      <c r="V128" s="434"/>
      <c r="W128" s="434"/>
      <c r="X128" s="434"/>
      <c r="Y128" s="391"/>
      <c r="Z128" s="391"/>
      <c r="AA128" s="452"/>
      <c r="AB128" s="391"/>
      <c r="AC128" s="470"/>
      <c r="AD128" s="356"/>
      <c r="AE128" s="356"/>
      <c r="AF128" s="356"/>
      <c r="AG128" s="460"/>
    </row>
    <row r="129" spans="1:33" s="402" customFormat="1" x14ac:dyDescent="0.2">
      <c r="A129" s="434"/>
      <c r="B129" s="434"/>
      <c r="C129" s="440"/>
      <c r="D129" s="560"/>
      <c r="E129" s="485"/>
      <c r="F129" s="561"/>
      <c r="G129" s="546"/>
      <c r="I129" s="449"/>
      <c r="J129" s="450"/>
      <c r="K129" s="356"/>
      <c r="L129" s="356"/>
      <c r="M129" s="356"/>
      <c r="N129" s="356"/>
      <c r="O129" s="444"/>
      <c r="P129" s="444"/>
      <c r="Q129" s="434"/>
      <c r="R129" s="434"/>
      <c r="S129" s="434"/>
      <c r="T129" s="434"/>
      <c r="U129" s="434"/>
      <c r="V129" s="434"/>
      <c r="W129" s="434"/>
      <c r="X129" s="434"/>
      <c r="Y129" s="391"/>
      <c r="Z129" s="391"/>
      <c r="AA129" s="452"/>
      <c r="AB129" s="391"/>
      <c r="AC129" s="470"/>
      <c r="AD129" s="403"/>
      <c r="AE129" s="356"/>
      <c r="AF129" s="356"/>
    </row>
    <row r="130" spans="1:33" s="402" customFormat="1" x14ac:dyDescent="0.2">
      <c r="A130" s="436"/>
      <c r="B130" s="434"/>
      <c r="C130" s="440"/>
      <c r="D130" s="556"/>
      <c r="E130" s="485"/>
      <c r="F130" s="561"/>
      <c r="G130" s="546"/>
      <c r="I130" s="449"/>
      <c r="J130" s="450"/>
      <c r="K130" s="376"/>
      <c r="L130" s="376"/>
      <c r="M130" s="376"/>
      <c r="N130" s="376"/>
      <c r="O130" s="444"/>
      <c r="P130" s="444"/>
      <c r="Q130" s="434"/>
      <c r="R130" s="434"/>
      <c r="S130" s="434"/>
      <c r="T130" s="434"/>
      <c r="U130" s="434"/>
      <c r="V130" s="434"/>
      <c r="W130" s="434"/>
      <c r="X130" s="434"/>
      <c r="Y130" s="391"/>
      <c r="Z130" s="391"/>
      <c r="AA130" s="452"/>
      <c r="AB130" s="391"/>
      <c r="AC130" s="470"/>
      <c r="AF130" s="356"/>
      <c r="AG130" s="356"/>
    </row>
    <row r="131" spans="1:33" s="402" customFormat="1" x14ac:dyDescent="0.2">
      <c r="A131" s="434"/>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29"/>
      <c r="AE131" s="430"/>
      <c r="AF131" s="356"/>
      <c r="AG131" s="356"/>
    </row>
    <row r="132" spans="1:33" s="402" customFormat="1" x14ac:dyDescent="0.2">
      <c r="A132" s="436"/>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03"/>
      <c r="AE132" s="356"/>
      <c r="AF132" s="356"/>
      <c r="AG132" s="356"/>
    </row>
    <row r="133" spans="1:33"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03"/>
      <c r="AE133" s="356"/>
      <c r="AF133" s="356"/>
    </row>
    <row r="134" spans="1:33"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403"/>
      <c r="AE134" s="356"/>
      <c r="AF134" s="356"/>
    </row>
    <row r="135" spans="1:33"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3"/>
      <c r="AE135" s="356"/>
      <c r="AF135" s="356"/>
    </row>
    <row r="136" spans="1:33"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6"/>
      <c r="AE136" s="397"/>
      <c r="AF136" s="403"/>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8"/>
      <c r="AE137" s="398"/>
      <c r="AF137" s="403"/>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6"/>
      <c r="AE138" s="397"/>
      <c r="AF138" s="403"/>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399"/>
      <c r="AF139" s="403"/>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399"/>
      <c r="AF140" s="403"/>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413"/>
      <c r="AF141" s="403"/>
    </row>
    <row r="142" spans="1:33" s="402" customFormat="1" x14ac:dyDescent="0.2">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414"/>
      <c r="AF142" s="356"/>
    </row>
    <row r="143" spans="1:33" s="402" customFormat="1" x14ac:dyDescent="0.2">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396"/>
      <c r="AE143" s="397"/>
      <c r="AF143" s="356"/>
    </row>
    <row r="144" spans="1:33" s="402" customFormat="1" x14ac:dyDescent="0.2">
      <c r="A144" s="436"/>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96"/>
      <c r="AE144" s="397"/>
      <c r="AF144" s="398"/>
    </row>
    <row r="145" spans="1:32" s="402" customFormat="1" x14ac:dyDescent="0.2">
      <c r="A145" s="434"/>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81"/>
      <c r="AE145" s="381"/>
      <c r="AF145" s="396"/>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96"/>
    </row>
    <row r="147" spans="1:32" s="402" customFormat="1" x14ac:dyDescent="0.2">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2"/>
      <c r="AE147" s="382"/>
      <c r="AF147" s="394"/>
    </row>
    <row r="148" spans="1:32" s="402" customFormat="1" x14ac:dyDescent="0.2">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82"/>
      <c r="AE148" s="382"/>
      <c r="AF148" s="367"/>
    </row>
    <row r="149" spans="1:32" s="402" customFormat="1" x14ac:dyDescent="0.2">
      <c r="A149" s="434"/>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70"/>
      <c r="AE149" s="370"/>
      <c r="AF149" s="367"/>
    </row>
    <row r="150" spans="1:32" s="402" customFormat="1" x14ac:dyDescent="0.2">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70"/>
      <c r="AE150" s="370"/>
      <c r="AF150" s="367"/>
    </row>
    <row r="151" spans="1:32" s="402" customFormat="1" x14ac:dyDescent="0.2">
      <c r="A151" s="436"/>
      <c r="B151" s="434"/>
      <c r="C151" s="440"/>
      <c r="D151" s="556"/>
      <c r="E151" s="527"/>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83"/>
      <c r="AE151" s="383"/>
      <c r="AF151" s="374"/>
    </row>
    <row r="152" spans="1:32" s="402" customFormat="1" x14ac:dyDescent="0.2">
      <c r="A152" s="370"/>
      <c r="B152" s="434"/>
      <c r="C152" s="440"/>
      <c r="D152" s="556"/>
      <c r="E152" s="481"/>
      <c r="F152" s="561"/>
      <c r="G152" s="546"/>
      <c r="H152" s="441"/>
      <c r="I152" s="451"/>
      <c r="J152" s="450"/>
      <c r="K152" s="434"/>
      <c r="L152" s="434"/>
      <c r="M152" s="444"/>
      <c r="N152" s="444"/>
      <c r="O152" s="434"/>
      <c r="R152" s="434"/>
      <c r="S152" s="434"/>
      <c r="T152" s="434"/>
      <c r="U152" s="434"/>
      <c r="V152" s="434"/>
      <c r="W152" s="434"/>
      <c r="X152" s="434"/>
      <c r="Y152" s="370"/>
      <c r="Z152" s="370"/>
      <c r="AA152" s="370"/>
      <c r="AB152" s="370"/>
      <c r="AC152" s="465"/>
      <c r="AD152" s="384"/>
      <c r="AE152" s="384"/>
      <c r="AF152" s="374"/>
    </row>
    <row r="153" spans="1:32" s="402" customFormat="1" x14ac:dyDescent="0.2">
      <c r="A153" s="370"/>
      <c r="B153" s="370"/>
      <c r="C153" s="370"/>
      <c r="D153" s="552"/>
      <c r="E153" s="484"/>
      <c r="F153" s="370"/>
      <c r="G153" s="370"/>
      <c r="H153" s="393"/>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74"/>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9"/>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81"/>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70"/>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7"/>
      <c r="AE159" s="387"/>
      <c r="AF159" s="370"/>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3"/>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88"/>
      <c r="AE168" s="391"/>
      <c r="AF168" s="386"/>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9"/>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4"/>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89"/>
      <c r="AF175" s="386"/>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2"/>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89"/>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2"/>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89"/>
      <c r="AE182" s="390"/>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88"/>
    </row>
    <row r="185" spans="1:32" s="402" customFormat="1" ht="12.75" customHeigh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40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8"/>
    </row>
    <row r="246" spans="1:34" s="356" customFormat="1" ht="14.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397"/>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7"/>
    </row>
    <row r="248" spans="1:34" s="404" customFormat="1" ht="12"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56"/>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8"/>
    </row>
    <row r="250" spans="1:34" s="356" customFormat="1" ht="17.2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8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7"/>
      <c r="AH252" s="369"/>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7"/>
      <c r="AH253" s="369"/>
    </row>
    <row r="254" spans="1:34" s="356" customFormat="1" ht="13.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5"/>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77"/>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81"/>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70"/>
    </row>
    <row r="261" spans="1:34" s="356" customFormat="1" ht="12.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0"/>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1"/>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70"/>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2"/>
      <c r="AH264" s="383"/>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2"/>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70"/>
      <c r="AH266" s="384"/>
    </row>
    <row r="267" spans="1:34" s="356" customFormat="1" ht="14.2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3"/>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76" customFormat="1" ht="12"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77" customFormat="1" ht="11.25"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81"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x14ac:dyDescent="0.2">
      <c r="AG275" s="386"/>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8"/>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8"/>
    </row>
    <row r="278" spans="1:33" x14ac:dyDescent="0.2">
      <c r="AG278" s="388"/>
    </row>
    <row r="279" spans="1:33" x14ac:dyDescent="0.2">
      <c r="AG279" s="388"/>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90"/>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7"/>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1"/>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2"/>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82"/>
    </row>
    <row r="289" spans="1:33" s="383"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70"/>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7"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70"/>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3"/>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7"/>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x14ac:dyDescent="0.2">
      <c r="AG315" s="388"/>
    </row>
    <row r="316" spans="1:33" x14ac:dyDescent="0.2">
      <c r="AG316" s="388"/>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26624.593431122448</v>
      </c>
      <c r="F22" s="33">
        <f>IF($I$22=1,C22*$C$8,C22*$G$7)+IF($J$22=1,D22*$C$6,D22*$G$6)</f>
        <v>1.96</v>
      </c>
      <c r="G22" s="32">
        <f t="shared" ref="G22:G29" ca="1" si="0">F22*E22</f>
        <v>52184.203125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12675.582948022959</v>
      </c>
      <c r="F25" s="33">
        <f t="shared" si="1"/>
        <v>1.96</v>
      </c>
      <c r="G25" s="32">
        <f t="shared" ca="1" si="0"/>
        <v>24844.142578125</v>
      </c>
      <c r="I25" s="31"/>
      <c r="J25" s="31"/>
      <c r="K25" s="31"/>
    </row>
    <row r="26" spans="1:12" x14ac:dyDescent="0.2">
      <c r="B26" s="234" t="s">
        <v>47</v>
      </c>
      <c r="C26" s="235">
        <v>1</v>
      </c>
      <c r="D26" s="235">
        <v>0</v>
      </c>
      <c r="E26" s="32">
        <f ca="1">-INDEX(Economics!$A$34:$D$45,MATCH(Fuel!B26,Economics!$A$34:$A$45,0),4)/Fuel!F26</f>
        <v>9300.4952566964294</v>
      </c>
      <c r="F26" s="33">
        <f t="shared" si="1"/>
        <v>1.96</v>
      </c>
      <c r="G26" s="32">
        <f t="shared" ca="1" si="0"/>
        <v>18228.970703125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2433.9347995057396</v>
      </c>
      <c r="F28" s="33">
        <f t="shared" si="1"/>
        <v>1.96</v>
      </c>
      <c r="G28" s="32">
        <f t="shared" ca="1" si="0"/>
        <v>4770.51220703125</v>
      </c>
      <c r="I28" s="31"/>
      <c r="J28" s="31"/>
      <c r="K28" s="31"/>
    </row>
    <row r="29" spans="1:12" x14ac:dyDescent="0.2">
      <c r="B29" s="234" t="s">
        <v>50</v>
      </c>
      <c r="C29" s="235">
        <v>1</v>
      </c>
      <c r="D29" s="235">
        <v>0</v>
      </c>
      <c r="E29" s="32">
        <f ca="1">-INDEX(Economics!$A$34:$D$45,MATCH(Fuel!B29,Economics!$A$34:$A$45,0),4)/Fuel!F29</f>
        <v>2423.6240931919642</v>
      </c>
      <c r="F29" s="33">
        <f t="shared" si="1"/>
        <v>1.96</v>
      </c>
      <c r="G29" s="32">
        <f t="shared" ca="1" si="0"/>
        <v>4750.30322265625</v>
      </c>
      <c r="I29" s="31"/>
      <c r="J29" s="31"/>
      <c r="K29" s="31"/>
    </row>
    <row r="30" spans="1:12" x14ac:dyDescent="0.2">
      <c r="B30" s="236"/>
      <c r="C30" s="36"/>
      <c r="D30" s="36"/>
      <c r="E30" s="34">
        <f ca="1">SUM(E22:E29)</f>
        <v>53458.230528539541</v>
      </c>
      <c r="F30" s="35"/>
      <c r="G30" s="34">
        <f ca="1">SUM(G22:G29)</f>
        <v>104778.1318359375</v>
      </c>
      <c r="I30" s="31"/>
      <c r="J30" s="31"/>
      <c r="K30" s="31"/>
    </row>
    <row r="31" spans="1:12" x14ac:dyDescent="0.2">
      <c r="B31" s="236"/>
      <c r="I31" s="31"/>
      <c r="J31" s="31"/>
      <c r="K31" s="31"/>
    </row>
    <row r="32" spans="1:12" ht="13.5" thickBot="1" x14ac:dyDescent="0.25">
      <c r="B32" s="236" t="s">
        <v>18</v>
      </c>
      <c r="E32" s="7">
        <f ca="1">E15+E18+E30</f>
        <v>53458.230528539541</v>
      </c>
      <c r="F32" s="8"/>
      <c r="G32" s="7">
        <f ca="1">G15+G18+G30</f>
        <v>104778.1318359375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485642.7</v>
      </c>
      <c r="C3" s="117">
        <f ca="1">6.8*0.75*E3</f>
        <v>119651.09999999999</v>
      </c>
      <c r="D3" s="117">
        <f ca="1">C3+B3</f>
        <v>605293.80000000005</v>
      </c>
      <c r="E3" s="118">
        <f ca="1">SUM(Preschedule!B59:Y59)</f>
        <v>23461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-1622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900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-13087.954880000003</v>
      </c>
      <c r="C28" s="120"/>
      <c r="D28" s="120">
        <f ca="1">C28+B28</f>
        <v>-13087.954880000003</v>
      </c>
      <c r="E28" s="114">
        <f>SUM(Preschedule!B56:Y56)</f>
        <v>1001</v>
      </c>
      <c r="F28" s="120">
        <f>H28*I28</f>
        <v>13.074880000000002</v>
      </c>
      <c r="G28" s="79">
        <f ca="1">-IF(E28=0,0,D28/E28)</f>
        <v>13.074880000000004</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-29407.103999999999</v>
      </c>
      <c r="C30" s="120"/>
      <c r="D30" s="120">
        <f>C30+B30</f>
        <v>-29407.103999999999</v>
      </c>
      <c r="E30" s="114">
        <f>SUM(Preschedule!B53:Y53)</f>
        <v>4824</v>
      </c>
      <c r="F30" s="120">
        <f>H30*I30</f>
        <v>6.0960000000000001</v>
      </c>
      <c r="G30" s="79">
        <f>-IF(E30=0,0,D30/E30)</f>
        <v>6.0960000000000001</v>
      </c>
      <c r="H30" s="134">
        <v>10.16</v>
      </c>
      <c r="I30" s="135">
        <v>0.6</v>
      </c>
    </row>
    <row r="31" spans="1:9" x14ac:dyDescent="0.2">
      <c r="A31" s="83" t="s">
        <v>44</v>
      </c>
      <c r="B31" s="120">
        <f>-F31*E31</f>
        <v>-29449.776000000002</v>
      </c>
      <c r="C31" s="120"/>
      <c r="D31" s="120">
        <f>C31+B31</f>
        <v>-29449.776000000002</v>
      </c>
      <c r="E31" s="114">
        <f>SUM(Preschedule!B54:Y54)</f>
        <v>4831</v>
      </c>
      <c r="F31" s="120">
        <f>H31*I31</f>
        <v>6.0960000000000001</v>
      </c>
      <c r="G31" s="79">
        <f>-IF(E31=0,0,D31/E31)</f>
        <v>6.0960000000000001</v>
      </c>
      <c r="H31" s="134">
        <v>10.16</v>
      </c>
      <c r="I31" s="135">
        <v>0.6</v>
      </c>
    </row>
    <row r="32" spans="1:9" x14ac:dyDescent="0.2">
      <c r="A32" s="83" t="s">
        <v>45</v>
      </c>
      <c r="B32" s="120">
        <f>-F32*E32</f>
        <v>-29468.064000000002</v>
      </c>
      <c r="C32" s="120"/>
      <c r="D32" s="120">
        <f>C32+B32</f>
        <v>-29468.064000000002</v>
      </c>
      <c r="E32" s="114">
        <f>SUM(Preschedule!B55:Y55)</f>
        <v>4834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-18228.970703125</v>
      </c>
      <c r="C35" s="120"/>
      <c r="D35" s="120">
        <f t="shared" ref="D35:D45" ca="1" si="7">IF(ISTEXT(B35),0,C35+B35)</f>
        <v>-18228.970703125</v>
      </c>
      <c r="E35" s="114">
        <f>SUM(Preschedule!B42:Y42)</f>
        <v>858</v>
      </c>
      <c r="F35" s="120">
        <f t="shared" ref="F35:F45" ca="1" si="8">-IF(OR(ISTEXT(B35),E35=0),0,B35/E35)</f>
        <v>21.245886600378789</v>
      </c>
      <c r="G35" s="79">
        <f t="shared" ca="1" si="6"/>
        <v>21.245886600378789</v>
      </c>
      <c r="H35" s="136"/>
      <c r="I35" s="135">
        <v>1.96</v>
      </c>
    </row>
    <row r="36" spans="1:9" x14ac:dyDescent="0.2">
      <c r="A36" s="83" t="s">
        <v>48</v>
      </c>
      <c r="B36" s="120">
        <f ca="1">Gencost(Preschedule!B43:Y43,OFFSET(HeatRateStart,1,MATCH(A36,HeatRateNames,0)-1,250,1),I36)</f>
        <v>-24844.142578125</v>
      </c>
      <c r="C36" s="120"/>
      <c r="D36" s="120">
        <f t="shared" ca="1" si="7"/>
        <v>-24844.142578125</v>
      </c>
      <c r="E36" s="114">
        <f>SUM(Preschedule!B43:Y43)</f>
        <v>1206</v>
      </c>
      <c r="F36" s="120">
        <f t="shared" ca="1" si="8"/>
        <v>20.600449898942784</v>
      </c>
      <c r="G36" s="79">
        <f t="shared" ca="1" si="6"/>
        <v>20.600449898942784</v>
      </c>
      <c r="H36" s="136"/>
      <c r="I36" s="135">
        <f>INDEX(FuelPriceTable,MATCH(A36,FuelNames,0),5)</f>
        <v>1.96</v>
      </c>
    </row>
    <row r="37" spans="1:9" x14ac:dyDescent="0.2">
      <c r="A37" s="83" t="s">
        <v>49</v>
      </c>
      <c r="B37" s="120">
        <f ca="1">Gencost(Preschedule!B44:Y44,OFFSET(HeatRateStart,1,MATCH(A37,HeatRateNames,0)-1,250,1),I37)</f>
        <v>-4770.51220703125</v>
      </c>
      <c r="C37" s="120"/>
      <c r="D37" s="120">
        <f t="shared" ca="1" si="7"/>
        <v>-4770.51220703125</v>
      </c>
      <c r="E37" s="114">
        <f>SUM(Preschedule!B44:Y44)</f>
        <v>141</v>
      </c>
      <c r="F37" s="120">
        <f t="shared" ca="1" si="8"/>
        <v>33.833419908023046</v>
      </c>
      <c r="G37" s="79">
        <f t="shared" ca="1" si="6"/>
        <v>33.833419908023046</v>
      </c>
      <c r="H37" s="136"/>
      <c r="I37" s="135">
        <f t="shared" ref="I37:I45" si="9">INDEX(FuelPriceTable,MATCH(A37,FuelNames,0),5)</f>
        <v>1.96</v>
      </c>
    </row>
    <row r="38" spans="1:9" x14ac:dyDescent="0.2">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-52184.203125</v>
      </c>
      <c r="C41" s="120"/>
      <c r="D41" s="120">
        <f t="shared" ca="1" si="7"/>
        <v>-52184.203125</v>
      </c>
      <c r="E41" s="114">
        <f>SUM(Preschedule!B48:Y48)</f>
        <v>2804</v>
      </c>
      <c r="F41" s="120">
        <f t="shared" ca="1" si="8"/>
        <v>18.610628789229672</v>
      </c>
      <c r="G41" s="79">
        <f t="shared" ca="1" si="6"/>
        <v>18.610628789229672</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37375.54583333333</v>
      </c>
    </row>
    <row r="2" spans="2:2" x14ac:dyDescent="0.2">
      <c r="B2" t="s">
        <v>367</v>
      </c>
    </row>
    <row r="3" spans="2:2" x14ac:dyDescent="0.2">
      <c r="B3" t="s">
        <v>386</v>
      </c>
    </row>
    <row r="4" spans="2:2" x14ac:dyDescent="0.2">
      <c r="B4" t="s">
        <v>387</v>
      </c>
    </row>
    <row r="5" spans="2:2" x14ac:dyDescent="0.2">
      <c r="B5" t="s">
        <v>388</v>
      </c>
    </row>
    <row r="6" spans="2:2" x14ac:dyDescent="0.2">
      <c r="B6" t="s">
        <v>389</v>
      </c>
    </row>
    <row r="7" spans="2:2" x14ac:dyDescent="0.2">
      <c r="B7" t="s">
        <v>350</v>
      </c>
    </row>
    <row r="8" spans="2:2" x14ac:dyDescent="0.2">
      <c r="B8" t="s">
        <v>352</v>
      </c>
    </row>
    <row r="9" spans="2:2" x14ac:dyDescent="0.2">
      <c r="B9" t="s">
        <v>390</v>
      </c>
    </row>
    <row r="10" spans="2:2" x14ac:dyDescent="0.2">
      <c r="B10" t="s">
        <v>391</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392</v>
      </c>
    </row>
    <row r="17" spans="2:2" x14ac:dyDescent="0.2">
      <c r="B17" t="s">
        <v>393</v>
      </c>
    </row>
    <row r="18" spans="2:2" x14ac:dyDescent="0.2">
      <c r="B18" t="s">
        <v>394</v>
      </c>
    </row>
    <row r="19" spans="2:2" x14ac:dyDescent="0.2">
      <c r="B19" t="s">
        <v>395</v>
      </c>
    </row>
    <row r="20" spans="2:2" x14ac:dyDescent="0.2">
      <c r="B20" t="s">
        <v>396</v>
      </c>
    </row>
    <row r="21" spans="2:2" x14ac:dyDescent="0.2">
      <c r="B21" t="s">
        <v>397</v>
      </c>
    </row>
    <row r="22" spans="2:2" x14ac:dyDescent="0.2">
      <c r="B22" t="s">
        <v>383</v>
      </c>
    </row>
    <row r="23" spans="2:2" x14ac:dyDescent="0.2">
      <c r="B23" t="s">
        <v>377</v>
      </c>
    </row>
    <row r="24" spans="2:2" x14ac:dyDescent="0.2">
      <c r="B24" t="s">
        <v>398</v>
      </c>
    </row>
    <row r="25" spans="2:2" x14ac:dyDescent="0.2">
      <c r="B25" t="s">
        <v>378</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2023-09-15T21:13:52Z</dcterms:modified>
</cp:coreProperties>
</file>