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090B3ED-ED6C-4D06-B42E-6FA21764BB72}"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90" i="1"/>
  <c r="AE90" i="1"/>
  <c r="AF90" i="1"/>
  <c r="AD94" i="1"/>
  <c r="AE94" i="1"/>
  <c r="AF94" i="1"/>
  <c r="AD95" i="1"/>
  <c r="AE95" i="1"/>
  <c r="AF95" i="1"/>
  <c r="AD96" i="1"/>
  <c r="AE96" i="1"/>
  <c r="AF96" i="1"/>
  <c r="F103" i="1"/>
  <c r="G103" i="1"/>
  <c r="F104" i="1"/>
  <c r="G104" i="1"/>
  <c r="AD104" i="1"/>
  <c r="AE104" i="1"/>
  <c r="F105" i="1"/>
  <c r="G105" i="1"/>
  <c r="AD105" i="1"/>
  <c r="AE105" i="1"/>
  <c r="F106" i="1"/>
  <c r="G106" i="1"/>
  <c r="F107" i="1"/>
  <c r="G107" i="1"/>
  <c r="F108" i="1"/>
  <c r="G108" i="1"/>
  <c r="F109" i="1"/>
  <c r="G109" i="1"/>
  <c r="AD109" i="1"/>
  <c r="AE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cdean2</author>
  </authors>
  <commentList>
    <comment ref="C15" authorId="0" shapeId="0">
      <text>
        <r>
          <rPr>
            <sz val="10"/>
            <color indexed="81"/>
            <rFont val="Tahoma"/>
            <family val="2"/>
          </rPr>
          <t>NOTE TO SELF.
The CALPX lines are hidden.  They are rows 14-61.</t>
        </r>
      </text>
    </comment>
    <comment ref="M72" authorId="1" shapeId="0">
      <text>
        <r>
          <rPr>
            <b/>
            <sz val="10"/>
            <color indexed="81"/>
            <rFont val="Tahoma"/>
            <family val="2"/>
          </rPr>
          <t>cdean2: SPS buyback vs preschedule 75mw integrated to a 56 at the quarter</t>
        </r>
        <r>
          <rPr>
            <sz val="8"/>
            <color indexed="81"/>
            <rFont val="Tahoma"/>
          </rPr>
          <t xml:space="preserve">
</t>
        </r>
      </text>
    </comment>
    <comment ref="AA85" authorId="1" shapeId="0">
      <text>
        <r>
          <rPr>
            <b/>
            <sz val="10"/>
            <color indexed="81"/>
            <rFont val="Tahoma"/>
            <family val="2"/>
          </rPr>
          <t>cdean2: 30mw integrated to a 15 at the half</t>
        </r>
        <r>
          <rPr>
            <sz val="10"/>
            <color indexed="81"/>
            <rFont val="Tahoma"/>
            <family val="2"/>
          </rPr>
          <t xml:space="preserve">
</t>
        </r>
      </text>
    </comment>
  </commentList>
</comments>
</file>

<file path=xl/comments2.xml><?xml version="1.0" encoding="utf-8"?>
<comments xmlns="http://schemas.openxmlformats.org/spreadsheetml/2006/main">
  <authors>
    <author>s_mcrouch</author>
    <author>A satisfied Microsoft Office user</author>
  </authors>
  <commentList>
    <comment ref="I58" authorId="0" shapeId="0">
      <text>
        <r>
          <rPr>
            <b/>
            <sz val="10"/>
            <color indexed="81"/>
            <rFont val="Tahoma"/>
            <family val="2"/>
          </rPr>
          <t>Sold 75MW integrated to 47 at the quarter.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<sst xmlns="http://schemas.openxmlformats.org/spreadsheetml/2006/main" count="771" uniqueCount="385">
  <si>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</si>
  <si>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</si>
  <si>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</si>
  <si>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</si>
  <si>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</si>
  <si>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</si>
  <si>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</si>
  <si>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</si>
  <si>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</si>
  <si>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</si>
  <si>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</si>
  <si>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</si>
  <si>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</si>
  <si>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</si>
  <si>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</si>
  <si>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</si>
  <si>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</si>
  <si>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</si>
  <si>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</si>
  <si>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</si>
  <si>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</si>
  <si>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</si>
  <si>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</si>
  <si>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</si>
  <si>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</si>
  <si>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</si>
  <si>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</si>
  <si>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</si>
  <si>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</si>
  <si>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</si>
  <si>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</si>
  <si>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</si>
  <si>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</si>
  <si>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</si>
  <si>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</si>
  <si>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</si>
  <si>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</si>
  <si>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</si>
  <si>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</si>
  <si>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</si>
  <si>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</si>
  <si>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</si>
  <si>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</si>
  <si>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</si>
  <si>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</si>
  <si>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</si>
  <si>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</si>
  <si>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</si>
  <si>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</si>
  <si>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</si>
  <si>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</si>
  <si>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</si>
  <si>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</si>
  <si>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</si>
  <si>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</si>
  <si>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</si>
  <si>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</si>
  <si>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</si>
  <si>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</si>
  <si>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</si>
  <si>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</si>
  <si>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</si>
  <si>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</si>
  <si>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</si>
  <si>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</si>
  <si>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</si>
  <si>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</si>
  <si>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</si>
  <si>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</si>
  <si>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</si>
  <si>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</si>
  <si>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</si>
  <si>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</si>
  <si>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</si>
  <si>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</si>
  <si>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</si>
  <si>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</si>
  <si>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</si>
  <si>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</si>
  <si>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</si>
  <si>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</si>
  <si>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</si>
  <si>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</si>
  <si>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</si>
  <si>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</si>
  <si>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</si>
  <si>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</si>
  <si>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</si>
  <si>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</si>
  <si>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</si>
  <si>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</si>
  <si>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</si>
  <si>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</si>
  <si>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</si>
  <si>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</si>
  <si>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</si>
  <si>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</si>
  <si>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</si>
  <si>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</si>
  <si>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</si>
  <si>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</si>
  <si>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</si>
  <si>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</si>
  <si>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</si>
  <si>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</si>
  <si>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</si>
  <si>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</si>
  <si>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</si>
  <si>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</si>
  <si>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</si>
  <si>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</si>
  <si>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</si>
  <si>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</si>
  <si>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</si>
  <si>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</si>
  <si>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</si>
  <si>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</si>
  <si>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</si>
  <si>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</si>
  <si>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</si>
  <si>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</si>
  <si>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</si>
  <si>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</si>
  <si>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</si>
  <si>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</si>
  <si>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</si>
  <si>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</si>
  <si>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</si>
  <si>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</si>
  <si>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</si>
  <si>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</si>
  <si>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</si>
  <si>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</si>
  <si>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</si>
  <si>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</si>
  <si>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</si>
  <si>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</si>
  <si>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</si>
  <si>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</si>
  <si>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</si>
  <si>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</si>
  <si>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</si>
  <si>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</si>
  <si>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</si>
  <si>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</si>
  <si>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</si>
  <si>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</si>
  <si>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</si>
  <si>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</si>
  <si>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</si>
  <si>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</si>
  <si>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</si>
  <si>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</si>
  <si>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</si>
  <si>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</si>
  <si>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</si>
  <si>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</si>
  <si>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</si>
  <si>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</si>
  <si>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</si>
  <si>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</si>
  <si>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</si>
  <si>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</si>
  <si>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</si>
  <si>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</si>
  <si>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</si>
  <si>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</si>
  <si>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</si>
  <si>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</si>
  <si>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</si>
  <si>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</si>
  <si>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</si>
  <si>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</si>
  <si>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</si>
  <si>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</si>
  <si>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</si>
  <si>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</si>
  <si>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</si>
  <si>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</si>
  <si>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</si>
  <si>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</si>
  <si>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</si>
  <si>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</si>
  <si>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</si>
  <si>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</si>
  <si>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</si>
  <si>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</si>
  <si>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</si>
  <si>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</si>
  <si>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</si>
  <si>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</si>
  <si>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</si>
  <si>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</si>
  <si>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</si>
  <si>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</si>
  <si>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</si>
  <si>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</si>
  <si>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</si>
  <si>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</si>
  <si>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</si>
  <si>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</si>
  <si>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</si>
  <si>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</si>
  <si>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</si>
  <si>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</si>
  <si>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</si>
  <si>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</si>
  <si>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</si>
  <si>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</si>
  <si>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</si>
  <si>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</si>
  <si>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</si>
  <si>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</si>
  <si>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</si>
  <si>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</si>
  <si>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</si>
  <si>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</si>
  <si>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</si>
  <si>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</si>
  <si>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</si>
  <si>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</si>
  <si>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</si>
  <si>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</si>
  <si>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</si>
  <si>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</si>
  <si>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</si>
  <si>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</si>
  <si>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</si>
  <si>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</si>
  <si>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</si>
  <si>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</si>
  <si>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</si>
  <si>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</si>
  <si>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</si>
  <si>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</si>
  <si>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</si>
  <si>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</si>
  <si>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</si>
  <si>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</si>
  <si>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</si>
  <si>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</si>
  <si>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</si>
  <si>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</si>
  <si>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</si>
  <si>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</si>
  <si>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</si>
  <si>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</si>
  <si>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</si>
  <si>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</si>
  <si>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</si>
  <si>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</si>
  <si>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</si>
  <si>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</si>
  <si>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</si>
  <si>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</si>
  <si>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</si>
  <si>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</si>
  <si>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</si>
  <si>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</si>
  <si>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</si>
  <si>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</si>
  <si>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</si>
  <si>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</si>
  <si>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</si>
  <si>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</si>
  <si>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</si>
  <si>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</si>
  <si>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</si>
  <si>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</si>
  <si>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</si>
  <si>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</si>
  <si>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</si>
  <si>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</si>
  <si>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</si>
  <si>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</si>
  <si>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</si>
  <si>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</si>
  <si>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</si>
  <si>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</si>
  <si>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</si>
  <si>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</si>
  <si>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</si>
  <si>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</si>
  <si>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</si>
  <si>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</si>
  <si>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</si>
  <si>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</si>
  <si>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</si>
  <si>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</si>
  <si>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</si>
  <si>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</si>
  <si>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</si>
  <si>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</si>
  <si>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</si>
  <si>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</si>
  <si>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</si>
  <si>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</si>
  <si>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</si>
  <si>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</si>
  <si>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</si>
  <si>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</si>
  <si>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</si>
  <si>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</si>
  <si>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</si>
  <si>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</si>
  <si>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</si>
  <si>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</si>
  <si>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</si>
  <si>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</si>
  <si>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</si>
  <si>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</si>
  <si>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</si>
  <si>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</si>
  <si>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</si>
  <si>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</si>
  <si>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</si>
  <si>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</si>
  <si>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</si>
  <si>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</si>
  <si>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</si>
  <si>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</si>
  <si>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</si>
  <si>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</si>
  <si>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</si>
  <si>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</si>
  <si>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</si>
  <si>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</si>
  <si>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</si>
  <si>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</si>
  <si>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</si>
  <si>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</si>
  <si>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</si>
  <si>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</si>
  <si>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</si>
  <si>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</si>
  <si>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</si>
  <si>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</si>
  <si>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</si>
  <si>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</si>
  <si>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</si>
  <si>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</si>
  <si>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</si>
  <si>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</si>
  <si>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</si>
  <si>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</si>
  <si>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</si>
  <si>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</si>
  <si>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</si>
  <si>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</si>
  <si>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</si>
  <si>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</si>
  <si>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</si>
  <si>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</si>
  <si>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</si>
  <si>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</si>
  <si>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</si>
  <si>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</si>
  <si>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</si>
  <si>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</si>
  <si>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</si>
  <si>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</si>
  <si>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</si>
  <si>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</si>
  <si>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</si>
  <si>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</si>
  <si>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</si>
  <si>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</si>
  <si>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</si>
  <si>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</si>
  <si>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</si>
  <si>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</si>
  <si>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</si>
  <si>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</si>
  <si>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NEWMAN 1 ,UNAV, -0  , 75  , 39  , 83  ,  0  ,1</t>
  </si>
  <si>
    <t>NEWMAN 4 ,UNAV,  0  ,215  , 86  ,214  ,  0  ,1</t>
  </si>
  <si>
    <t>IPC</t>
  </si>
  <si>
    <t>FOURCRNRS,MANL, 91  , 91  , 91  ,104  ,  0  ,1</t>
  </si>
  <si>
    <t>NEWMAN 2 ,MANL, 33  , 77  , 34  , 83  ,  0  ,1</t>
  </si>
  <si>
    <t>PALOVERDE,MANL,606  ,600  ,600  ,600  ,  0  ,1</t>
  </si>
  <si>
    <t>NEWMN/GT2,MANL, 40  , 60  , 18  , 60  ,  0  ,1</t>
  </si>
  <si>
    <t>0008:15  12/25/01</t>
  </si>
  <si>
    <t>NEWMAN 3 ,ECON, 80  ,100  , 35  ,103  , 18  ,1</t>
  </si>
  <si>
    <t>NEWMN/GT1,MANL, 40  , 60  , 18  , 60  ,  0  ,1</t>
  </si>
  <si>
    <t xml:space="preserve">NEWMAN   ,, 194 ,  297,  105, 306 ,  18 , </t>
  </si>
  <si>
    <t>LAMBDA, 40.09,  627,  626,  120,    0,    0,14144,0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</si>
</sst>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xf numFmtId="0" fontId="22" fillId="12" borderId="45"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F73AAFA-5C85-4B3D-24F6-F2897BB4B4B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FD2652C7-A0D0-7D23-EEF4-9168491C218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98</xdr:row>
          <xdr:rowOff>171450</xdr:rowOff>
        </xdr:from>
        <xdr:to>
          <xdr:col>12</xdr:col>
          <xdr:colOff>95250</xdr:colOff>
          <xdr:row>99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95C7A09-40C4-36BF-C660-1C639A675E2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100</xdr:row>
      <xdr:rowOff>66675</xdr:rowOff>
    </xdr:from>
    <xdr:to>
      <xdr:col>23</xdr:col>
      <xdr:colOff>114300</xdr:colOff>
      <xdr:row>115</xdr:row>
      <xdr:rowOff>19050</xdr:rowOff>
    </xdr:to>
    <xdr:sp macro="" textlink="">
      <xdr:nvSpPr>
        <xdr:cNvPr id="2303" name="Text Box 255">
          <a:extLst>
            <a:ext uri="{FF2B5EF4-FFF2-40B4-BE49-F238E27FC236}">
              <a16:creationId xmlns:a16="http://schemas.microsoft.com/office/drawing/2014/main" id="{68D3A1FC-2A5D-C401-FDEC-68ED2F46B3DE}"/>
            </a:ext>
          </a:extLst>
        </xdr:cNvPr>
        <xdr:cNvSpPr txBox="1">
          <a:spLocks noChangeArrowheads="1"/>
        </xdr:cNvSpPr>
      </xdr:nvSpPr>
      <xdr:spPr bwMode="auto">
        <a:xfrm>
          <a:off x="5372100" y="85534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37F3EC7-7920-D941-56E3-8B32061B1E4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C3BC976-D2AB-D6E2-C2FD-6CDD76A5E27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F796342-7707-6960-A393-DA79A2B39FF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18B9439-F6C9-46F5-399C-E3B3D6B68FF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AB85" sqref="AB85"/>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04">
        <v>60</v>
      </c>
      <c r="G3" s="704">
        <v>50</v>
      </c>
      <c r="H3" s="704">
        <v>50</v>
      </c>
      <c r="I3" s="704">
        <v>50</v>
      </c>
      <c r="J3" s="704">
        <v>50</v>
      </c>
      <c r="K3" s="704">
        <v>50</v>
      </c>
      <c r="L3" s="704">
        <v>50</v>
      </c>
      <c r="M3" s="704">
        <v>50</v>
      </c>
      <c r="N3" s="704">
        <v>50</v>
      </c>
      <c r="O3" s="704">
        <v>50</v>
      </c>
      <c r="P3" s="704">
        <v>50</v>
      </c>
      <c r="Q3" s="704">
        <v>50</v>
      </c>
      <c r="R3" s="704">
        <v>50</v>
      </c>
      <c r="S3" s="704">
        <v>50</v>
      </c>
      <c r="T3" s="704">
        <v>50</v>
      </c>
      <c r="U3" s="704">
        <v>50</v>
      </c>
      <c r="V3" s="704">
        <v>30</v>
      </c>
      <c r="W3" s="704">
        <v>30</v>
      </c>
      <c r="X3" s="704">
        <v>80</v>
      </c>
      <c r="Y3" s="723">
        <v>80</v>
      </c>
      <c r="Z3" s="704">
        <v>80</v>
      </c>
      <c r="AA3" s="704">
        <v>80</v>
      </c>
      <c r="AB3" s="704">
        <v>70</v>
      </c>
      <c r="AC3" s="704">
        <v>80</v>
      </c>
      <c r="AD3" s="639">
        <f>SUM(F3:AC3)</f>
        <v>1340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635">
        <v>25</v>
      </c>
      <c r="G4" s="635">
        <v>25</v>
      </c>
      <c r="H4" s="635">
        <v>25</v>
      </c>
      <c r="I4" s="635">
        <v>25</v>
      </c>
      <c r="J4" s="635">
        <v>25</v>
      </c>
      <c r="K4" s="635">
        <v>25</v>
      </c>
      <c r="L4" s="635">
        <v>25</v>
      </c>
      <c r="M4" s="721">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
      <c r="A5" s="649" t="s">
        <v>63</v>
      </c>
      <c r="B5" s="657"/>
      <c r="C5" s="657"/>
      <c r="D5" s="657"/>
      <c r="E5" s="652"/>
      <c r="F5" s="635">
        <v>0</v>
      </c>
      <c r="G5" s="635">
        <v>0</v>
      </c>
      <c r="H5" s="635">
        <v>0</v>
      </c>
      <c r="I5" s="635">
        <v>0</v>
      </c>
      <c r="J5" s="635">
        <v>0</v>
      </c>
      <c r="K5" s="635">
        <v>0</v>
      </c>
      <c r="L5" s="635">
        <v>0</v>
      </c>
      <c r="M5" s="721">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
      <c r="A6" s="649"/>
      <c r="B6" s="657"/>
      <c r="C6" s="657"/>
      <c r="D6" s="657"/>
      <c r="E6" s="652"/>
      <c r="F6" s="635"/>
      <c r="G6" s="635"/>
      <c r="H6" s="635"/>
      <c r="I6" s="635"/>
      <c r="J6" s="635"/>
      <c r="K6" s="635"/>
      <c r="L6" s="635"/>
      <c r="M6" s="721"/>
      <c r="N6" s="635"/>
      <c r="O6" s="635"/>
      <c r="P6" s="635"/>
      <c r="Q6" s="635"/>
      <c r="R6" s="635"/>
      <c r="S6" s="635"/>
      <c r="T6" s="635"/>
      <c r="U6" s="635"/>
      <c r="V6" s="635"/>
      <c r="W6" s="635"/>
      <c r="X6" s="635"/>
      <c r="Y6" s="635"/>
      <c r="Z6" s="635"/>
      <c r="AA6" s="635"/>
      <c r="AB6" s="635"/>
      <c r="AC6" s="635"/>
      <c r="AD6" s="592"/>
      <c r="AE6" s="593"/>
      <c r="AF6" s="534"/>
    </row>
    <row r="7" spans="1:75" s="404" customFormat="1" x14ac:dyDescent="0.2">
      <c r="A7" s="649" t="s">
        <v>3</v>
      </c>
      <c r="B7" s="657"/>
      <c r="C7" s="657" t="s">
        <v>363</v>
      </c>
      <c r="D7" s="657"/>
      <c r="E7" s="680"/>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
      <c r="A9" s="649" t="s">
        <v>67</v>
      </c>
      <c r="B9" s="657"/>
      <c r="C9" s="701"/>
      <c r="D9" s="657"/>
      <c r="E9" s="680"/>
      <c r="F9" s="635">
        <v>50</v>
      </c>
      <c r="G9" s="635">
        <v>50</v>
      </c>
      <c r="H9" s="635">
        <v>50</v>
      </c>
      <c r="I9" s="635">
        <v>50</v>
      </c>
      <c r="J9" s="635">
        <v>50</v>
      </c>
      <c r="K9" s="635">
        <v>50</v>
      </c>
      <c r="L9" s="635">
        <v>50</v>
      </c>
      <c r="M9" s="635"/>
      <c r="N9" s="635"/>
      <c r="O9" s="635"/>
      <c r="P9" s="635"/>
      <c r="Q9" s="635"/>
      <c r="R9" s="635"/>
      <c r="S9" s="635"/>
      <c r="T9" s="635"/>
      <c r="U9" s="635"/>
      <c r="V9" s="635"/>
      <c r="W9" s="635"/>
      <c r="X9" s="635"/>
      <c r="Y9" s="635"/>
      <c r="Z9" s="635"/>
      <c r="AA9" s="635"/>
      <c r="AB9" s="635"/>
      <c r="AC9" s="635">
        <v>50</v>
      </c>
      <c r="AD9" s="592">
        <f>SUM(F9:AC9)</f>
        <v>400</v>
      </c>
      <c r="AE9" s="686"/>
      <c r="AF9" s="687"/>
    </row>
    <row r="10" spans="1:75" s="404" customFormat="1" x14ac:dyDescent="0.2">
      <c r="A10" s="649" t="s">
        <v>369</v>
      </c>
      <c r="B10" s="657"/>
      <c r="C10" s="701" t="s">
        <v>151</v>
      </c>
      <c r="D10" s="657"/>
      <c r="E10" s="680"/>
      <c r="F10" s="635">
        <v>175</v>
      </c>
      <c r="G10" s="635">
        <v>175</v>
      </c>
      <c r="H10" s="635">
        <v>175</v>
      </c>
      <c r="I10" s="635">
        <v>175</v>
      </c>
      <c r="J10" s="635">
        <v>175</v>
      </c>
      <c r="K10" s="635">
        <v>175</v>
      </c>
      <c r="L10" s="635">
        <v>175</v>
      </c>
      <c r="M10" s="635"/>
      <c r="N10" s="635"/>
      <c r="O10" s="635"/>
      <c r="P10" s="635"/>
      <c r="Q10" s="635"/>
      <c r="R10" s="635"/>
      <c r="S10" s="635"/>
      <c r="T10" s="635"/>
      <c r="U10" s="635"/>
      <c r="V10" s="635"/>
      <c r="W10" s="635"/>
      <c r="X10" s="635"/>
      <c r="Y10" s="635"/>
      <c r="Z10" s="635"/>
      <c r="AA10" s="635"/>
      <c r="AB10" s="635"/>
      <c r="AC10" s="635">
        <v>175</v>
      </c>
      <c r="AD10" s="592">
        <f>SUM(F10:AC10)</f>
        <v>1400</v>
      </c>
      <c r="AE10" s="686"/>
      <c r="AF10" s="687"/>
    </row>
    <row r="11" spans="1:75" s="404" customFormat="1" x14ac:dyDescent="0.2">
      <c r="A11" s="649" t="s">
        <v>63</v>
      </c>
      <c r="B11" s="701"/>
      <c r="C11" s="701" t="s">
        <v>151</v>
      </c>
      <c r="D11" s="657"/>
      <c r="E11" s="680"/>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6">
        <f>AD11*D11</f>
        <v>0</v>
      </c>
      <c r="AF11" s="687" t="str">
        <f>IF(AD11&lt;0,"buy","sell")</f>
        <v>sell</v>
      </c>
    </row>
    <row r="12" spans="1:75" s="404" customFormat="1" x14ac:dyDescent="0.2">
      <c r="A12" s="649" t="s">
        <v>65</v>
      </c>
      <c r="B12" s="701"/>
      <c r="C12" s="701" t="s">
        <v>151</v>
      </c>
      <c r="D12" s="657"/>
      <c r="E12" s="680"/>
      <c r="F12" s="635">
        <v>25</v>
      </c>
      <c r="G12" s="635">
        <v>25</v>
      </c>
      <c r="H12" s="635">
        <v>25</v>
      </c>
      <c r="I12" s="635">
        <v>25</v>
      </c>
      <c r="J12" s="635">
        <v>25</v>
      </c>
      <c r="K12" s="635">
        <v>25</v>
      </c>
      <c r="L12" s="635">
        <v>25</v>
      </c>
      <c r="M12" s="635"/>
      <c r="N12" s="635"/>
      <c r="O12" s="635"/>
      <c r="P12" s="635"/>
      <c r="Q12" s="635"/>
      <c r="R12" s="635"/>
      <c r="S12" s="635"/>
      <c r="T12" s="635"/>
      <c r="U12" s="635"/>
      <c r="V12" s="635"/>
      <c r="W12" s="635"/>
      <c r="X12" s="635"/>
      <c r="Y12" s="635"/>
      <c r="Z12" s="635"/>
      <c r="AA12" s="635"/>
      <c r="AB12" s="635"/>
      <c r="AC12" s="635">
        <v>25</v>
      </c>
      <c r="AD12" s="592">
        <f>SUM(E12:AC12)</f>
        <v>200</v>
      </c>
      <c r="AE12" s="686">
        <f>AD12*D12</f>
        <v>0</v>
      </c>
      <c r="AF12" s="687" t="str">
        <f>IF(AD12&lt;0,"buy","sell")</f>
        <v>sell</v>
      </c>
    </row>
    <row r="13" spans="1:75" s="356" customFormat="1" ht="11.25" customHeight="1" x14ac:dyDescent="0.2">
      <c r="A13" s="649"/>
      <c r="B13" s="657"/>
      <c r="C13" s="657"/>
      <c r="D13" s="657"/>
      <c r="E13" s="652"/>
      <c r="F13" s="635"/>
      <c r="G13" s="635"/>
      <c r="H13" s="635"/>
      <c r="I13" s="635"/>
      <c r="J13" s="635"/>
      <c r="K13" s="635"/>
      <c r="L13" s="635"/>
      <c r="M13" s="721"/>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
      <c r="A14" s="658" t="s">
        <v>205</v>
      </c>
      <c r="B14" s="683"/>
      <c r="C14" s="683"/>
      <c r="D14" s="684"/>
      <c r="E14" s="659"/>
      <c r="F14" s="661"/>
      <c r="G14" s="661"/>
      <c r="H14" s="661"/>
      <c r="I14" s="661"/>
      <c r="J14" s="661"/>
      <c r="K14" s="661"/>
      <c r="L14" s="661"/>
      <c r="M14" s="722"/>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
      <c r="A16" s="611" t="s">
        <v>277</v>
      </c>
      <c r="B16" s="478" t="s">
        <v>240</v>
      </c>
      <c r="C16" s="478" t="s">
        <v>151</v>
      </c>
      <c r="D16" s="479">
        <f>F103</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
      <c r="A17" s="611" t="s">
        <v>277</v>
      </c>
      <c r="B17" s="478" t="s">
        <v>240</v>
      </c>
      <c r="C17" s="478" t="s">
        <v>151</v>
      </c>
      <c r="D17" s="479">
        <f>F104</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
      <c r="A18" s="611" t="s">
        <v>277</v>
      </c>
      <c r="B18" s="478" t="s">
        <v>240</v>
      </c>
      <c r="C18" s="478" t="s">
        <v>151</v>
      </c>
      <c r="D18" s="479">
        <f>F105</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
      <c r="A19" s="611" t="s">
        <v>277</v>
      </c>
      <c r="B19" s="478" t="s">
        <v>240</v>
      </c>
      <c r="C19" s="478" t="s">
        <v>151</v>
      </c>
      <c r="D19" s="479">
        <f>F106</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
      <c r="A20" s="611" t="s">
        <v>277</v>
      </c>
      <c r="B20" s="478" t="s">
        <v>240</v>
      </c>
      <c r="C20" s="478" t="s">
        <v>151</v>
      </c>
      <c r="D20" s="479">
        <f t="shared" ref="D20:D39" si="3">F107</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
      <c r="A41" s="611" t="s">
        <v>277</v>
      </c>
      <c r="B41" s="478" t="s">
        <v>240</v>
      </c>
      <c r="C41" s="478" t="s">
        <v>278</v>
      </c>
      <c r="D41" s="479">
        <f t="shared" ref="D41:D63" si="4">F133</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2" s="608" customFormat="1" ht="12.75" customHeight="1" x14ac:dyDescent="0.2">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ref="AD65:AD88" si="6">SUM(E65:AC65)</f>
        <v>0</v>
      </c>
      <c r="AE65" s="693">
        <f t="shared" ref="AE65:AE88" si="7">AD65*D65</f>
        <v>0</v>
      </c>
      <c r="AF65" s="694" t="str">
        <f t="shared" ref="AF65:AF88" si="8">IF(AD65&lt;0,"buy","sell")</f>
        <v>sell</v>
      </c>
    </row>
    <row r="66" spans="1:32" s="608" customFormat="1" ht="12.75" customHeight="1" x14ac:dyDescent="0.2">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6"/>
        <v>0</v>
      </c>
      <c r="AE66" s="693">
        <f t="shared" si="7"/>
        <v>0</v>
      </c>
      <c r="AF66" s="694" t="str">
        <f t="shared" si="8"/>
        <v>sell</v>
      </c>
    </row>
    <row r="67" spans="1:32" s="608" customFormat="1" ht="12.75" customHeight="1" x14ac:dyDescent="0.2">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6"/>
        <v>0</v>
      </c>
      <c r="AE67" s="693">
        <f t="shared" si="7"/>
        <v>0</v>
      </c>
      <c r="AF67" s="694" t="str">
        <f t="shared" si="8"/>
        <v>sell</v>
      </c>
    </row>
    <row r="68" spans="1:32" s="356" customFormat="1" x14ac:dyDescent="0.2">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2" s="356" customFormat="1" x14ac:dyDescent="0.2">
      <c r="A69" s="617" t="s">
        <v>67</v>
      </c>
      <c r="B69" s="623" t="s">
        <v>370</v>
      </c>
      <c r="C69" s="623" t="s">
        <v>151</v>
      </c>
      <c r="D69" s="621">
        <v>10</v>
      </c>
      <c r="E69" s="613"/>
      <c r="F69" s="700"/>
      <c r="G69" s="700"/>
      <c r="H69" s="700"/>
      <c r="I69" s="700"/>
      <c r="J69" s="700"/>
      <c r="K69" s="700"/>
      <c r="L69" s="700"/>
      <c r="M69" s="700"/>
      <c r="N69" s="700">
        <v>75</v>
      </c>
      <c r="O69" s="700"/>
      <c r="P69" s="700"/>
      <c r="Q69" s="700"/>
      <c r="R69" s="700"/>
      <c r="S69" s="700"/>
      <c r="T69" s="700"/>
      <c r="U69" s="700"/>
      <c r="V69" s="700"/>
      <c r="W69" s="700"/>
      <c r="X69" s="700"/>
      <c r="Y69" s="700"/>
      <c r="Z69" s="700"/>
      <c r="AA69" s="700"/>
      <c r="AB69" s="700"/>
      <c r="AC69" s="700"/>
      <c r="AD69" s="588">
        <f t="shared" si="6"/>
        <v>75</v>
      </c>
      <c r="AE69" s="693">
        <f t="shared" si="7"/>
        <v>750</v>
      </c>
      <c r="AF69" s="694" t="str">
        <f t="shared" si="8"/>
        <v>sell</v>
      </c>
    </row>
    <row r="70" spans="1:32" s="356" customFormat="1" x14ac:dyDescent="0.2">
      <c r="A70" s="617" t="s">
        <v>228</v>
      </c>
      <c r="B70" s="623" t="s">
        <v>370</v>
      </c>
      <c r="C70" s="623" t="s">
        <v>151</v>
      </c>
      <c r="D70" s="621">
        <v>15</v>
      </c>
      <c r="E70" s="613"/>
      <c r="F70" s="700"/>
      <c r="G70" s="700"/>
      <c r="H70" s="700"/>
      <c r="I70" s="700"/>
      <c r="J70" s="700"/>
      <c r="K70" s="700"/>
      <c r="L70" s="700"/>
      <c r="M70" s="700">
        <v>40</v>
      </c>
      <c r="N70" s="700">
        <v>40</v>
      </c>
      <c r="O70" s="700"/>
      <c r="P70" s="700"/>
      <c r="Q70" s="700"/>
      <c r="R70" s="700"/>
      <c r="S70" s="700"/>
      <c r="T70" s="700"/>
      <c r="U70" s="700"/>
      <c r="V70" s="700"/>
      <c r="W70" s="700"/>
      <c r="X70" s="700"/>
      <c r="Y70" s="700"/>
      <c r="Z70" s="700"/>
      <c r="AA70" s="700"/>
      <c r="AB70" s="700"/>
      <c r="AC70" s="700"/>
      <c r="AD70" s="588">
        <f t="shared" si="6"/>
        <v>80</v>
      </c>
      <c r="AE70" s="693">
        <f t="shared" si="7"/>
        <v>1200</v>
      </c>
      <c r="AF70" s="694" t="str">
        <f t="shared" si="8"/>
        <v>sell</v>
      </c>
    </row>
    <row r="71" spans="1:32" s="356" customFormat="1" x14ac:dyDescent="0.2">
      <c r="A71" s="617" t="s">
        <v>224</v>
      </c>
      <c r="B71" s="623" t="s">
        <v>370</v>
      </c>
      <c r="C71" s="623" t="s">
        <v>278</v>
      </c>
      <c r="D71" s="621">
        <v>5</v>
      </c>
      <c r="E71" s="613"/>
      <c r="F71" s="700"/>
      <c r="G71" s="700"/>
      <c r="H71" s="700"/>
      <c r="I71" s="700"/>
      <c r="J71" s="700"/>
      <c r="K71" s="700"/>
      <c r="L71" s="700"/>
      <c r="M71" s="700">
        <v>20</v>
      </c>
      <c r="N71" s="700">
        <v>50</v>
      </c>
      <c r="O71" s="700"/>
      <c r="P71" s="700"/>
      <c r="Q71" s="700"/>
      <c r="R71" s="700"/>
      <c r="S71" s="700"/>
      <c r="T71" s="700"/>
      <c r="U71" s="700"/>
      <c r="V71" s="700"/>
      <c r="W71" s="700"/>
      <c r="X71" s="700"/>
      <c r="Y71" s="700"/>
      <c r="Z71" s="700"/>
      <c r="AA71" s="700"/>
      <c r="AB71" s="700"/>
      <c r="AC71" s="700"/>
      <c r="AD71" s="588">
        <f t="shared" si="6"/>
        <v>70</v>
      </c>
      <c r="AE71" s="693">
        <f t="shared" si="7"/>
        <v>350</v>
      </c>
      <c r="AF71" s="694" t="str">
        <f t="shared" si="8"/>
        <v>sell</v>
      </c>
    </row>
    <row r="72" spans="1:32" s="356" customFormat="1" x14ac:dyDescent="0.2">
      <c r="A72" s="617" t="s">
        <v>3</v>
      </c>
      <c r="B72" s="623" t="s">
        <v>370</v>
      </c>
      <c r="C72" s="623" t="s">
        <v>278</v>
      </c>
      <c r="D72" s="621">
        <v>0</v>
      </c>
      <c r="E72" s="613"/>
      <c r="F72" s="700"/>
      <c r="G72" s="700"/>
      <c r="H72" s="700"/>
      <c r="I72" s="700"/>
      <c r="J72" s="700"/>
      <c r="K72" s="700"/>
      <c r="L72" s="700"/>
      <c r="M72" s="700">
        <v>47</v>
      </c>
      <c r="N72" s="700"/>
      <c r="O72" s="700"/>
      <c r="P72" s="700"/>
      <c r="Q72" s="700"/>
      <c r="R72" s="700"/>
      <c r="S72" s="700"/>
      <c r="T72" s="700"/>
      <c r="U72" s="700"/>
      <c r="V72" s="700"/>
      <c r="W72" s="700"/>
      <c r="X72" s="700"/>
      <c r="Y72" s="700"/>
      <c r="Z72" s="700"/>
      <c r="AA72" s="700"/>
      <c r="AB72" s="700"/>
      <c r="AC72" s="700"/>
      <c r="AD72" s="588">
        <f t="shared" si="6"/>
        <v>47</v>
      </c>
      <c r="AE72" s="693">
        <f t="shared" si="7"/>
        <v>0</v>
      </c>
      <c r="AF72" s="694" t="str">
        <f t="shared" si="8"/>
        <v>sell</v>
      </c>
    </row>
    <row r="73" spans="1:32" s="356" customFormat="1" x14ac:dyDescent="0.2">
      <c r="A73" s="617" t="s">
        <v>67</v>
      </c>
      <c r="B73" s="623" t="s">
        <v>370</v>
      </c>
      <c r="C73" s="623" t="s">
        <v>151</v>
      </c>
      <c r="D73" s="621">
        <v>12</v>
      </c>
      <c r="E73" s="613"/>
      <c r="F73" s="700"/>
      <c r="G73" s="700"/>
      <c r="H73" s="700"/>
      <c r="I73" s="700"/>
      <c r="J73" s="700"/>
      <c r="K73" s="700"/>
      <c r="L73" s="700"/>
      <c r="M73" s="700"/>
      <c r="N73" s="700"/>
      <c r="O73" s="700">
        <v>100</v>
      </c>
      <c r="P73" s="700"/>
      <c r="Q73" s="700"/>
      <c r="R73" s="700"/>
      <c r="S73" s="700"/>
      <c r="T73" s="700"/>
      <c r="U73" s="700"/>
      <c r="V73" s="700"/>
      <c r="W73" s="700"/>
      <c r="X73" s="700"/>
      <c r="Y73" s="700"/>
      <c r="Z73" s="700"/>
      <c r="AA73" s="700"/>
      <c r="AB73" s="700"/>
      <c r="AC73" s="700"/>
      <c r="AD73" s="588">
        <f t="shared" si="6"/>
        <v>100</v>
      </c>
      <c r="AE73" s="693">
        <f t="shared" si="7"/>
        <v>1200</v>
      </c>
      <c r="AF73" s="694" t="str">
        <f t="shared" si="8"/>
        <v>sell</v>
      </c>
    </row>
    <row r="74" spans="1:32" s="356" customFormat="1" x14ac:dyDescent="0.2">
      <c r="A74" s="617" t="s">
        <v>224</v>
      </c>
      <c r="B74" s="623" t="s">
        <v>370</v>
      </c>
      <c r="C74" s="623" t="s">
        <v>278</v>
      </c>
      <c r="D74" s="621">
        <v>7</v>
      </c>
      <c r="E74" s="613"/>
      <c r="F74" s="700"/>
      <c r="G74" s="700"/>
      <c r="H74" s="700"/>
      <c r="I74" s="700"/>
      <c r="J74" s="700"/>
      <c r="K74" s="700"/>
      <c r="L74" s="700"/>
      <c r="M74" s="700"/>
      <c r="N74" s="700"/>
      <c r="O74" s="700">
        <v>25</v>
      </c>
      <c r="P74" s="700"/>
      <c r="Q74" s="700"/>
      <c r="R74" s="700"/>
      <c r="S74" s="700"/>
      <c r="T74" s="700"/>
      <c r="U74" s="700"/>
      <c r="V74" s="700"/>
      <c r="W74" s="700"/>
      <c r="X74" s="700"/>
      <c r="Y74" s="700"/>
      <c r="Z74" s="700"/>
      <c r="AA74" s="700"/>
      <c r="AB74" s="700"/>
      <c r="AC74" s="700"/>
      <c r="AD74" s="588">
        <f t="shared" si="6"/>
        <v>25</v>
      </c>
      <c r="AE74" s="693">
        <f t="shared" si="7"/>
        <v>175</v>
      </c>
      <c r="AF74" s="694" t="str">
        <f t="shared" si="8"/>
        <v>sell</v>
      </c>
    </row>
    <row r="75" spans="1:32" s="356" customFormat="1" x14ac:dyDescent="0.2">
      <c r="A75" s="617" t="s">
        <v>67</v>
      </c>
      <c r="B75" s="623" t="s">
        <v>370</v>
      </c>
      <c r="C75" s="623" t="s">
        <v>151</v>
      </c>
      <c r="D75" s="621">
        <v>16</v>
      </c>
      <c r="E75" s="613"/>
      <c r="F75" s="700"/>
      <c r="G75" s="700"/>
      <c r="H75" s="700"/>
      <c r="I75" s="700"/>
      <c r="J75" s="700"/>
      <c r="K75" s="700"/>
      <c r="L75" s="700"/>
      <c r="M75" s="700"/>
      <c r="N75" s="700"/>
      <c r="O75" s="700"/>
      <c r="P75" s="700">
        <v>100</v>
      </c>
      <c r="Q75" s="700"/>
      <c r="R75" s="700"/>
      <c r="S75" s="700"/>
      <c r="T75" s="700"/>
      <c r="U75" s="700"/>
      <c r="V75" s="700"/>
      <c r="W75" s="700"/>
      <c r="X75" s="700"/>
      <c r="Y75" s="700"/>
      <c r="Z75" s="700"/>
      <c r="AA75" s="700"/>
      <c r="AB75" s="700"/>
      <c r="AC75" s="700"/>
      <c r="AD75" s="588">
        <f t="shared" si="6"/>
        <v>100</v>
      </c>
      <c r="AE75" s="693">
        <f t="shared" si="7"/>
        <v>1600</v>
      </c>
      <c r="AF75" s="694" t="str">
        <f t="shared" si="8"/>
        <v>sell</v>
      </c>
    </row>
    <row r="76" spans="1:32" s="356" customFormat="1" x14ac:dyDescent="0.2">
      <c r="A76" s="617" t="s">
        <v>67</v>
      </c>
      <c r="B76" s="623" t="s">
        <v>370</v>
      </c>
      <c r="C76" s="623" t="s">
        <v>151</v>
      </c>
      <c r="D76" s="621">
        <v>15</v>
      </c>
      <c r="E76" s="613"/>
      <c r="F76" s="700"/>
      <c r="G76" s="700"/>
      <c r="H76" s="700"/>
      <c r="I76" s="700"/>
      <c r="J76" s="700"/>
      <c r="K76" s="700"/>
      <c r="L76" s="700"/>
      <c r="M76" s="700"/>
      <c r="N76" s="700"/>
      <c r="O76" s="700"/>
      <c r="P76" s="700"/>
      <c r="Q76" s="700">
        <v>100</v>
      </c>
      <c r="R76" s="700">
        <v>100</v>
      </c>
      <c r="S76" s="700">
        <v>100</v>
      </c>
      <c r="T76" s="700"/>
      <c r="U76" s="700"/>
      <c r="V76" s="700"/>
      <c r="W76" s="700"/>
      <c r="X76" s="700"/>
      <c r="Y76" s="700"/>
      <c r="Z76" s="700"/>
      <c r="AA76" s="700"/>
      <c r="AB76" s="700"/>
      <c r="AC76" s="700"/>
      <c r="AD76" s="588">
        <f t="shared" si="6"/>
        <v>300</v>
      </c>
      <c r="AE76" s="693">
        <f t="shared" si="7"/>
        <v>4500</v>
      </c>
      <c r="AF76" s="694" t="str">
        <f t="shared" si="8"/>
        <v>sell</v>
      </c>
    </row>
    <row r="77" spans="1:32" s="356" customFormat="1" x14ac:dyDescent="0.2">
      <c r="A77" s="617" t="s">
        <v>375</v>
      </c>
      <c r="B77" s="623" t="s">
        <v>370</v>
      </c>
      <c r="C77" s="623" t="s">
        <v>278</v>
      </c>
      <c r="D77" s="621">
        <v>14</v>
      </c>
      <c r="E77" s="613"/>
      <c r="F77" s="700"/>
      <c r="G77" s="700"/>
      <c r="H77" s="700"/>
      <c r="I77" s="700"/>
      <c r="J77" s="700"/>
      <c r="K77" s="700"/>
      <c r="L77" s="700"/>
      <c r="M77" s="700"/>
      <c r="N77" s="700"/>
      <c r="O77" s="700"/>
      <c r="P77" s="700"/>
      <c r="Q77" s="700"/>
      <c r="R77" s="700">
        <v>25</v>
      </c>
      <c r="S77" s="700"/>
      <c r="T77" s="700"/>
      <c r="U77" s="700"/>
      <c r="V77" s="700"/>
      <c r="W77" s="700"/>
      <c r="X77" s="700"/>
      <c r="Y77" s="700"/>
      <c r="Z77" s="700"/>
      <c r="AA77" s="700"/>
      <c r="AB77" s="700"/>
      <c r="AC77" s="700"/>
      <c r="AD77" s="588">
        <f t="shared" si="6"/>
        <v>25</v>
      </c>
      <c r="AE77" s="693">
        <f t="shared" si="7"/>
        <v>350</v>
      </c>
      <c r="AF77" s="694" t="str">
        <f t="shared" si="8"/>
        <v>sell</v>
      </c>
    </row>
    <row r="78" spans="1:32" s="356" customFormat="1" x14ac:dyDescent="0.2">
      <c r="A78" s="617" t="s">
        <v>67</v>
      </c>
      <c r="B78" s="623" t="s">
        <v>370</v>
      </c>
      <c r="C78" s="623" t="s">
        <v>151</v>
      </c>
      <c r="D78" s="621">
        <v>14</v>
      </c>
      <c r="E78" s="613"/>
      <c r="F78" s="700"/>
      <c r="G78" s="700"/>
      <c r="H78" s="700"/>
      <c r="I78" s="700"/>
      <c r="J78" s="700"/>
      <c r="K78" s="700"/>
      <c r="L78" s="700"/>
      <c r="M78" s="700"/>
      <c r="N78" s="700"/>
      <c r="O78" s="700"/>
      <c r="P78" s="700"/>
      <c r="Q78" s="700"/>
      <c r="R78" s="700"/>
      <c r="S78" s="700"/>
      <c r="T78" s="700">
        <v>75</v>
      </c>
      <c r="U78" s="700">
        <v>75</v>
      </c>
      <c r="V78" s="700">
        <v>75</v>
      </c>
      <c r="W78" s="700"/>
      <c r="X78" s="700"/>
      <c r="Y78" s="700"/>
      <c r="Z78" s="700"/>
      <c r="AA78" s="700"/>
      <c r="AB78" s="700"/>
      <c r="AC78" s="700"/>
      <c r="AD78" s="588">
        <f t="shared" si="6"/>
        <v>225</v>
      </c>
      <c r="AE78" s="693">
        <f t="shared" si="7"/>
        <v>3150</v>
      </c>
      <c r="AF78" s="694" t="str">
        <f t="shared" si="8"/>
        <v>sell</v>
      </c>
    </row>
    <row r="79" spans="1:32" s="356" customFormat="1" x14ac:dyDescent="0.2">
      <c r="A79" s="617" t="s">
        <v>65</v>
      </c>
      <c r="B79" s="623" t="s">
        <v>370</v>
      </c>
      <c r="C79" s="623" t="s">
        <v>151</v>
      </c>
      <c r="D79" s="621">
        <v>7</v>
      </c>
      <c r="E79" s="613"/>
      <c r="F79" s="700"/>
      <c r="G79" s="700"/>
      <c r="H79" s="700"/>
      <c r="I79" s="700"/>
      <c r="J79" s="700"/>
      <c r="K79" s="700"/>
      <c r="L79" s="700"/>
      <c r="M79" s="700"/>
      <c r="N79" s="700"/>
      <c r="O79" s="700"/>
      <c r="P79" s="700"/>
      <c r="Q79" s="700"/>
      <c r="R79" s="700"/>
      <c r="S79" s="700"/>
      <c r="T79" s="700">
        <v>20</v>
      </c>
      <c r="U79" s="700">
        <v>20</v>
      </c>
      <c r="V79" s="700">
        <v>35</v>
      </c>
      <c r="W79" s="700"/>
      <c r="X79" s="700"/>
      <c r="Y79" s="700"/>
      <c r="Z79" s="700"/>
      <c r="AA79" s="700"/>
      <c r="AB79" s="700"/>
      <c r="AC79" s="700"/>
      <c r="AD79" s="588">
        <f t="shared" si="6"/>
        <v>75</v>
      </c>
      <c r="AE79" s="693">
        <f t="shared" si="7"/>
        <v>525</v>
      </c>
      <c r="AF79" s="694" t="str">
        <f t="shared" si="8"/>
        <v>sell</v>
      </c>
    </row>
    <row r="80" spans="1:32" s="356" customFormat="1" x14ac:dyDescent="0.2">
      <c r="A80" s="617" t="s">
        <v>65</v>
      </c>
      <c r="B80" s="623" t="s">
        <v>370</v>
      </c>
      <c r="C80" s="623" t="s">
        <v>151</v>
      </c>
      <c r="D80" s="621">
        <v>17</v>
      </c>
      <c r="E80" s="613"/>
      <c r="F80" s="700"/>
      <c r="G80" s="700"/>
      <c r="H80" s="700"/>
      <c r="I80" s="700"/>
      <c r="J80" s="700"/>
      <c r="K80" s="700"/>
      <c r="L80" s="700"/>
      <c r="M80" s="700"/>
      <c r="N80" s="700"/>
      <c r="O80" s="700"/>
      <c r="P80" s="700"/>
      <c r="Q80" s="700"/>
      <c r="R80" s="700"/>
      <c r="S80" s="700"/>
      <c r="T80" s="700"/>
      <c r="U80" s="700"/>
      <c r="V80" s="700"/>
      <c r="W80" s="700">
        <v>50</v>
      </c>
      <c r="X80" s="700">
        <v>50</v>
      </c>
      <c r="Y80" s="700">
        <v>50</v>
      </c>
      <c r="Z80" s="700">
        <v>50</v>
      </c>
      <c r="AA80" s="700"/>
      <c r="AB80" s="700"/>
      <c r="AC80" s="700"/>
      <c r="AD80" s="588">
        <f t="shared" si="6"/>
        <v>200</v>
      </c>
      <c r="AE80" s="693">
        <f t="shared" si="7"/>
        <v>3400</v>
      </c>
      <c r="AF80" s="694" t="str">
        <f t="shared" si="8"/>
        <v>sell</v>
      </c>
    </row>
    <row r="81" spans="1:33" s="356" customFormat="1" x14ac:dyDescent="0.2">
      <c r="A81" s="617" t="s">
        <v>67</v>
      </c>
      <c r="B81" s="623" t="s">
        <v>370</v>
      </c>
      <c r="C81" s="623" t="s">
        <v>151</v>
      </c>
      <c r="D81" s="621">
        <v>17</v>
      </c>
      <c r="E81" s="613"/>
      <c r="F81" s="700"/>
      <c r="G81" s="700"/>
      <c r="H81" s="700"/>
      <c r="I81" s="700"/>
      <c r="J81" s="700"/>
      <c r="K81" s="700"/>
      <c r="L81" s="700"/>
      <c r="M81" s="700"/>
      <c r="N81" s="700"/>
      <c r="O81" s="700"/>
      <c r="P81" s="700"/>
      <c r="Q81" s="700"/>
      <c r="R81" s="700"/>
      <c r="S81" s="700"/>
      <c r="T81" s="700"/>
      <c r="U81" s="700"/>
      <c r="V81" s="700"/>
      <c r="W81" s="700">
        <v>50</v>
      </c>
      <c r="X81" s="700"/>
      <c r="Y81" s="700"/>
      <c r="Z81" s="700"/>
      <c r="AA81" s="700"/>
      <c r="AB81" s="700"/>
      <c r="AC81" s="700"/>
      <c r="AD81" s="588">
        <f t="shared" si="6"/>
        <v>50</v>
      </c>
      <c r="AE81" s="693">
        <f t="shared" si="7"/>
        <v>850</v>
      </c>
      <c r="AF81" s="694" t="str">
        <f t="shared" si="8"/>
        <v>sell</v>
      </c>
    </row>
    <row r="82" spans="1:33" s="356" customFormat="1" x14ac:dyDescent="0.2">
      <c r="A82" s="617" t="s">
        <v>375</v>
      </c>
      <c r="B82" s="623" t="s">
        <v>370</v>
      </c>
      <c r="C82" s="623" t="s">
        <v>278</v>
      </c>
      <c r="D82" s="621">
        <v>16</v>
      </c>
      <c r="E82" s="613"/>
      <c r="F82" s="700"/>
      <c r="G82" s="700"/>
      <c r="H82" s="700"/>
      <c r="I82" s="700"/>
      <c r="J82" s="700"/>
      <c r="K82" s="700"/>
      <c r="L82" s="700"/>
      <c r="M82" s="700"/>
      <c r="N82" s="700"/>
      <c r="O82" s="700"/>
      <c r="P82" s="700"/>
      <c r="Q82" s="700"/>
      <c r="R82" s="700"/>
      <c r="S82" s="700"/>
      <c r="T82" s="700"/>
      <c r="U82" s="700"/>
      <c r="V82" s="700"/>
      <c r="W82" s="700"/>
      <c r="X82" s="700"/>
      <c r="Y82" s="700"/>
      <c r="Z82" s="700"/>
      <c r="AA82" s="700">
        <v>20</v>
      </c>
      <c r="AB82" s="700">
        <v>20</v>
      </c>
      <c r="AC82" s="700"/>
      <c r="AD82" s="588">
        <f>SUM(E82:AC82)</f>
        <v>40</v>
      </c>
      <c r="AE82" s="693">
        <f>AD82*D82</f>
        <v>640</v>
      </c>
      <c r="AF82" s="694" t="str">
        <f>IF(AD82&lt;0,"buy","sell")</f>
        <v>sell</v>
      </c>
    </row>
    <row r="83" spans="1:33" s="356" customFormat="1" x14ac:dyDescent="0.2">
      <c r="A83" s="617" t="s">
        <v>67</v>
      </c>
      <c r="B83" s="623" t="s">
        <v>370</v>
      </c>
      <c r="C83" s="623" t="s">
        <v>151</v>
      </c>
      <c r="D83" s="621">
        <v>14</v>
      </c>
      <c r="E83" s="613"/>
      <c r="F83" s="700"/>
      <c r="G83" s="700"/>
      <c r="H83" s="700"/>
      <c r="I83" s="700"/>
      <c r="J83" s="700"/>
      <c r="K83" s="700"/>
      <c r="L83" s="700"/>
      <c r="M83" s="700"/>
      <c r="N83" s="700"/>
      <c r="O83" s="700"/>
      <c r="P83" s="700"/>
      <c r="Q83" s="700"/>
      <c r="R83" s="700"/>
      <c r="S83" s="700"/>
      <c r="T83" s="700"/>
      <c r="U83" s="700"/>
      <c r="V83" s="700"/>
      <c r="W83" s="700"/>
      <c r="X83" s="700"/>
      <c r="Y83" s="700"/>
      <c r="Z83" s="700"/>
      <c r="AA83" s="700">
        <v>50</v>
      </c>
      <c r="AB83" s="700">
        <v>50</v>
      </c>
      <c r="AC83" s="700"/>
      <c r="AD83" s="588">
        <f>SUM(E83:AC83)</f>
        <v>100</v>
      </c>
      <c r="AE83" s="693">
        <f>AD83*D83</f>
        <v>1400</v>
      </c>
      <c r="AF83" s="694" t="str">
        <f>IF(AD83&lt;0,"buy","sell")</f>
        <v>sell</v>
      </c>
    </row>
    <row r="84" spans="1:33" s="356" customFormat="1" x14ac:dyDescent="0.2">
      <c r="A84" s="617" t="s">
        <v>224</v>
      </c>
      <c r="B84" s="623" t="s">
        <v>370</v>
      </c>
      <c r="C84" s="623" t="s">
        <v>278</v>
      </c>
      <c r="D84" s="621">
        <v>5</v>
      </c>
      <c r="E84" s="613"/>
      <c r="F84" s="700"/>
      <c r="G84" s="700"/>
      <c r="H84" s="700"/>
      <c r="I84" s="700"/>
      <c r="J84" s="700"/>
      <c r="K84" s="700"/>
      <c r="L84" s="700"/>
      <c r="M84" s="700"/>
      <c r="N84" s="700"/>
      <c r="O84" s="700"/>
      <c r="P84" s="700"/>
      <c r="Q84" s="700"/>
      <c r="R84" s="700"/>
      <c r="S84" s="700"/>
      <c r="T84" s="700"/>
      <c r="U84" s="700"/>
      <c r="V84" s="700"/>
      <c r="W84" s="700"/>
      <c r="X84" s="700"/>
      <c r="Y84" s="700"/>
      <c r="Z84" s="700"/>
      <c r="AA84" s="700"/>
      <c r="AB84" s="700">
        <v>40</v>
      </c>
      <c r="AC84" s="700"/>
      <c r="AD84" s="588">
        <f>SUM(E84:AC84)</f>
        <v>40</v>
      </c>
      <c r="AE84" s="693">
        <f>AD84*D84</f>
        <v>200</v>
      </c>
      <c r="AF84" s="694" t="str">
        <f>IF(AD84&lt;0,"buy","sell")</f>
        <v>sell</v>
      </c>
    </row>
    <row r="85" spans="1:33" s="356" customFormat="1" x14ac:dyDescent="0.2">
      <c r="A85" s="617" t="s">
        <v>63</v>
      </c>
      <c r="B85" s="623" t="s">
        <v>370</v>
      </c>
      <c r="C85" s="623" t="s">
        <v>151</v>
      </c>
      <c r="D85" s="621">
        <v>20</v>
      </c>
      <c r="E85" s="613"/>
      <c r="F85" s="700"/>
      <c r="G85" s="700"/>
      <c r="H85" s="700"/>
      <c r="I85" s="700"/>
      <c r="J85" s="700"/>
      <c r="K85" s="700"/>
      <c r="L85" s="700"/>
      <c r="M85" s="700"/>
      <c r="N85" s="700"/>
      <c r="O85" s="700"/>
      <c r="P85" s="700"/>
      <c r="Q85" s="700"/>
      <c r="R85" s="700"/>
      <c r="S85" s="700"/>
      <c r="T85" s="700"/>
      <c r="U85" s="700"/>
      <c r="V85" s="700"/>
      <c r="W85" s="700"/>
      <c r="X85" s="700"/>
      <c r="Y85" s="700"/>
      <c r="Z85" s="700"/>
      <c r="AA85" s="700">
        <v>15</v>
      </c>
      <c r="AB85" s="700"/>
      <c r="AC85" s="700"/>
      <c r="AD85" s="588">
        <f>SUM(E85:AC85)</f>
        <v>15</v>
      </c>
      <c r="AE85" s="693">
        <f>AD85*D85</f>
        <v>300</v>
      </c>
      <c r="AF85" s="694" t="str">
        <f>IF(AD85&lt;0,"buy","sell")</f>
        <v>sell</v>
      </c>
    </row>
    <row r="86" spans="1:33" s="356" customFormat="1" ht="12.75" customHeight="1" x14ac:dyDescent="0.2">
      <c r="A86" s="617"/>
      <c r="B86" s="623"/>
      <c r="C86" s="623"/>
      <c r="D86" s="621"/>
      <c r="E86" s="613"/>
      <c r="F86" s="700"/>
      <c r="G86" s="700"/>
      <c r="H86" s="700"/>
      <c r="I86" s="700"/>
      <c r="J86" s="700"/>
      <c r="K86" s="700"/>
      <c r="L86" s="700"/>
      <c r="M86" s="700"/>
      <c r="N86" s="700"/>
      <c r="O86" s="700"/>
      <c r="P86" s="700"/>
      <c r="Q86" s="700"/>
      <c r="R86" s="700"/>
      <c r="S86" s="700"/>
      <c r="T86" s="700"/>
      <c r="U86" s="700"/>
      <c r="V86" s="700"/>
      <c r="W86" s="700"/>
      <c r="X86" s="700"/>
      <c r="Y86" s="700"/>
      <c r="Z86" s="700"/>
      <c r="AA86" s="700"/>
      <c r="AB86" s="700"/>
      <c r="AC86" s="700"/>
      <c r="AD86" s="588">
        <f t="shared" si="6"/>
        <v>0</v>
      </c>
      <c r="AE86" s="693">
        <f t="shared" si="7"/>
        <v>0</v>
      </c>
      <c r="AF86" s="694" t="str">
        <f t="shared" si="8"/>
        <v>sell</v>
      </c>
    </row>
    <row r="87" spans="1:33" s="356" customFormat="1" ht="12.75" customHeight="1" x14ac:dyDescent="0.2">
      <c r="A87" s="616"/>
      <c r="B87" s="618"/>
      <c r="C87" s="618"/>
      <c r="D87" s="699"/>
      <c r="E87" s="698"/>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6"/>
        <v>0</v>
      </c>
      <c r="AE87" s="693">
        <f t="shared" si="7"/>
        <v>0</v>
      </c>
      <c r="AF87" s="694" t="str">
        <f t="shared" si="8"/>
        <v>sell</v>
      </c>
    </row>
    <row r="88" spans="1:33" s="356" customFormat="1" x14ac:dyDescent="0.2">
      <c r="A88" s="616"/>
      <c r="B88" s="618"/>
      <c r="C88" s="618"/>
      <c r="D88" s="699"/>
      <c r="E88" s="698"/>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6"/>
        <v>0</v>
      </c>
      <c r="AE88" s="693">
        <f t="shared" si="7"/>
        <v>0</v>
      </c>
      <c r="AF88" s="694" t="str">
        <f t="shared" si="8"/>
        <v>sell</v>
      </c>
    </row>
    <row r="89" spans="1:33" s="356" customFormat="1" ht="11.25" customHeight="1" x14ac:dyDescent="0.2">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
      <c r="A90" s="627"/>
      <c r="B90" s="569"/>
      <c r="C90" s="569"/>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 t="shared" ref="AD90:AD95" si="9">SUM(AA90:AC90)</f>
        <v>0</v>
      </c>
      <c r="AE90" s="693">
        <f t="shared" ref="AE90:AE96" si="10">AD90*D90</f>
        <v>0</v>
      </c>
      <c r="AF90" s="694" t="str">
        <f t="shared" ref="AF90:AF96" si="11">IF(AD90&lt;0,"buy","sell")</f>
        <v>sell</v>
      </c>
    </row>
    <row r="91" spans="1:33" s="356" customFormat="1" x14ac:dyDescent="0.2">
      <c r="A91" s="627" t="s">
        <v>63</v>
      </c>
      <c r="B91" s="569" t="s">
        <v>370</v>
      </c>
      <c r="C91" s="706" t="s">
        <v>151</v>
      </c>
      <c r="D91" s="628">
        <v>24</v>
      </c>
      <c r="E91" s="570"/>
      <c r="F91" s="571"/>
      <c r="G91" s="572"/>
      <c r="H91" s="572"/>
      <c r="I91" s="572"/>
      <c r="J91" s="572"/>
      <c r="K91" s="572"/>
      <c r="L91" s="572">
        <v>-50</v>
      </c>
      <c r="M91" s="572"/>
      <c r="N91" s="572"/>
      <c r="O91" s="572"/>
      <c r="P91" s="572"/>
      <c r="Q91" s="572"/>
      <c r="R91" s="572"/>
      <c r="S91" s="572"/>
      <c r="T91" s="572"/>
      <c r="U91" s="572"/>
      <c r="V91" s="572"/>
      <c r="W91" s="572"/>
      <c r="X91" s="572"/>
      <c r="Y91" s="572"/>
      <c r="Z91" s="572"/>
      <c r="AA91" s="572"/>
      <c r="AB91" s="572"/>
      <c r="AC91" s="572"/>
      <c r="AD91" s="588"/>
      <c r="AE91" s="693"/>
      <c r="AF91" s="694"/>
    </row>
    <row r="92" spans="1:33" s="356" customFormat="1" x14ac:dyDescent="0.2">
      <c r="A92" s="627"/>
      <c r="B92" s="569"/>
      <c r="C92" s="706"/>
      <c r="D92" s="628"/>
      <c r="E92" s="570"/>
      <c r="F92" s="571"/>
      <c r="G92" s="572"/>
      <c r="H92" s="572"/>
      <c r="I92" s="572"/>
      <c r="J92" s="572"/>
      <c r="K92" s="572"/>
      <c r="L92" s="572"/>
      <c r="M92" s="572"/>
      <c r="N92" s="572"/>
      <c r="O92" s="572"/>
      <c r="P92" s="572"/>
      <c r="Q92" s="572"/>
      <c r="R92" s="572"/>
      <c r="S92" s="572"/>
      <c r="T92" s="572"/>
      <c r="U92" s="572"/>
      <c r="V92" s="572"/>
      <c r="W92" s="572"/>
      <c r="X92" s="572"/>
      <c r="Y92" s="572"/>
      <c r="Z92" s="572"/>
      <c r="AA92" s="572"/>
      <c r="AB92" s="572"/>
      <c r="AC92" s="572"/>
      <c r="AD92" s="588"/>
      <c r="AE92" s="693"/>
      <c r="AF92" s="694"/>
    </row>
    <row r="93" spans="1:33" s="356" customFormat="1" x14ac:dyDescent="0.2">
      <c r="A93" s="627"/>
      <c r="B93" s="569"/>
      <c r="C93" s="706"/>
      <c r="D93" s="628"/>
      <c r="E93" s="570"/>
      <c r="F93" s="571"/>
      <c r="G93" s="572"/>
      <c r="H93" s="572"/>
      <c r="I93" s="572"/>
      <c r="J93" s="572"/>
      <c r="K93" s="572"/>
      <c r="L93" s="572"/>
      <c r="M93" s="572"/>
      <c r="N93" s="572"/>
      <c r="O93" s="572"/>
      <c r="P93" s="572"/>
      <c r="Q93" s="572"/>
      <c r="R93" s="572"/>
      <c r="S93" s="572"/>
      <c r="T93" s="572"/>
      <c r="U93" s="572"/>
      <c r="V93" s="572"/>
      <c r="W93" s="572"/>
      <c r="X93" s="572"/>
      <c r="Y93" s="572"/>
      <c r="Z93" s="572"/>
      <c r="AA93" s="572"/>
      <c r="AB93" s="572"/>
      <c r="AC93" s="572"/>
      <c r="AD93" s="588"/>
      <c r="AE93" s="693"/>
      <c r="AF93" s="694"/>
    </row>
    <row r="94" spans="1:33" s="356" customFormat="1" x14ac:dyDescent="0.2">
      <c r="A94" s="627"/>
      <c r="B94" s="569"/>
      <c r="C94" s="706"/>
      <c r="D94" s="628"/>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f t="shared" si="9"/>
        <v>0</v>
      </c>
      <c r="AE94" s="693">
        <f t="shared" si="10"/>
        <v>0</v>
      </c>
      <c r="AF94" s="694" t="str">
        <f t="shared" si="11"/>
        <v>sell</v>
      </c>
    </row>
    <row r="95" spans="1:33" s="356" customFormat="1" x14ac:dyDescent="0.2">
      <c r="A95" s="550"/>
      <c r="B95" s="558"/>
      <c r="C95" s="558"/>
      <c r="D95" s="705"/>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 t="shared" si="9"/>
        <v>0</v>
      </c>
      <c r="AE95" s="693">
        <f t="shared" si="10"/>
        <v>0</v>
      </c>
      <c r="AF95" s="694" t="str">
        <f t="shared" si="11"/>
        <v>sell</v>
      </c>
    </row>
    <row r="96" spans="1:33" s="356" customFormat="1" x14ac:dyDescent="0.2">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 t="shared" si="10"/>
        <v>0</v>
      </c>
      <c r="AF96" s="533" t="str">
        <f t="shared" si="11"/>
        <v>sell</v>
      </c>
    </row>
    <row r="97" spans="1:33" s="356" customFormat="1" x14ac:dyDescent="0.2">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8" x14ac:dyDescent="0.25">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5" thickBot="1" x14ac:dyDescent="0.25">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75" thickBot="1" x14ac:dyDescent="0.3">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8" x14ac:dyDescent="0.25">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SUM(AD15:AD86)</f>
        <v>1567</v>
      </c>
      <c r="AE104" s="480">
        <f>SUM(AE15:AE86)</f>
        <v>20590</v>
      </c>
      <c r="AF104" s="539"/>
    </row>
    <row r="105" spans="1:33" s="356" customFormat="1" x14ac:dyDescent="0.2">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0</v>
      </c>
      <c r="AE105" s="480">
        <f>SUM(AE87:AE94)</f>
        <v>0</v>
      </c>
      <c r="AF105" s="539"/>
    </row>
    <row r="106" spans="1:33" s="356" customFormat="1" x14ac:dyDescent="0.2">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5" thickBot="1" x14ac:dyDescent="0.25">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8" x14ac:dyDescent="0.25">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5" thickBot="1" x14ac:dyDescent="0.25">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75" thickBot="1" x14ac:dyDescent="0.3">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8" x14ac:dyDescent="0.25">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5" thickBot="1" x14ac:dyDescent="0.25">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
      <c r="AG280" s="386"/>
    </row>
    <row r="281" spans="1:34" s="382"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
      <c r="AG283" s="388"/>
    </row>
    <row r="284" spans="1:34" x14ac:dyDescent="0.2">
      <c r="AG284" s="388"/>
    </row>
    <row r="285" spans="1:34"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
      <c r="AG320" s="388"/>
    </row>
    <row r="321" spans="33:33" x14ac:dyDescent="0.2">
      <c r="AG321" s="388"/>
    </row>
    <row r="322" spans="33:33" x14ac:dyDescent="0.2">
      <c r="AG322" s="391"/>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98</xdr:row>
                    <xdr:rowOff>171450</xdr:rowOff>
                  </from>
                  <to>
                    <xdr:col>12</xdr:col>
                    <xdr:colOff>95250</xdr:colOff>
                    <xdr:row>99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 sqref="B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6">
        <v>37249</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646</v>
      </c>
      <c r="C4" s="525">
        <v>582</v>
      </c>
      <c r="D4" s="525">
        <v>565</v>
      </c>
      <c r="E4" s="525">
        <v>563</v>
      </c>
      <c r="F4" s="525">
        <v>566</v>
      </c>
      <c r="G4" s="525">
        <v>578</v>
      </c>
      <c r="H4" s="525">
        <v>607</v>
      </c>
      <c r="I4" s="525">
        <v>627</v>
      </c>
      <c r="J4" s="525">
        <v>662</v>
      </c>
      <c r="K4" s="525">
        <v>687</v>
      </c>
      <c r="L4" s="525">
        <v>689</v>
      </c>
      <c r="M4" s="525">
        <v>682</v>
      </c>
      <c r="N4" s="525">
        <v>661</v>
      </c>
      <c r="O4" s="525">
        <v>653</v>
      </c>
      <c r="P4" s="525">
        <v>644</v>
      </c>
      <c r="Q4" s="525">
        <v>643</v>
      </c>
      <c r="R4" s="525">
        <v>646</v>
      </c>
      <c r="S4" s="525">
        <v>771</v>
      </c>
      <c r="T4" s="525">
        <v>785</v>
      </c>
      <c r="U4" s="525">
        <v>769</v>
      </c>
      <c r="V4" s="525">
        <v>744</v>
      </c>
      <c r="W4" s="525">
        <v>731</v>
      </c>
      <c r="X4" s="526">
        <v>697</v>
      </c>
      <c r="Y4" s="526">
        <v>654</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2">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50</v>
      </c>
      <c r="F22" s="418">
        <f>Deals!J3</f>
        <v>50</v>
      </c>
      <c r="G22" s="418">
        <f>Deals!K3</f>
        <v>50</v>
      </c>
      <c r="H22" s="418">
        <f>Deals!L3</f>
        <v>50</v>
      </c>
      <c r="I22" s="418">
        <f>Deals!M3</f>
        <v>50</v>
      </c>
      <c r="J22" s="418">
        <f>Deals!N3</f>
        <v>50</v>
      </c>
      <c r="K22" s="418">
        <f>Deals!O3</f>
        <v>50</v>
      </c>
      <c r="L22" s="418">
        <f>Deals!P3</f>
        <v>50</v>
      </c>
      <c r="M22" s="418">
        <f>Deals!Q3</f>
        <v>50</v>
      </c>
      <c r="N22" s="418">
        <f>Deals!R3</f>
        <v>50</v>
      </c>
      <c r="O22" s="418">
        <f>Deals!S3</f>
        <v>50</v>
      </c>
      <c r="P22" s="418">
        <f>Deals!T3</f>
        <v>50</v>
      </c>
      <c r="Q22" s="418">
        <f>Deals!U3</f>
        <v>50</v>
      </c>
      <c r="R22" s="418">
        <f>Deals!V3</f>
        <v>30</v>
      </c>
      <c r="S22" s="418">
        <f>Deals!W3</f>
        <v>30</v>
      </c>
      <c r="T22" s="418">
        <f>Deals!X3</f>
        <v>80</v>
      </c>
      <c r="U22" s="418">
        <f>Deals!Y3</f>
        <v>80</v>
      </c>
      <c r="V22" s="418">
        <f>Deals!Z3</f>
        <v>80</v>
      </c>
      <c r="W22" s="418">
        <f>Deals!AA3</f>
        <v>80</v>
      </c>
      <c r="X22" s="418">
        <f>Deals!AB3</f>
        <v>70</v>
      </c>
      <c r="Y22" s="514">
        <f>Deals!AC3</f>
        <v>80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67</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25</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20</v>
      </c>
      <c r="X28" s="205">
        <f t="array" aca="1" ref="X28" ca="1">SUM(IF((DelPoint= "4C")*IF((DType = "firm")+(DType = "econ")&gt;0,1,0)*(OFFSET(DelPoint,0,X3+2)&gt;0),OFFSET(DelPoint,0,X3+2),0))</f>
        <v>60</v>
      </c>
      <c r="Y28" s="709">
        <f t="array" aca="1" ref="Y28" ca="1">SUM(IF((DelPoint= "4C")*IF((DType = "firm")+(DType = "econ")&gt;0,1,0)*(OFFSET(DelPoint,0,Y3+2)&gt;0),OFFSET(DelPoint,0,Y3+2),0))</f>
        <v>0</v>
      </c>
      <c r="Z28" s="160"/>
      <c r="AA28" s="162"/>
    </row>
    <row r="29" spans="1:27" s="161" customFormat="1" ht="12"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2"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2" x14ac:dyDescent="0.2">
      <c r="A31" s="506"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0</v>
      </c>
      <c r="J31" s="547">
        <f ca="1">SUM(Deals!N8:'Deals'!N13)</f>
        <v>0</v>
      </c>
      <c r="K31" s="547">
        <f ca="1">SUM(Deals!O8:'Deals'!O13)</f>
        <v>0</v>
      </c>
      <c r="L31" s="547">
        <f ca="1">SUM(Deals!P8:'Deals'!P13)</f>
        <v>0</v>
      </c>
      <c r="M31" s="547">
        <f ca="1">SUM(Deals!Q8:'Deals'!Q13)</f>
        <v>0</v>
      </c>
      <c r="N31" s="547">
        <f ca="1">SUM(Deals!R8:'Deals'!R13)</f>
        <v>0</v>
      </c>
      <c r="O31" s="547">
        <f ca="1">SUM(Deals!S8:'Deals'!S13)</f>
        <v>0</v>
      </c>
      <c r="P31" s="547">
        <f ca="1">SUM(Deals!T8:'Deals'!T13)</f>
        <v>0</v>
      </c>
      <c r="Q31" s="547">
        <f ca="1">SUM(Deals!U8:'Deals'!U13)</f>
        <v>0</v>
      </c>
      <c r="R31" s="547">
        <f ca="1">SUM(Deals!V8:'Deals'!V13)</f>
        <v>0</v>
      </c>
      <c r="S31" s="547">
        <f ca="1">SUM(Deals!W8:'Deals'!W13)</f>
        <v>0</v>
      </c>
      <c r="T31" s="547">
        <f ca="1">SUM(Deals!X8:'Deals'!X13)</f>
        <v>0</v>
      </c>
      <c r="U31" s="547">
        <f ca="1">SUM(Deals!Y8:'Deals'!Y13)</f>
        <v>0</v>
      </c>
      <c r="V31" s="547">
        <f ca="1">SUM(Deals!Z8:'Deals'!Z13)</f>
        <v>0</v>
      </c>
      <c r="W31" s="547">
        <f ca="1">SUM(Deals!AA8:'Deals'!AA13)</f>
        <v>0</v>
      </c>
      <c r="X31" s="547">
        <f ca="1">SUM(Deals!AB8:'Deals'!AB13)</f>
        <v>0</v>
      </c>
      <c r="Y31" s="711">
        <f ca="1">SUM(Deals!AC8:'Deals'!AC13)</f>
        <v>253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40</v>
      </c>
      <c r="J32" s="612">
        <f t="array" aca="1" ref="J32" ca="1">SUM(IF((DelPoint= "PV")*IF((DType = "firm")+(DType = "econ")&gt;0,1,0)*(OFFSET(DelPoint,0,J3+2)&gt;0),OFFSET(DelPoint,0,J3+2),0))</f>
        <v>115</v>
      </c>
      <c r="K32" s="612">
        <f t="array" aca="1" ref="K32" ca="1">SUM(IF((DelPoint= "PV")*IF((DType = "firm")+(DType = "econ")&gt;0,1,0)*(OFFSET(DelPoint,0,K3+2)&gt;0),OFFSET(DelPoint,0,K3+2),0))</f>
        <v>100</v>
      </c>
      <c r="L32" s="612">
        <f t="array" aca="1" ref="L32" ca="1">SUM(IF((DelPoint= "PV")*IF((DType = "firm")+(DType = "econ")&gt;0,1,0)*(OFFSET(DelPoint,0,L3+2)&gt;0),OFFSET(DelPoint,0,L3+2),0))</f>
        <v>100</v>
      </c>
      <c r="M32" s="612">
        <f t="array" aca="1" ref="M32" ca="1">SUM(IF((DelPoint= "PV")*IF((DType = "firm")+(DType = "econ")&gt;0,1,0)*(OFFSET(DelPoint,0,M3+2)&gt;0),OFFSET(DelPoint,0,M3+2),0))</f>
        <v>100</v>
      </c>
      <c r="N32" s="612">
        <f t="array" aca="1" ref="N32" ca="1">SUM(IF((DelPoint= "PV")*IF((DType = "firm")+(DType = "econ")&gt;0,1,0)*(OFFSET(DelPoint,0,N3+2)&gt;0),OFFSET(DelPoint,0,N3+2),0))</f>
        <v>100</v>
      </c>
      <c r="O32" s="612">
        <f t="array" aca="1" ref="O32" ca="1">SUM(IF((DelPoint= "PV")*IF((DType = "firm")+(DType = "econ")&gt;0,1,0)*(OFFSET(DelPoint,0,O3+2)&gt;0),OFFSET(DelPoint,0,O3+2),0))</f>
        <v>100</v>
      </c>
      <c r="P32" s="612">
        <f t="array" aca="1" ref="P32" ca="1">SUM(IF((DelPoint= "PV")*IF((DType = "firm")+(DType = "econ")&gt;0,1,0)*(OFFSET(DelPoint,0,P3+2)&gt;0),OFFSET(DelPoint,0,P3+2),0))</f>
        <v>95</v>
      </c>
      <c r="Q32" s="612">
        <f t="array" aca="1" ref="Q32" ca="1">SUM(IF((DelPoint= "PV")*IF((DType = "firm")+(DType = "econ")&gt;0,1,0)*(OFFSET(DelPoint,0,Q3+2)&gt;0),OFFSET(DelPoint,0,Q3+2),0))</f>
        <v>95</v>
      </c>
      <c r="R32" s="612">
        <f t="array" aca="1" ref="R32" ca="1">SUM(IF((DelPoint= "PV")*IF((DType = "firm")+(DType = "econ")&gt;0,1,0)*(OFFSET(DelPoint,0,R3+2)&gt;0),OFFSET(DelPoint,0,R3+2),0))</f>
        <v>110</v>
      </c>
      <c r="S32" s="612">
        <f t="array" aca="1" ref="S32" ca="1">SUM(IF((DelPoint= "PV")*IF((DType = "firm")+(DType = "econ")&gt;0,1,0)*(OFFSET(DelPoint,0,S3+2)&gt;0),OFFSET(DelPoint,0,S3+2),0))</f>
        <v>100</v>
      </c>
      <c r="T32" s="612">
        <f t="array" aca="1" ref="T32" ca="1">SUM(IF((DelPoint= "PV")*IF((DType = "firm")+(DType = "econ")&gt;0,1,0)*(OFFSET(DelPoint,0,T3+2)&gt;0),OFFSET(DelPoint,0,T3+2),0))</f>
        <v>50</v>
      </c>
      <c r="U32" s="612">
        <f t="array" aca="1" ref="U32" ca="1">SUM(IF((DelPoint= "PV")*IF((DType = "firm")+(DType = "econ")&gt;0,1,0)*(OFFSET(DelPoint,0,U3+2)&gt;0),OFFSET(DelPoint,0,U3+2),0))</f>
        <v>50</v>
      </c>
      <c r="V32" s="612">
        <f t="array" aca="1" ref="V32" ca="1">SUM(IF((DelPoint= "PV")*IF((DType = "firm")+(DType = "econ")&gt;0,1,0)*(OFFSET(DelPoint,0,V3+2)&gt;0),OFFSET(DelPoint,0,V3+2),0))</f>
        <v>50</v>
      </c>
      <c r="W32" s="612">
        <f t="array" aca="1" ref="W32" ca="1">SUM(IF((DelPoint= "PV")*IF((DType = "firm")+(DType = "econ")&gt;0,1,0)*(OFFSET(DelPoint,0,W3+2)&gt;0),OFFSET(DelPoint,0,W3+2),0))</f>
        <v>65</v>
      </c>
      <c r="X32" s="612">
        <f t="array" aca="1" ref="X32" ca="1">SUM(IF((DelPoint= "PV")*IF((DType = "firm")+(DType = "econ")&gt;0,1,0)*(OFFSET(DelPoint,0,X3+2)&gt;0),OFFSET(DelPoint,0,X3+2),0))</f>
        <v>50</v>
      </c>
      <c r="Y32" s="717">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8" t="s">
        <v>121</v>
      </c>
      <c r="B38" s="719">
        <f t="shared" ref="B38:Y38" ca="1" si="4">SUM(B22:B37)+B4+B5</f>
        <v>984</v>
      </c>
      <c r="C38" s="719">
        <f t="shared" ca="1" si="4"/>
        <v>910</v>
      </c>
      <c r="D38" s="719">
        <f t="shared" ca="1" si="4"/>
        <v>893</v>
      </c>
      <c r="E38" s="719">
        <f t="shared" ca="1" si="4"/>
        <v>891</v>
      </c>
      <c r="F38" s="719">
        <f t="shared" ca="1" si="4"/>
        <v>894</v>
      </c>
      <c r="G38" s="719">
        <f t="shared" ca="1" si="4"/>
        <v>906</v>
      </c>
      <c r="H38" s="719">
        <f t="shared" ca="1" si="4"/>
        <v>935</v>
      </c>
      <c r="I38" s="719">
        <f t="shared" ca="1" si="4"/>
        <v>809</v>
      </c>
      <c r="J38" s="719">
        <f t="shared" ca="1" si="4"/>
        <v>902</v>
      </c>
      <c r="K38" s="719">
        <f t="shared" ca="1" si="4"/>
        <v>887</v>
      </c>
      <c r="L38" s="719">
        <f t="shared" ca="1" si="4"/>
        <v>864</v>
      </c>
      <c r="M38" s="719">
        <f t="shared" ca="1" si="4"/>
        <v>857</v>
      </c>
      <c r="N38" s="719">
        <f t="shared" ca="1" si="4"/>
        <v>861</v>
      </c>
      <c r="O38" s="719">
        <f t="shared" ca="1" si="4"/>
        <v>828</v>
      </c>
      <c r="P38" s="719">
        <f t="shared" ca="1" si="4"/>
        <v>814</v>
      </c>
      <c r="Q38" s="719">
        <f t="shared" ca="1" si="4"/>
        <v>813</v>
      </c>
      <c r="R38" s="719">
        <f t="shared" ca="1" si="4"/>
        <v>811</v>
      </c>
      <c r="S38" s="719">
        <f t="shared" ca="1" si="4"/>
        <v>926</v>
      </c>
      <c r="T38" s="719">
        <f t="shared" ca="1" si="4"/>
        <v>940</v>
      </c>
      <c r="U38" s="719">
        <f t="shared" ca="1" si="4"/>
        <v>924</v>
      </c>
      <c r="V38" s="719">
        <f t="shared" ca="1" si="4"/>
        <v>899</v>
      </c>
      <c r="W38" s="719">
        <f t="shared" ca="1" si="4"/>
        <v>921</v>
      </c>
      <c r="X38" s="719">
        <f t="shared" ca="1" si="4"/>
        <v>902</v>
      </c>
      <c r="Y38" s="720">
        <f t="shared" ca="1" si="4"/>
        <v>1012</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f ca="1">-Economics!D34/Economics!I34</f>
        <v>0</v>
      </c>
    </row>
    <row r="42" spans="1:33" s="161" customFormat="1" ht="15" customHeight="1" x14ac:dyDescent="0.2">
      <c r="A42" s="625" t="s">
        <v>130</v>
      </c>
      <c r="B42" s="629">
        <v>33</v>
      </c>
      <c r="C42" s="629">
        <v>33</v>
      </c>
      <c r="D42" s="629">
        <v>33</v>
      </c>
      <c r="E42" s="630">
        <v>33</v>
      </c>
      <c r="F42" s="629">
        <v>32</v>
      </c>
      <c r="G42" s="629">
        <v>37</v>
      </c>
      <c r="H42" s="629">
        <v>32</v>
      </c>
      <c r="I42" s="629">
        <v>33</v>
      </c>
      <c r="J42" s="629">
        <v>42</v>
      </c>
      <c r="K42" s="629">
        <v>42</v>
      </c>
      <c r="L42" s="629">
        <v>34</v>
      </c>
      <c r="M42" s="629">
        <v>30</v>
      </c>
      <c r="N42" s="629">
        <v>30</v>
      </c>
      <c r="O42" s="629">
        <v>30</v>
      </c>
      <c r="P42" s="629">
        <v>30</v>
      </c>
      <c r="Q42" s="629">
        <v>31</v>
      </c>
      <c r="R42" s="629">
        <v>31</v>
      </c>
      <c r="S42" s="629">
        <v>65</v>
      </c>
      <c r="T42" s="629">
        <v>55</v>
      </c>
      <c r="U42" s="629">
        <v>33</v>
      </c>
      <c r="V42" s="629">
        <v>34</v>
      </c>
      <c r="W42" s="629">
        <v>35</v>
      </c>
      <c r="X42" s="629">
        <v>34</v>
      </c>
      <c r="Y42" s="631">
        <v>75</v>
      </c>
      <c r="Z42" s="350">
        <v>78</v>
      </c>
      <c r="AA42" s="210">
        <f ca="1">-Economics!D35/Economics!I35</f>
        <v>9690.3160873724501</v>
      </c>
    </row>
    <row r="43" spans="1:33" s="161" customFormat="1" ht="12.75" customHeight="1" x14ac:dyDescent="0.2">
      <c r="A43" s="626" t="s">
        <v>131</v>
      </c>
      <c r="B43" s="632">
        <v>80</v>
      </c>
      <c r="C43" s="632">
        <v>38</v>
      </c>
      <c r="D43" s="632">
        <v>51</v>
      </c>
      <c r="E43" s="633">
        <v>48</v>
      </c>
      <c r="F43" s="632">
        <v>49</v>
      </c>
      <c r="G43" s="632">
        <v>63</v>
      </c>
      <c r="H43" s="632">
        <v>38</v>
      </c>
      <c r="I43" s="632">
        <v>50</v>
      </c>
      <c r="J43" s="632">
        <v>91</v>
      </c>
      <c r="K43" s="632">
        <v>53</v>
      </c>
      <c r="L43" s="632">
        <v>38</v>
      </c>
      <c r="M43" s="632">
        <v>38</v>
      </c>
      <c r="N43" s="632">
        <v>40</v>
      </c>
      <c r="O43" s="632">
        <v>38</v>
      </c>
      <c r="P43" s="632">
        <v>44</v>
      </c>
      <c r="Q43" s="632">
        <v>49</v>
      </c>
      <c r="R43" s="632">
        <v>43</v>
      </c>
      <c r="S43" s="632">
        <v>94</v>
      </c>
      <c r="T43" s="632">
        <v>55</v>
      </c>
      <c r="U43" s="632">
        <v>57</v>
      </c>
      <c r="V43" s="632">
        <v>56</v>
      </c>
      <c r="W43" s="632">
        <v>64</v>
      </c>
      <c r="X43" s="632">
        <v>60</v>
      </c>
      <c r="Y43" s="634">
        <v>72</v>
      </c>
      <c r="Z43" s="352">
        <v>103</v>
      </c>
      <c r="AA43" s="211">
        <f ca="1">-Economics!D36/Economics!I36</f>
        <v>13606.260961415817</v>
      </c>
    </row>
    <row r="44" spans="1:33" s="161" customFormat="1" ht="12.75" customHeight="1" x14ac:dyDescent="0.2">
      <c r="A44" s="625" t="s">
        <v>49</v>
      </c>
      <c r="B44" s="629">
        <v>40</v>
      </c>
      <c r="C44" s="629">
        <v>21</v>
      </c>
      <c r="D44" s="629">
        <v>21</v>
      </c>
      <c r="E44" s="629">
        <v>21</v>
      </c>
      <c r="F44" s="629">
        <v>21</v>
      </c>
      <c r="G44" s="629">
        <v>31</v>
      </c>
      <c r="H44" s="629">
        <v>20</v>
      </c>
      <c r="I44" s="629">
        <v>12</v>
      </c>
      <c r="J44" s="629">
        <v>21</v>
      </c>
      <c r="K44" s="629">
        <v>21</v>
      </c>
      <c r="L44" s="629">
        <v>21</v>
      </c>
      <c r="M44" s="629">
        <v>21</v>
      </c>
      <c r="N44" s="629">
        <v>21</v>
      </c>
      <c r="O44" s="629">
        <v>12</v>
      </c>
      <c r="P44" s="629">
        <v>12</v>
      </c>
      <c r="Q44" s="629">
        <v>9</v>
      </c>
      <c r="R44" s="629">
        <v>9</v>
      </c>
      <c r="S44" s="629">
        <v>31</v>
      </c>
      <c r="T44" s="629">
        <v>12</v>
      </c>
      <c r="U44" s="629">
        <v>13</v>
      </c>
      <c r="V44" s="629">
        <v>13</v>
      </c>
      <c r="W44" s="629">
        <v>13</v>
      </c>
      <c r="X44" s="629">
        <v>13</v>
      </c>
      <c r="Y44" s="631">
        <v>38</v>
      </c>
      <c r="Z44" s="350">
        <v>40</v>
      </c>
      <c r="AA44" s="210">
        <f ca="1">-Economics!D37/Economics!I37</f>
        <v>8206.8105269451535</v>
      </c>
    </row>
    <row r="45" spans="1:33" s="161" customFormat="1" ht="12.75" customHeight="1" thickBot="1" x14ac:dyDescent="0.25">
      <c r="A45" s="625" t="s">
        <v>50</v>
      </c>
      <c r="B45" s="629">
        <v>40</v>
      </c>
      <c r="C45" s="629">
        <v>20</v>
      </c>
      <c r="D45" s="629">
        <v>20</v>
      </c>
      <c r="E45" s="629">
        <v>20</v>
      </c>
      <c r="F45" s="629">
        <v>20</v>
      </c>
      <c r="G45" s="629">
        <v>25</v>
      </c>
      <c r="H45" s="629">
        <v>20</v>
      </c>
      <c r="I45" s="629">
        <v>20</v>
      </c>
      <c r="J45" s="629">
        <v>20</v>
      </c>
      <c r="K45" s="629">
        <v>20</v>
      </c>
      <c r="L45" s="629">
        <v>20</v>
      </c>
      <c r="M45" s="629">
        <v>20</v>
      </c>
      <c r="N45" s="629">
        <v>20</v>
      </c>
      <c r="O45" s="629">
        <v>20</v>
      </c>
      <c r="P45" s="629">
        <v>20</v>
      </c>
      <c r="Q45" s="629">
        <v>20</v>
      </c>
      <c r="R45" s="629">
        <v>20</v>
      </c>
      <c r="S45" s="629">
        <v>30</v>
      </c>
      <c r="T45" s="629">
        <v>20</v>
      </c>
      <c r="U45" s="629">
        <v>20</v>
      </c>
      <c r="V45" s="629">
        <v>20</v>
      </c>
      <c r="W45" s="629">
        <v>20</v>
      </c>
      <c r="X45" s="629">
        <v>20</v>
      </c>
      <c r="Y45" s="631">
        <v>40</v>
      </c>
      <c r="Z45" s="350">
        <v>40</v>
      </c>
      <c r="AA45" s="210">
        <f ca="1">-Economics!D38/Economics!I38</f>
        <v>8892.8322305484689</v>
      </c>
    </row>
    <row r="46" spans="1:33" s="161" customFormat="1" ht="12.75" customHeight="1" thickBot="1" x14ac:dyDescent="0.25">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v>0</v>
      </c>
      <c r="X48" s="632">
        <v>0</v>
      </c>
      <c r="Y48" s="634">
        <v>0</v>
      </c>
      <c r="Z48" s="352">
        <v>212</v>
      </c>
      <c r="AA48" s="211">
        <f ca="1">-Economics!D41/Economics!I41</f>
        <v>0</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202</v>
      </c>
      <c r="C53" s="629">
        <v>201</v>
      </c>
      <c r="D53" s="629">
        <v>201</v>
      </c>
      <c r="E53" s="629">
        <v>202</v>
      </c>
      <c r="F53" s="629">
        <v>202</v>
      </c>
      <c r="G53" s="629">
        <v>202</v>
      </c>
      <c r="H53" s="629">
        <v>202</v>
      </c>
      <c r="I53" s="629">
        <v>202</v>
      </c>
      <c r="J53" s="629">
        <v>202</v>
      </c>
      <c r="K53" s="629">
        <v>202</v>
      </c>
      <c r="L53" s="629">
        <v>202</v>
      </c>
      <c r="M53" s="629">
        <v>201</v>
      </c>
      <c r="N53" s="629">
        <v>201</v>
      </c>
      <c r="O53" s="629">
        <v>201</v>
      </c>
      <c r="P53" s="629">
        <v>201</v>
      </c>
      <c r="Q53" s="629">
        <v>201</v>
      </c>
      <c r="R53" s="629">
        <v>201</v>
      </c>
      <c r="S53" s="629">
        <v>201</v>
      </c>
      <c r="T53" s="629">
        <v>202</v>
      </c>
      <c r="U53" s="629">
        <v>201</v>
      </c>
      <c r="V53" s="629">
        <v>201</v>
      </c>
      <c r="W53" s="629">
        <v>202</v>
      </c>
      <c r="X53" s="629">
        <v>201</v>
      </c>
      <c r="Y53" s="631">
        <v>201</v>
      </c>
      <c r="Z53" s="350">
        <v>198</v>
      </c>
      <c r="AA53" s="208"/>
    </row>
    <row r="54" spans="1:27" s="161" customFormat="1" ht="12.75" customHeight="1" x14ac:dyDescent="0.2">
      <c r="A54" s="625" t="s">
        <v>127</v>
      </c>
      <c r="B54" s="629">
        <v>202</v>
      </c>
      <c r="C54" s="629">
        <v>201</v>
      </c>
      <c r="D54" s="629">
        <v>201</v>
      </c>
      <c r="E54" s="629">
        <v>202</v>
      </c>
      <c r="F54" s="629">
        <v>202</v>
      </c>
      <c r="G54" s="629">
        <v>202</v>
      </c>
      <c r="H54" s="629">
        <v>202</v>
      </c>
      <c r="I54" s="629">
        <v>202</v>
      </c>
      <c r="J54" s="629">
        <v>202</v>
      </c>
      <c r="K54" s="629">
        <v>202</v>
      </c>
      <c r="L54" s="629">
        <v>202</v>
      </c>
      <c r="M54" s="629">
        <v>201</v>
      </c>
      <c r="N54" s="629">
        <v>202</v>
      </c>
      <c r="O54" s="629">
        <v>201</v>
      </c>
      <c r="P54" s="629">
        <v>201</v>
      </c>
      <c r="Q54" s="629">
        <v>201</v>
      </c>
      <c r="R54" s="629">
        <v>201</v>
      </c>
      <c r="S54" s="629">
        <v>201</v>
      </c>
      <c r="T54" s="629">
        <v>202</v>
      </c>
      <c r="U54" s="629">
        <v>201</v>
      </c>
      <c r="V54" s="629">
        <v>201</v>
      </c>
      <c r="W54" s="629">
        <v>202</v>
      </c>
      <c r="X54" s="629">
        <v>201</v>
      </c>
      <c r="Y54" s="631">
        <v>201</v>
      </c>
      <c r="Z54" s="350">
        <v>198</v>
      </c>
      <c r="AA54" s="208"/>
    </row>
    <row r="55" spans="1:27" s="161" customFormat="1" ht="12.75" customHeight="1" x14ac:dyDescent="0.2">
      <c r="A55" s="625" t="s">
        <v>128</v>
      </c>
      <c r="B55" s="629">
        <v>202</v>
      </c>
      <c r="C55" s="629">
        <v>201</v>
      </c>
      <c r="D55" s="629">
        <v>201</v>
      </c>
      <c r="E55" s="629">
        <v>202</v>
      </c>
      <c r="F55" s="629">
        <v>202</v>
      </c>
      <c r="G55" s="629">
        <v>202</v>
      </c>
      <c r="H55" s="629">
        <v>202</v>
      </c>
      <c r="I55" s="629">
        <v>202</v>
      </c>
      <c r="J55" s="629">
        <v>202</v>
      </c>
      <c r="K55" s="629">
        <v>202</v>
      </c>
      <c r="L55" s="629">
        <v>202</v>
      </c>
      <c r="M55" s="629">
        <v>201</v>
      </c>
      <c r="N55" s="629">
        <v>202</v>
      </c>
      <c r="O55" s="629">
        <v>201</v>
      </c>
      <c r="P55" s="629">
        <v>201</v>
      </c>
      <c r="Q55" s="629">
        <v>201</v>
      </c>
      <c r="R55" s="629">
        <v>201</v>
      </c>
      <c r="S55" s="629">
        <v>201</v>
      </c>
      <c r="T55" s="629">
        <v>202</v>
      </c>
      <c r="U55" s="629">
        <v>201</v>
      </c>
      <c r="V55" s="629">
        <v>201</v>
      </c>
      <c r="W55" s="629">
        <v>202</v>
      </c>
      <c r="X55" s="629">
        <v>201</v>
      </c>
      <c r="Y55" s="631">
        <v>201</v>
      </c>
      <c r="Z55" s="350">
        <v>198</v>
      </c>
      <c r="AA55" s="208"/>
    </row>
    <row r="56" spans="1:27" s="161" customFormat="1" ht="12" customHeight="1" x14ac:dyDescent="0.2">
      <c r="A56" s="625" t="s">
        <v>124</v>
      </c>
      <c r="B56" s="629">
        <v>91</v>
      </c>
      <c r="C56" s="629">
        <v>91</v>
      </c>
      <c r="D56" s="629">
        <v>66</v>
      </c>
      <c r="E56" s="629">
        <v>66</v>
      </c>
      <c r="F56" s="629">
        <v>66</v>
      </c>
      <c r="G56" s="629">
        <v>41</v>
      </c>
      <c r="H56" s="629">
        <v>66</v>
      </c>
      <c r="I56" s="629">
        <v>16</v>
      </c>
      <c r="J56" s="629">
        <v>16</v>
      </c>
      <c r="K56" s="629">
        <v>41</v>
      </c>
      <c r="L56" s="629">
        <v>41</v>
      </c>
      <c r="M56" s="629">
        <v>40</v>
      </c>
      <c r="N56" s="629">
        <v>40</v>
      </c>
      <c r="O56" s="629">
        <v>20</v>
      </c>
      <c r="P56" s="629">
        <v>1</v>
      </c>
      <c r="Q56" s="629">
        <v>0</v>
      </c>
      <c r="R56" s="629">
        <v>1</v>
      </c>
      <c r="S56" s="629">
        <v>1</v>
      </c>
      <c r="T56" s="629">
        <v>91</v>
      </c>
      <c r="U56" s="629">
        <v>91</v>
      </c>
      <c r="V56" s="629">
        <v>66</v>
      </c>
      <c r="W56" s="629">
        <v>66</v>
      </c>
      <c r="X56" s="629">
        <v>66</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25">
      <c r="A58" s="670" t="s">
        <v>10</v>
      </c>
      <c r="B58" s="671">
        <f ca="1">B59-B38</f>
        <v>9</v>
      </c>
      <c r="C58" s="671">
        <f t="shared" ref="C58:I58" ca="1" si="5">C59-C38</f>
        <v>-1</v>
      </c>
      <c r="D58" s="671">
        <f t="shared" ca="1" si="5"/>
        <v>4</v>
      </c>
      <c r="E58" s="671">
        <f t="shared" ca="1" si="5"/>
        <v>6</v>
      </c>
      <c r="F58" s="671">
        <f t="shared" ca="1" si="5"/>
        <v>3</v>
      </c>
      <c r="G58" s="671">
        <f t="shared" ca="1" si="5"/>
        <v>0</v>
      </c>
      <c r="H58" s="671">
        <f t="shared" ca="1" si="5"/>
        <v>0</v>
      </c>
      <c r="I58" s="671">
        <f t="shared" ca="1" si="5"/>
        <v>31</v>
      </c>
      <c r="J58" s="671">
        <f t="shared" ref="J58:Y58" ca="1" si="6">J59-J38</f>
        <v>-3</v>
      </c>
      <c r="K58" s="671">
        <f t="shared" ca="1" si="6"/>
        <v>-1</v>
      </c>
      <c r="L58" s="671">
        <f t="shared" ca="1" si="6"/>
        <v>-1</v>
      </c>
      <c r="M58" s="671">
        <f t="shared" ca="1" si="6"/>
        <v>-2</v>
      </c>
      <c r="N58" s="671">
        <f t="shared" ca="1" si="6"/>
        <v>-2</v>
      </c>
      <c r="O58" s="671">
        <f t="shared" ca="1" si="6"/>
        <v>-2</v>
      </c>
      <c r="P58" s="671">
        <f t="shared" ca="1" si="6"/>
        <v>-1</v>
      </c>
      <c r="Q58" s="671">
        <f t="shared" ca="1" si="6"/>
        <v>2</v>
      </c>
      <c r="R58" s="671">
        <f t="shared" ca="1" si="6"/>
        <v>-1</v>
      </c>
      <c r="S58" s="671">
        <f t="shared" ca="1" si="6"/>
        <v>1</v>
      </c>
      <c r="T58" s="671">
        <f t="shared" ca="1" si="6"/>
        <v>2</v>
      </c>
      <c r="U58" s="671">
        <f t="shared" ca="1" si="6"/>
        <v>-4</v>
      </c>
      <c r="V58" s="671">
        <f t="shared" ca="1" si="6"/>
        <v>-4</v>
      </c>
      <c r="W58" s="671">
        <f t="shared" ca="1" si="6"/>
        <v>-14</v>
      </c>
      <c r="X58" s="671">
        <f t="shared" ca="1" si="6"/>
        <v>-3</v>
      </c>
      <c r="Y58" s="671">
        <f t="shared" ca="1" si="6"/>
        <v>10</v>
      </c>
      <c r="Z58" s="351">
        <f ca="1">SUM(Z41:Z55)+Z41+Z42+Z43+Z48+Z49+Z50+Z51+Z52</f>
        <v>2416</v>
      </c>
      <c r="AA58" s="209">
        <f ca="1">SUM(AA41:AA55)</f>
        <v>40396.219806281893</v>
      </c>
    </row>
    <row r="59" spans="1:27" s="161" customFormat="1" ht="12" x14ac:dyDescent="0.2">
      <c r="A59" s="563">
        <v>0</v>
      </c>
      <c r="B59" s="564">
        <f t="shared" ref="B59:I59" ca="1" si="7">SUM(B41:B57)-SUM(B7:B20)</f>
        <v>993</v>
      </c>
      <c r="C59" s="564">
        <f t="shared" ca="1" si="7"/>
        <v>909</v>
      </c>
      <c r="D59" s="564">
        <f t="shared" ca="1" si="7"/>
        <v>897</v>
      </c>
      <c r="E59" s="564">
        <f t="shared" ca="1" si="7"/>
        <v>897</v>
      </c>
      <c r="F59" s="564">
        <f t="shared" ca="1" si="7"/>
        <v>897</v>
      </c>
      <c r="G59" s="564">
        <f t="shared" ca="1" si="7"/>
        <v>906</v>
      </c>
      <c r="H59" s="564">
        <f t="shared" ca="1" si="7"/>
        <v>935</v>
      </c>
      <c r="I59" s="564">
        <f t="shared" ca="1" si="7"/>
        <v>840</v>
      </c>
      <c r="J59" s="564">
        <f t="shared" ref="J59:Y59" ca="1" si="8">SUM(J41:J57)-SUM(J7:J20)</f>
        <v>899</v>
      </c>
      <c r="K59" s="564">
        <f t="shared" ca="1" si="8"/>
        <v>886</v>
      </c>
      <c r="L59" s="564">
        <f t="shared" ca="1" si="8"/>
        <v>863</v>
      </c>
      <c r="M59" s="564">
        <f t="shared" ca="1" si="8"/>
        <v>855</v>
      </c>
      <c r="N59" s="564">
        <f t="shared" ca="1" si="8"/>
        <v>859</v>
      </c>
      <c r="O59" s="564">
        <f t="shared" ca="1" si="8"/>
        <v>826</v>
      </c>
      <c r="P59" s="564">
        <f t="shared" ca="1" si="8"/>
        <v>813</v>
      </c>
      <c r="Q59" s="564">
        <f t="shared" ca="1" si="8"/>
        <v>815</v>
      </c>
      <c r="R59" s="564">
        <f t="shared" ca="1" si="8"/>
        <v>810</v>
      </c>
      <c r="S59" s="564">
        <f t="shared" ca="1" si="8"/>
        <v>927</v>
      </c>
      <c r="T59" s="564">
        <f t="shared" ca="1" si="8"/>
        <v>942</v>
      </c>
      <c r="U59" s="564">
        <f ca="1">SUM(U41:U57)-SUM(U7:U20)</f>
        <v>920</v>
      </c>
      <c r="V59" s="564">
        <f t="shared" ca="1" si="8"/>
        <v>895</v>
      </c>
      <c r="W59" s="564">
        <f t="shared" ca="1" si="8"/>
        <v>907</v>
      </c>
      <c r="X59" s="564">
        <f t="shared" ca="1" si="8"/>
        <v>899</v>
      </c>
      <c r="Y59" s="564">
        <f t="shared" ca="1" si="8"/>
        <v>1022</v>
      </c>
      <c r="Z59" s="213">
        <f ca="1">SUM(Economics!D28:D45)</f>
        <v>-182974.24682031249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300</v>
      </c>
      <c r="E62" s="169">
        <f t="shared" ca="1" si="10"/>
        <v>303</v>
      </c>
      <c r="F62" s="169">
        <f t="shared" ca="1" si="10"/>
        <v>303</v>
      </c>
      <c r="G62" s="169">
        <f t="shared" ca="1" si="10"/>
        <v>303</v>
      </c>
      <c r="H62" s="169">
        <f t="shared" ca="1" si="10"/>
        <v>353</v>
      </c>
      <c r="I62" s="169">
        <f t="shared" ca="1" si="10"/>
        <v>516</v>
      </c>
      <c r="J62" s="169">
        <f t="shared" ca="1" si="10"/>
        <v>441</v>
      </c>
      <c r="K62" s="169">
        <f t="shared" ca="1" si="10"/>
        <v>456</v>
      </c>
      <c r="L62" s="169">
        <f t="shared" ca="1" si="10"/>
        <v>456</v>
      </c>
      <c r="M62" s="169">
        <f t="shared" ca="1" si="10"/>
        <v>453</v>
      </c>
      <c r="N62" s="169">
        <f t="shared" ca="1" si="10"/>
        <v>455</v>
      </c>
      <c r="O62" s="169">
        <f t="shared" ca="1" si="10"/>
        <v>453</v>
      </c>
      <c r="P62" s="169">
        <f t="shared" ca="1" si="10"/>
        <v>458</v>
      </c>
      <c r="Q62" s="169">
        <f t="shared" ca="1" si="10"/>
        <v>458</v>
      </c>
      <c r="R62" s="169">
        <f t="shared" ca="1" si="10"/>
        <v>463</v>
      </c>
      <c r="S62" s="169">
        <f t="shared" ca="1" si="10"/>
        <v>473</v>
      </c>
      <c r="T62" s="169">
        <f t="shared" ca="1" si="10"/>
        <v>476</v>
      </c>
      <c r="U62" s="169">
        <f t="shared" ca="1" si="10"/>
        <v>473</v>
      </c>
      <c r="V62" s="169">
        <f t="shared" ca="1" si="10"/>
        <v>473</v>
      </c>
      <c r="W62" s="169">
        <f t="shared" ca="1" si="10"/>
        <v>461</v>
      </c>
      <c r="X62" s="169">
        <f t="shared" ca="1" si="10"/>
        <v>483</v>
      </c>
      <c r="Y62" s="170">
        <f t="shared" ca="1" si="10"/>
        <v>270</v>
      </c>
      <c r="Z62" s="191"/>
      <c r="AA62" s="162"/>
    </row>
    <row r="63" spans="1:27" s="161" customFormat="1" ht="12" x14ac:dyDescent="0.2">
      <c r="A63" s="193" t="s">
        <v>140</v>
      </c>
      <c r="B63" s="169">
        <f t="shared" ref="B63:L63" ca="1" si="11">-SUM(B8:B10,B25:B28) + SUM(B56:B57)</f>
        <v>91</v>
      </c>
      <c r="C63" s="169">
        <f t="shared" ca="1" si="11"/>
        <v>91</v>
      </c>
      <c r="D63" s="169">
        <f t="shared" ca="1" si="11"/>
        <v>66</v>
      </c>
      <c r="E63" s="169">
        <f t="shared" ca="1" si="11"/>
        <v>66</v>
      </c>
      <c r="F63" s="169">
        <f t="shared" ca="1" si="11"/>
        <v>66</v>
      </c>
      <c r="G63" s="169">
        <f t="shared" ca="1" si="11"/>
        <v>41</v>
      </c>
      <c r="H63" s="169">
        <f t="shared" ca="1" si="11"/>
        <v>66</v>
      </c>
      <c r="I63" s="169">
        <f t="shared" ca="1" si="11"/>
        <v>-51</v>
      </c>
      <c r="J63" s="169">
        <f t="shared" ca="1" si="11"/>
        <v>-34</v>
      </c>
      <c r="K63" s="169">
        <f t="shared" ca="1" si="11"/>
        <v>16</v>
      </c>
      <c r="L63" s="169">
        <f t="shared" ca="1" si="11"/>
        <v>41</v>
      </c>
      <c r="M63" s="169">
        <f ca="1">-SUM(M8:M10,M25:M28) + SUM(M57:M57)</f>
        <v>0</v>
      </c>
      <c r="N63" s="169">
        <f t="shared" ref="N63:Y63" ca="1" si="12">-SUM(N8:N10,N25:N28) + SUM(N56:N57)</f>
        <v>15</v>
      </c>
      <c r="O63" s="169">
        <f t="shared" ca="1" si="12"/>
        <v>20</v>
      </c>
      <c r="P63" s="169">
        <f t="shared" ca="1" si="12"/>
        <v>1</v>
      </c>
      <c r="Q63" s="169">
        <f t="shared" ca="1" si="12"/>
        <v>0</v>
      </c>
      <c r="R63" s="169">
        <f t="shared" ca="1" si="12"/>
        <v>1</v>
      </c>
      <c r="S63" s="169">
        <f t="shared" ca="1" si="12"/>
        <v>1</v>
      </c>
      <c r="T63" s="169">
        <f t="shared" ca="1" si="12"/>
        <v>91</v>
      </c>
      <c r="U63" s="169">
        <f t="shared" ca="1" si="12"/>
        <v>91</v>
      </c>
      <c r="V63" s="169">
        <f t="shared" ca="1" si="12"/>
        <v>66</v>
      </c>
      <c r="W63" s="169">
        <f t="shared" ca="1" si="12"/>
        <v>46</v>
      </c>
      <c r="X63" s="169">
        <f t="shared" ca="1" si="12"/>
        <v>6</v>
      </c>
      <c r="Y63" s="170">
        <f t="shared" ca="1" si="12"/>
        <v>91</v>
      </c>
      <c r="Z63" s="191"/>
      <c r="AA63" s="162"/>
    </row>
    <row r="64" spans="1:27" s="161" customFormat="1" ht="12" x14ac:dyDescent="0.2">
      <c r="A64" s="193" t="s">
        <v>141</v>
      </c>
      <c r="B64" s="169">
        <f ca="1">IF(B62+B63&gt;645,"err",B62+B63)</f>
        <v>384</v>
      </c>
      <c r="C64" s="169">
        <f t="shared" ref="C64:Y64" ca="1" si="13">IF(C62+C63&gt;645,"err",C62+C63)</f>
        <v>391</v>
      </c>
      <c r="D64" s="169">
        <f t="shared" ca="1" si="13"/>
        <v>366</v>
      </c>
      <c r="E64" s="169">
        <f t="shared" ca="1" si="13"/>
        <v>369</v>
      </c>
      <c r="F64" s="169">
        <f t="shared" ca="1" si="13"/>
        <v>369</v>
      </c>
      <c r="G64" s="169">
        <f t="shared" ca="1" si="13"/>
        <v>344</v>
      </c>
      <c r="H64" s="169">
        <f t="shared" ca="1" si="13"/>
        <v>419</v>
      </c>
      <c r="I64" s="169">
        <f t="shared" ca="1" si="13"/>
        <v>465</v>
      </c>
      <c r="J64" s="169">
        <f t="shared" ca="1" si="13"/>
        <v>407</v>
      </c>
      <c r="K64" s="169">
        <f t="shared" ca="1" si="13"/>
        <v>472</v>
      </c>
      <c r="L64" s="169">
        <f t="shared" ca="1" si="13"/>
        <v>497</v>
      </c>
      <c r="M64" s="169">
        <f t="shared" ca="1" si="13"/>
        <v>453</v>
      </c>
      <c r="N64" s="169">
        <f t="shared" ca="1" si="13"/>
        <v>470</v>
      </c>
      <c r="O64" s="169">
        <f t="shared" ca="1" si="13"/>
        <v>473</v>
      </c>
      <c r="P64" s="169">
        <f t="shared" ca="1" si="13"/>
        <v>459</v>
      </c>
      <c r="Q64" s="169">
        <f t="shared" ca="1" si="13"/>
        <v>458</v>
      </c>
      <c r="R64" s="169">
        <f t="shared" ca="1" si="13"/>
        <v>464</v>
      </c>
      <c r="S64" s="169">
        <f t="shared" ca="1" si="13"/>
        <v>474</v>
      </c>
      <c r="T64" s="169">
        <f t="shared" ca="1" si="13"/>
        <v>567</v>
      </c>
      <c r="U64" s="169">
        <f t="shared" ca="1" si="13"/>
        <v>564</v>
      </c>
      <c r="V64" s="169">
        <f t="shared" ca="1" si="13"/>
        <v>539</v>
      </c>
      <c r="W64" s="169">
        <f t="shared" ca="1" si="13"/>
        <v>507</v>
      </c>
      <c r="X64" s="169">
        <f t="shared" ca="1" si="13"/>
        <v>489</v>
      </c>
      <c r="Y64" s="170">
        <f t="shared" ca="1" si="13"/>
        <v>361</v>
      </c>
      <c r="Z64" s="192"/>
      <c r="AA64" s="162"/>
    </row>
    <row r="65" spans="1:27" s="161" customFormat="1" ht="12" x14ac:dyDescent="0.2">
      <c r="A65" s="193" t="s">
        <v>18</v>
      </c>
      <c r="B65" s="169">
        <f ca="1">SUM(B61:B63)</f>
        <v>487</v>
      </c>
      <c r="C65" s="169">
        <f t="shared" ref="C65:Y65" ca="1" si="14">SUM(C61:C63)</f>
        <v>494</v>
      </c>
      <c r="D65" s="169">
        <f t="shared" ca="1" si="14"/>
        <v>469</v>
      </c>
      <c r="E65" s="169">
        <f t="shared" ca="1" si="14"/>
        <v>472</v>
      </c>
      <c r="F65" s="169">
        <f t="shared" ca="1" si="14"/>
        <v>472</v>
      </c>
      <c r="G65" s="169">
        <f t="shared" ca="1" si="14"/>
        <v>447</v>
      </c>
      <c r="H65" s="169">
        <f t="shared" ca="1" si="14"/>
        <v>522</v>
      </c>
      <c r="I65" s="169">
        <f t="shared" ca="1" si="14"/>
        <v>568</v>
      </c>
      <c r="J65" s="169">
        <f t="shared" ca="1" si="14"/>
        <v>510</v>
      </c>
      <c r="K65" s="169">
        <f t="shared" ca="1" si="14"/>
        <v>575</v>
      </c>
      <c r="L65" s="169">
        <f t="shared" ca="1" si="14"/>
        <v>600</v>
      </c>
      <c r="M65" s="169">
        <f t="shared" ca="1" si="14"/>
        <v>453</v>
      </c>
      <c r="N65" s="169">
        <f t="shared" ca="1" si="14"/>
        <v>573</v>
      </c>
      <c r="O65" s="169">
        <f t="shared" ca="1" si="14"/>
        <v>576</v>
      </c>
      <c r="P65" s="169">
        <f t="shared" ca="1" si="14"/>
        <v>562</v>
      </c>
      <c r="Q65" s="169">
        <f t="shared" ca="1" si="14"/>
        <v>561</v>
      </c>
      <c r="R65" s="169">
        <f t="shared" ca="1" si="14"/>
        <v>567</v>
      </c>
      <c r="S65" s="169">
        <f t="shared" ca="1" si="14"/>
        <v>577</v>
      </c>
      <c r="T65" s="169">
        <f t="shared" ca="1" si="14"/>
        <v>670</v>
      </c>
      <c r="U65" s="169">
        <f t="shared" ca="1" si="14"/>
        <v>667</v>
      </c>
      <c r="V65" s="169">
        <f t="shared" ca="1" si="14"/>
        <v>642</v>
      </c>
      <c r="W65" s="169">
        <f t="shared" ca="1" si="14"/>
        <v>610</v>
      </c>
      <c r="X65" s="169">
        <f t="shared" ca="1" si="14"/>
        <v>592</v>
      </c>
      <c r="Y65" s="170">
        <f t="shared" ca="1" si="14"/>
        <v>464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56</v>
      </c>
      <c r="C67" s="169">
        <f t="array" ref="C67">SUM(IF(C$41:C$55 = 0,0,$Z$41:$Z$55-C$41:C$55))-INDEX(Balancing!$R$4:$R$27,C$3)</f>
        <v>140</v>
      </c>
      <c r="D67" s="169">
        <f t="array" ref="D67">SUM(IF(D$41:D$55 = 0,0,$Z$41:$Z$55-D$41:D$55))-INDEX(Balancing!$R$4:$R$27,D$3)</f>
        <v>127</v>
      </c>
      <c r="E67" s="169">
        <f t="array" ref="E67">SUM(IF(E$41:E$55 = 0,0,$Z$41:$Z$55-E$41:E$55))-INDEX(Balancing!$R$4:$R$27,E$3)</f>
        <v>127</v>
      </c>
      <c r="F67" s="169">
        <f t="array" ref="F67">SUM(IF(F$41:F$55 = 0,0,$Z$41:$Z$55-F$41:F$55))-INDEX(Balancing!$R$4:$R$27,F$3)</f>
        <v>127</v>
      </c>
      <c r="G67" s="169">
        <f t="array" ref="G67">SUM(IF(G$41:G$55 = 0,0,$Z$41:$Z$55-G$41:G$55))-INDEX(Balancing!$R$4:$R$27,G$3)</f>
        <v>93</v>
      </c>
      <c r="H67" s="169">
        <f t="array" ref="H67">SUM(IF(H$41:H$55 = 0,0,$Z$41:$Z$55-H$41:H$55))-INDEX(Balancing!$R$4:$R$27,H$3)</f>
        <v>139</v>
      </c>
      <c r="I67" s="169">
        <f t="array" ref="I67">SUM(IF(I$41:I$55 = 0,0,$Z$41:$Z$55-I$41:I$55))-INDEX(Balancing!$R$4:$R$27,I$3)</f>
        <v>134</v>
      </c>
      <c r="J67" s="169">
        <f t="array" ref="J67">SUM(IF(J$41:J$55 = 0,0,$Z$41:$Z$55-J$41:J$55))-INDEX(Balancing!$R$4:$R$27,J$3)</f>
        <v>75</v>
      </c>
      <c r="K67" s="169">
        <f t="array" ref="K67">SUM(IF(K$41:K$55 = 0,0,$Z$41:$Z$55-K$41:K$55))-INDEX(Balancing!$R$4:$R$27,K$3)</f>
        <v>113</v>
      </c>
      <c r="L67" s="169">
        <f t="array" ref="L67">SUM(IF(L$41:L$55 = 0,0,$Z$41:$Z$55-L$41:L$55))-INDEX(Balancing!$R$4:$R$27,L$3)</f>
        <v>136</v>
      </c>
      <c r="M67" s="169">
        <f t="array" ref="M67">SUM(IF(M$41:M$55 = 0,0,$Z$41:$Z$55-M$41:M$55))-INDEX(Balancing!$R$4:$R$27,M$3)</f>
        <v>143</v>
      </c>
      <c r="N67" s="169">
        <v>179</v>
      </c>
      <c r="O67" s="169">
        <f t="array" ref="O67">SUM(IF(O$41:O$55 = 0,0,$Z$41:$Z$55-O$41:O$55))-INDEX(Balancing!$R$4:$R$27,O$3)</f>
        <v>152</v>
      </c>
      <c r="P67" s="169">
        <f t="array" ref="P67">SUM(IF(P$41:P$55 = 0,0,$Z$41:$Z$55-P$41:P$55))-INDEX(Balancing!$R$4:$R$27,P$3)</f>
        <v>146</v>
      </c>
      <c r="Q67" s="169">
        <f t="array" ref="Q67">SUM(IF(Q$41:Q$55 = 0,0,$Z$41:$Z$55-Q$41:Q$55))-INDEX(Balancing!$R$4:$R$27,Q$3)</f>
        <v>143</v>
      </c>
      <c r="R67" s="169">
        <f t="array" ref="R67">SUM(IF(R$41:R$55 = 0,0,$Z$41:$Z$55-R$41:R$55))-INDEX(Balancing!$R$4:$R$27,R$3)</f>
        <v>149</v>
      </c>
      <c r="S67" s="169">
        <f t="array" ref="S67">SUM(IF(S$41:S$55 = 0,0,$Z$41:$Z$55-S$41:S$55))-INDEX(Balancing!$R$4:$R$27,S$3)</f>
        <v>32</v>
      </c>
      <c r="T67" s="169">
        <f t="array" ref="T67">SUM(IF(T$41:T$55 = 0,0,$Z$41:$Z$55-T$41:T$55))-INDEX(Balancing!$R$4:$R$27,T$3)</f>
        <v>107</v>
      </c>
      <c r="U67" s="169">
        <f t="array" ref="U67">SUM(IF(U$41:U$55 = 0,0,$Z$41:$Z$55-U$41:U$55))-INDEX(Balancing!$R$4:$R$27,U$3)</f>
        <v>129</v>
      </c>
      <c r="V67" s="169">
        <f t="array" ref="V67">SUM(IF(V$41:V$55 = 0,0,$Z$41:$Z$55-V$41:V$55))-INDEX(Balancing!$R$4:$R$27,V$3)</f>
        <v>129</v>
      </c>
      <c r="W67" s="169">
        <f t="array" ref="W67">SUM(IF(W$41:W$55 = 0,0,$Z$41:$Z$55-W$41:W$55))-INDEX(Balancing!$R$4:$R$27,W$3)</f>
        <v>117</v>
      </c>
      <c r="X67" s="169">
        <f t="array" ref="X67">SUM(IF(X$41:X$55 = 0,0,$Z$41:$Z$55-X$41:X$55))-INDEX(Balancing!$R$4:$R$27,X$3)</f>
        <v>125</v>
      </c>
      <c r="Y67" s="170">
        <f t="array" ref="Y67">SUM(IF(Y$41:Y$55 = 0,0,$Z$41:$Z$55-Y$41:Y$55))-INDEX(Balancing!$R$4:$R$27,Y$3)</f>
        <v>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45</v>
      </c>
      <c r="C69" s="171">
        <f t="shared" si="15"/>
        <v>41</v>
      </c>
      <c r="D69" s="171">
        <f t="shared" si="15"/>
        <v>40</v>
      </c>
      <c r="E69" s="171">
        <f t="shared" si="15"/>
        <v>39</v>
      </c>
      <c r="F69" s="171">
        <f t="shared" si="15"/>
        <v>40</v>
      </c>
      <c r="G69" s="171">
        <f t="shared" si="15"/>
        <v>40</v>
      </c>
      <c r="H69" s="171">
        <f t="shared" ref="H69:X69" si="16">IF(H67&lt;0.07*I4,"err",ROUND(I4*0.07,0))</f>
        <v>44</v>
      </c>
      <c r="I69" s="171">
        <f t="shared" si="16"/>
        <v>46</v>
      </c>
      <c r="J69" s="171">
        <f t="shared" si="16"/>
        <v>48</v>
      </c>
      <c r="K69" s="171">
        <f t="shared" si="16"/>
        <v>48</v>
      </c>
      <c r="L69" s="171">
        <f t="shared" si="16"/>
        <v>48</v>
      </c>
      <c r="M69" s="171">
        <f t="shared" si="16"/>
        <v>46</v>
      </c>
      <c r="N69" s="171">
        <f t="shared" si="16"/>
        <v>46</v>
      </c>
      <c r="O69" s="171">
        <f t="shared" si="16"/>
        <v>45</v>
      </c>
      <c r="P69" s="171">
        <f t="shared" si="16"/>
        <v>45</v>
      </c>
      <c r="Q69" s="171">
        <f t="shared" si="16"/>
        <v>45</v>
      </c>
      <c r="R69" s="171">
        <f t="shared" si="16"/>
        <v>54</v>
      </c>
      <c r="S69" s="171" t="str">
        <f t="shared" si="16"/>
        <v>err</v>
      </c>
      <c r="T69" s="171">
        <f t="shared" si="16"/>
        <v>54</v>
      </c>
      <c r="U69" s="171">
        <f t="shared" si="16"/>
        <v>52</v>
      </c>
      <c r="V69" s="171">
        <f t="shared" si="16"/>
        <v>51</v>
      </c>
      <c r="W69" s="171">
        <f t="shared" si="16"/>
        <v>49</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50</v>
      </c>
      <c r="K78" s="469">
        <f t="shared" ca="1" si="17"/>
        <v>50</v>
      </c>
      <c r="L78" s="469">
        <f t="shared" ca="1" si="17"/>
        <v>50</v>
      </c>
      <c r="M78" s="469">
        <f t="shared" ca="1" si="17"/>
        <v>50</v>
      </c>
      <c r="N78" s="469">
        <f t="shared" ca="1" si="17"/>
        <v>50</v>
      </c>
      <c r="O78" s="469">
        <f t="shared" ca="1" si="17"/>
        <v>50</v>
      </c>
      <c r="P78" s="469">
        <f t="shared" ca="1" si="17"/>
        <v>50</v>
      </c>
      <c r="Q78" s="469">
        <f t="shared" ca="1" si="17"/>
        <v>50</v>
      </c>
      <c r="R78" s="469">
        <f t="shared" ca="1" si="17"/>
        <v>30</v>
      </c>
      <c r="S78" s="469">
        <f t="shared" ca="1" si="17"/>
        <v>30</v>
      </c>
      <c r="T78" s="469">
        <f t="shared" ca="1" si="17"/>
        <v>80</v>
      </c>
      <c r="U78" s="469">
        <f t="shared" ca="1" si="17"/>
        <v>80</v>
      </c>
      <c r="V78" s="469">
        <f t="shared" ca="1" si="17"/>
        <v>80</v>
      </c>
      <c r="W78" s="469">
        <f t="shared" ca="1" si="17"/>
        <v>80</v>
      </c>
      <c r="X78" s="469">
        <f t="shared" ca="1" si="17"/>
        <v>70</v>
      </c>
      <c r="Y78" s="469">
        <f t="shared" ca="1" si="17"/>
        <v>80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1340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186352.62998700491</v>
      </c>
    </row>
    <row r="87" spans="1:27" x14ac:dyDescent="0.2">
      <c r="X87" s="223"/>
      <c r="Y87" s="224" t="s">
        <v>163</v>
      </c>
      <c r="Z87" s="255">
        <f ca="1">SUM(Z90,Z93,Z96,Z99,Z102,Z107,Z112,Z117,Z122,Z127,Z132,Z137,Z142,Z147,Z152,Z157,Z162)</f>
        <v>269153.22410993458</v>
      </c>
    </row>
    <row r="88" spans="1:27" ht="13.5" thickBot="1" x14ac:dyDescent="0.25">
      <c r="A88" s="173" t="s">
        <v>164</v>
      </c>
      <c r="X88" s="225"/>
      <c r="Y88" s="226" t="s">
        <v>165</v>
      </c>
      <c r="Z88" s="256">
        <f ca="1">Z86-Z87</f>
        <v>-82800.594122929673</v>
      </c>
    </row>
    <row r="89" spans="1:27" x14ac:dyDescent="0.2">
      <c r="A89" s="227" t="str">
        <f>Economics!A28</f>
        <v>4 Corners Unit 4</v>
      </c>
      <c r="B89" s="228">
        <f t="shared" ref="B89:Y89" si="18">B56</f>
        <v>91</v>
      </c>
      <c r="C89" s="228">
        <f t="shared" si="18"/>
        <v>91</v>
      </c>
      <c r="D89" s="228">
        <f t="shared" si="18"/>
        <v>66</v>
      </c>
      <c r="E89" s="228">
        <f>E56</f>
        <v>66</v>
      </c>
      <c r="F89" s="228">
        <f t="shared" si="18"/>
        <v>66</v>
      </c>
      <c r="G89" s="228">
        <f t="shared" si="18"/>
        <v>41</v>
      </c>
      <c r="H89" s="228">
        <f t="shared" si="18"/>
        <v>66</v>
      </c>
      <c r="I89" s="228">
        <f t="shared" si="18"/>
        <v>16</v>
      </c>
      <c r="J89" s="228">
        <f t="shared" si="18"/>
        <v>16</v>
      </c>
      <c r="K89" s="228">
        <f t="shared" si="18"/>
        <v>41</v>
      </c>
      <c r="L89" s="228">
        <f t="shared" si="18"/>
        <v>41</v>
      </c>
      <c r="M89" s="228">
        <f>M57</f>
        <v>0</v>
      </c>
      <c r="N89" s="228">
        <f t="shared" si="18"/>
        <v>40</v>
      </c>
      <c r="O89" s="228">
        <f t="shared" si="18"/>
        <v>20</v>
      </c>
      <c r="P89" s="228">
        <f t="shared" si="18"/>
        <v>1</v>
      </c>
      <c r="Q89" s="228">
        <f t="shared" si="18"/>
        <v>0</v>
      </c>
      <c r="R89" s="228">
        <f t="shared" si="18"/>
        <v>1</v>
      </c>
      <c r="S89" s="228">
        <f t="shared" si="18"/>
        <v>1</v>
      </c>
      <c r="T89" s="228">
        <f t="shared" si="18"/>
        <v>91</v>
      </c>
      <c r="U89" s="228">
        <f t="shared" si="18"/>
        <v>91</v>
      </c>
      <c r="V89" s="228">
        <f t="shared" si="18"/>
        <v>66</v>
      </c>
      <c r="W89" s="228">
        <f t="shared" si="18"/>
        <v>66</v>
      </c>
      <c r="X89" s="228">
        <f t="shared" si="18"/>
        <v>66</v>
      </c>
      <c r="Y89" s="228">
        <f t="shared" si="18"/>
        <v>91</v>
      </c>
      <c r="Z89" s="257">
        <f t="array" ref="Z89">SUM(B89:Y89*Economics!F$28)</f>
        <v>14839.988800000005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-64</v>
      </c>
      <c r="E91" s="206">
        <f t="shared" si="19"/>
        <v>-64</v>
      </c>
      <c r="F91" s="206">
        <f t="shared" si="19"/>
        <v>-64</v>
      </c>
      <c r="G91" s="206">
        <f t="shared" si="19"/>
        <v>-39</v>
      </c>
      <c r="H91" s="206">
        <f t="shared" si="19"/>
        <v>-14</v>
      </c>
      <c r="I91" s="206">
        <f t="shared" si="19"/>
        <v>36</v>
      </c>
      <c r="J91" s="206">
        <f t="shared" si="19"/>
        <v>36</v>
      </c>
      <c r="K91" s="206">
        <f t="shared" si="19"/>
        <v>11</v>
      </c>
      <c r="L91" s="206">
        <f t="shared" si="19"/>
        <v>62</v>
      </c>
      <c r="M91" s="206">
        <f t="shared" si="19"/>
        <v>103</v>
      </c>
      <c r="N91" s="206">
        <f t="shared" si="19"/>
        <v>63</v>
      </c>
      <c r="O91" s="206">
        <f t="shared" si="19"/>
        <v>83</v>
      </c>
      <c r="P91" s="206">
        <f t="shared" si="19"/>
        <v>102</v>
      </c>
      <c r="Q91" s="206">
        <f t="shared" si="19"/>
        <v>103</v>
      </c>
      <c r="R91" s="206">
        <f t="shared" si="19"/>
        <v>102</v>
      </c>
      <c r="S91" s="206">
        <f t="shared" si="19"/>
        <v>102</v>
      </c>
      <c r="T91" s="206">
        <f t="shared" si="19"/>
        <v>12</v>
      </c>
      <c r="U91" s="206">
        <f t="shared" si="19"/>
        <v>12</v>
      </c>
      <c r="V91" s="206">
        <f t="shared" si="19"/>
        <v>-14</v>
      </c>
      <c r="W91" s="206">
        <f t="shared" si="19"/>
        <v>-14</v>
      </c>
      <c r="X91" s="206">
        <f t="shared" si="19"/>
        <v>-14</v>
      </c>
      <c r="Y91" s="206">
        <f t="shared" si="19"/>
        <v>-39</v>
      </c>
      <c r="Z91" s="260">
        <f>Z89-Z90</f>
        <v>-6197.4931199999901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202</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201</v>
      </c>
      <c r="O95" s="181">
        <f t="shared" si="22"/>
        <v>201</v>
      </c>
      <c r="P95" s="181">
        <f t="shared" si="22"/>
        <v>201</v>
      </c>
      <c r="Q95" s="181">
        <f t="shared" si="22"/>
        <v>201</v>
      </c>
      <c r="R95" s="181">
        <f t="shared" si="22"/>
        <v>201</v>
      </c>
      <c r="S95" s="181">
        <f t="shared" si="22"/>
        <v>201</v>
      </c>
      <c r="T95" s="181">
        <f t="shared" si="22"/>
        <v>202</v>
      </c>
      <c r="U95" s="181">
        <f t="shared" si="22"/>
        <v>201</v>
      </c>
      <c r="V95" s="181">
        <f t="shared" si="22"/>
        <v>201</v>
      </c>
      <c r="W95" s="181">
        <f t="shared" si="22"/>
        <v>202</v>
      </c>
      <c r="X95" s="181">
        <f t="shared" si="22"/>
        <v>201</v>
      </c>
      <c r="Y95" s="181">
        <f t="shared" si="22"/>
        <v>201</v>
      </c>
      <c r="Z95" s="259">
        <f t="array" ref="Z95">SUM(B95:Y95*Economics!F$30)</f>
        <v>29474.159999999985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-1</v>
      </c>
      <c r="O97" s="206">
        <f t="shared" si="23"/>
        <v>-1</v>
      </c>
      <c r="P97" s="206">
        <f t="shared" si="23"/>
        <v>-1</v>
      </c>
      <c r="Q97" s="206">
        <f t="shared" si="23"/>
        <v>-1</v>
      </c>
      <c r="R97" s="206">
        <f t="shared" si="23"/>
        <v>-1</v>
      </c>
      <c r="S97" s="206">
        <f t="shared" si="23"/>
        <v>-1</v>
      </c>
      <c r="T97" s="206">
        <f t="shared" si="23"/>
        <v>-2</v>
      </c>
      <c r="U97" s="206">
        <f t="shared" si="23"/>
        <v>-1</v>
      </c>
      <c r="V97" s="206">
        <f t="shared" si="23"/>
        <v>-1</v>
      </c>
      <c r="W97" s="206">
        <f t="shared" si="23"/>
        <v>-2</v>
      </c>
      <c r="X97" s="206">
        <f t="shared" si="23"/>
        <v>-1</v>
      </c>
      <c r="Y97" s="206">
        <f t="shared" si="23"/>
        <v>-1</v>
      </c>
      <c r="Z97" s="260">
        <f>Z95-Z96</f>
        <v>213.35999999997512</v>
      </c>
    </row>
    <row r="98" spans="1:29" x14ac:dyDescent="0.2">
      <c r="A98" s="183" t="str">
        <f>Economics!A31</f>
        <v>PV Unit 2</v>
      </c>
      <c r="B98" s="181">
        <f t="shared" ref="B98:Y98" si="24">B54</f>
        <v>202</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202</v>
      </c>
      <c r="U98" s="181">
        <f t="shared" si="24"/>
        <v>201</v>
      </c>
      <c r="V98" s="181">
        <f t="shared" si="24"/>
        <v>201</v>
      </c>
      <c r="W98" s="181">
        <f t="shared" si="24"/>
        <v>202</v>
      </c>
      <c r="X98" s="181">
        <f t="shared" si="24"/>
        <v>201</v>
      </c>
      <c r="Y98" s="181">
        <f t="shared" si="24"/>
        <v>201</v>
      </c>
      <c r="Z98" s="259">
        <f t="array" ref="Z98">SUM(B98:Y98*Economics!F$31)</f>
        <v>29480.255999999987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-7</v>
      </c>
      <c r="U100" s="206">
        <f t="shared" si="25"/>
        <v>-6</v>
      </c>
      <c r="V100" s="206">
        <f t="shared" si="25"/>
        <v>-6</v>
      </c>
      <c r="W100" s="206">
        <f t="shared" si="25"/>
        <v>-7</v>
      </c>
      <c r="X100" s="206">
        <f t="shared" si="25"/>
        <v>-6</v>
      </c>
      <c r="Y100" s="206">
        <f t="shared" si="25"/>
        <v>-6</v>
      </c>
      <c r="Z100" s="260">
        <f>Z98-Z99</f>
        <v>975.35999999997875</v>
      </c>
    </row>
    <row r="101" spans="1:29" x14ac:dyDescent="0.2">
      <c r="A101" s="183" t="str">
        <f>Economics!A32</f>
        <v>PV Unit 3</v>
      </c>
      <c r="B101" s="181">
        <f t="shared" ref="B101:Y101" si="26">B55</f>
        <v>202</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202</v>
      </c>
      <c r="U101" s="181">
        <f t="shared" si="26"/>
        <v>201</v>
      </c>
      <c r="V101" s="181">
        <f t="shared" si="26"/>
        <v>201</v>
      </c>
      <c r="W101" s="181">
        <f t="shared" si="26"/>
        <v>202</v>
      </c>
      <c r="X101" s="181">
        <f t="shared" si="26"/>
        <v>201</v>
      </c>
      <c r="Y101" s="181">
        <f t="shared" si="26"/>
        <v>201</v>
      </c>
      <c r="Z101" s="259">
        <f t="array" ref="Z101">SUM(B101:Y101*Economics!F$32)</f>
        <v>29480.255999999987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-2</v>
      </c>
      <c r="U103" s="206">
        <f t="shared" si="27"/>
        <v>-1</v>
      </c>
      <c r="V103" s="206">
        <f t="shared" si="27"/>
        <v>-1</v>
      </c>
      <c r="W103" s="206">
        <f t="shared" si="27"/>
        <v>-2</v>
      </c>
      <c r="X103" s="206">
        <f t="shared" si="27"/>
        <v>-1</v>
      </c>
      <c r="Y103" s="206">
        <f t="shared" si="27"/>
        <v>-1</v>
      </c>
      <c r="Z103" s="260">
        <f>Z101-Z102</f>
        <v>219.45599999997648</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33</v>
      </c>
      <c r="C109" s="181">
        <f t="shared" ref="C109:Y109" si="32">C42</f>
        <v>33</v>
      </c>
      <c r="D109" s="181">
        <f t="shared" si="32"/>
        <v>33</v>
      </c>
      <c r="E109" s="181">
        <f>E42</f>
        <v>33</v>
      </c>
      <c r="F109" s="181">
        <f t="shared" si="32"/>
        <v>32</v>
      </c>
      <c r="G109" s="181">
        <f t="shared" si="32"/>
        <v>37</v>
      </c>
      <c r="H109" s="181">
        <f t="shared" si="32"/>
        <v>32</v>
      </c>
      <c r="I109" s="181">
        <f>I42</f>
        <v>33</v>
      </c>
      <c r="J109" s="181">
        <f t="shared" si="32"/>
        <v>42</v>
      </c>
      <c r="K109" s="181">
        <f t="shared" si="32"/>
        <v>42</v>
      </c>
      <c r="L109" s="181">
        <f t="shared" si="32"/>
        <v>34</v>
      </c>
      <c r="M109" s="181">
        <f t="shared" si="32"/>
        <v>30</v>
      </c>
      <c r="N109" s="181">
        <f t="shared" si="32"/>
        <v>30</v>
      </c>
      <c r="O109" s="181">
        <f t="shared" si="32"/>
        <v>30</v>
      </c>
      <c r="P109" s="181">
        <f t="shared" si="32"/>
        <v>30</v>
      </c>
      <c r="Q109" s="181">
        <f t="shared" si="32"/>
        <v>31</v>
      </c>
      <c r="R109" s="181">
        <f t="shared" si="32"/>
        <v>31</v>
      </c>
      <c r="S109" s="181">
        <f t="shared" si="32"/>
        <v>65</v>
      </c>
      <c r="T109" s="181">
        <f t="shared" si="32"/>
        <v>55</v>
      </c>
      <c r="U109" s="181">
        <f t="shared" si="32"/>
        <v>33</v>
      </c>
      <c r="V109" s="181">
        <f t="shared" si="32"/>
        <v>34</v>
      </c>
      <c r="W109" s="181">
        <f t="shared" si="32"/>
        <v>35</v>
      </c>
      <c r="X109" s="181">
        <f t="shared" si="32"/>
        <v>34</v>
      </c>
      <c r="Y109" s="181">
        <f t="shared" si="32"/>
        <v>75</v>
      </c>
      <c r="Z109" s="219">
        <f>SUM(B109:Y109)</f>
        <v>897</v>
      </c>
      <c r="AA109" s="318" t="s">
        <v>170</v>
      </c>
    </row>
    <row r="110" spans="1:29" x14ac:dyDescent="0.2">
      <c r="A110" s="185">
        <f>Economics!$I35</f>
        <v>1.96</v>
      </c>
      <c r="B110" s="189">
        <f t="shared" ref="B110:Y110" ca="1" si="33">IndGencost(B109,OFFSET(HeatRateStart,1,MATCH($A109,HeatRateNames,0)-1,250,1),$A110)</f>
        <v>21.427652901889342</v>
      </c>
      <c r="C110" s="189">
        <f t="shared" ca="1" si="33"/>
        <v>21.427652901889342</v>
      </c>
      <c r="D110" s="189">
        <f t="shared" ca="1" si="33"/>
        <v>21.427652901889342</v>
      </c>
      <c r="E110" s="189">
        <f ca="1">IndGencost(E109,OFFSET(HeatRateStart,1,MATCH($A109,HeatRateNames,0)-1,250,1),$A110)</f>
        <v>21.427652901889342</v>
      </c>
      <c r="F110" s="189">
        <f t="shared" ca="1" si="33"/>
        <v>21.506541418576244</v>
      </c>
      <c r="G110" s="189">
        <f t="shared" ca="1" si="33"/>
        <v>21.160356411838535</v>
      </c>
      <c r="H110" s="189">
        <f t="shared" ca="1" si="33"/>
        <v>21.506541418576244</v>
      </c>
      <c r="I110" s="189">
        <f t="shared" ca="1" si="33"/>
        <v>21.427652901889342</v>
      </c>
      <c r="J110" s="189">
        <f t="shared" ca="1" si="33"/>
        <v>20.908963073612398</v>
      </c>
      <c r="K110" s="189">
        <f t="shared" ca="1" si="33"/>
        <v>20.908963073612398</v>
      </c>
      <c r="L110" s="189">
        <f t="shared" ca="1" si="33"/>
        <v>21.354015945019448</v>
      </c>
      <c r="M110" s="189">
        <f t="shared" ca="1" si="33"/>
        <v>21.68217375532786</v>
      </c>
      <c r="N110" s="189">
        <f t="shared" ca="1" si="33"/>
        <v>21.68217375532786</v>
      </c>
      <c r="O110" s="189">
        <f t="shared" ca="1" si="33"/>
        <v>21.68217375532786</v>
      </c>
      <c r="P110" s="189">
        <f t="shared" ca="1" si="33"/>
        <v>21.68217375532786</v>
      </c>
      <c r="Q110" s="189">
        <f t="shared" ca="1" si="33"/>
        <v>21.59118971054631</v>
      </c>
      <c r="R110" s="189">
        <f t="shared" ca="1" si="33"/>
        <v>21.59118971054631</v>
      </c>
      <c r="S110" s="189">
        <f t="shared" ca="1" si="33"/>
        <v>20.353620396137238</v>
      </c>
      <c r="T110" s="189">
        <f t="shared" ca="1" si="33"/>
        <v>20.51344949015704</v>
      </c>
      <c r="U110" s="189">
        <f t="shared" ca="1" si="33"/>
        <v>21.427652901889342</v>
      </c>
      <c r="V110" s="189">
        <f t="shared" ca="1" si="33"/>
        <v>21.354015945019448</v>
      </c>
      <c r="W110" s="189">
        <f t="shared" ca="1" si="33"/>
        <v>21.285180414267952</v>
      </c>
      <c r="X110" s="189">
        <f t="shared" ca="1" si="33"/>
        <v>21.354015945019448</v>
      </c>
      <c r="Y110" s="189">
        <f t="shared" ca="1" si="33"/>
        <v>20.264113727728525</v>
      </c>
      <c r="Z110" s="259">
        <f t="array" aca="1" ref="Z110" ca="1">SUM(B109:Y109*B110:Y110)</f>
        <v>18993.019141656212</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0.16353680865696774</v>
      </c>
      <c r="C113" s="188">
        <f t="shared" ca="1" si="35"/>
        <v>0.16353680865696774</v>
      </c>
      <c r="D113" s="188">
        <f t="shared" ca="1" si="35"/>
        <v>0.16353680865696774</v>
      </c>
      <c r="E113" s="188">
        <f t="shared" ca="1" si="35"/>
        <v>0.16353680865696774</v>
      </c>
      <c r="F113" s="188">
        <f t="shared" ca="1" si="35"/>
        <v>8.4648291970065515E-2</v>
      </c>
      <c r="G113" s="188">
        <f t="shared" ca="1" si="35"/>
        <v>0.43083329870777476</v>
      </c>
      <c r="H113" s="188">
        <f t="shared" ca="1" si="35"/>
        <v>8.4648291970065515E-2</v>
      </c>
      <c r="I113" s="188">
        <f t="shared" ca="1" si="35"/>
        <v>0.16353680865696774</v>
      </c>
      <c r="J113" s="188">
        <f t="shared" ca="1" si="35"/>
        <v>0.68222663693391183</v>
      </c>
      <c r="K113" s="188">
        <f t="shared" ca="1" si="35"/>
        <v>0.68222663693391183</v>
      </c>
      <c r="L113" s="188">
        <f t="shared" ca="1" si="35"/>
        <v>0.23717376552686176</v>
      </c>
      <c r="M113" s="188">
        <f t="shared" ca="1" si="35"/>
        <v>-9.0984044781549755E-2</v>
      </c>
      <c r="N113" s="188">
        <f t="shared" ca="1" si="35"/>
        <v>-9.0984044781549755E-2</v>
      </c>
      <c r="O113" s="188">
        <f t="shared" ca="1" si="35"/>
        <v>-9.0984044781549755E-2</v>
      </c>
      <c r="P113" s="188">
        <f t="shared" ca="1" si="35"/>
        <v>-9.0984044781549755E-2</v>
      </c>
      <c r="Q113" s="188">
        <f t="shared" ca="1" si="35"/>
        <v>0</v>
      </c>
      <c r="R113" s="188">
        <f t="shared" ca="1" si="35"/>
        <v>0</v>
      </c>
      <c r="S113" s="188">
        <f t="shared" ca="1" si="35"/>
        <v>1.2375693144090718</v>
      </c>
      <c r="T113" s="188">
        <f t="shared" ca="1" si="35"/>
        <v>1.0777402203892699</v>
      </c>
      <c r="U113" s="188">
        <f t="shared" ca="1" si="35"/>
        <v>0.16353680865696774</v>
      </c>
      <c r="V113" s="188">
        <f t="shared" ca="1" si="35"/>
        <v>0.23717376552686176</v>
      </c>
      <c r="W113" s="188">
        <f t="shared" ca="1" si="35"/>
        <v>0.30600929627835782</v>
      </c>
      <c r="X113" s="188">
        <f t="shared" ca="1" si="35"/>
        <v>0.23717376552686176</v>
      </c>
      <c r="Y113" s="188">
        <f t="shared" ca="1" si="35"/>
        <v>1.3270759828177852</v>
      </c>
      <c r="Z113" s="260">
        <f ca="1">Z110-Z112</f>
        <v>2929.1739970097478</v>
      </c>
      <c r="AC113" s="174"/>
    </row>
    <row r="114" spans="1:29" x14ac:dyDescent="0.2">
      <c r="A114" s="183" t="str">
        <f>Economics!A36</f>
        <v>Newman 3</v>
      </c>
      <c r="B114" s="181">
        <f t="shared" ref="B114:Y114" si="36">B43</f>
        <v>80</v>
      </c>
      <c r="C114" s="181">
        <f t="shared" si="36"/>
        <v>38</v>
      </c>
      <c r="D114" s="181">
        <f t="shared" si="36"/>
        <v>51</v>
      </c>
      <c r="E114" s="181">
        <f>E43</f>
        <v>48</v>
      </c>
      <c r="F114" s="181">
        <f t="shared" si="36"/>
        <v>49</v>
      </c>
      <c r="G114" s="181">
        <f t="shared" si="36"/>
        <v>63</v>
      </c>
      <c r="H114" s="181">
        <f t="shared" si="36"/>
        <v>38</v>
      </c>
      <c r="I114" s="181">
        <f t="shared" si="36"/>
        <v>50</v>
      </c>
      <c r="J114" s="181">
        <f t="shared" si="36"/>
        <v>91</v>
      </c>
      <c r="K114" s="181">
        <f t="shared" si="36"/>
        <v>53</v>
      </c>
      <c r="L114" s="181">
        <f t="shared" si="36"/>
        <v>38</v>
      </c>
      <c r="M114" s="181">
        <f t="shared" si="36"/>
        <v>38</v>
      </c>
      <c r="N114" s="181">
        <f t="shared" si="36"/>
        <v>40</v>
      </c>
      <c r="O114" s="181">
        <f t="shared" si="36"/>
        <v>38</v>
      </c>
      <c r="P114" s="181">
        <f t="shared" si="36"/>
        <v>44</v>
      </c>
      <c r="Q114" s="181">
        <f t="shared" si="36"/>
        <v>49</v>
      </c>
      <c r="R114" s="181">
        <f t="shared" si="36"/>
        <v>43</v>
      </c>
      <c r="S114" s="181">
        <f t="shared" si="36"/>
        <v>94</v>
      </c>
      <c r="T114" s="181">
        <f t="shared" si="36"/>
        <v>55</v>
      </c>
      <c r="U114" s="181">
        <f t="shared" si="36"/>
        <v>57</v>
      </c>
      <c r="V114" s="181">
        <f t="shared" si="36"/>
        <v>56</v>
      </c>
      <c r="W114" s="181">
        <f t="shared" si="36"/>
        <v>64</v>
      </c>
      <c r="X114" s="181">
        <f t="shared" si="36"/>
        <v>60</v>
      </c>
      <c r="Y114" s="181">
        <f t="shared" si="36"/>
        <v>72</v>
      </c>
      <c r="Z114" s="219">
        <f>SUM(B114:Y114)</f>
        <v>1309</v>
      </c>
      <c r="AA114" s="318" t="s">
        <v>172</v>
      </c>
    </row>
    <row r="115" spans="1:29" x14ac:dyDescent="0.2">
      <c r="A115" s="185">
        <f>Economics!$I36</f>
        <v>1.96</v>
      </c>
      <c r="B115" s="189">
        <f t="shared" ref="B115:Y115" ca="1" si="37">IndGencost(B114,OFFSET(HeatRateStart,1,MATCH($A114,HeatRateNames,0)-1,250,1),$A115)</f>
        <v>19.753615384459493</v>
      </c>
      <c r="C115" s="189">
        <f t="shared" ca="1" si="37"/>
        <v>21.409493048266363</v>
      </c>
      <c r="D115" s="189">
        <f t="shared" ca="1" si="37"/>
        <v>20.417166671883827</v>
      </c>
      <c r="E115" s="189">
        <f ca="1">IndGencost(E114,OFFSET(HeatRateStart,1,MATCH($A114,HeatRateNames,0)-1,250,1),$A115)</f>
        <v>20.582532067259152</v>
      </c>
      <c r="F115" s="189">
        <f t="shared" ca="1" si="37"/>
        <v>20.52412039945564</v>
      </c>
      <c r="G115" s="189">
        <f t="shared" ca="1" si="37"/>
        <v>19.985995944537812</v>
      </c>
      <c r="H115" s="189">
        <f t="shared" ca="1" si="37"/>
        <v>21.409493048266363</v>
      </c>
      <c r="I115" s="189">
        <f t="shared" ca="1" si="37"/>
        <v>20.469064398384099</v>
      </c>
      <c r="J115" s="189">
        <f t="shared" ca="1" si="37"/>
        <v>19.735757307188852</v>
      </c>
      <c r="K115" s="189">
        <f t="shared" ca="1" si="37"/>
        <v>20.322130961562106</v>
      </c>
      <c r="L115" s="189">
        <f t="shared" ca="1" si="37"/>
        <v>21.409493048266363</v>
      </c>
      <c r="M115" s="189">
        <f t="shared" ca="1" si="37"/>
        <v>21.409493048266363</v>
      </c>
      <c r="N115" s="189">
        <f t="shared" ca="1" si="37"/>
        <v>21.200830412626267</v>
      </c>
      <c r="O115" s="189">
        <f t="shared" ca="1" si="37"/>
        <v>21.409493048266363</v>
      </c>
      <c r="P115" s="189">
        <f t="shared" ca="1" si="37"/>
        <v>20.854311314972964</v>
      </c>
      <c r="Q115" s="189">
        <f t="shared" ca="1" si="37"/>
        <v>20.52412039945564</v>
      </c>
      <c r="R115" s="189">
        <f t="shared" ca="1" si="37"/>
        <v>20.933119477183322</v>
      </c>
      <c r="S115" s="189">
        <f t="shared" ca="1" si="37"/>
        <v>19.742996979997514</v>
      </c>
      <c r="T115" s="189">
        <f t="shared" ca="1" si="37"/>
        <v>20.237713121154094</v>
      </c>
      <c r="U115" s="189">
        <f t="shared" ca="1" si="37"/>
        <v>20.16279548014256</v>
      </c>
      <c r="V115" s="189">
        <f t="shared" ca="1" si="37"/>
        <v>20.199130393130442</v>
      </c>
      <c r="W115" s="189">
        <f t="shared" ca="1" si="37"/>
        <v>19.962539138525727</v>
      </c>
      <c r="X115" s="189">
        <f t="shared" ca="1" si="37"/>
        <v>20.066153723875679</v>
      </c>
      <c r="Y115" s="189">
        <f t="shared" ca="1" si="37"/>
        <v>19.823821496937008</v>
      </c>
      <c r="Z115" s="259">
        <f t="array" aca="1" ref="Z115" ca="1">SUM(B114:Y114*B115:Y115)</f>
        <v>26668.272079037666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-19.753615384459493</v>
      </c>
      <c r="C118" s="188">
        <f t="shared" ca="1" si="39"/>
        <v>-21.409493048266363</v>
      </c>
      <c r="D118" s="188">
        <f t="shared" ca="1" si="39"/>
        <v>-20.417166671883827</v>
      </c>
      <c r="E118" s="188">
        <f t="shared" ca="1" si="39"/>
        <v>-20.582532067259152</v>
      </c>
      <c r="F118" s="188">
        <f t="shared" ca="1" si="39"/>
        <v>-20.52412039945564</v>
      </c>
      <c r="G118" s="188">
        <f t="shared" ca="1" si="39"/>
        <v>-19.985995944537812</v>
      </c>
      <c r="H118" s="188">
        <f t="shared" ca="1" si="39"/>
        <v>-21.409493048266363</v>
      </c>
      <c r="I118" s="188">
        <f t="shared" ca="1" si="39"/>
        <v>-20.469064398384099</v>
      </c>
      <c r="J118" s="188">
        <f t="shared" ca="1" si="39"/>
        <v>-19.735757307188852</v>
      </c>
      <c r="K118" s="188">
        <f t="shared" ca="1" si="39"/>
        <v>-20.322130961562106</v>
      </c>
      <c r="L118" s="188">
        <f t="shared" ca="1" si="39"/>
        <v>-21.409493048266363</v>
      </c>
      <c r="M118" s="188">
        <f t="shared" ca="1" si="39"/>
        <v>-21.409493048266363</v>
      </c>
      <c r="N118" s="188">
        <f t="shared" ca="1" si="39"/>
        <v>-21.200830412626267</v>
      </c>
      <c r="O118" s="188">
        <f t="shared" ca="1" si="39"/>
        <v>-21.409493048266363</v>
      </c>
      <c r="P118" s="188">
        <f t="shared" ca="1" si="39"/>
        <v>-20.854311314972964</v>
      </c>
      <c r="Q118" s="188">
        <f t="shared" ca="1" si="39"/>
        <v>-20.52412039945564</v>
      </c>
      <c r="R118" s="188">
        <f t="shared" ca="1" si="39"/>
        <v>-20.933119477183322</v>
      </c>
      <c r="S118" s="188">
        <f t="shared" ca="1" si="39"/>
        <v>-19.742996979997514</v>
      </c>
      <c r="T118" s="188">
        <f t="shared" ca="1" si="39"/>
        <v>-20.237713121154094</v>
      </c>
      <c r="U118" s="188">
        <f t="shared" ca="1" si="39"/>
        <v>-20.16279548014256</v>
      </c>
      <c r="V118" s="188">
        <f t="shared" ca="1" si="39"/>
        <v>-20.199130393130442</v>
      </c>
      <c r="W118" s="188">
        <f t="shared" ca="1" si="39"/>
        <v>-19.962539138525727</v>
      </c>
      <c r="X118" s="188">
        <f t="shared" ca="1" si="39"/>
        <v>-20.066153723875679</v>
      </c>
      <c r="Y118" s="188">
        <f t="shared" ca="1" si="39"/>
        <v>-19.823821496937008</v>
      </c>
      <c r="Z118" s="260">
        <f ca="1">Z115-Z117</f>
        <v>26668.272079037666</v>
      </c>
    </row>
    <row r="119" spans="1:29" x14ac:dyDescent="0.2">
      <c r="A119" s="183" t="str">
        <f>Economics!A37</f>
        <v>GT 1</v>
      </c>
      <c r="B119" s="181">
        <f t="shared" ref="B119:Y119" si="40">B44</f>
        <v>40</v>
      </c>
      <c r="C119" s="181">
        <f t="shared" si="40"/>
        <v>21</v>
      </c>
      <c r="D119" s="181">
        <f t="shared" si="40"/>
        <v>21</v>
      </c>
      <c r="E119" s="181">
        <f>E44</f>
        <v>21</v>
      </c>
      <c r="F119" s="181">
        <f t="shared" si="40"/>
        <v>21</v>
      </c>
      <c r="G119" s="181">
        <f t="shared" si="40"/>
        <v>31</v>
      </c>
      <c r="H119" s="181">
        <f t="shared" si="40"/>
        <v>20</v>
      </c>
      <c r="I119" s="181">
        <f t="shared" si="40"/>
        <v>12</v>
      </c>
      <c r="J119" s="181">
        <f t="shared" si="40"/>
        <v>21</v>
      </c>
      <c r="K119" s="181">
        <f t="shared" si="40"/>
        <v>21</v>
      </c>
      <c r="L119" s="181">
        <f t="shared" si="40"/>
        <v>21</v>
      </c>
      <c r="M119" s="181">
        <f t="shared" si="40"/>
        <v>21</v>
      </c>
      <c r="N119" s="181">
        <f t="shared" si="40"/>
        <v>21</v>
      </c>
      <c r="O119" s="181">
        <f t="shared" si="40"/>
        <v>12</v>
      </c>
      <c r="P119" s="181">
        <f t="shared" si="40"/>
        <v>12</v>
      </c>
      <c r="Q119" s="181">
        <f t="shared" si="40"/>
        <v>9</v>
      </c>
      <c r="R119" s="181">
        <f t="shared" si="40"/>
        <v>9</v>
      </c>
      <c r="S119" s="181">
        <f t="shared" si="40"/>
        <v>31</v>
      </c>
      <c r="T119" s="181">
        <f t="shared" si="40"/>
        <v>12</v>
      </c>
      <c r="U119" s="181">
        <f t="shared" si="40"/>
        <v>13</v>
      </c>
      <c r="V119" s="181">
        <f t="shared" si="40"/>
        <v>13</v>
      </c>
      <c r="W119" s="181">
        <f t="shared" si="40"/>
        <v>13</v>
      </c>
      <c r="X119" s="181">
        <f t="shared" si="40"/>
        <v>13</v>
      </c>
      <c r="Y119" s="181">
        <f t="shared" si="40"/>
        <v>38</v>
      </c>
      <c r="Z119" s="219">
        <f>SUM(B119:Y119)</f>
        <v>467</v>
      </c>
      <c r="AA119" s="318" t="s">
        <v>174</v>
      </c>
    </row>
    <row r="120" spans="1:29" x14ac:dyDescent="0.2">
      <c r="A120" s="185">
        <f>Economics!$I37</f>
        <v>1.96</v>
      </c>
      <c r="B120" s="189">
        <f t="shared" ref="B120:Y120" ca="1" si="41">IndGencost(B119,OFFSET(HeatRateStart,1,MATCH($A119,HeatRateNames,0)-1,250,1),$A120)</f>
        <v>27.416068933591841</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29.191018855879165</v>
      </c>
      <c r="H120" s="189">
        <f t="shared" ca="1" si="41"/>
        <v>33.930736660385129</v>
      </c>
      <c r="I120" s="189">
        <f t="shared" ca="1" si="41"/>
        <v>43.297362549352009</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43.297362549352009</v>
      </c>
      <c r="P120" s="189">
        <f t="shared" ca="1" si="41"/>
        <v>43.297362549352009</v>
      </c>
      <c r="Q120" s="189">
        <f t="shared" ca="1" si="41"/>
        <v>51.236534566092281</v>
      </c>
      <c r="R120" s="189">
        <f t="shared" ca="1" si="41"/>
        <v>51.236534566092281</v>
      </c>
      <c r="S120" s="189">
        <f t="shared" ca="1" si="41"/>
        <v>29.191018855879165</v>
      </c>
      <c r="T120" s="189">
        <f t="shared" ca="1" si="41"/>
        <v>43.297362549352009</v>
      </c>
      <c r="U120" s="189">
        <f t="shared" ca="1" si="41"/>
        <v>41.476461351861005</v>
      </c>
      <c r="V120" s="189">
        <f t="shared" ca="1" si="41"/>
        <v>41.476461351861005</v>
      </c>
      <c r="W120" s="189">
        <f t="shared" ca="1" si="41"/>
        <v>41.476461351861005</v>
      </c>
      <c r="X120" s="189">
        <f t="shared" ca="1" si="41"/>
        <v>41.476461351861005</v>
      </c>
      <c r="Y120" s="189">
        <f t="shared" ca="1" si="41"/>
        <v>27.724414489066778</v>
      </c>
      <c r="Z120" s="259">
        <f t="array" aca="1" ref="Z120" ca="1">SUM(B119:Y119*B120:Y120)</f>
        <v>16085.347664144951</v>
      </c>
      <c r="AA120" s="318" t="s">
        <v>167</v>
      </c>
    </row>
    <row r="121" spans="1:29" x14ac:dyDescent="0.2">
      <c r="A121" s="184" t="s">
        <v>163</v>
      </c>
      <c r="B121" s="186">
        <f t="shared" ref="B121:Y121" si="42">B119</f>
        <v>40</v>
      </c>
      <c r="C121" s="186">
        <f t="shared" si="42"/>
        <v>21</v>
      </c>
      <c r="D121" s="186">
        <f t="shared" si="42"/>
        <v>21</v>
      </c>
      <c r="E121" s="186">
        <f t="shared" si="42"/>
        <v>21</v>
      </c>
      <c r="F121" s="186">
        <f t="shared" si="42"/>
        <v>21</v>
      </c>
      <c r="G121" s="186">
        <f t="shared" si="42"/>
        <v>31</v>
      </c>
      <c r="H121" s="186">
        <f t="shared" si="42"/>
        <v>20</v>
      </c>
      <c r="I121" s="186">
        <f t="shared" si="42"/>
        <v>12</v>
      </c>
      <c r="J121" s="186">
        <f t="shared" si="42"/>
        <v>21</v>
      </c>
      <c r="K121" s="186">
        <f t="shared" si="42"/>
        <v>21</v>
      </c>
      <c r="L121" s="186">
        <f t="shared" si="42"/>
        <v>21</v>
      </c>
      <c r="M121" s="186">
        <f t="shared" si="42"/>
        <v>21</v>
      </c>
      <c r="N121" s="186">
        <f t="shared" si="42"/>
        <v>21</v>
      </c>
      <c r="O121" s="186">
        <f t="shared" si="42"/>
        <v>12</v>
      </c>
      <c r="P121" s="186">
        <f t="shared" si="42"/>
        <v>12</v>
      </c>
      <c r="Q121" s="186">
        <f t="shared" si="42"/>
        <v>9</v>
      </c>
      <c r="R121" s="186">
        <f t="shared" si="42"/>
        <v>9</v>
      </c>
      <c r="S121" s="186">
        <f t="shared" si="42"/>
        <v>31</v>
      </c>
      <c r="T121" s="186">
        <f t="shared" si="42"/>
        <v>12</v>
      </c>
      <c r="U121" s="186">
        <f t="shared" si="42"/>
        <v>13</v>
      </c>
      <c r="V121" s="186">
        <f t="shared" si="42"/>
        <v>13</v>
      </c>
      <c r="W121" s="186">
        <f t="shared" si="42"/>
        <v>13</v>
      </c>
      <c r="X121" s="186">
        <f t="shared" si="42"/>
        <v>13</v>
      </c>
      <c r="Y121" s="186">
        <f t="shared" si="42"/>
        <v>38</v>
      </c>
      <c r="Z121" s="220">
        <f>SUM(B121:Y121)</f>
        <v>467</v>
      </c>
    </row>
    <row r="122" spans="1:29" x14ac:dyDescent="0.2">
      <c r="A122" s="182"/>
      <c r="B122" s="190">
        <f t="shared" ref="B122:Y122" ca="1" si="43">IndGencost(B121,OFFSET(HeatRateStart,1,MATCH($A119,HeatRateNames,0)-1,250,1),$A120)</f>
        <v>27.416068933591841</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29.191018855879165</v>
      </c>
      <c r="H122" s="190">
        <f t="shared" ca="1" si="43"/>
        <v>33.930736660385129</v>
      </c>
      <c r="I122" s="190">
        <f t="shared" ca="1" si="43"/>
        <v>43.297362549352009</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43.297362549352009</v>
      </c>
      <c r="P122" s="190">
        <f t="shared" ca="1" si="43"/>
        <v>43.297362549352009</v>
      </c>
      <c r="Q122" s="190">
        <f t="shared" ca="1" si="43"/>
        <v>51.236534566092281</v>
      </c>
      <c r="R122" s="190">
        <f t="shared" ca="1" si="43"/>
        <v>51.236534566092281</v>
      </c>
      <c r="S122" s="190">
        <f t="shared" ca="1" si="43"/>
        <v>29.191018855879165</v>
      </c>
      <c r="T122" s="190">
        <f t="shared" ca="1" si="43"/>
        <v>43.297362549352009</v>
      </c>
      <c r="U122" s="190">
        <f t="shared" ca="1" si="43"/>
        <v>41.476461351861005</v>
      </c>
      <c r="V122" s="190">
        <f t="shared" ca="1" si="43"/>
        <v>41.476461351861005</v>
      </c>
      <c r="W122" s="190">
        <f t="shared" ca="1" si="43"/>
        <v>41.476461351861005</v>
      </c>
      <c r="X122" s="190">
        <f t="shared" ca="1" si="43"/>
        <v>41.476461351861005</v>
      </c>
      <c r="Y122" s="190">
        <f t="shared" ca="1" si="43"/>
        <v>27.724414489066778</v>
      </c>
      <c r="Z122" s="258">
        <f t="array" aca="1" ref="Z122" ca="1">SUM(B121:Y121*B122:Y122)</f>
        <v>16085.347664144951</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40</v>
      </c>
      <c r="C124" s="181">
        <f t="shared" si="45"/>
        <v>20</v>
      </c>
      <c r="D124" s="181">
        <f t="shared" si="45"/>
        <v>20</v>
      </c>
      <c r="E124" s="181">
        <f>E45</f>
        <v>20</v>
      </c>
      <c r="F124" s="181">
        <f t="shared" si="45"/>
        <v>20</v>
      </c>
      <c r="G124" s="181">
        <f t="shared" si="45"/>
        <v>25</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30</v>
      </c>
      <c r="T124" s="181">
        <f t="shared" si="45"/>
        <v>20</v>
      </c>
      <c r="U124" s="181">
        <f t="shared" si="45"/>
        <v>20</v>
      </c>
      <c r="V124" s="181">
        <f t="shared" si="45"/>
        <v>20</v>
      </c>
      <c r="W124" s="181">
        <f t="shared" si="45"/>
        <v>20</v>
      </c>
      <c r="X124" s="181">
        <f t="shared" si="45"/>
        <v>20</v>
      </c>
      <c r="Y124" s="181">
        <f t="shared" si="45"/>
        <v>40</v>
      </c>
      <c r="Z124" s="219">
        <f>SUM(B124:Y124)</f>
        <v>535</v>
      </c>
      <c r="AA124" s="318" t="s">
        <v>174</v>
      </c>
    </row>
    <row r="125" spans="1:29" x14ac:dyDescent="0.2">
      <c r="A125" s="185">
        <f>Economics!$I38</f>
        <v>1.96</v>
      </c>
      <c r="B125" s="189">
        <f t="shared" ref="B125:Y125" ca="1" si="46">IndGencost(B124,OFFSET(HeatRateStart,1,MATCH($A124,HeatRateNames,0)-1,250,1),$A125)</f>
        <v>27.416068933591841</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31.215519207539558</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29.466124440158211</v>
      </c>
      <c r="T125" s="189">
        <f t="shared" ca="1" si="46"/>
        <v>33.930736660385129</v>
      </c>
      <c r="U125" s="189">
        <f t="shared" ca="1" si="46"/>
        <v>33.930736660385129</v>
      </c>
      <c r="V125" s="189">
        <f t="shared" ca="1" si="46"/>
        <v>33.930736660385129</v>
      </c>
      <c r="W125" s="189">
        <f t="shared" ca="1" si="46"/>
        <v>33.930736660385129</v>
      </c>
      <c r="X125" s="189">
        <f t="shared" ca="1" si="46"/>
        <v>33.930736660385129</v>
      </c>
      <c r="Y125" s="189">
        <f t="shared" ca="1" si="46"/>
        <v>27.416068933591841</v>
      </c>
      <c r="Z125" s="259">
        <f t="array" aca="1" ref="Z125" ca="1">SUM(B124:Y124*B125:Y125)</f>
        <v>17429.951892234625</v>
      </c>
      <c r="AA125" s="318" t="s">
        <v>167</v>
      </c>
    </row>
    <row r="126" spans="1:29" x14ac:dyDescent="0.2">
      <c r="A126" s="184" t="s">
        <v>163</v>
      </c>
      <c r="B126" s="186">
        <f t="shared" ref="B126:Y126" si="47">B124</f>
        <v>40</v>
      </c>
      <c r="C126" s="186">
        <f t="shared" si="47"/>
        <v>20</v>
      </c>
      <c r="D126" s="186">
        <f t="shared" si="47"/>
        <v>20</v>
      </c>
      <c r="E126" s="186">
        <f t="shared" si="47"/>
        <v>20</v>
      </c>
      <c r="F126" s="186">
        <f t="shared" si="47"/>
        <v>20</v>
      </c>
      <c r="G126" s="186">
        <f t="shared" si="47"/>
        <v>25</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30</v>
      </c>
      <c r="T126" s="186">
        <f t="shared" si="47"/>
        <v>20</v>
      </c>
      <c r="U126" s="186">
        <f t="shared" si="47"/>
        <v>20</v>
      </c>
      <c r="V126" s="186">
        <f t="shared" si="47"/>
        <v>20</v>
      </c>
      <c r="W126" s="186">
        <f t="shared" si="47"/>
        <v>20</v>
      </c>
      <c r="X126" s="186">
        <f t="shared" si="47"/>
        <v>20</v>
      </c>
      <c r="Y126" s="186">
        <f t="shared" si="47"/>
        <v>40</v>
      </c>
      <c r="Z126" s="220">
        <f>SUM(B126:Y126)</f>
        <v>535</v>
      </c>
    </row>
    <row r="127" spans="1:29" x14ac:dyDescent="0.2">
      <c r="A127" s="182"/>
      <c r="B127" s="190">
        <f t="shared" ref="B127:Y127" ca="1" si="48">IndGencost(B126,OFFSET(HeatRateStart,1,MATCH($A124,HeatRateNames,0)-1,250,1),$A125)</f>
        <v>27.416068933591841</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31.215519207539558</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29.466124440158211</v>
      </c>
      <c r="T127" s="190">
        <f t="shared" ca="1" si="48"/>
        <v>33.930736660385129</v>
      </c>
      <c r="U127" s="190">
        <f t="shared" ca="1" si="48"/>
        <v>33.930736660385129</v>
      </c>
      <c r="V127" s="190">
        <f t="shared" ca="1" si="48"/>
        <v>33.930736660385129</v>
      </c>
      <c r="W127" s="190">
        <f t="shared" ca="1" si="48"/>
        <v>33.930736660385129</v>
      </c>
      <c r="X127" s="190">
        <f t="shared" ca="1" si="48"/>
        <v>33.930736660385129</v>
      </c>
      <c r="Y127" s="190">
        <f t="shared" ca="1" si="48"/>
        <v>27.416068933591841</v>
      </c>
      <c r="Z127" s="258">
        <f t="array" aca="1" ref="Z127" ca="1">SUM(B126:Y126*B127:Y127)</f>
        <v>17429.951892234625</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921</v>
      </c>
      <c r="C164" s="303">
        <f t="shared" si="80"/>
        <v>806</v>
      </c>
      <c r="D164" s="303">
        <f t="shared" si="80"/>
        <v>794</v>
      </c>
      <c r="E164" s="303">
        <f t="shared" si="80"/>
        <v>794</v>
      </c>
      <c r="F164" s="303">
        <f t="shared" si="80"/>
        <v>794</v>
      </c>
      <c r="G164" s="303">
        <f t="shared" si="80"/>
        <v>803</v>
      </c>
      <c r="H164" s="303">
        <f t="shared" si="80"/>
        <v>782</v>
      </c>
      <c r="I164" s="303">
        <f t="shared" si="80"/>
        <v>737</v>
      </c>
      <c r="J164" s="303">
        <f t="shared" si="80"/>
        <v>796</v>
      </c>
      <c r="K164" s="303">
        <f t="shared" si="80"/>
        <v>783</v>
      </c>
      <c r="L164" s="303">
        <f t="shared" si="80"/>
        <v>760</v>
      </c>
      <c r="M164" s="303">
        <f t="shared" si="80"/>
        <v>712</v>
      </c>
      <c r="N164" s="303">
        <f t="shared" si="80"/>
        <v>756</v>
      </c>
      <c r="O164" s="303">
        <f t="shared" si="80"/>
        <v>723</v>
      </c>
      <c r="P164" s="303">
        <f t="shared" si="80"/>
        <v>710</v>
      </c>
      <c r="Q164" s="303">
        <f t="shared" si="80"/>
        <v>712</v>
      </c>
      <c r="R164" s="303">
        <f t="shared" si="80"/>
        <v>707</v>
      </c>
      <c r="S164" s="303">
        <f t="shared" si="80"/>
        <v>858</v>
      </c>
      <c r="T164" s="303">
        <f t="shared" si="80"/>
        <v>873</v>
      </c>
      <c r="U164" s="303">
        <f t="shared" si="80"/>
        <v>851</v>
      </c>
      <c r="V164" s="303">
        <f t="shared" si="80"/>
        <v>826</v>
      </c>
      <c r="W164" s="303">
        <f t="shared" si="80"/>
        <v>804</v>
      </c>
      <c r="X164" s="303">
        <f t="shared" si="80"/>
        <v>796</v>
      </c>
      <c r="Y164" s="304">
        <f t="shared" si="80"/>
        <v>919</v>
      </c>
      <c r="Z164" s="270"/>
      <c r="AA164" s="268"/>
    </row>
    <row r="165" spans="1:27" s="269" customFormat="1" ht="13.5" customHeight="1" thickBot="1" x14ac:dyDescent="0.25">
      <c r="A165" s="305" t="s">
        <v>183</v>
      </c>
      <c r="B165" s="306">
        <f t="shared" ref="B165:Y165" si="81">B161+B156+B151+B146+B141+B136+B131+B126+B121+B116+B111+B106+B102+B99+B96+B93+B90</f>
        <v>1059</v>
      </c>
      <c r="C165" s="306">
        <f t="shared" si="81"/>
        <v>919</v>
      </c>
      <c r="D165" s="306">
        <f t="shared" si="81"/>
        <v>889</v>
      </c>
      <c r="E165" s="306">
        <f t="shared" si="81"/>
        <v>889</v>
      </c>
      <c r="F165" s="306">
        <f t="shared" si="81"/>
        <v>899</v>
      </c>
      <c r="G165" s="306">
        <f t="shared" si="81"/>
        <v>924</v>
      </c>
      <c r="H165" s="306">
        <f t="shared" si="81"/>
        <v>934</v>
      </c>
      <c r="I165" s="306">
        <f t="shared" si="81"/>
        <v>911</v>
      </c>
      <c r="J165" s="306">
        <f t="shared" si="81"/>
        <v>920</v>
      </c>
      <c r="K165" s="306">
        <f t="shared" si="81"/>
        <v>920</v>
      </c>
      <c r="L165" s="306">
        <f t="shared" si="81"/>
        <v>971</v>
      </c>
      <c r="M165" s="306">
        <f t="shared" si="81"/>
        <v>971</v>
      </c>
      <c r="N165" s="306">
        <f t="shared" si="81"/>
        <v>971</v>
      </c>
      <c r="O165" s="306">
        <f t="shared" si="81"/>
        <v>962</v>
      </c>
      <c r="P165" s="306">
        <f t="shared" si="81"/>
        <v>962</v>
      </c>
      <c r="Q165" s="306">
        <f t="shared" si="81"/>
        <v>959</v>
      </c>
      <c r="R165" s="306">
        <f t="shared" si="81"/>
        <v>959</v>
      </c>
      <c r="S165" s="306">
        <f t="shared" si="81"/>
        <v>991</v>
      </c>
      <c r="T165" s="306">
        <f t="shared" si="81"/>
        <v>1061</v>
      </c>
      <c r="U165" s="306">
        <f t="shared" si="81"/>
        <v>1087</v>
      </c>
      <c r="V165" s="306">
        <f t="shared" si="81"/>
        <v>1001</v>
      </c>
      <c r="W165" s="306">
        <f t="shared" si="81"/>
        <v>971</v>
      </c>
      <c r="X165" s="306">
        <f t="shared" si="81"/>
        <v>942</v>
      </c>
      <c r="Y165" s="307">
        <f t="shared" si="81"/>
        <v>987</v>
      </c>
      <c r="Z165" s="271"/>
      <c r="AA165" s="174">
        <f ca="1">Z163+Z158+Z153+Z148+Z143+Z138+Z133+Z128+Z123+Z118+Z113+Z108+Z103+Z100+Z97+Z94+Z91</f>
        <v>-82800.594122929702</v>
      </c>
    </row>
    <row r="166" spans="1:27" x14ac:dyDescent="0.2">
      <c r="A166" s="330" t="s">
        <v>184</v>
      </c>
      <c r="B166" s="331">
        <f t="shared" ref="B166:Y166" si="82">B165-B164</f>
        <v>138</v>
      </c>
      <c r="C166" s="331">
        <f t="shared" si="82"/>
        <v>113</v>
      </c>
      <c r="D166" s="331">
        <f t="shared" si="82"/>
        <v>95</v>
      </c>
      <c r="E166" s="331">
        <f t="shared" si="82"/>
        <v>95</v>
      </c>
      <c r="F166" s="331">
        <f t="shared" si="82"/>
        <v>105</v>
      </c>
      <c r="G166" s="331">
        <f t="shared" si="82"/>
        <v>121</v>
      </c>
      <c r="H166" s="331">
        <f t="shared" si="82"/>
        <v>152</v>
      </c>
      <c r="I166" s="331">
        <f t="shared" si="82"/>
        <v>174</v>
      </c>
      <c r="J166" s="331">
        <f t="shared" si="82"/>
        <v>124</v>
      </c>
      <c r="K166" s="331">
        <f t="shared" si="82"/>
        <v>137</v>
      </c>
      <c r="L166" s="331">
        <f t="shared" si="82"/>
        <v>211</v>
      </c>
      <c r="M166" s="331">
        <f t="shared" si="82"/>
        <v>259</v>
      </c>
      <c r="N166" s="331">
        <f t="shared" si="82"/>
        <v>215</v>
      </c>
      <c r="O166" s="331">
        <f t="shared" si="82"/>
        <v>239</v>
      </c>
      <c r="P166" s="331">
        <f t="shared" si="82"/>
        <v>252</v>
      </c>
      <c r="Q166" s="331">
        <f t="shared" si="82"/>
        <v>247</v>
      </c>
      <c r="R166" s="331">
        <f t="shared" si="82"/>
        <v>252</v>
      </c>
      <c r="S166" s="331">
        <f t="shared" si="82"/>
        <v>133</v>
      </c>
      <c r="T166" s="331">
        <f t="shared" si="82"/>
        <v>188</v>
      </c>
      <c r="U166" s="331">
        <f t="shared" si="82"/>
        <v>236</v>
      </c>
      <c r="V166" s="331">
        <f t="shared" si="82"/>
        <v>175</v>
      </c>
      <c r="W166" s="331">
        <f t="shared" si="82"/>
        <v>167</v>
      </c>
      <c r="X166" s="331">
        <f t="shared" si="82"/>
        <v>146</v>
      </c>
      <c r="Y166" s="332">
        <f t="shared" si="82"/>
        <v>68</v>
      </c>
      <c r="Z166" s="336">
        <f>SUM(B166:Y166)</f>
        <v>4042</v>
      </c>
    </row>
    <row r="167" spans="1:27" s="325" customFormat="1" ht="32.25" customHeight="1" thickBot="1" x14ac:dyDescent="0.25">
      <c r="A167" s="333" t="s">
        <v>185</v>
      </c>
      <c r="B167" s="334">
        <f t="shared" ref="B167:Y167" ca="1" si="83">B58</f>
        <v>9</v>
      </c>
      <c r="C167" s="334">
        <f t="shared" ca="1" si="83"/>
        <v>-1</v>
      </c>
      <c r="D167" s="334">
        <f t="shared" ca="1" si="83"/>
        <v>4</v>
      </c>
      <c r="E167" s="334">
        <f ca="1">E58</f>
        <v>6</v>
      </c>
      <c r="F167" s="334">
        <f t="shared" ca="1" si="83"/>
        <v>3</v>
      </c>
      <c r="G167" s="334">
        <f t="shared" ca="1" si="83"/>
        <v>0</v>
      </c>
      <c r="H167" s="334">
        <f t="shared" ca="1" si="83"/>
        <v>0</v>
      </c>
      <c r="I167" s="334">
        <f t="shared" ca="1" si="83"/>
        <v>31</v>
      </c>
      <c r="J167" s="334">
        <f t="shared" ca="1" si="83"/>
        <v>-3</v>
      </c>
      <c r="K167" s="334">
        <f t="shared" ca="1" si="83"/>
        <v>-1</v>
      </c>
      <c r="L167" s="334">
        <f t="shared" ca="1" si="83"/>
        <v>-1</v>
      </c>
      <c r="M167" s="334">
        <f t="shared" ca="1" si="83"/>
        <v>-2</v>
      </c>
      <c r="N167" s="334">
        <f t="shared" ca="1" si="83"/>
        <v>-2</v>
      </c>
      <c r="O167" s="334">
        <f t="shared" ca="1" si="83"/>
        <v>-2</v>
      </c>
      <c r="P167" s="334">
        <f t="shared" ca="1" si="83"/>
        <v>-1</v>
      </c>
      <c r="Q167" s="334">
        <f t="shared" ca="1" si="83"/>
        <v>2</v>
      </c>
      <c r="R167" s="334">
        <f t="shared" ca="1" si="83"/>
        <v>-1</v>
      </c>
      <c r="S167" s="334">
        <f t="shared" ca="1" si="83"/>
        <v>1</v>
      </c>
      <c r="T167" s="334">
        <f t="shared" ca="1" si="83"/>
        <v>2</v>
      </c>
      <c r="U167" s="334">
        <f t="shared" ca="1" si="83"/>
        <v>-4</v>
      </c>
      <c r="V167" s="334">
        <f t="shared" ca="1" si="83"/>
        <v>-4</v>
      </c>
      <c r="W167" s="334">
        <f t="shared" ca="1" si="83"/>
        <v>-14</v>
      </c>
      <c r="X167" s="334">
        <f t="shared" ca="1" si="83"/>
        <v>-3</v>
      </c>
      <c r="Y167" s="335">
        <f t="shared" ca="1" si="83"/>
        <v>10</v>
      </c>
      <c r="Z167" s="323">
        <f ca="1">SUM(B167:Y167)</f>
        <v>29</v>
      </c>
      <c r="AA167" s="324"/>
    </row>
    <row r="168" spans="1:27" ht="13.5" hidden="1" thickBot="1" x14ac:dyDescent="0.25">
      <c r="A168" s="326" t="s">
        <v>186</v>
      </c>
      <c r="B168" s="327">
        <f t="shared" ref="B168:Y168" ca="1" si="84">B167+B166</f>
        <v>147</v>
      </c>
      <c r="C168" s="327">
        <f t="shared" ca="1" si="84"/>
        <v>112</v>
      </c>
      <c r="D168" s="327">
        <f t="shared" ca="1" si="84"/>
        <v>99</v>
      </c>
      <c r="E168" s="327">
        <f t="shared" ca="1" si="84"/>
        <v>101</v>
      </c>
      <c r="F168" s="327">
        <f t="shared" ca="1" si="84"/>
        <v>108</v>
      </c>
      <c r="G168" s="327">
        <f t="shared" ca="1" si="84"/>
        <v>121</v>
      </c>
      <c r="H168" s="327">
        <f t="shared" ca="1" si="84"/>
        <v>152</v>
      </c>
      <c r="I168" s="327">
        <f t="shared" ca="1" si="84"/>
        <v>205</v>
      </c>
      <c r="J168" s="327">
        <f t="shared" ca="1" si="84"/>
        <v>121</v>
      </c>
      <c r="K168" s="327">
        <f t="shared" ca="1" si="84"/>
        <v>136</v>
      </c>
      <c r="L168" s="327">
        <f t="shared" ca="1" si="84"/>
        <v>210</v>
      </c>
      <c r="M168" s="327">
        <f t="shared" ca="1" si="84"/>
        <v>257</v>
      </c>
      <c r="N168" s="327">
        <f t="shared" ca="1" si="84"/>
        <v>213</v>
      </c>
      <c r="O168" s="327">
        <f t="shared" ca="1" si="84"/>
        <v>237</v>
      </c>
      <c r="P168" s="327">
        <f t="shared" ca="1" si="84"/>
        <v>251</v>
      </c>
      <c r="Q168" s="327">
        <f t="shared" ca="1" si="84"/>
        <v>249</v>
      </c>
      <c r="R168" s="327">
        <f t="shared" ca="1" si="84"/>
        <v>251</v>
      </c>
      <c r="S168" s="327">
        <f t="shared" ca="1" si="84"/>
        <v>134</v>
      </c>
      <c r="T168" s="327">
        <f t="shared" ca="1" si="84"/>
        <v>190</v>
      </c>
      <c r="U168" s="327">
        <f t="shared" ca="1" si="84"/>
        <v>232</v>
      </c>
      <c r="V168" s="327">
        <f t="shared" ca="1" si="84"/>
        <v>171</v>
      </c>
      <c r="W168" s="327">
        <f t="shared" ca="1" si="84"/>
        <v>153</v>
      </c>
      <c r="X168" s="327">
        <f t="shared" ca="1" si="84"/>
        <v>143</v>
      </c>
      <c r="Y168" s="327">
        <f t="shared" ca="1" si="84"/>
        <v>78</v>
      </c>
      <c r="Z168" s="328">
        <f ca="1">SUM(B168:Y168)</f>
        <v>4071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4071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179</v>
      </c>
      <c r="C171" s="338">
        <f t="shared" si="85"/>
        <v>185</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197</v>
      </c>
      <c r="F171" s="338">
        <f t="shared" si="85"/>
        <v>197</v>
      </c>
      <c r="G171" s="338">
        <f t="shared" si="85"/>
        <v>203</v>
      </c>
      <c r="H171" s="338">
        <f t="shared" si="85"/>
        <v>208</v>
      </c>
      <c r="I171" s="338">
        <f t="shared" si="85"/>
        <v>245</v>
      </c>
      <c r="J171" s="338">
        <f t="shared" si="85"/>
        <v>195</v>
      </c>
      <c r="K171" s="338">
        <f t="shared" si="85"/>
        <v>208</v>
      </c>
      <c r="L171" s="338">
        <f t="shared" si="85"/>
        <v>231</v>
      </c>
      <c r="M171" s="338">
        <f t="shared" si="85"/>
        <v>176</v>
      </c>
      <c r="N171" s="338">
        <f t="shared" si="85"/>
        <v>235</v>
      </c>
      <c r="O171" s="338">
        <f t="shared" si="85"/>
        <v>259</v>
      </c>
      <c r="P171" s="338">
        <f t="shared" si="85"/>
        <v>272</v>
      </c>
      <c r="Q171" s="338">
        <f t="shared" si="85"/>
        <v>164</v>
      </c>
      <c r="R171" s="338">
        <f t="shared" si="85"/>
        <v>272</v>
      </c>
      <c r="S171" s="338">
        <f t="shared" si="85"/>
        <v>223</v>
      </c>
      <c r="T171" s="338">
        <f t="shared" si="85"/>
        <v>179</v>
      </c>
      <c r="U171" s="338">
        <f t="shared" si="85"/>
        <v>202</v>
      </c>
      <c r="V171" s="338">
        <f t="shared" si="85"/>
        <v>227</v>
      </c>
      <c r="W171" s="338">
        <f t="shared" si="85"/>
        <v>179</v>
      </c>
      <c r="X171" s="338">
        <f t="shared" si="85"/>
        <v>187</v>
      </c>
      <c r="Y171" s="339">
        <f t="shared" si="85"/>
        <v>109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109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213</v>
      </c>
      <c r="H172" s="341">
        <f t="shared" si="86"/>
        <v>184</v>
      </c>
      <c r="I172" s="341">
        <f t="shared" si="86"/>
        <v>207</v>
      </c>
      <c r="J172" s="341">
        <f t="shared" si="86"/>
        <v>198</v>
      </c>
      <c r="K172" s="341">
        <f t="shared" si="86"/>
        <v>198</v>
      </c>
      <c r="L172" s="341">
        <f t="shared" si="86"/>
        <v>147</v>
      </c>
      <c r="M172" s="341">
        <f t="shared" si="86"/>
        <v>147</v>
      </c>
      <c r="N172" s="341">
        <f t="shared" si="86"/>
        <v>147</v>
      </c>
      <c r="O172" s="341">
        <f t="shared" si="86"/>
        <v>156</v>
      </c>
      <c r="P172" s="341">
        <f t="shared" si="86"/>
        <v>156</v>
      </c>
      <c r="Q172" s="341">
        <f t="shared" si="86"/>
        <v>159</v>
      </c>
      <c r="R172" s="341">
        <f t="shared" si="86"/>
        <v>159</v>
      </c>
      <c r="S172" s="341">
        <f t="shared" si="86"/>
        <v>127</v>
      </c>
      <c r="T172" s="341">
        <f t="shared" si="86"/>
        <v>86</v>
      </c>
      <c r="U172" s="341">
        <f t="shared" si="86"/>
        <v>85</v>
      </c>
      <c r="V172" s="341">
        <f t="shared" si="86"/>
        <v>151</v>
      </c>
      <c r="W172" s="341">
        <f t="shared" si="86"/>
        <v>156</v>
      </c>
      <c r="X172" s="341">
        <f t="shared" si="86"/>
        <v>176</v>
      </c>
      <c r="Y172" s="342">
        <f t="shared" si="86"/>
        <v>131</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-82800.594122929673</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13606.260961415817</v>
      </c>
      <c r="F25" s="33">
        <f t="shared" si="1"/>
        <v>1.96</v>
      </c>
      <c r="G25" s="32">
        <f t="shared" ca="1" si="0"/>
        <v>26668.271484375</v>
      </c>
      <c r="I25" s="31"/>
      <c r="J25" s="31"/>
      <c r="K25" s="31"/>
    </row>
    <row r="26" spans="1:12" x14ac:dyDescent="0.2">
      <c r="B26" s="234" t="s">
        <v>47</v>
      </c>
      <c r="C26" s="235">
        <v>1</v>
      </c>
      <c r="D26" s="235">
        <v>0</v>
      </c>
      <c r="E26" s="32">
        <f ca="1">-INDEX(Economics!$A$34:$D$45,MATCH(Fuel!B26,Economics!$A$34:$A$45,0),4)/Fuel!F26</f>
        <v>9690.3160873724501</v>
      </c>
      <c r="F26" s="33">
        <f t="shared" si="1"/>
        <v>1.96</v>
      </c>
      <c r="G26" s="32">
        <f t="shared" ca="1" si="0"/>
        <v>18993.01953125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8206.8105269451535</v>
      </c>
      <c r="F28" s="33">
        <f t="shared" si="1"/>
        <v>1.96</v>
      </c>
      <c r="G28" s="32">
        <f t="shared" ca="1" si="0"/>
        <v>16085.3486328125</v>
      </c>
      <c r="I28" s="31"/>
      <c r="J28" s="31"/>
      <c r="K28" s="31"/>
    </row>
    <row r="29" spans="1:12" x14ac:dyDescent="0.2">
      <c r="B29" s="234" t="s">
        <v>50</v>
      </c>
      <c r="C29" s="235">
        <v>1</v>
      </c>
      <c r="D29" s="235">
        <v>0</v>
      </c>
      <c r="E29" s="32">
        <f ca="1">-INDEX(Economics!$A$34:$D$45,MATCH(Fuel!B29,Economics!$A$34:$A$45,0),4)/Fuel!F29</f>
        <v>8892.8322305484689</v>
      </c>
      <c r="F29" s="33">
        <f t="shared" si="1"/>
        <v>1.96</v>
      </c>
      <c r="G29" s="32">
        <f t="shared" ca="1" si="0"/>
        <v>17429.951171875</v>
      </c>
      <c r="I29" s="31"/>
      <c r="J29" s="31"/>
      <c r="K29" s="31"/>
    </row>
    <row r="30" spans="1:12" x14ac:dyDescent="0.2">
      <c r="B30" s="236"/>
      <c r="C30" s="36"/>
      <c r="D30" s="36"/>
      <c r="E30" s="34">
        <f ca="1">SUM(E22:E29)</f>
        <v>40396.219806281893</v>
      </c>
      <c r="F30" s="35"/>
      <c r="G30" s="34">
        <f ca="1">SUM(G22:G29)</f>
        <v>79176.5908203125</v>
      </c>
      <c r="I30" s="31"/>
      <c r="J30" s="31"/>
      <c r="K30" s="31"/>
    </row>
    <row r="31" spans="1:12" x14ac:dyDescent="0.2">
      <c r="B31" s="236"/>
      <c r="I31" s="31"/>
      <c r="J31" s="31"/>
      <c r="K31" s="31"/>
    </row>
    <row r="32" spans="1:12" ht="13.5" thickBot="1" x14ac:dyDescent="0.25">
      <c r="B32" s="236" t="s">
        <v>18</v>
      </c>
      <c r="E32" s="7">
        <f ca="1">E15+E18+E30</f>
        <v>40396.219806281893</v>
      </c>
      <c r="F32" s="8"/>
      <c r="G32" s="7">
        <f ca="1">G15+G18+G30</f>
        <v>79176.5908203125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443228.39999999997</v>
      </c>
      <c r="C3" s="117">
        <f ca="1">6.8*0.75*E3</f>
        <v>109201.2</v>
      </c>
      <c r="D3" s="117">
        <f ca="1">C3+B3</f>
        <v>552429.6</v>
      </c>
      <c r="E3" s="118">
        <f ca="1">SUM(Preschedule!B59:Y59)</f>
        <v>21412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247</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1320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-15362.984000000002</v>
      </c>
      <c r="C28" s="120"/>
      <c r="D28" s="120">
        <f ca="1">C28+B28</f>
        <v>-15362.984000000002</v>
      </c>
      <c r="E28" s="114">
        <f>SUM(Preschedule!B56:Y56)</f>
        <v>1175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-29474.16</v>
      </c>
      <c r="C30" s="120"/>
      <c r="D30" s="120">
        <f>C30+B30</f>
        <v>-29474.16</v>
      </c>
      <c r="E30" s="114">
        <f>SUM(Preschedule!B53:Y53)</f>
        <v>4835</v>
      </c>
      <c r="F30" s="120">
        <f>H30*I30</f>
        <v>6.0960000000000001</v>
      </c>
      <c r="G30" s="79">
        <f>-IF(E30=0,0,D30/E30)</f>
        <v>6.0960000000000001</v>
      </c>
      <c r="H30" s="134">
        <v>10.16</v>
      </c>
      <c r="I30" s="135">
        <v>0.6</v>
      </c>
    </row>
    <row r="31" spans="1:9" x14ac:dyDescent="0.2">
      <c r="A31" s="83" t="s">
        <v>44</v>
      </c>
      <c r="B31" s="120">
        <f>-F31*E31</f>
        <v>-29480.256000000001</v>
      </c>
      <c r="C31" s="120"/>
      <c r="D31" s="120">
        <f>C31+B31</f>
        <v>-29480.256000000001</v>
      </c>
      <c r="E31" s="114">
        <f>SUM(Preschedule!B54:Y54)</f>
        <v>4836</v>
      </c>
      <c r="F31" s="120">
        <f>H31*I31</f>
        <v>6.0960000000000001</v>
      </c>
      <c r="G31" s="79">
        <f>-IF(E31=0,0,D31/E31)</f>
        <v>6.0960000000000001</v>
      </c>
      <c r="H31" s="134">
        <v>10.16</v>
      </c>
      <c r="I31" s="135">
        <v>0.6</v>
      </c>
    </row>
    <row r="32" spans="1:9" x14ac:dyDescent="0.2">
      <c r="A32" s="83" t="s">
        <v>45</v>
      </c>
      <c r="B32" s="120">
        <f>-F32*E32</f>
        <v>-29480.256000000001</v>
      </c>
      <c r="C32" s="120"/>
      <c r="D32" s="120">
        <f>C32+B32</f>
        <v>-29480.256000000001</v>
      </c>
      <c r="E32" s="114">
        <f>SUM(Preschedule!B55:Y55)</f>
        <v>4836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-18993.01953125</v>
      </c>
      <c r="C35" s="120"/>
      <c r="D35" s="120">
        <f t="shared" ref="D35:D45" ca="1" si="7">IF(ISTEXT(B35),0,C35+B35)</f>
        <v>-18993.01953125</v>
      </c>
      <c r="E35" s="114">
        <f>SUM(Preschedule!B42:Y42)</f>
        <v>897</v>
      </c>
      <c r="F35" s="120">
        <f t="shared" ref="F35:F45" ca="1" si="8">-IF(OR(ISTEXT(B35),E35=0),0,B35/E35)</f>
        <v>21.173934817447044</v>
      </c>
      <c r="G35" s="79">
        <f t="shared" ca="1" si="6"/>
        <v>21.173934817447044</v>
      </c>
      <c r="H35" s="136"/>
      <c r="I35" s="135">
        <f t="shared" ref="I35:I45" si="9">INDEX(FuelPriceTable,MATCH(A35,FuelNames,0),5)</f>
        <v>1.96</v>
      </c>
    </row>
    <row r="36" spans="1:9" x14ac:dyDescent="0.2">
      <c r="A36" s="83" t="s">
        <v>48</v>
      </c>
      <c r="B36" s="120">
        <f ca="1">Gencost(Preschedule!B43:Y43,OFFSET(HeatRateStart,1,MATCH(A36,HeatRateNames,0)-1,250,1),I36)</f>
        <v>-26668.271484375</v>
      </c>
      <c r="C36" s="120"/>
      <c r="D36" s="120">
        <f t="shared" ca="1" si="7"/>
        <v>-26668.271484375</v>
      </c>
      <c r="E36" s="114">
        <f>SUM(Preschedule!B43:Y43)</f>
        <v>1309</v>
      </c>
      <c r="F36" s="120">
        <f t="shared" ca="1" si="8"/>
        <v>20.373011065221544</v>
      </c>
      <c r="G36" s="79">
        <f t="shared" ca="1" si="6"/>
        <v>20.373011065221544</v>
      </c>
      <c r="H36" s="136"/>
      <c r="I36" s="135">
        <f>INDEX(FuelPriceTable,MATCH(A36,FuelNames,0),5)</f>
        <v>1.96</v>
      </c>
    </row>
    <row r="37" spans="1:9" x14ac:dyDescent="0.2">
      <c r="A37" s="83" t="s">
        <v>49</v>
      </c>
      <c r="B37" s="120">
        <f ca="1">Gencost(Preschedule!B44:Y44,OFFSET(HeatRateStart,1,MATCH(A37,HeatRateNames,0)-1,250,1),I37)</f>
        <v>-16085.3486328125</v>
      </c>
      <c r="C37" s="120"/>
      <c r="D37" s="120">
        <f t="shared" ca="1" si="7"/>
        <v>-16085.3486328125</v>
      </c>
      <c r="E37" s="114">
        <f>SUM(Preschedule!B44:Y44)</f>
        <v>467</v>
      </c>
      <c r="F37" s="120">
        <f t="shared" ca="1" si="8"/>
        <v>34.444001355058887</v>
      </c>
      <c r="G37" s="79">
        <f t="shared" ca="1" si="6"/>
        <v>34.444001355058887</v>
      </c>
      <c r="H37" s="136"/>
      <c r="I37" s="135">
        <f t="shared" si="9"/>
        <v>1.96</v>
      </c>
    </row>
    <row r="38" spans="1:9" x14ac:dyDescent="0.2">
      <c r="A38" s="83" t="s">
        <v>50</v>
      </c>
      <c r="B38" s="120">
        <f ca="1">Gencost(Preschedule!B45:Y45,OFFSET(HeatRateStart,1,MATCH(A38,HeatRateNames,0)-1,250,1),I38)</f>
        <v>-17429.951171875</v>
      </c>
      <c r="C38" s="120"/>
      <c r="D38" s="120">
        <f t="shared" ca="1" si="7"/>
        <v>-17429.951171875</v>
      </c>
      <c r="E38" s="114">
        <f>SUM(Preschedule!B45:Y45)</f>
        <v>535</v>
      </c>
      <c r="F38" s="120">
        <f t="shared" ca="1" si="8"/>
        <v>32.579347984813083</v>
      </c>
      <c r="G38" s="79">
        <f t="shared" ca="1" si="6"/>
        <v>32.579347984813083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t="s">
        <v>380</v>
      </c>
    </row>
    <row r="32" spans="2:2" x14ac:dyDescent="0.2">
      <c r="B32" t="s">
        <v>373</v>
      </c>
    </row>
    <row r="33" spans="2:2" x14ac:dyDescent="0.2">
      <c r="B33" t="s">
        <v>377</v>
      </c>
    </row>
    <row r="34" spans="2:2" x14ac:dyDescent="0.2">
      <c r="B34" t="s">
        <v>381</v>
      </c>
    </row>
    <row r="35" spans="2:2" x14ac:dyDescent="0.2">
      <c r="B35" t="s">
        <v>382</v>
      </c>
    </row>
    <row r="36" spans="2:2" x14ac:dyDescent="0.2">
      <c r="B36" t="s">
        <v>379</v>
      </c>
    </row>
    <row r="37" spans="2:2" x14ac:dyDescent="0.2">
      <c r="B37" t="s">
        <v>362</v>
      </c>
    </row>
    <row r="38" spans="2:2" x14ac:dyDescent="0.2">
      <c r="B38" t="s">
        <v>365</v>
      </c>
    </row>
    <row r="39" spans="2:2" x14ac:dyDescent="0.2">
      <c r="B39" t="s">
        <v>374</v>
      </c>
    </row>
    <row r="40" spans="2:2" x14ac:dyDescent="0.2">
      <c r="B40" t="s">
        <v>383</v>
      </c>
    </row>
    <row r="41" spans="2:2" x14ac:dyDescent="0.2">
      <c r="B41" t="s">
        <v>366</v>
      </c>
    </row>
    <row r="42" spans="2:2" x14ac:dyDescent="0.2">
      <c r="B42" t="s">
        <v>371</v>
      </c>
    </row>
    <row r="43" spans="2:2" x14ac:dyDescent="0.2">
      <c r="B43" t="s">
        <v>368</v>
      </c>
    </row>
    <row r="44" spans="2:2" x14ac:dyDescent="0.2">
      <c r="B44" t="s">
        <v>367</v>
      </c>
    </row>
    <row r="45" spans="2:2" x14ac:dyDescent="0.2">
      <c r="B45" t="s">
        <v>372</v>
      </c>
    </row>
    <row r="46" spans="2:2" x14ac:dyDescent="0.2">
      <c r="B46" t="s">
        <v>378</v>
      </c>
    </row>
    <row r="47" spans="2:2" x14ac:dyDescent="0.2">
      <c r="B47" t="s">
        <v>376</v>
      </c>
    </row>
    <row r="48" spans="2:2" x14ac:dyDescent="0.2">
      <c r="B48" t="s">
        <v>384</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2023-09-15T21:14:33Z</dcterms:modified>
</cp:coreProperties>
</file>