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88C8F78-ABDA-4292-8F98-6753E07A6B5B}" xr6:coauthVersionLast="47" xr6:coauthVersionMax="47" xr10:uidLastSave="{00000000-0000-0000-0000-000000000000}"/>
  <bookViews>
    <workbookView xWindow="-120" yWindow="-120" windowWidth="38640" windowHeight="15720" tabRatio="883"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Deals!$D$89</definedName>
    <definedName name="CISOEndDate">Deals!$D$90</definedName>
    <definedName name="cRows">COUNTA(#REF!)</definedName>
    <definedName name="CurrDate">[1]Top!#REF!</definedName>
    <definedName name="DataAll">Deals!$A$2:$AF$227</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Deals!$C$88</definedName>
    <definedName name="EndofDType">Deals!$B$88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F93" i="6"/>
  <c r="G93" i="6"/>
  <c r="F94" i="6"/>
  <c r="G94" i="6"/>
  <c r="F95" i="6"/>
  <c r="G95" i="6"/>
  <c r="F96" i="6"/>
  <c r="G96" i="6"/>
  <c r="F97" i="6"/>
  <c r="G97"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J58" authorId="0" shapeId="0">
      <text>
        <r>
          <rPr>
            <b/>
            <sz val="8"/>
            <color indexed="81"/>
            <rFont val="Tahoma"/>
          </rPr>
          <t>m guzman:</t>
        </r>
        <r>
          <rPr>
            <sz val="8"/>
            <color indexed="81"/>
            <rFont val="Tahoma"/>
          </rPr>
          <t xml:space="preserve">
Inadvertent payback with ISO
</t>
        </r>
      </text>
    </comment>
    <comment ref="K58" authorId="0" shapeId="0">
      <text>
        <r>
          <rPr>
            <b/>
            <sz val="8"/>
            <color indexed="81"/>
            <rFont val="Tahoma"/>
          </rPr>
          <t>m guzman:</t>
        </r>
        <r>
          <rPr>
            <sz val="8"/>
            <color indexed="81"/>
            <rFont val="Tahoma"/>
          </rPr>
          <t xml:space="preserve">
Inadvertent payback with ISO
</t>
        </r>
      </text>
    </comment>
    <comment ref="L58" authorId="0" shapeId="0">
      <text>
        <r>
          <rPr>
            <b/>
            <sz val="8"/>
            <color indexed="81"/>
            <rFont val="Tahoma"/>
          </rPr>
          <t>m guzman:</t>
        </r>
        <r>
          <rPr>
            <sz val="8"/>
            <color indexed="81"/>
            <rFont val="Tahoma"/>
          </rPr>
          <t xml:space="preserve">
Inadvertent payback with ISO
</t>
        </r>
      </text>
    </comment>
    <comment ref="M58" authorId="0" shapeId="0">
      <text>
        <r>
          <rPr>
            <b/>
            <sz val="8"/>
            <color indexed="81"/>
            <rFont val="Tahoma"/>
          </rPr>
          <t>m guzman:</t>
        </r>
        <r>
          <rPr>
            <sz val="8"/>
            <color indexed="81"/>
            <rFont val="Tahoma"/>
          </rPr>
          <t xml:space="preserve">
inadvertent exchange of 50 mw
</t>
        </r>
      </text>
    </comment>
    <comment ref="N58" authorId="0" shapeId="0">
      <text>
        <r>
          <rPr>
            <b/>
            <sz val="8"/>
            <color indexed="81"/>
            <rFont val="Tahoma"/>
          </rPr>
          <t>m guzman:</t>
        </r>
        <r>
          <rPr>
            <sz val="8"/>
            <color indexed="81"/>
            <rFont val="Tahoma"/>
          </rPr>
          <t xml:space="preserve">
inadvertent exchange of 50 mw
</t>
        </r>
      </text>
    </comment>
    <comment ref="O58" authorId="0" shapeId="0">
      <text>
        <r>
          <rPr>
            <b/>
            <sz val="8"/>
            <color indexed="81"/>
            <rFont val="Tahoma"/>
          </rPr>
          <t>m guzman:</t>
        </r>
        <r>
          <rPr>
            <sz val="8"/>
            <color indexed="81"/>
            <rFont val="Tahoma"/>
          </rPr>
          <t xml:space="preserve">
inadvertent exchange of 50 mw
</t>
        </r>
      </text>
    </comment>
    <comment ref="P58" authorId="0" shapeId="0">
      <text>
        <r>
          <rPr>
            <b/>
            <sz val="8"/>
            <color indexed="81"/>
            <rFont val="Tahoma"/>
          </rPr>
          <t>m guzman:</t>
        </r>
        <r>
          <rPr>
            <sz val="8"/>
            <color indexed="81"/>
            <rFont val="Tahoma"/>
          </rPr>
          <t xml:space="preserve">
inadvertent exchange of 50 mw
</t>
        </r>
      </text>
    </comment>
    <comment ref="Q58" authorId="0" shapeId="0">
      <text>
        <r>
          <rPr>
            <b/>
            <sz val="8"/>
            <color indexed="81"/>
            <rFont val="Tahoma"/>
          </rPr>
          <t>m guzman:</t>
        </r>
        <r>
          <rPr>
            <sz val="8"/>
            <color indexed="81"/>
            <rFont val="Tahoma"/>
          </rPr>
          <t xml:space="preserve">
inadvertent exchange of 50 mw
</t>
        </r>
      </text>
    </comment>
    <comment ref="R58" authorId="0" shapeId="0">
      <text>
        <r>
          <rPr>
            <b/>
            <sz val="8"/>
            <color indexed="81"/>
            <rFont val="Tahoma"/>
          </rPr>
          <t>m guzman:</t>
        </r>
        <r>
          <rPr>
            <sz val="8"/>
            <color indexed="81"/>
            <rFont val="Tahoma"/>
          </rPr>
          <t xml:space="preserve">
inadvertent exchange of 50 mw
</t>
        </r>
      </text>
    </comment>
    <comment ref="S58" authorId="0" shapeId="0">
      <text>
        <r>
          <rPr>
            <b/>
            <sz val="8"/>
            <color indexed="81"/>
            <rFont val="Tahoma"/>
          </rPr>
          <t>m guzman:</t>
        </r>
        <r>
          <rPr>
            <sz val="8"/>
            <color indexed="81"/>
            <rFont val="Tahoma"/>
          </rPr>
          <t xml:space="preserve">
inadvertent exchange of 50 mw
</t>
        </r>
      </text>
    </comment>
    <comment ref="T58" authorId="0" shapeId="0">
      <text>
        <r>
          <rPr>
            <b/>
            <sz val="8"/>
            <color indexed="81"/>
            <rFont val="Tahoma"/>
          </rPr>
          <t>m guzman:</t>
        </r>
        <r>
          <rPr>
            <sz val="8"/>
            <color indexed="81"/>
            <rFont val="Tahoma"/>
          </rPr>
          <t xml:space="preserve">
inadvertent exchange of 50 mw
</t>
        </r>
      </text>
    </comment>
    <comment ref="U58" authorId="0" shapeId="0">
      <text>
        <r>
          <rPr>
            <b/>
            <sz val="8"/>
            <color indexed="81"/>
            <rFont val="Tahoma"/>
          </rPr>
          <t>m guzman:</t>
        </r>
        <r>
          <rPr>
            <sz val="8"/>
            <color indexed="81"/>
            <rFont val="Tahoma"/>
          </rPr>
          <t xml:space="preserve">
inadvertent exchange of 50 mw
</t>
        </r>
      </text>
    </comment>
    <comment ref="V58" authorId="0" shapeId="0">
      <text>
        <r>
          <rPr>
            <b/>
            <sz val="8"/>
            <color indexed="81"/>
            <rFont val="Tahoma"/>
          </rPr>
          <t>m guzman:</t>
        </r>
        <r>
          <rPr>
            <sz val="8"/>
            <color indexed="81"/>
            <rFont val="Tahoma"/>
          </rPr>
          <t xml:space="preserve">
inadvertent exchange of 50 mw
</t>
        </r>
      </text>
    </comment>
    <comment ref="W58" authorId="0" shapeId="0">
      <text>
        <r>
          <rPr>
            <b/>
            <sz val="8"/>
            <color indexed="81"/>
            <rFont val="Tahoma"/>
          </rPr>
          <t>m guzman:</t>
        </r>
        <r>
          <rPr>
            <sz val="8"/>
            <color indexed="81"/>
            <rFont val="Tahoma"/>
          </rPr>
          <t xml:space="preserve">
inadvertent exchange of 50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<sst xmlns="http://schemas.openxmlformats.org/spreadsheetml/2006/main" count="743" uniqueCount="385">
  <si>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</si>
  <si>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</si>
  <si>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</si>
  <si>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</si>
  <si>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</si>
  <si>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</si>
  <si>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</si>
  <si>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</si>
  <si>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</si>
  <si>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</si>
  <si>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</si>
  <si>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</si>
  <si>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</si>
  <si>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</si>
  <si>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</si>
  <si>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</si>
  <si>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</si>
  <si>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</si>
  <si>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</si>
  <si>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</si>
  <si>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</si>
  <si>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</si>
  <si>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</si>
  <si>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</si>
  <si>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</si>
  <si>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</si>
  <si>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</si>
  <si>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</si>
  <si>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</si>
  <si>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</si>
  <si>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</si>
  <si>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</si>
  <si>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</si>
  <si>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</si>
  <si>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</si>
  <si>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</si>
  <si>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</si>
  <si>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</si>
  <si>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</si>
  <si>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</si>
  <si>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</si>
  <si>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</si>
  <si>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</si>
  <si>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</si>
  <si>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</si>
  <si>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</si>
  <si>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</si>
  <si>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</si>
  <si>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</si>
  <si>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</si>
  <si>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</si>
  <si>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</si>
  <si>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</si>
  <si>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</si>
  <si>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</si>
  <si>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</si>
  <si>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</si>
  <si>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</si>
  <si>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</si>
  <si>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</si>
  <si>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</si>
  <si>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</si>
  <si>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</si>
  <si>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</si>
  <si>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</si>
  <si>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</si>
  <si>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</si>
  <si>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</si>
  <si>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</si>
  <si>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</si>
  <si>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</si>
  <si>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</si>
  <si>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</si>
  <si>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</si>
  <si>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</si>
  <si>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</si>
  <si>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</si>
  <si>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</si>
  <si>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</si>
  <si>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</si>
  <si>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</si>
  <si>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</si>
  <si>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</si>
  <si>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</si>
  <si>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</si>
  <si>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</si>
  <si>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</si>
  <si>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</si>
  <si>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</si>
  <si>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</si>
  <si>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</si>
  <si>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</si>
  <si>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</si>
  <si>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</si>
  <si>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</si>
  <si>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</si>
  <si>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</si>
  <si>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</si>
  <si>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</si>
  <si>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</si>
  <si>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</si>
  <si>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</si>
  <si>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</si>
  <si>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</si>
  <si>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</si>
  <si>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</si>
  <si>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</si>
  <si>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</si>
  <si>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</si>
  <si>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</si>
  <si>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</si>
  <si>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</si>
  <si>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</si>
  <si>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</si>
  <si>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</si>
  <si>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</si>
  <si>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</si>
  <si>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</si>
  <si>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</si>
  <si>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</si>
  <si>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</si>
  <si>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</si>
  <si>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</si>
  <si>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</si>
  <si>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</si>
  <si>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</si>
  <si>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</si>
  <si>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</si>
  <si>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</si>
  <si>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</si>
  <si>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</si>
  <si>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</si>
  <si>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</si>
  <si>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</si>
  <si>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</si>
  <si>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</si>
  <si>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</si>
  <si>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</si>
  <si>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</si>
  <si>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</si>
  <si>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</si>
  <si>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</si>
  <si>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</si>
  <si>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</si>
  <si>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</si>
  <si>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</si>
  <si>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</si>
  <si>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</si>
  <si>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</si>
  <si>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</si>
  <si>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</si>
  <si>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</si>
  <si>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</si>
  <si>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</si>
  <si>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</si>
  <si>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</si>
  <si>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</si>
  <si>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</si>
  <si>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</si>
  <si>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</si>
  <si>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</si>
  <si>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</si>
  <si>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</si>
  <si>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</si>
  <si>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</si>
  <si>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</si>
  <si>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</si>
  <si>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</si>
  <si>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</si>
  <si>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</si>
  <si>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</si>
  <si>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</si>
  <si>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</si>
  <si>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</si>
  <si>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</si>
  <si>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</si>
  <si>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</si>
  <si>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</si>
  <si>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</si>
  <si>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</si>
  <si>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</si>
  <si>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</si>
  <si>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</si>
  <si>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</si>
  <si>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</si>
  <si>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</si>
  <si>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</si>
  <si>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</si>
  <si>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</si>
  <si>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</si>
  <si>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</si>
  <si>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</si>
  <si>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</si>
  <si>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</si>
  <si>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</si>
  <si>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</si>
  <si>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</si>
  <si>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</si>
  <si>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</si>
  <si>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</si>
  <si>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</si>
  <si>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</si>
  <si>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</si>
  <si>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</si>
  <si>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</si>
  <si>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</si>
  <si>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</si>
  <si>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</si>
  <si>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</si>
  <si>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</si>
  <si>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</si>
  <si>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</si>
  <si>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</si>
  <si>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</si>
  <si>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</si>
  <si>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</si>
  <si>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</si>
  <si>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</si>
  <si>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</si>
  <si>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</si>
  <si>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</si>
  <si>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</si>
  <si>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</si>
  <si>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</si>
  <si>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</si>
  <si>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</si>
  <si>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</si>
  <si>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</si>
  <si>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</si>
  <si>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</si>
  <si>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</si>
  <si>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</si>
  <si>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</si>
  <si>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</si>
  <si>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</si>
  <si>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</si>
  <si>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</si>
  <si>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</si>
  <si>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</si>
  <si>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</si>
  <si>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</si>
  <si>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</si>
  <si>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</si>
  <si>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</si>
  <si>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</si>
  <si>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</si>
  <si>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</si>
  <si>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</si>
  <si>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</si>
  <si>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</si>
  <si>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</si>
  <si>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</si>
  <si>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</si>
  <si>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</si>
  <si>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</si>
  <si>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</si>
  <si>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</si>
  <si>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</si>
  <si>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</si>
  <si>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</si>
  <si>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</si>
  <si>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</si>
  <si>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</si>
  <si>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</si>
  <si>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</si>
  <si>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</si>
  <si>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</si>
  <si>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</si>
  <si>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</si>
  <si>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</si>
  <si>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</si>
  <si>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</si>
  <si>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</si>
  <si>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</si>
  <si>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</si>
  <si>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</si>
  <si>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</si>
  <si>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</si>
  <si>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</si>
  <si>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</si>
  <si>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</si>
  <si>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</si>
  <si>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</si>
  <si>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</si>
  <si>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</si>
  <si>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</si>
  <si>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</si>
  <si>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</si>
  <si>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</si>
  <si>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</si>
  <si>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</si>
  <si>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</si>
  <si>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</si>
  <si>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</si>
  <si>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</si>
  <si>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</si>
  <si>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</si>
  <si>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</si>
  <si>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</si>
  <si>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</si>
  <si>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</si>
  <si>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</si>
  <si>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</si>
  <si>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</si>
  <si>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</si>
  <si>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</si>
  <si>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</si>
  <si>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</si>
  <si>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</si>
  <si>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</si>
  <si>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</si>
  <si>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</si>
  <si>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</si>
  <si>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</si>
  <si>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</si>
  <si>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</si>
  <si>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</si>
  <si>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</si>
  <si>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</si>
  <si>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</si>
  <si>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</si>
  <si>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</si>
  <si>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</si>
  <si>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</si>
  <si>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</si>
  <si>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</si>
  <si>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</si>
  <si>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</si>
  <si>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</si>
  <si>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</si>
  <si>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</si>
  <si>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</si>
  <si>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</si>
  <si>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</si>
  <si>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</si>
  <si>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</si>
  <si>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</si>
  <si>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</si>
  <si>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</si>
  <si>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</si>
  <si>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</si>
  <si>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</si>
  <si>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</si>
  <si>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</si>
  <si>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</si>
  <si>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</si>
  <si>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</si>
  <si>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</si>
  <si>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</si>
  <si>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</si>
  <si>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</si>
  <si>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</si>
  <si>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</si>
  <si>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</si>
  <si>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</si>
  <si>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</si>
  <si>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</si>
  <si>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</si>
  <si>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</si>
  <si>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</si>
  <si>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</si>
  <si>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</si>
  <si>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</si>
  <si>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</si>
  <si>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</si>
  <si>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</si>
  <si>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x</t>
  </si>
  <si>
    <t>RIOGRAN 7,UNAV,  0  , 38  , 32  , 49  ,  0  ,1</t>
  </si>
  <si>
    <t>PRE</t>
  </si>
  <si>
    <t>PSCO (BOOKOUT)</t>
  </si>
  <si>
    <t>Eddy</t>
  </si>
  <si>
    <t>Econ</t>
  </si>
  <si>
    <t>COPPER   ,AVAL, -0  , 69  , 15  , 69  ,  0  ,1</t>
  </si>
  <si>
    <t>FOURCRNRS,MANL, 97  , 97  , 97  ,104  ,  0  ,1</t>
  </si>
  <si>
    <t>NEWMN/GT1,UNAV,  0  , 60  , 18  , 60  ,  0  ,1</t>
  </si>
  <si>
    <t>NEWMN/GT2,UNAV,  0  , 60  , 18  , 60  ,  0  ,1</t>
  </si>
  <si>
    <t>NEWMAN 1 ,ECON, 42  , 75  , 35  , 83  , 36  ,1</t>
  </si>
  <si>
    <t>NEWMAN 2 ,ECON, 40  , 77  , 34  , 83  , 39  ,1</t>
  </si>
  <si>
    <t>NEWMAN 3 ,ECON, 68  ,100  , 35  ,103  , 33  ,1</t>
  </si>
  <si>
    <t>NEWMAN 4 ,MANL, 78  ,215  , 86  ,214  ,  0  ,1</t>
  </si>
  <si>
    <t xml:space="preserve">NEWMAN   ,, 227 ,  467,  190, 483 , 108 , </t>
  </si>
  <si>
    <t>RIOGRAN 8,MANL, 58  ,100  , 50  ,151  ,  0  ,1</t>
  </si>
  <si>
    <t xml:space="preserve">RIOGRANDE,,  58 ,  100,   50, 151 ,   0 , </t>
  </si>
  <si>
    <t>PALOVERDE,MANL,192  ,192  ,192  ,600  ,  0  ,1</t>
  </si>
  <si>
    <t>LAMBDA, 14.25,  640,  640,  227,   -3,    0,14048,4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</si>
</sst>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3"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4"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173" fontId="19" fillId="4" borderId="117"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27" fillId="4" borderId="119"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20"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180" fontId="60" fillId="4" borderId="109"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1" xfId="0" applyNumberFormat="1" applyFont="1" applyFill="1" applyBorder="1" applyAlignment="1" applyProtection="1">
      <alignment horizontal="center"/>
      <protection locked="0"/>
    </xf>
    <xf numFmtId="0" fontId="12" fillId="4" borderId="95" xfId="0" applyFont="1" applyFill="1" applyBorder="1" applyAlignment="1" applyProtection="1">
      <alignment horizontal="center" vertical="top"/>
      <protection locked="0"/>
    </xf>
    <xf numFmtId="0" fontId="22" fillId="6" borderId="122" xfId="0" applyFont="1" applyFill="1" applyBorder="1" applyProtection="1">
      <protection locked="0"/>
    </xf>
    <xf numFmtId="0" fontId="23" fillId="12" borderId="99" xfId="0" applyFont="1" applyFill="1" applyBorder="1" applyProtection="1"/>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8" borderId="125" xfId="0" applyFont="1" applyFill="1" applyBorder="1" applyAlignment="1" applyProtection="1">
      <alignment vertical="top"/>
    </xf>
    <xf numFmtId="0" fontId="26" fillId="18" borderId="123" xfId="0" applyFont="1" applyFill="1" applyBorder="1" applyAlignment="1" applyProtection="1">
      <alignment vertical="top"/>
    </xf>
    <xf numFmtId="0" fontId="26" fillId="18" borderId="125" xfId="0" applyFont="1" applyFill="1" applyBorder="1" applyAlignment="1" applyProtection="1">
      <alignment vertical="top"/>
    </xf>
    <xf numFmtId="0" fontId="26" fillId="4" borderId="123" xfId="0" applyFont="1" applyFill="1" applyBorder="1" applyAlignment="1" applyProtection="1">
      <alignment vertical="top"/>
    </xf>
    <xf numFmtId="0" fontId="26" fillId="4" borderId="124" xfId="0" applyFont="1" applyFill="1" applyBorder="1" applyAlignment="1" applyProtection="1">
      <alignment vertical="top"/>
    </xf>
    <xf numFmtId="0" fontId="66" fillId="4" borderId="126" xfId="0" applyFont="1" applyFill="1" applyBorder="1" applyAlignment="1" applyProtection="1">
      <alignment vertical="top"/>
    </xf>
    <xf numFmtId="0" fontId="65" fillId="2" borderId="60" xfId="0" applyFont="1" applyFill="1" applyBorder="1" applyAlignment="1">
      <alignment wrapText="1"/>
    </xf>
    <xf numFmtId="0" fontId="26" fillId="7" borderId="124"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1"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0" borderId="99" xfId="0" applyFont="1" applyFill="1" applyBorder="1" applyAlignment="1" applyProtection="1">
      <alignment vertical="top"/>
      <protection locked="0"/>
    </xf>
    <xf numFmtId="0" fontId="66" fillId="20" borderId="127"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173" fontId="19" fillId="20" borderId="128" xfId="0" applyNumberFormat="1" applyFont="1" applyFill="1" applyBorder="1" applyAlignment="1" applyProtection="1">
      <alignment horizontal="center" vertical="top"/>
      <protection locked="0"/>
    </xf>
    <xf numFmtId="173" fontId="28" fillId="20" borderId="129"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30" xfId="0" applyFont="1" applyFill="1" applyBorder="1" applyAlignment="1">
      <alignment wrapText="1"/>
    </xf>
    <xf numFmtId="0" fontId="41" fillId="4" borderId="130"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65" fillId="4" borderId="6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190D88F-88EF-5BD8-BDEF-A3387792B9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90AF7CB-C413-AC38-E93A-103E8546281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88</xdr:row>
          <xdr:rowOff>171450</xdr:rowOff>
        </xdr:from>
        <xdr:to>
          <xdr:col>12</xdr:col>
          <xdr:colOff>95250</xdr:colOff>
          <xdr:row>89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315555BF-8D7B-DAEC-7D30-2DE46A5D609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90</xdr:row>
      <xdr:rowOff>66675</xdr:rowOff>
    </xdr:from>
    <xdr:to>
      <xdr:col>22</xdr:col>
      <xdr:colOff>295275</xdr:colOff>
      <xdr:row>105</xdr:row>
      <xdr:rowOff>19050</xdr:rowOff>
    </xdr:to>
    <xdr:sp macro="" textlink="">
      <xdr:nvSpPr>
        <xdr:cNvPr id="2303" name="Text Box 255">
          <a:extLst>
            <a:ext uri="{FF2B5EF4-FFF2-40B4-BE49-F238E27FC236}">
              <a16:creationId xmlns:a16="http://schemas.microsoft.com/office/drawing/2014/main" id="{BFA4AEB9-C3E4-17DD-16E6-E7E283F1EA7D}"/>
            </a:ext>
          </a:extLst>
        </xdr:cNvPr>
        <xdr:cNvSpPr txBox="1">
          <a:spLocks noChangeArrowheads="1"/>
        </xdr:cNvSpPr>
      </xdr:nvSpPr>
      <xdr:spPr bwMode="auto">
        <a:xfrm>
          <a:off x="5295900" y="7191375"/>
          <a:ext cx="68865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5D2618F9-A7CF-FB0B-63BD-D55E307D38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F289BACD-91D1-CFAC-BBD6-814C9CBA528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DB8DE4F-4186-876C-BB7E-C5DEB85F105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7E011A1-8B93-A522-2748-02888BDEFA7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9"/>
  <sheetViews>
    <sheetView showGridLines="0" topLeftCell="C1" zoomScale="60" zoomScaleNormal="65" workbookViewId="0">
      <selection activeCell="AC5" sqref="AC5"/>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84" t="s">
        <v>60</v>
      </c>
      <c r="B2" s="685" t="s">
        <v>59</v>
      </c>
      <c r="C2" s="685" t="s">
        <v>58</v>
      </c>
      <c r="D2" s="685" t="s">
        <v>9</v>
      </c>
      <c r="E2" s="685"/>
      <c r="F2" s="686">
        <v>1</v>
      </c>
      <c r="G2" s="686">
        <v>2</v>
      </c>
      <c r="H2" s="686">
        <v>3</v>
      </c>
      <c r="I2" s="686">
        <v>4</v>
      </c>
      <c r="J2" s="686">
        <v>5</v>
      </c>
      <c r="K2" s="686">
        <v>6</v>
      </c>
      <c r="L2" s="686">
        <v>7</v>
      </c>
      <c r="M2" s="686">
        <v>8</v>
      </c>
      <c r="N2" s="686">
        <v>9</v>
      </c>
      <c r="O2" s="686">
        <v>10</v>
      </c>
      <c r="P2" s="686">
        <v>11</v>
      </c>
      <c r="Q2" s="686">
        <v>12</v>
      </c>
      <c r="R2" s="686">
        <v>13</v>
      </c>
      <c r="S2" s="686">
        <v>14</v>
      </c>
      <c r="T2" s="686">
        <v>15</v>
      </c>
      <c r="U2" s="686">
        <v>16</v>
      </c>
      <c r="V2" s="686">
        <v>17</v>
      </c>
      <c r="W2" s="686">
        <v>18</v>
      </c>
      <c r="X2" s="686">
        <v>19</v>
      </c>
      <c r="Y2" s="686">
        <v>20</v>
      </c>
      <c r="Z2" s="686">
        <v>21</v>
      </c>
      <c r="AA2" s="686">
        <v>22</v>
      </c>
      <c r="AB2" s="686">
        <v>23</v>
      </c>
      <c r="AC2" s="687">
        <v>24</v>
      </c>
      <c r="AD2" s="685" t="s">
        <v>21</v>
      </c>
      <c r="AE2" s="688" t="s">
        <v>204</v>
      </c>
      <c r="AF2" s="689" t="s">
        <v>10</v>
      </c>
    </row>
    <row r="3" spans="1:75" s="359" customFormat="1" ht="12.75" customHeight="1" x14ac:dyDescent="0.2">
      <c r="A3" s="696" t="s">
        <v>62</v>
      </c>
      <c r="B3" s="703" t="s">
        <v>61</v>
      </c>
      <c r="C3" s="704" t="s">
        <v>151</v>
      </c>
      <c r="D3" s="704"/>
      <c r="E3" s="699"/>
      <c r="F3" s="681">
        <v>35</v>
      </c>
      <c r="G3" s="681">
        <v>35</v>
      </c>
      <c r="H3" s="681">
        <v>25</v>
      </c>
      <c r="I3" s="681">
        <v>25</v>
      </c>
      <c r="J3" s="681">
        <v>25</v>
      </c>
      <c r="K3" s="681">
        <v>25</v>
      </c>
      <c r="L3" s="681">
        <v>70</v>
      </c>
      <c r="M3" s="681">
        <v>90</v>
      </c>
      <c r="N3" s="681">
        <v>110</v>
      </c>
      <c r="O3" s="681">
        <v>130</v>
      </c>
      <c r="P3" s="681">
        <v>150</v>
      </c>
      <c r="Q3" s="681">
        <v>150</v>
      </c>
      <c r="R3" s="681">
        <v>150</v>
      </c>
      <c r="S3" s="681">
        <v>150</v>
      </c>
      <c r="T3" s="681">
        <v>150</v>
      </c>
      <c r="U3" s="681">
        <v>150</v>
      </c>
      <c r="V3" s="681">
        <v>150</v>
      </c>
      <c r="W3" s="681">
        <v>150</v>
      </c>
      <c r="X3" s="681">
        <v>150</v>
      </c>
      <c r="Y3" s="681">
        <v>150</v>
      </c>
      <c r="Z3" s="681">
        <v>150</v>
      </c>
      <c r="AA3" s="681">
        <v>130</v>
      </c>
      <c r="AB3" s="681">
        <v>90</v>
      </c>
      <c r="AC3" s="681">
        <v>60</v>
      </c>
      <c r="AD3" s="682">
        <f>SUM(F3:AC3)</f>
        <v>2500</v>
      </c>
      <c r="AE3" s="683">
        <f>AD3*D3</f>
        <v>0</v>
      </c>
      <c r="AF3" s="680"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97" t="s">
        <v>64</v>
      </c>
      <c r="B4" s="705" t="s">
        <v>61</v>
      </c>
      <c r="C4" s="706"/>
      <c r="D4" s="706"/>
      <c r="E4" s="700"/>
      <c r="F4" s="637">
        <v>10</v>
      </c>
      <c r="G4" s="637">
        <v>10</v>
      </c>
      <c r="H4" s="637">
        <v>10</v>
      </c>
      <c r="I4" s="637">
        <v>10</v>
      </c>
      <c r="J4" s="637">
        <v>15</v>
      </c>
      <c r="K4" s="637">
        <v>25</v>
      </c>
      <c r="L4" s="637">
        <v>25</v>
      </c>
      <c r="M4" s="637">
        <v>25</v>
      </c>
      <c r="N4" s="637">
        <v>25</v>
      </c>
      <c r="O4" s="637">
        <v>25</v>
      </c>
      <c r="P4" s="637">
        <v>25</v>
      </c>
      <c r="Q4" s="637">
        <v>25</v>
      </c>
      <c r="R4" s="637">
        <v>25</v>
      </c>
      <c r="S4" s="637">
        <v>25</v>
      </c>
      <c r="T4" s="637">
        <v>25</v>
      </c>
      <c r="U4" s="637">
        <v>25</v>
      </c>
      <c r="V4" s="637">
        <v>25</v>
      </c>
      <c r="W4" s="637">
        <v>25</v>
      </c>
      <c r="X4" s="637">
        <v>25</v>
      </c>
      <c r="Y4" s="637">
        <v>25</v>
      </c>
      <c r="Z4" s="637">
        <v>25</v>
      </c>
      <c r="AA4" s="637">
        <v>20</v>
      </c>
      <c r="AB4" s="637">
        <v>20</v>
      </c>
      <c r="AC4" s="637">
        <v>10</v>
      </c>
      <c r="AD4" s="618">
        <f>SUM(F4:AC4)</f>
        <v>505</v>
      </c>
      <c r="AE4" s="619">
        <f>AD4*D4</f>
        <v>0</v>
      </c>
      <c r="AF4" s="556" t="str">
        <f>IF(AD4&lt;0,"buy","sell")</f>
        <v>sell</v>
      </c>
    </row>
    <row r="5" spans="1:75" s="359" customFormat="1" x14ac:dyDescent="0.2">
      <c r="A5" s="698" t="s">
        <v>63</v>
      </c>
      <c r="B5" s="707"/>
      <c r="C5" s="707"/>
      <c r="D5" s="707"/>
      <c r="E5" s="701"/>
      <c r="F5" s="637">
        <v>0</v>
      </c>
      <c r="G5" s="637">
        <v>0</v>
      </c>
      <c r="H5" s="637">
        <v>0</v>
      </c>
      <c r="I5" s="637">
        <v>0</v>
      </c>
      <c r="J5" s="637">
        <v>0</v>
      </c>
      <c r="K5" s="637">
        <v>0</v>
      </c>
      <c r="L5" s="637">
        <v>0</v>
      </c>
      <c r="M5" s="637">
        <v>0</v>
      </c>
      <c r="N5" s="637">
        <v>0</v>
      </c>
      <c r="O5" s="637">
        <v>0</v>
      </c>
      <c r="P5" s="637">
        <v>0</v>
      </c>
      <c r="Q5" s="637">
        <v>0</v>
      </c>
      <c r="R5" s="637">
        <v>0</v>
      </c>
      <c r="S5" s="637">
        <v>0</v>
      </c>
      <c r="T5" s="637">
        <v>0</v>
      </c>
      <c r="U5" s="637">
        <v>0</v>
      </c>
      <c r="V5" s="637">
        <v>0</v>
      </c>
      <c r="W5" s="637">
        <v>0</v>
      </c>
      <c r="X5" s="637">
        <v>0</v>
      </c>
      <c r="Y5" s="637">
        <v>0</v>
      </c>
      <c r="Z5" s="637">
        <v>0</v>
      </c>
      <c r="AA5" s="637">
        <v>0</v>
      </c>
      <c r="AB5" s="637">
        <v>0</v>
      </c>
      <c r="AC5" s="637">
        <v>0</v>
      </c>
      <c r="AD5" s="618">
        <f>SUM(F5:AC5)</f>
        <v>0</v>
      </c>
      <c r="AE5" s="619">
        <f>AD5*D5</f>
        <v>0</v>
      </c>
      <c r="AF5" s="556" t="str">
        <f>IF(AD5&lt;0,"buy","sell")</f>
        <v>sell</v>
      </c>
    </row>
    <row r="6" spans="1:75" s="359" customFormat="1" x14ac:dyDescent="0.2">
      <c r="A6" s="698"/>
      <c r="B6" s="707"/>
      <c r="C6" s="707"/>
      <c r="D6" s="707"/>
      <c r="E6" s="701"/>
      <c r="F6" s="637"/>
      <c r="G6" s="637"/>
      <c r="H6" s="637"/>
      <c r="I6" s="637"/>
      <c r="J6" s="637"/>
      <c r="K6" s="637"/>
      <c r="L6" s="637"/>
      <c r="M6" s="637"/>
      <c r="N6" s="637"/>
      <c r="O6" s="637"/>
      <c r="P6" s="637"/>
      <c r="Q6" s="637"/>
      <c r="R6" s="637"/>
      <c r="S6" s="637"/>
      <c r="T6" s="637"/>
      <c r="U6" s="637"/>
      <c r="V6" s="637"/>
      <c r="W6" s="637"/>
      <c r="X6" s="637"/>
      <c r="Y6" s="637"/>
      <c r="Z6" s="637"/>
      <c r="AA6" s="637"/>
      <c r="AB6" s="637"/>
      <c r="AC6" s="637"/>
      <c r="AD6" s="618"/>
      <c r="AE6" s="619"/>
      <c r="AF6" s="556"/>
    </row>
    <row r="7" spans="1:75" s="359" customFormat="1" x14ac:dyDescent="0.2">
      <c r="A7" s="698" t="s">
        <v>3</v>
      </c>
      <c r="B7" s="707"/>
      <c r="C7" s="707" t="s">
        <v>370</v>
      </c>
      <c r="D7" s="707"/>
      <c r="E7" s="701"/>
      <c r="F7" s="637">
        <v>-103</v>
      </c>
      <c r="G7" s="637">
        <v>-103</v>
      </c>
      <c r="H7" s="637">
        <v>-103</v>
      </c>
      <c r="I7" s="637">
        <v>-103</v>
      </c>
      <c r="J7" s="637">
        <v>-103</v>
      </c>
      <c r="K7" s="637">
        <v>-103</v>
      </c>
      <c r="L7" s="637">
        <v>-103</v>
      </c>
      <c r="M7" s="637">
        <v>-103</v>
      </c>
      <c r="N7" s="637">
        <v>-103</v>
      </c>
      <c r="O7" s="637">
        <v>-103</v>
      </c>
      <c r="P7" s="637">
        <v>-103</v>
      </c>
      <c r="Q7" s="637">
        <v>-103</v>
      </c>
      <c r="R7" s="637">
        <v>-103</v>
      </c>
      <c r="S7" s="637">
        <v>-103</v>
      </c>
      <c r="T7" s="637">
        <v>-103</v>
      </c>
      <c r="U7" s="637">
        <v>-103</v>
      </c>
      <c r="V7" s="637">
        <v>-103</v>
      </c>
      <c r="W7" s="637">
        <v>-103</v>
      </c>
      <c r="X7" s="637">
        <v>-103</v>
      </c>
      <c r="Y7" s="637">
        <v>-103</v>
      </c>
      <c r="Z7" s="637">
        <v>-103</v>
      </c>
      <c r="AA7" s="637">
        <v>-103</v>
      </c>
      <c r="AB7" s="637">
        <v>-103</v>
      </c>
      <c r="AC7" s="637">
        <v>-103</v>
      </c>
      <c r="AD7" s="618"/>
      <c r="AE7" s="619"/>
      <c r="AF7" s="556"/>
    </row>
    <row r="8" spans="1:75" s="359" customFormat="1" x14ac:dyDescent="0.2">
      <c r="A8" s="698"/>
      <c r="B8" s="707"/>
      <c r="C8" s="707"/>
      <c r="D8" s="707"/>
      <c r="E8" s="701"/>
      <c r="F8" s="637"/>
      <c r="G8" s="637"/>
      <c r="H8" s="637"/>
      <c r="I8" s="637"/>
      <c r="J8" s="637"/>
      <c r="K8" s="637"/>
      <c r="L8" s="637"/>
      <c r="M8" s="637"/>
      <c r="N8" s="637"/>
      <c r="O8" s="637"/>
      <c r="P8" s="637"/>
      <c r="Q8" s="675"/>
      <c r="R8" s="637"/>
      <c r="S8" s="637"/>
      <c r="T8" s="637"/>
      <c r="U8" s="637"/>
      <c r="V8" s="637"/>
      <c r="W8" s="637"/>
      <c r="X8" s="637"/>
      <c r="Y8" s="637"/>
      <c r="Z8" s="637"/>
      <c r="AA8" s="637"/>
      <c r="AB8" s="637"/>
      <c r="AC8" s="637"/>
      <c r="AD8" s="618">
        <f>SUM(F8:AC8)</f>
        <v>0</v>
      </c>
      <c r="AE8" s="619"/>
      <c r="AF8" s="556"/>
    </row>
    <row r="9" spans="1:75" s="359" customFormat="1" x14ac:dyDescent="0.2">
      <c r="A9" s="698" t="s">
        <v>369</v>
      </c>
      <c r="B9" s="707"/>
      <c r="C9" s="707" t="s">
        <v>151</v>
      </c>
      <c r="D9" s="707"/>
      <c r="E9" s="701"/>
      <c r="F9" s="637">
        <v>50</v>
      </c>
      <c r="G9" s="637">
        <v>50</v>
      </c>
      <c r="H9" s="637">
        <v>50</v>
      </c>
      <c r="I9" s="637">
        <v>50</v>
      </c>
      <c r="J9" s="637">
        <v>50</v>
      </c>
      <c r="K9" s="637">
        <v>50</v>
      </c>
      <c r="L9" s="637"/>
      <c r="M9" s="637"/>
      <c r="N9" s="637"/>
      <c r="O9" s="637"/>
      <c r="P9" s="637"/>
      <c r="Q9" s="637"/>
      <c r="R9" s="637"/>
      <c r="S9" s="637"/>
      <c r="T9" s="637"/>
      <c r="U9" s="637"/>
      <c r="V9" s="637"/>
      <c r="W9" s="637"/>
      <c r="X9" s="637"/>
      <c r="Y9" s="637"/>
      <c r="Z9" s="637"/>
      <c r="AA9" s="637"/>
      <c r="AB9" s="637">
        <v>50</v>
      </c>
      <c r="AC9" s="637">
        <v>50</v>
      </c>
      <c r="AD9" s="618">
        <f>SUM(F9:AC9)</f>
        <v>400</v>
      </c>
      <c r="AE9" s="619"/>
      <c r="AF9" s="556"/>
    </row>
    <row r="10" spans="1:75" s="359" customFormat="1" x14ac:dyDescent="0.2">
      <c r="A10" s="698" t="s">
        <v>228</v>
      </c>
      <c r="B10" s="707"/>
      <c r="C10" s="707" t="s">
        <v>151</v>
      </c>
      <c r="D10" s="708"/>
      <c r="E10" s="702"/>
      <c r="F10" s="637">
        <v>3</v>
      </c>
      <c r="G10" s="637">
        <v>3</v>
      </c>
      <c r="H10" s="637">
        <v>3</v>
      </c>
      <c r="I10" s="637">
        <v>3</v>
      </c>
      <c r="J10" s="637">
        <v>3</v>
      </c>
      <c r="K10" s="637">
        <v>3</v>
      </c>
      <c r="L10" s="637"/>
      <c r="M10" s="637"/>
      <c r="N10" s="637"/>
      <c r="O10" s="637"/>
      <c r="P10" s="637"/>
      <c r="Q10" s="675"/>
      <c r="R10" s="637"/>
      <c r="S10" s="637"/>
      <c r="T10" s="637"/>
      <c r="U10" s="637"/>
      <c r="V10" s="637"/>
      <c r="W10" s="637"/>
      <c r="X10" s="637"/>
      <c r="Y10" s="637"/>
      <c r="Z10" s="637"/>
      <c r="AA10" s="637"/>
      <c r="AB10" s="637">
        <v>3</v>
      </c>
      <c r="AC10" s="637">
        <v>3</v>
      </c>
      <c r="AD10" s="618">
        <f>SUM(E10:AC10)</f>
        <v>24</v>
      </c>
      <c r="AE10" s="619">
        <f>AD10*D10</f>
        <v>0</v>
      </c>
      <c r="AF10" s="556" t="str">
        <f>IF(AD10&lt;0,"buy","sell")</f>
        <v>sell</v>
      </c>
    </row>
    <row r="11" spans="1:75" s="359" customFormat="1" x14ac:dyDescent="0.2">
      <c r="A11" s="698" t="s">
        <v>224</v>
      </c>
      <c r="B11" s="707"/>
      <c r="C11" s="707" t="s">
        <v>151</v>
      </c>
      <c r="D11" s="707"/>
      <c r="E11" s="701"/>
      <c r="F11" s="637">
        <v>50</v>
      </c>
      <c r="G11" s="637">
        <v>50</v>
      </c>
      <c r="H11" s="637">
        <v>50</v>
      </c>
      <c r="I11" s="637">
        <v>50</v>
      </c>
      <c r="J11" s="637">
        <v>50</v>
      </c>
      <c r="K11" s="637">
        <v>50</v>
      </c>
      <c r="L11" s="637"/>
      <c r="M11" s="637"/>
      <c r="N11" s="637"/>
      <c r="O11" s="637"/>
      <c r="P11" s="637"/>
      <c r="Q11" s="675"/>
      <c r="R11" s="637"/>
      <c r="S11" s="637"/>
      <c r="T11" s="637"/>
      <c r="U11" s="637"/>
      <c r="V11" s="637"/>
      <c r="W11" s="637"/>
      <c r="X11" s="637"/>
      <c r="Y11" s="637"/>
      <c r="Z11" s="637"/>
      <c r="AA11" s="637"/>
      <c r="AB11" s="637">
        <v>50</v>
      </c>
      <c r="AC11" s="637">
        <v>50</v>
      </c>
      <c r="AD11" s="618">
        <f>SUM(E11:AC11)</f>
        <v>400</v>
      </c>
      <c r="AE11" s="619">
        <f>AD11*D11</f>
        <v>0</v>
      </c>
      <c r="AF11" s="556" t="str">
        <f>IF(AD11&lt;0,"buy","sell")</f>
        <v>sell</v>
      </c>
    </row>
    <row r="12" spans="1:75" s="359" customFormat="1" x14ac:dyDescent="0.2">
      <c r="A12" s="698"/>
      <c r="B12" s="707"/>
      <c r="C12" s="707"/>
      <c r="D12" s="707"/>
      <c r="E12" s="701"/>
      <c r="F12" s="637"/>
      <c r="G12" s="637"/>
      <c r="H12" s="637"/>
      <c r="I12" s="637"/>
      <c r="J12" s="637"/>
      <c r="K12" s="637"/>
      <c r="L12" s="637"/>
      <c r="M12" s="637"/>
      <c r="N12" s="637"/>
      <c r="O12" s="637"/>
      <c r="P12" s="637"/>
      <c r="Q12" s="675"/>
      <c r="R12" s="637"/>
      <c r="S12" s="637"/>
      <c r="T12" s="637"/>
      <c r="U12" s="637"/>
      <c r="V12" s="637"/>
      <c r="W12" s="637"/>
      <c r="X12" s="637"/>
      <c r="Y12" s="637"/>
      <c r="Z12" s="637"/>
      <c r="AA12" s="637"/>
      <c r="AB12" s="637"/>
      <c r="AC12" s="637"/>
      <c r="AD12" s="676">
        <f>SUM(E12:AC12)</f>
        <v>0</v>
      </c>
      <c r="AE12" s="619"/>
      <c r="AF12" s="556"/>
    </row>
    <row r="13" spans="1:75" s="359" customFormat="1" x14ac:dyDescent="0.2">
      <c r="A13" s="709" t="s">
        <v>205</v>
      </c>
      <c r="B13" s="711"/>
      <c r="C13" s="711"/>
      <c r="D13" s="712"/>
      <c r="E13" s="710"/>
      <c r="F13" s="660"/>
      <c r="G13" s="660"/>
      <c r="H13" s="660"/>
      <c r="I13" s="660"/>
      <c r="J13" s="660"/>
      <c r="K13" s="660"/>
      <c r="L13" s="660"/>
      <c r="M13" s="660"/>
      <c r="N13" s="660"/>
      <c r="O13" s="660"/>
      <c r="P13" s="660"/>
      <c r="Q13" s="660"/>
      <c r="R13" s="660"/>
      <c r="S13" s="660"/>
      <c r="T13" s="660"/>
      <c r="U13" s="660"/>
      <c r="V13" s="660"/>
      <c r="W13" s="660"/>
      <c r="X13" s="660"/>
      <c r="Y13" s="660"/>
      <c r="Z13" s="660"/>
      <c r="AA13" s="660"/>
      <c r="AB13" s="660"/>
      <c r="AC13" s="660"/>
      <c r="AD13" s="677"/>
      <c r="AE13" s="678"/>
      <c r="AF13" s="679"/>
    </row>
    <row r="14" spans="1:75" s="359" customFormat="1" x14ac:dyDescent="0.2">
      <c r="A14" s="641" t="s">
        <v>206</v>
      </c>
      <c r="B14" s="366"/>
      <c r="C14" s="635"/>
      <c r="D14" s="366"/>
      <c r="E14" s="366"/>
      <c r="F14" s="661"/>
      <c r="G14" s="661"/>
      <c r="H14" s="661"/>
      <c r="I14" s="661"/>
      <c r="J14" s="661"/>
      <c r="K14" s="661"/>
      <c r="L14" s="661"/>
      <c r="M14" s="661"/>
      <c r="N14" s="661"/>
      <c r="O14" s="661"/>
      <c r="P14" s="661"/>
      <c r="Q14" s="661"/>
      <c r="R14" s="661"/>
      <c r="S14" s="661"/>
      <c r="T14" s="661"/>
      <c r="U14" s="661"/>
      <c r="V14" s="661"/>
      <c r="W14" s="661"/>
      <c r="X14" s="661"/>
      <c r="Y14" s="661"/>
      <c r="Z14" s="661"/>
      <c r="AA14" s="661"/>
      <c r="AB14" s="661"/>
      <c r="AC14" s="661"/>
      <c r="AD14" s="366"/>
      <c r="AE14" s="492"/>
      <c r="AF14" s="492"/>
    </row>
    <row r="15" spans="1:75" s="359" customFormat="1" hidden="1" x14ac:dyDescent="0.2">
      <c r="A15" s="642" t="s">
        <v>277</v>
      </c>
      <c r="B15" s="485" t="s">
        <v>240</v>
      </c>
      <c r="C15" s="485" t="s">
        <v>151</v>
      </c>
      <c r="D15" s="486">
        <f>F93</f>
        <v>-0.25</v>
      </c>
      <c r="E15" s="486"/>
      <c r="F15" s="659">
        <v>0</v>
      </c>
      <c r="G15" s="656"/>
      <c r="H15" s="659"/>
      <c r="I15" s="659"/>
      <c r="J15" s="659"/>
      <c r="K15" s="659"/>
      <c r="L15" s="659"/>
      <c r="M15" s="659"/>
      <c r="N15" s="659"/>
      <c r="O15" s="659"/>
      <c r="P15" s="659"/>
      <c r="Q15" s="659"/>
      <c r="R15" s="659"/>
      <c r="S15" s="659"/>
      <c r="T15" s="659"/>
      <c r="U15" s="659"/>
      <c r="V15" s="659"/>
      <c r="W15" s="659"/>
      <c r="X15" s="659"/>
      <c r="Y15" s="659"/>
      <c r="Z15" s="659"/>
      <c r="AA15" s="659"/>
      <c r="AB15" s="659"/>
      <c r="AC15" s="662"/>
      <c r="AD15" s="613">
        <f t="shared" ref="AD15:AD70" si="0">SUM(F15:AC15)</f>
        <v>0</v>
      </c>
      <c r="AE15" s="489">
        <f t="shared" ref="AE15:AE63" si="1">AD15*D15</f>
        <v>0</v>
      </c>
      <c r="AF15" s="465" t="str">
        <f>IF(AD15&lt;0,"buy","sell")</f>
        <v>sell</v>
      </c>
    </row>
    <row r="16" spans="1:75" s="359" customFormat="1" hidden="1" x14ac:dyDescent="0.2">
      <c r="A16" s="642" t="s">
        <v>277</v>
      </c>
      <c r="B16" s="485" t="s">
        <v>240</v>
      </c>
      <c r="C16" s="485" t="s">
        <v>151</v>
      </c>
      <c r="D16" s="486">
        <f>F94</f>
        <v>-0.25</v>
      </c>
      <c r="E16" s="486"/>
      <c r="F16" s="659"/>
      <c r="G16" s="659">
        <v>0</v>
      </c>
      <c r="H16" s="659"/>
      <c r="I16" s="659"/>
      <c r="J16" s="659"/>
      <c r="K16" s="659"/>
      <c r="L16" s="659"/>
      <c r="M16" s="659"/>
      <c r="N16" s="659"/>
      <c r="O16" s="659"/>
      <c r="P16" s="659"/>
      <c r="Q16" s="659"/>
      <c r="R16" s="659"/>
      <c r="S16" s="659"/>
      <c r="T16" s="659"/>
      <c r="U16" s="659"/>
      <c r="V16" s="659"/>
      <c r="W16" s="659"/>
      <c r="X16" s="659"/>
      <c r="Y16" s="659"/>
      <c r="Z16" s="659"/>
      <c r="AA16" s="659"/>
      <c r="AB16" s="662"/>
      <c r="AC16" s="662"/>
      <c r="AD16" s="613">
        <f t="shared" si="0"/>
        <v>0</v>
      </c>
      <c r="AE16" s="489">
        <f t="shared" si="1"/>
        <v>0</v>
      </c>
      <c r="AF16" s="465" t="str">
        <f t="shared" ref="AF16:AF38" si="2">IF(AD16&lt;0,"buy","sell")</f>
        <v>sell</v>
      </c>
    </row>
    <row r="17" spans="1:32" s="359" customFormat="1" hidden="1" x14ac:dyDescent="0.2">
      <c r="A17" s="642" t="s">
        <v>277</v>
      </c>
      <c r="B17" s="485" t="s">
        <v>240</v>
      </c>
      <c r="C17" s="485" t="s">
        <v>151</v>
      </c>
      <c r="D17" s="486">
        <f>F95</f>
        <v>-0.25</v>
      </c>
      <c r="E17" s="486"/>
      <c r="F17" s="659"/>
      <c r="G17" s="656"/>
      <c r="H17" s="659">
        <v>0</v>
      </c>
      <c r="I17" s="659"/>
      <c r="J17" s="659"/>
      <c r="K17" s="659"/>
      <c r="L17" s="659"/>
      <c r="M17" s="659"/>
      <c r="N17" s="659"/>
      <c r="O17" s="659"/>
      <c r="P17" s="659"/>
      <c r="Q17" s="659"/>
      <c r="R17" s="659"/>
      <c r="S17" s="659"/>
      <c r="T17" s="659"/>
      <c r="U17" s="659"/>
      <c r="V17" s="659"/>
      <c r="W17" s="659"/>
      <c r="X17" s="659"/>
      <c r="Y17" s="659"/>
      <c r="Z17" s="659"/>
      <c r="AA17" s="659"/>
      <c r="AB17" s="659"/>
      <c r="AC17" s="662"/>
      <c r="AD17" s="613">
        <f t="shared" si="0"/>
        <v>0</v>
      </c>
      <c r="AE17" s="489">
        <f t="shared" si="1"/>
        <v>0</v>
      </c>
      <c r="AF17" s="465" t="str">
        <f t="shared" si="2"/>
        <v>sell</v>
      </c>
    </row>
    <row r="18" spans="1:32" s="359" customFormat="1" hidden="1" x14ac:dyDescent="0.2">
      <c r="A18" s="642" t="s">
        <v>277</v>
      </c>
      <c r="B18" s="485" t="s">
        <v>240</v>
      </c>
      <c r="C18" s="485" t="s">
        <v>151</v>
      </c>
      <c r="D18" s="486">
        <f>F96</f>
        <v>-0.25</v>
      </c>
      <c r="E18" s="486"/>
      <c r="F18" s="659"/>
      <c r="G18" s="656"/>
      <c r="H18" s="659"/>
      <c r="I18" s="659">
        <v>0</v>
      </c>
      <c r="J18" s="659"/>
      <c r="K18" s="659"/>
      <c r="L18" s="659"/>
      <c r="M18" s="659"/>
      <c r="N18" s="659"/>
      <c r="O18" s="659"/>
      <c r="P18" s="659"/>
      <c r="Q18" s="659"/>
      <c r="R18" s="659"/>
      <c r="S18" s="659"/>
      <c r="T18" s="659"/>
      <c r="U18" s="659"/>
      <c r="V18" s="659"/>
      <c r="W18" s="659"/>
      <c r="X18" s="659"/>
      <c r="Y18" s="659"/>
      <c r="Z18" s="659"/>
      <c r="AA18" s="659"/>
      <c r="AB18" s="659"/>
      <c r="AC18" s="662"/>
      <c r="AD18" s="613">
        <f t="shared" si="0"/>
        <v>0</v>
      </c>
      <c r="AE18" s="489">
        <f t="shared" si="1"/>
        <v>0</v>
      </c>
      <c r="AF18" s="465" t="str">
        <f t="shared" si="2"/>
        <v>sell</v>
      </c>
    </row>
    <row r="19" spans="1:32" s="359" customFormat="1" hidden="1" x14ac:dyDescent="0.2">
      <c r="A19" s="642" t="s">
        <v>277</v>
      </c>
      <c r="B19" s="485" t="s">
        <v>240</v>
      </c>
      <c r="C19" s="485" t="s">
        <v>151</v>
      </c>
      <c r="D19" s="486">
        <f t="shared" ref="D19:D38" si="3">F97</f>
        <v>-0.25</v>
      </c>
      <c r="E19" s="486"/>
      <c r="F19" s="659"/>
      <c r="G19" s="656"/>
      <c r="H19" s="659"/>
      <c r="I19" s="659"/>
      <c r="J19" s="659">
        <v>0</v>
      </c>
      <c r="K19" s="659"/>
      <c r="L19" s="659"/>
      <c r="M19" s="659"/>
      <c r="N19" s="659"/>
      <c r="O19" s="659"/>
      <c r="P19" s="659"/>
      <c r="Q19" s="659"/>
      <c r="R19" s="659"/>
      <c r="S19" s="659"/>
      <c r="T19" s="659"/>
      <c r="U19" s="659"/>
      <c r="V19" s="659"/>
      <c r="W19" s="659"/>
      <c r="X19" s="659"/>
      <c r="Y19" s="659"/>
      <c r="Z19" s="659"/>
      <c r="AA19" s="659"/>
      <c r="AB19" s="659"/>
      <c r="AC19" s="662"/>
      <c r="AD19" s="613">
        <f t="shared" si="0"/>
        <v>0</v>
      </c>
      <c r="AE19" s="489">
        <f t="shared" si="1"/>
        <v>0</v>
      </c>
      <c r="AF19" s="465" t="str">
        <f>IF(AD19&lt;0,"buy","sell")</f>
        <v>sell</v>
      </c>
    </row>
    <row r="20" spans="1:32" s="359" customFormat="1" hidden="1" x14ac:dyDescent="0.2">
      <c r="A20" s="642" t="s">
        <v>277</v>
      </c>
      <c r="B20" s="485" t="s">
        <v>240</v>
      </c>
      <c r="C20" s="485" t="s">
        <v>151</v>
      </c>
      <c r="D20" s="486">
        <f t="shared" si="3"/>
        <v>-0.25</v>
      </c>
      <c r="E20" s="486"/>
      <c r="F20" s="659"/>
      <c r="G20" s="656"/>
      <c r="H20" s="659"/>
      <c r="I20" s="659"/>
      <c r="J20" s="659"/>
      <c r="K20" s="659">
        <v>0</v>
      </c>
      <c r="L20" s="659"/>
      <c r="M20" s="659"/>
      <c r="N20" s="659"/>
      <c r="O20" s="659"/>
      <c r="P20" s="659"/>
      <c r="Q20" s="659"/>
      <c r="R20" s="659"/>
      <c r="S20" s="659"/>
      <c r="T20" s="659"/>
      <c r="U20" s="659"/>
      <c r="V20" s="659"/>
      <c r="W20" s="659"/>
      <c r="X20" s="659"/>
      <c r="Y20" s="659"/>
      <c r="Z20" s="659"/>
      <c r="AA20" s="659"/>
      <c r="AB20" s="659"/>
      <c r="AC20" s="659"/>
      <c r="AD20" s="613">
        <f t="shared" si="0"/>
        <v>0</v>
      </c>
      <c r="AE20" s="489">
        <f t="shared" si="1"/>
        <v>0</v>
      </c>
      <c r="AF20" s="465" t="str">
        <f t="shared" si="2"/>
        <v>sell</v>
      </c>
    </row>
    <row r="21" spans="1:32" s="359" customFormat="1" hidden="1" x14ac:dyDescent="0.2">
      <c r="A21" s="642" t="s">
        <v>277</v>
      </c>
      <c r="B21" s="485" t="s">
        <v>240</v>
      </c>
      <c r="C21" s="485" t="s">
        <v>151</v>
      </c>
      <c r="D21" s="486">
        <f t="shared" si="3"/>
        <v>-0.25</v>
      </c>
      <c r="E21" s="486"/>
      <c r="F21" s="659"/>
      <c r="G21" s="656"/>
      <c r="H21" s="659"/>
      <c r="I21" s="659"/>
      <c r="J21" s="659"/>
      <c r="K21" s="659"/>
      <c r="L21" s="659">
        <v>0</v>
      </c>
      <c r="M21" s="659"/>
      <c r="N21" s="659"/>
      <c r="O21" s="659"/>
      <c r="P21" s="659"/>
      <c r="Q21" s="659"/>
      <c r="R21" s="659"/>
      <c r="S21" s="659"/>
      <c r="T21" s="659"/>
      <c r="U21" s="659"/>
      <c r="V21" s="659"/>
      <c r="W21" s="659"/>
      <c r="X21" s="659"/>
      <c r="Y21" s="659"/>
      <c r="Z21" s="659"/>
      <c r="AA21" s="659"/>
      <c r="AB21" s="659"/>
      <c r="AC21" s="659"/>
      <c r="AD21" s="613">
        <f t="shared" si="0"/>
        <v>0</v>
      </c>
      <c r="AE21" s="489">
        <f t="shared" si="1"/>
        <v>0</v>
      </c>
      <c r="AF21" s="465" t="str">
        <f t="shared" si="2"/>
        <v>sell</v>
      </c>
    </row>
    <row r="22" spans="1:32" s="359" customFormat="1" hidden="1" x14ac:dyDescent="0.2">
      <c r="A22" s="642" t="s">
        <v>277</v>
      </c>
      <c r="B22" s="485" t="s">
        <v>240</v>
      </c>
      <c r="C22" s="485" t="s">
        <v>151</v>
      </c>
      <c r="D22" s="486">
        <f t="shared" si="3"/>
        <v>-0.25</v>
      </c>
      <c r="E22" s="486"/>
      <c r="F22" s="659"/>
      <c r="G22" s="656"/>
      <c r="H22" s="659"/>
      <c r="I22" s="659"/>
      <c r="J22" s="659"/>
      <c r="K22" s="659"/>
      <c r="L22" s="659"/>
      <c r="M22" s="659">
        <v>0</v>
      </c>
      <c r="N22" s="659"/>
      <c r="O22" s="659"/>
      <c r="P22" s="659"/>
      <c r="Q22" s="659"/>
      <c r="R22" s="659"/>
      <c r="S22" s="659"/>
      <c r="T22" s="659"/>
      <c r="U22" s="659"/>
      <c r="V22" s="659"/>
      <c r="W22" s="659"/>
      <c r="X22" s="659"/>
      <c r="Y22" s="659"/>
      <c r="Z22" s="659"/>
      <c r="AA22" s="659"/>
      <c r="AB22" s="659"/>
      <c r="AC22" s="659"/>
      <c r="AD22" s="613">
        <f t="shared" si="0"/>
        <v>0</v>
      </c>
      <c r="AE22" s="489">
        <f t="shared" si="1"/>
        <v>0</v>
      </c>
      <c r="AF22" s="465" t="str">
        <f t="shared" si="2"/>
        <v>sell</v>
      </c>
    </row>
    <row r="23" spans="1:32" s="359" customFormat="1" hidden="1" x14ac:dyDescent="0.2">
      <c r="A23" s="642" t="s">
        <v>277</v>
      </c>
      <c r="B23" s="485" t="s">
        <v>240</v>
      </c>
      <c r="C23" s="485" t="s">
        <v>151</v>
      </c>
      <c r="D23" s="486">
        <f t="shared" si="3"/>
        <v>-0.25</v>
      </c>
      <c r="E23" s="486"/>
      <c r="F23" s="659"/>
      <c r="G23" s="656"/>
      <c r="H23" s="659"/>
      <c r="I23" s="659"/>
      <c r="J23" s="659"/>
      <c r="K23" s="659"/>
      <c r="L23" s="659"/>
      <c r="M23" s="659"/>
      <c r="N23" s="659">
        <v>0</v>
      </c>
      <c r="O23" s="659"/>
      <c r="P23" s="659"/>
      <c r="Q23" s="659"/>
      <c r="R23" s="659"/>
      <c r="S23" s="659"/>
      <c r="T23" s="659"/>
      <c r="U23" s="659"/>
      <c r="V23" s="659"/>
      <c r="W23" s="659"/>
      <c r="X23" s="659"/>
      <c r="Y23" s="659"/>
      <c r="Z23" s="659"/>
      <c r="AA23" s="659"/>
      <c r="AB23" s="659"/>
      <c r="AC23" s="659"/>
      <c r="AD23" s="613">
        <f t="shared" si="0"/>
        <v>0</v>
      </c>
      <c r="AE23" s="489">
        <f t="shared" si="1"/>
        <v>0</v>
      </c>
      <c r="AF23" s="465" t="str">
        <f t="shared" si="2"/>
        <v>sell</v>
      </c>
    </row>
    <row r="24" spans="1:32" s="359" customFormat="1" hidden="1" x14ac:dyDescent="0.2">
      <c r="A24" s="642" t="s">
        <v>277</v>
      </c>
      <c r="B24" s="485" t="s">
        <v>240</v>
      </c>
      <c r="C24" s="485" t="s">
        <v>151</v>
      </c>
      <c r="D24" s="486">
        <f t="shared" si="3"/>
        <v>-0.25</v>
      </c>
      <c r="E24" s="486"/>
      <c r="F24" s="659"/>
      <c r="G24" s="656"/>
      <c r="H24" s="659"/>
      <c r="I24" s="659"/>
      <c r="J24" s="659"/>
      <c r="K24" s="659"/>
      <c r="L24" s="659"/>
      <c r="M24" s="659"/>
      <c r="N24" s="659"/>
      <c r="O24" s="659">
        <v>0</v>
      </c>
      <c r="P24" s="659"/>
      <c r="Q24" s="659"/>
      <c r="R24" s="659"/>
      <c r="S24" s="659"/>
      <c r="T24" s="659"/>
      <c r="U24" s="659"/>
      <c r="V24" s="659"/>
      <c r="W24" s="659"/>
      <c r="X24" s="659"/>
      <c r="Y24" s="659"/>
      <c r="Z24" s="659"/>
      <c r="AA24" s="659"/>
      <c r="AB24" s="659"/>
      <c r="AC24" s="659"/>
      <c r="AD24" s="613">
        <f t="shared" si="0"/>
        <v>0</v>
      </c>
      <c r="AE24" s="489">
        <f t="shared" si="1"/>
        <v>0</v>
      </c>
      <c r="AF24" s="465" t="str">
        <f t="shared" si="2"/>
        <v>sell</v>
      </c>
    </row>
    <row r="25" spans="1:32" s="359" customFormat="1" hidden="1" x14ac:dyDescent="0.2">
      <c r="A25" s="642" t="s">
        <v>277</v>
      </c>
      <c r="B25" s="485" t="s">
        <v>240</v>
      </c>
      <c r="C25" s="485" t="s">
        <v>151</v>
      </c>
      <c r="D25" s="486">
        <f t="shared" si="3"/>
        <v>-0.25</v>
      </c>
      <c r="E25" s="486"/>
      <c r="F25" s="659"/>
      <c r="G25" s="656"/>
      <c r="H25" s="659"/>
      <c r="I25" s="659"/>
      <c r="J25" s="659"/>
      <c r="K25" s="659"/>
      <c r="L25" s="659"/>
      <c r="M25" s="659"/>
      <c r="N25" s="659"/>
      <c r="O25" s="659"/>
      <c r="P25" s="659">
        <v>0</v>
      </c>
      <c r="Q25" s="659"/>
      <c r="R25" s="659"/>
      <c r="S25" s="659"/>
      <c r="T25" s="659"/>
      <c r="U25" s="659"/>
      <c r="V25" s="659"/>
      <c r="W25" s="659"/>
      <c r="X25" s="659"/>
      <c r="Y25" s="659"/>
      <c r="Z25" s="659"/>
      <c r="AA25" s="659"/>
      <c r="AB25" s="659"/>
      <c r="AC25" s="659"/>
      <c r="AD25" s="613">
        <f t="shared" si="0"/>
        <v>0</v>
      </c>
      <c r="AE25" s="489">
        <f t="shared" si="1"/>
        <v>0</v>
      </c>
      <c r="AF25" s="465" t="str">
        <f t="shared" si="2"/>
        <v>sell</v>
      </c>
    </row>
    <row r="26" spans="1:32" s="359" customFormat="1" hidden="1" x14ac:dyDescent="0.2">
      <c r="A26" s="642" t="s">
        <v>277</v>
      </c>
      <c r="B26" s="485" t="s">
        <v>240</v>
      </c>
      <c r="C26" s="485" t="s">
        <v>151</v>
      </c>
      <c r="D26" s="486">
        <f t="shared" si="3"/>
        <v>-0.25</v>
      </c>
      <c r="E26" s="486"/>
      <c r="F26" s="659"/>
      <c r="G26" s="656"/>
      <c r="H26" s="659"/>
      <c r="I26" s="659"/>
      <c r="J26" s="659"/>
      <c r="K26" s="659"/>
      <c r="L26" s="659"/>
      <c r="M26" s="659"/>
      <c r="N26" s="659"/>
      <c r="O26" s="659"/>
      <c r="P26" s="659"/>
      <c r="Q26" s="659">
        <v>0</v>
      </c>
      <c r="R26" s="659"/>
      <c r="S26" s="659"/>
      <c r="T26" s="659"/>
      <c r="U26" s="659"/>
      <c r="V26" s="659"/>
      <c r="W26" s="659"/>
      <c r="X26" s="659"/>
      <c r="Y26" s="659"/>
      <c r="Z26" s="659"/>
      <c r="AA26" s="659"/>
      <c r="AB26" s="659"/>
      <c r="AC26" s="659"/>
      <c r="AD26" s="613">
        <f t="shared" si="0"/>
        <v>0</v>
      </c>
      <c r="AE26" s="489">
        <f t="shared" si="1"/>
        <v>0</v>
      </c>
      <c r="AF26" s="465" t="str">
        <f t="shared" si="2"/>
        <v>sell</v>
      </c>
    </row>
    <row r="27" spans="1:32" s="359" customFormat="1" hidden="1" x14ac:dyDescent="0.2">
      <c r="A27" s="642" t="s">
        <v>277</v>
      </c>
      <c r="B27" s="485" t="s">
        <v>240</v>
      </c>
      <c r="C27" s="485" t="s">
        <v>151</v>
      </c>
      <c r="D27" s="486">
        <f t="shared" si="3"/>
        <v>-0.25</v>
      </c>
      <c r="E27" s="486"/>
      <c r="F27" s="659"/>
      <c r="G27" s="656"/>
      <c r="H27" s="659"/>
      <c r="I27" s="659"/>
      <c r="J27" s="659"/>
      <c r="K27" s="659"/>
      <c r="L27" s="659"/>
      <c r="M27" s="659"/>
      <c r="N27" s="659"/>
      <c r="O27" s="659"/>
      <c r="P27" s="659"/>
      <c r="Q27" s="659"/>
      <c r="R27" s="659">
        <v>0</v>
      </c>
      <c r="S27" s="659"/>
      <c r="T27" s="659"/>
      <c r="U27" s="659"/>
      <c r="V27" s="659"/>
      <c r="W27" s="659"/>
      <c r="X27" s="659"/>
      <c r="Y27" s="659"/>
      <c r="Z27" s="659"/>
      <c r="AA27" s="659"/>
      <c r="AB27" s="659"/>
      <c r="AC27" s="659"/>
      <c r="AD27" s="613">
        <f t="shared" si="0"/>
        <v>0</v>
      </c>
      <c r="AE27" s="489">
        <f t="shared" si="1"/>
        <v>0</v>
      </c>
      <c r="AF27" s="465" t="str">
        <f t="shared" si="2"/>
        <v>sell</v>
      </c>
    </row>
    <row r="28" spans="1:32" s="359" customFormat="1" hidden="1" x14ac:dyDescent="0.2">
      <c r="A28" s="642" t="s">
        <v>277</v>
      </c>
      <c r="B28" s="485" t="s">
        <v>240</v>
      </c>
      <c r="C28" s="485" t="s">
        <v>151</v>
      </c>
      <c r="D28" s="486">
        <f t="shared" si="3"/>
        <v>-0.25</v>
      </c>
      <c r="E28" s="486"/>
      <c r="F28" s="659"/>
      <c r="G28" s="656"/>
      <c r="H28" s="659"/>
      <c r="I28" s="659"/>
      <c r="J28" s="659"/>
      <c r="K28" s="659"/>
      <c r="L28" s="659"/>
      <c r="M28" s="659"/>
      <c r="N28" s="659"/>
      <c r="O28" s="659"/>
      <c r="P28" s="659"/>
      <c r="Q28" s="659"/>
      <c r="R28" s="659"/>
      <c r="S28" s="659">
        <v>0</v>
      </c>
      <c r="T28" s="659"/>
      <c r="U28" s="659"/>
      <c r="V28" s="659"/>
      <c r="W28" s="659"/>
      <c r="X28" s="659"/>
      <c r="Y28" s="659"/>
      <c r="Z28" s="659"/>
      <c r="AA28" s="659"/>
      <c r="AB28" s="659"/>
      <c r="AC28" s="659"/>
      <c r="AD28" s="613">
        <f t="shared" si="0"/>
        <v>0</v>
      </c>
      <c r="AE28" s="489">
        <f t="shared" si="1"/>
        <v>0</v>
      </c>
      <c r="AF28" s="465" t="str">
        <f t="shared" si="2"/>
        <v>sell</v>
      </c>
    </row>
    <row r="29" spans="1:32" s="359" customFormat="1" hidden="1" x14ac:dyDescent="0.2">
      <c r="A29" s="642" t="s">
        <v>277</v>
      </c>
      <c r="B29" s="485" t="s">
        <v>240</v>
      </c>
      <c r="C29" s="485" t="s">
        <v>151</v>
      </c>
      <c r="D29" s="486">
        <f t="shared" si="3"/>
        <v>-0.25</v>
      </c>
      <c r="E29" s="486"/>
      <c r="F29" s="659"/>
      <c r="G29" s="656"/>
      <c r="H29" s="659"/>
      <c r="I29" s="659"/>
      <c r="J29" s="659"/>
      <c r="K29" s="659"/>
      <c r="L29" s="659"/>
      <c r="M29" s="659"/>
      <c r="N29" s="659"/>
      <c r="O29" s="659"/>
      <c r="P29" s="659"/>
      <c r="Q29" s="659"/>
      <c r="R29" s="659"/>
      <c r="S29" s="659"/>
      <c r="T29" s="659">
        <v>0</v>
      </c>
      <c r="U29" s="659"/>
      <c r="V29" s="659"/>
      <c r="W29" s="659"/>
      <c r="X29" s="659"/>
      <c r="Y29" s="659"/>
      <c r="Z29" s="659"/>
      <c r="AA29" s="659"/>
      <c r="AB29" s="659"/>
      <c r="AC29" s="659"/>
      <c r="AD29" s="613">
        <f t="shared" si="0"/>
        <v>0</v>
      </c>
      <c r="AE29" s="489">
        <f t="shared" si="1"/>
        <v>0</v>
      </c>
      <c r="AF29" s="465" t="str">
        <f t="shared" si="2"/>
        <v>sell</v>
      </c>
    </row>
    <row r="30" spans="1:32" s="359" customFormat="1" hidden="1" x14ac:dyDescent="0.2">
      <c r="A30" s="642" t="s">
        <v>277</v>
      </c>
      <c r="B30" s="485" t="s">
        <v>240</v>
      </c>
      <c r="C30" s="485" t="s">
        <v>151</v>
      </c>
      <c r="D30" s="486">
        <f t="shared" si="3"/>
        <v>-0.25</v>
      </c>
      <c r="E30" s="486"/>
      <c r="F30" s="659"/>
      <c r="G30" s="656"/>
      <c r="H30" s="659"/>
      <c r="I30" s="659"/>
      <c r="J30" s="659"/>
      <c r="K30" s="659"/>
      <c r="L30" s="659"/>
      <c r="M30" s="659"/>
      <c r="N30" s="659"/>
      <c r="O30" s="659"/>
      <c r="P30" s="659"/>
      <c r="Q30" s="659"/>
      <c r="R30" s="659"/>
      <c r="S30" s="659"/>
      <c r="T30" s="659"/>
      <c r="U30" s="659">
        <v>0</v>
      </c>
      <c r="V30" s="659"/>
      <c r="W30" s="659"/>
      <c r="X30" s="659"/>
      <c r="Y30" s="659"/>
      <c r="Z30" s="659"/>
      <c r="AA30" s="659"/>
      <c r="AB30" s="659"/>
      <c r="AC30" s="659"/>
      <c r="AD30" s="613">
        <f t="shared" si="0"/>
        <v>0</v>
      </c>
      <c r="AE30" s="489">
        <f t="shared" si="1"/>
        <v>0</v>
      </c>
      <c r="AF30" s="465" t="str">
        <f t="shared" si="2"/>
        <v>sell</v>
      </c>
    </row>
    <row r="31" spans="1:32" s="359" customFormat="1" hidden="1" x14ac:dyDescent="0.2">
      <c r="A31" s="642" t="s">
        <v>277</v>
      </c>
      <c r="B31" s="485" t="s">
        <v>240</v>
      </c>
      <c r="C31" s="485" t="s">
        <v>151</v>
      </c>
      <c r="D31" s="486">
        <f t="shared" si="3"/>
        <v>-0.25</v>
      </c>
      <c r="E31" s="486"/>
      <c r="F31" s="659"/>
      <c r="G31" s="656"/>
      <c r="H31" s="659"/>
      <c r="I31" s="659"/>
      <c r="J31" s="659"/>
      <c r="K31" s="659"/>
      <c r="L31" s="659"/>
      <c r="M31" s="659"/>
      <c r="N31" s="659"/>
      <c r="O31" s="659"/>
      <c r="P31" s="659"/>
      <c r="Q31" s="659"/>
      <c r="R31" s="659"/>
      <c r="S31" s="659"/>
      <c r="T31" s="659"/>
      <c r="U31" s="659"/>
      <c r="V31" s="659">
        <v>0</v>
      </c>
      <c r="W31" s="659"/>
      <c r="X31" s="659"/>
      <c r="Y31" s="659"/>
      <c r="Z31" s="659"/>
      <c r="AA31" s="663"/>
      <c r="AB31" s="659"/>
      <c r="AC31" s="659"/>
      <c r="AD31" s="613">
        <f t="shared" si="0"/>
        <v>0</v>
      </c>
      <c r="AE31" s="489">
        <f t="shared" si="1"/>
        <v>0</v>
      </c>
      <c r="AF31" s="465" t="str">
        <f t="shared" si="2"/>
        <v>sell</v>
      </c>
    </row>
    <row r="32" spans="1:32" s="359" customFormat="1" hidden="1" x14ac:dyDescent="0.2">
      <c r="A32" s="642" t="s">
        <v>277</v>
      </c>
      <c r="B32" s="485" t="s">
        <v>240</v>
      </c>
      <c r="C32" s="485" t="s">
        <v>151</v>
      </c>
      <c r="D32" s="486">
        <f t="shared" si="3"/>
        <v>-0.25</v>
      </c>
      <c r="E32" s="486"/>
      <c r="F32" s="659"/>
      <c r="G32" s="656"/>
      <c r="H32" s="659"/>
      <c r="I32" s="659"/>
      <c r="J32" s="659"/>
      <c r="K32" s="659"/>
      <c r="L32" s="659"/>
      <c r="M32" s="659"/>
      <c r="N32" s="659"/>
      <c r="O32" s="659"/>
      <c r="P32" s="659"/>
      <c r="Q32" s="659"/>
      <c r="R32" s="659"/>
      <c r="S32" s="659"/>
      <c r="T32" s="659"/>
      <c r="U32" s="659"/>
      <c r="V32" s="659"/>
      <c r="W32" s="659">
        <v>0</v>
      </c>
      <c r="X32" s="659"/>
      <c r="Y32" s="659"/>
      <c r="Z32" s="659"/>
      <c r="AA32" s="659"/>
      <c r="AB32" s="659"/>
      <c r="AC32" s="659"/>
      <c r="AD32" s="613">
        <f t="shared" si="0"/>
        <v>0</v>
      </c>
      <c r="AE32" s="489">
        <f t="shared" si="1"/>
        <v>0</v>
      </c>
      <c r="AF32" s="465" t="str">
        <f t="shared" si="2"/>
        <v>sell</v>
      </c>
    </row>
    <row r="33" spans="1:32" s="359" customFormat="1" hidden="1" x14ac:dyDescent="0.2">
      <c r="A33" s="642" t="s">
        <v>277</v>
      </c>
      <c r="B33" s="485" t="s">
        <v>240</v>
      </c>
      <c r="C33" s="485" t="s">
        <v>151</v>
      </c>
      <c r="D33" s="486">
        <f t="shared" si="3"/>
        <v>-0.25</v>
      </c>
      <c r="E33" s="486"/>
      <c r="F33" s="659"/>
      <c r="G33" s="656"/>
      <c r="H33" s="659"/>
      <c r="I33" s="659"/>
      <c r="J33" s="659"/>
      <c r="K33" s="659"/>
      <c r="L33" s="659"/>
      <c r="M33" s="659"/>
      <c r="N33" s="659"/>
      <c r="O33" s="659"/>
      <c r="P33" s="659"/>
      <c r="Q33" s="659"/>
      <c r="R33" s="659"/>
      <c r="S33" s="659"/>
      <c r="T33" s="659"/>
      <c r="U33" s="659"/>
      <c r="V33" s="659"/>
      <c r="W33" s="659"/>
      <c r="X33" s="659">
        <v>0</v>
      </c>
      <c r="Y33" s="659"/>
      <c r="Z33" s="659"/>
      <c r="AA33" s="659"/>
      <c r="AB33" s="659"/>
      <c r="AC33" s="659"/>
      <c r="AD33" s="613">
        <f t="shared" si="0"/>
        <v>0</v>
      </c>
      <c r="AE33" s="489">
        <f t="shared" si="1"/>
        <v>0</v>
      </c>
      <c r="AF33" s="465" t="str">
        <f t="shared" si="2"/>
        <v>sell</v>
      </c>
    </row>
    <row r="34" spans="1:32" s="359" customFormat="1" hidden="1" x14ac:dyDescent="0.2">
      <c r="A34" s="642" t="s">
        <v>277</v>
      </c>
      <c r="B34" s="485" t="s">
        <v>240</v>
      </c>
      <c r="C34" s="485" t="s">
        <v>151</v>
      </c>
      <c r="D34" s="486">
        <f t="shared" si="3"/>
        <v>-0.25</v>
      </c>
      <c r="E34" s="486"/>
      <c r="F34" s="659"/>
      <c r="G34" s="656"/>
      <c r="H34" s="659"/>
      <c r="I34" s="659"/>
      <c r="J34" s="659"/>
      <c r="K34" s="659"/>
      <c r="L34" s="659"/>
      <c r="M34" s="659"/>
      <c r="N34" s="659"/>
      <c r="O34" s="659"/>
      <c r="P34" s="659"/>
      <c r="Q34" s="659"/>
      <c r="R34" s="659"/>
      <c r="S34" s="659"/>
      <c r="T34" s="659"/>
      <c r="U34" s="659"/>
      <c r="V34" s="659"/>
      <c r="W34" s="659"/>
      <c r="X34" s="659"/>
      <c r="Y34" s="659">
        <v>0</v>
      </c>
      <c r="Z34" s="659"/>
      <c r="AA34" s="659"/>
      <c r="AB34" s="659"/>
      <c r="AC34" s="659"/>
      <c r="AD34" s="613">
        <f t="shared" si="0"/>
        <v>0</v>
      </c>
      <c r="AE34" s="489">
        <f t="shared" si="1"/>
        <v>0</v>
      </c>
      <c r="AF34" s="465" t="str">
        <f t="shared" si="2"/>
        <v>sell</v>
      </c>
    </row>
    <row r="35" spans="1:32" s="359" customFormat="1" hidden="1" x14ac:dyDescent="0.2">
      <c r="A35" s="642" t="s">
        <v>277</v>
      </c>
      <c r="B35" s="485" t="s">
        <v>240</v>
      </c>
      <c r="C35" s="485" t="s">
        <v>151</v>
      </c>
      <c r="D35" s="486">
        <f t="shared" si="3"/>
        <v>-0.25</v>
      </c>
      <c r="E35" s="486"/>
      <c r="F35" s="659"/>
      <c r="G35" s="656"/>
      <c r="H35" s="659"/>
      <c r="I35" s="659"/>
      <c r="J35" s="659"/>
      <c r="K35" s="659"/>
      <c r="L35" s="659"/>
      <c r="M35" s="659"/>
      <c r="N35" s="659"/>
      <c r="O35" s="659"/>
      <c r="P35" s="659"/>
      <c r="Q35" s="659"/>
      <c r="R35" s="659"/>
      <c r="S35" s="659"/>
      <c r="T35" s="659"/>
      <c r="U35" s="659"/>
      <c r="V35" s="659"/>
      <c r="W35" s="659"/>
      <c r="X35" s="659"/>
      <c r="Y35" s="659"/>
      <c r="Z35" s="659">
        <v>0</v>
      </c>
      <c r="AA35" s="659"/>
      <c r="AB35" s="659"/>
      <c r="AC35" s="659"/>
      <c r="AD35" s="613">
        <f t="shared" si="0"/>
        <v>0</v>
      </c>
      <c r="AE35" s="489">
        <f t="shared" si="1"/>
        <v>0</v>
      </c>
      <c r="AF35" s="465" t="str">
        <f t="shared" si="2"/>
        <v>sell</v>
      </c>
    </row>
    <row r="36" spans="1:32" s="359" customFormat="1" hidden="1" x14ac:dyDescent="0.2">
      <c r="A36" s="642" t="s">
        <v>277</v>
      </c>
      <c r="B36" s="485" t="s">
        <v>240</v>
      </c>
      <c r="C36" s="485" t="s">
        <v>151</v>
      </c>
      <c r="D36" s="486">
        <f t="shared" si="3"/>
        <v>-0.25</v>
      </c>
      <c r="E36" s="486"/>
      <c r="F36" s="659"/>
      <c r="G36" s="656"/>
      <c r="H36" s="659"/>
      <c r="I36" s="659"/>
      <c r="J36" s="659"/>
      <c r="K36" s="659"/>
      <c r="L36" s="659"/>
      <c r="M36" s="659"/>
      <c r="N36" s="659"/>
      <c r="O36" s="659"/>
      <c r="P36" s="659"/>
      <c r="Q36" s="659"/>
      <c r="R36" s="659"/>
      <c r="S36" s="659"/>
      <c r="T36" s="659"/>
      <c r="U36" s="659"/>
      <c r="V36" s="659"/>
      <c r="W36" s="659"/>
      <c r="X36" s="659"/>
      <c r="Y36" s="659"/>
      <c r="Z36" s="659"/>
      <c r="AA36" s="659">
        <v>0</v>
      </c>
      <c r="AB36" s="659"/>
      <c r="AC36" s="659"/>
      <c r="AD36" s="613">
        <f t="shared" si="0"/>
        <v>0</v>
      </c>
      <c r="AE36" s="489">
        <f t="shared" si="1"/>
        <v>0</v>
      </c>
      <c r="AF36" s="465" t="str">
        <f t="shared" si="2"/>
        <v>sell</v>
      </c>
    </row>
    <row r="37" spans="1:32" s="359" customFormat="1" hidden="1" x14ac:dyDescent="0.2">
      <c r="A37" s="642" t="s">
        <v>277</v>
      </c>
      <c r="B37" s="485" t="s">
        <v>240</v>
      </c>
      <c r="C37" s="485" t="s">
        <v>151</v>
      </c>
      <c r="D37" s="486">
        <f t="shared" si="3"/>
        <v>-0.25</v>
      </c>
      <c r="E37" s="486"/>
      <c r="F37" s="659"/>
      <c r="G37" s="656"/>
      <c r="H37" s="659"/>
      <c r="I37" s="659"/>
      <c r="J37" s="659"/>
      <c r="K37" s="659"/>
      <c r="L37" s="659"/>
      <c r="M37" s="659"/>
      <c r="N37" s="659"/>
      <c r="O37" s="659"/>
      <c r="P37" s="659"/>
      <c r="Q37" s="659"/>
      <c r="R37" s="659"/>
      <c r="S37" s="659"/>
      <c r="T37" s="659"/>
      <c r="U37" s="659"/>
      <c r="V37" s="659"/>
      <c r="W37" s="659"/>
      <c r="X37" s="659"/>
      <c r="Y37" s="659"/>
      <c r="Z37" s="659"/>
      <c r="AA37" s="659"/>
      <c r="AB37" s="659">
        <v>0</v>
      </c>
      <c r="AC37" s="659"/>
      <c r="AD37" s="613">
        <f t="shared" si="0"/>
        <v>0</v>
      </c>
      <c r="AE37" s="489">
        <f t="shared" si="1"/>
        <v>0</v>
      </c>
      <c r="AF37" s="465" t="str">
        <f t="shared" si="2"/>
        <v>sell</v>
      </c>
    </row>
    <row r="38" spans="1:32" s="359" customFormat="1" hidden="1" x14ac:dyDescent="0.2">
      <c r="A38" s="642" t="s">
        <v>277</v>
      </c>
      <c r="B38" s="485" t="s">
        <v>240</v>
      </c>
      <c r="C38" s="485" t="s">
        <v>151</v>
      </c>
      <c r="D38" s="486">
        <f t="shared" si="3"/>
        <v>-0.25</v>
      </c>
      <c r="E38" s="486"/>
      <c r="F38" s="659"/>
      <c r="G38" s="656"/>
      <c r="H38" s="659"/>
      <c r="I38" s="659"/>
      <c r="J38" s="659"/>
      <c r="K38" s="659"/>
      <c r="L38" s="659"/>
      <c r="M38" s="659"/>
      <c r="N38" s="659"/>
      <c r="O38" s="659"/>
      <c r="P38" s="659"/>
      <c r="Q38" s="659"/>
      <c r="R38" s="659"/>
      <c r="S38" s="659"/>
      <c r="T38" s="659"/>
      <c r="U38" s="659"/>
      <c r="V38" s="659"/>
      <c r="W38" s="659"/>
      <c r="X38" s="659"/>
      <c r="Y38" s="659"/>
      <c r="Z38" s="659"/>
      <c r="AA38" s="659"/>
      <c r="AB38" s="659"/>
      <c r="AC38" s="659">
        <v>0</v>
      </c>
      <c r="AD38" s="613">
        <f t="shared" si="0"/>
        <v>0</v>
      </c>
      <c r="AE38" s="489">
        <f t="shared" si="1"/>
        <v>0</v>
      </c>
      <c r="AF38" s="465" t="str">
        <f t="shared" si="2"/>
        <v>sell</v>
      </c>
    </row>
    <row r="39" spans="1:32" s="359" customFormat="1" hidden="1" x14ac:dyDescent="0.2">
      <c r="A39" s="642"/>
      <c r="B39" s="485"/>
      <c r="C39" s="485"/>
      <c r="D39" s="486"/>
      <c r="E39" s="486"/>
      <c r="F39" s="659"/>
      <c r="G39" s="656"/>
      <c r="H39" s="659"/>
      <c r="I39" s="659"/>
      <c r="J39" s="659"/>
      <c r="K39" s="659"/>
      <c r="L39" s="659"/>
      <c r="M39" s="659"/>
      <c r="N39" s="659"/>
      <c r="O39" s="659"/>
      <c r="P39" s="659"/>
      <c r="Q39" s="659"/>
      <c r="R39" s="659"/>
      <c r="S39" s="659"/>
      <c r="T39" s="659"/>
      <c r="U39" s="659"/>
      <c r="V39" s="659"/>
      <c r="W39" s="659"/>
      <c r="X39" s="659"/>
      <c r="Y39" s="659"/>
      <c r="Z39" s="659"/>
      <c r="AA39" s="659"/>
      <c r="AB39" s="659"/>
      <c r="AC39" s="659"/>
      <c r="AD39" s="613">
        <f t="shared" si="0"/>
        <v>0</v>
      </c>
      <c r="AE39" s="489">
        <f t="shared" si="1"/>
        <v>0</v>
      </c>
      <c r="AF39" s="465"/>
    </row>
    <row r="40" spans="1:32" s="359" customFormat="1" hidden="1" x14ac:dyDescent="0.2">
      <c r="A40" s="642" t="s">
        <v>277</v>
      </c>
      <c r="B40" s="485" t="s">
        <v>240</v>
      </c>
      <c r="C40" s="485" t="s">
        <v>278</v>
      </c>
      <c r="D40" s="486">
        <f t="shared" ref="D40:D62" si="4">F123</f>
        <v>-0.25</v>
      </c>
      <c r="E40" s="486"/>
      <c r="F40" s="659">
        <v>0</v>
      </c>
      <c r="G40" s="659"/>
      <c r="H40" s="659"/>
      <c r="I40" s="659"/>
      <c r="J40" s="659"/>
      <c r="K40" s="659"/>
      <c r="L40" s="659"/>
      <c r="M40" s="659"/>
      <c r="N40" s="659"/>
      <c r="O40" s="659"/>
      <c r="P40" s="659"/>
      <c r="Q40" s="659"/>
      <c r="R40" s="659"/>
      <c r="S40" s="659"/>
      <c r="T40" s="659"/>
      <c r="U40" s="659"/>
      <c r="V40" s="659"/>
      <c r="W40" s="659"/>
      <c r="X40" s="659"/>
      <c r="Y40" s="659"/>
      <c r="Z40" s="659"/>
      <c r="AA40" s="659"/>
      <c r="AB40" s="659"/>
      <c r="AC40" s="659"/>
      <c r="AD40" s="613">
        <f t="shared" si="0"/>
        <v>0</v>
      </c>
      <c r="AE40" s="489">
        <f t="shared" si="1"/>
        <v>0</v>
      </c>
      <c r="AF40" s="465" t="str">
        <f>IF(AD40&lt;0,"buy","sell")</f>
        <v>sell</v>
      </c>
    </row>
    <row r="41" spans="1:32" s="359" customFormat="1" hidden="1" x14ac:dyDescent="0.2">
      <c r="A41" s="642" t="s">
        <v>277</v>
      </c>
      <c r="B41" s="485" t="s">
        <v>240</v>
      </c>
      <c r="C41" s="485" t="s">
        <v>278</v>
      </c>
      <c r="D41" s="486">
        <f t="shared" si="4"/>
        <v>-0.25</v>
      </c>
      <c r="E41" s="486"/>
      <c r="F41" s="659"/>
      <c r="G41" s="659">
        <v>0</v>
      </c>
      <c r="H41" s="659"/>
      <c r="I41" s="659"/>
      <c r="J41" s="659"/>
      <c r="K41" s="659"/>
      <c r="L41" s="659"/>
      <c r="M41" s="659"/>
      <c r="N41" s="659"/>
      <c r="O41" s="659"/>
      <c r="P41" s="659"/>
      <c r="Q41" s="659"/>
      <c r="R41" s="659"/>
      <c r="S41" s="659"/>
      <c r="T41" s="659"/>
      <c r="U41" s="659"/>
      <c r="V41" s="659"/>
      <c r="W41" s="659"/>
      <c r="X41" s="659"/>
      <c r="Y41" s="659"/>
      <c r="Z41" s="659"/>
      <c r="AA41" s="659"/>
      <c r="AB41" s="659"/>
      <c r="AC41" s="659"/>
      <c r="AD41" s="613">
        <f t="shared" si="0"/>
        <v>0</v>
      </c>
      <c r="AE41" s="489">
        <f t="shared" si="1"/>
        <v>0</v>
      </c>
      <c r="AF41" s="465" t="str">
        <f t="shared" ref="AF41:AF63" si="5">IF(AD41&lt;0,"buy","sell")</f>
        <v>sell</v>
      </c>
    </row>
    <row r="42" spans="1:32" s="359" customFormat="1" hidden="1" x14ac:dyDescent="0.2">
      <c r="A42" s="642" t="s">
        <v>277</v>
      </c>
      <c r="B42" s="485" t="s">
        <v>240</v>
      </c>
      <c r="C42" s="485" t="s">
        <v>278</v>
      </c>
      <c r="D42" s="486">
        <f t="shared" si="4"/>
        <v>-0.25</v>
      </c>
      <c r="E42" s="486"/>
      <c r="F42" s="659"/>
      <c r="G42" s="659"/>
      <c r="H42" s="659">
        <v>0</v>
      </c>
      <c r="I42" s="659"/>
      <c r="J42" s="659"/>
      <c r="K42" s="659"/>
      <c r="L42" s="659"/>
      <c r="M42" s="659"/>
      <c r="N42" s="659"/>
      <c r="O42" s="659"/>
      <c r="P42" s="659"/>
      <c r="Q42" s="659"/>
      <c r="R42" s="659"/>
      <c r="S42" s="659"/>
      <c r="T42" s="659"/>
      <c r="U42" s="659"/>
      <c r="V42" s="659"/>
      <c r="W42" s="659"/>
      <c r="X42" s="659"/>
      <c r="Y42" s="659"/>
      <c r="Z42" s="659"/>
      <c r="AA42" s="659"/>
      <c r="AB42" s="659"/>
      <c r="AC42" s="659"/>
      <c r="AD42" s="613">
        <f t="shared" si="0"/>
        <v>0</v>
      </c>
      <c r="AE42" s="489">
        <f t="shared" si="1"/>
        <v>0</v>
      </c>
      <c r="AF42" s="465" t="str">
        <f t="shared" si="5"/>
        <v>sell</v>
      </c>
    </row>
    <row r="43" spans="1:32" s="359" customFormat="1" hidden="1" x14ac:dyDescent="0.2">
      <c r="A43" s="642" t="s">
        <v>277</v>
      </c>
      <c r="B43" s="485" t="s">
        <v>240</v>
      </c>
      <c r="C43" s="485" t="s">
        <v>278</v>
      </c>
      <c r="D43" s="486">
        <f t="shared" si="4"/>
        <v>-0.25</v>
      </c>
      <c r="E43" s="486"/>
      <c r="F43" s="659"/>
      <c r="G43" s="659"/>
      <c r="H43" s="659"/>
      <c r="I43" s="659">
        <v>0</v>
      </c>
      <c r="J43" s="659"/>
      <c r="K43" s="659"/>
      <c r="L43" s="659"/>
      <c r="M43" s="659"/>
      <c r="N43" s="659"/>
      <c r="O43" s="659"/>
      <c r="P43" s="659"/>
      <c r="Q43" s="659"/>
      <c r="R43" s="659"/>
      <c r="S43" s="659"/>
      <c r="T43" s="659"/>
      <c r="U43" s="659"/>
      <c r="V43" s="659"/>
      <c r="W43" s="659"/>
      <c r="X43" s="659"/>
      <c r="Y43" s="659"/>
      <c r="Z43" s="659"/>
      <c r="AA43" s="659"/>
      <c r="AB43" s="659"/>
      <c r="AC43" s="659"/>
      <c r="AD43" s="613">
        <f t="shared" si="0"/>
        <v>0</v>
      </c>
      <c r="AE43" s="489">
        <f t="shared" si="1"/>
        <v>0</v>
      </c>
      <c r="AF43" s="465" t="str">
        <f t="shared" si="5"/>
        <v>sell</v>
      </c>
    </row>
    <row r="44" spans="1:32" s="359" customFormat="1" hidden="1" x14ac:dyDescent="0.2">
      <c r="A44" s="642" t="s">
        <v>277</v>
      </c>
      <c r="B44" s="485" t="s">
        <v>240</v>
      </c>
      <c r="C44" s="485" t="s">
        <v>278</v>
      </c>
      <c r="D44" s="486">
        <f t="shared" si="4"/>
        <v>-0.25</v>
      </c>
      <c r="E44" s="486"/>
      <c r="F44" s="659"/>
      <c r="G44" s="659"/>
      <c r="H44" s="659"/>
      <c r="I44" s="659"/>
      <c r="J44" s="659">
        <v>0</v>
      </c>
      <c r="K44" s="659"/>
      <c r="L44" s="659"/>
      <c r="M44" s="659"/>
      <c r="N44" s="659"/>
      <c r="O44" s="659"/>
      <c r="P44" s="659"/>
      <c r="Q44" s="659"/>
      <c r="R44" s="659"/>
      <c r="S44" s="659"/>
      <c r="T44" s="659"/>
      <c r="U44" s="659"/>
      <c r="V44" s="659"/>
      <c r="W44" s="659"/>
      <c r="X44" s="659"/>
      <c r="Y44" s="659"/>
      <c r="Z44" s="659"/>
      <c r="AA44" s="659"/>
      <c r="AB44" s="659"/>
      <c r="AC44" s="659"/>
      <c r="AD44" s="613">
        <f t="shared" si="0"/>
        <v>0</v>
      </c>
      <c r="AE44" s="489">
        <f t="shared" si="1"/>
        <v>0</v>
      </c>
      <c r="AF44" s="465" t="str">
        <f t="shared" si="5"/>
        <v>sell</v>
      </c>
    </row>
    <row r="45" spans="1:32" s="359" customFormat="1" hidden="1" x14ac:dyDescent="0.2">
      <c r="A45" s="642" t="s">
        <v>277</v>
      </c>
      <c r="B45" s="485" t="s">
        <v>240</v>
      </c>
      <c r="C45" s="485" t="s">
        <v>278</v>
      </c>
      <c r="D45" s="486">
        <f t="shared" si="4"/>
        <v>-0.25</v>
      </c>
      <c r="E45" s="486"/>
      <c r="F45" s="659"/>
      <c r="G45" s="659"/>
      <c r="H45" s="659"/>
      <c r="I45" s="659"/>
      <c r="J45" s="659"/>
      <c r="K45" s="659">
        <v>0</v>
      </c>
      <c r="L45" s="659"/>
      <c r="M45" s="659"/>
      <c r="N45" s="659"/>
      <c r="O45" s="659"/>
      <c r="P45" s="659"/>
      <c r="Q45" s="659"/>
      <c r="R45" s="659"/>
      <c r="S45" s="659"/>
      <c r="T45" s="659"/>
      <c r="U45" s="659"/>
      <c r="V45" s="659"/>
      <c r="W45" s="659"/>
      <c r="X45" s="659"/>
      <c r="Y45" s="659"/>
      <c r="Z45" s="659"/>
      <c r="AA45" s="659"/>
      <c r="AB45" s="659"/>
      <c r="AC45" s="659"/>
      <c r="AD45" s="613">
        <f t="shared" si="0"/>
        <v>0</v>
      </c>
      <c r="AE45" s="489">
        <f t="shared" si="1"/>
        <v>0</v>
      </c>
      <c r="AF45" s="465" t="str">
        <f t="shared" si="5"/>
        <v>sell</v>
      </c>
    </row>
    <row r="46" spans="1:32" s="359" customFormat="1" hidden="1" x14ac:dyDescent="0.2">
      <c r="A46" s="642" t="s">
        <v>277</v>
      </c>
      <c r="B46" s="485" t="s">
        <v>240</v>
      </c>
      <c r="C46" s="485" t="s">
        <v>278</v>
      </c>
      <c r="D46" s="486">
        <f t="shared" si="4"/>
        <v>-0.25</v>
      </c>
      <c r="E46" s="486"/>
      <c r="F46" s="659"/>
      <c r="G46" s="659"/>
      <c r="H46" s="659"/>
      <c r="I46" s="659"/>
      <c r="J46" s="659"/>
      <c r="K46" s="659"/>
      <c r="L46" s="659">
        <v>0</v>
      </c>
      <c r="M46" s="659"/>
      <c r="N46" s="659"/>
      <c r="O46" s="659"/>
      <c r="P46" s="659"/>
      <c r="Q46" s="659"/>
      <c r="R46" s="659"/>
      <c r="S46" s="659"/>
      <c r="T46" s="659"/>
      <c r="U46" s="659"/>
      <c r="V46" s="659"/>
      <c r="W46" s="659"/>
      <c r="X46" s="659"/>
      <c r="Y46" s="659"/>
      <c r="Z46" s="659"/>
      <c r="AA46" s="659"/>
      <c r="AB46" s="659"/>
      <c r="AC46" s="659"/>
      <c r="AD46" s="613">
        <f t="shared" si="0"/>
        <v>0</v>
      </c>
      <c r="AE46" s="489">
        <f t="shared" si="1"/>
        <v>0</v>
      </c>
      <c r="AF46" s="465" t="str">
        <f t="shared" si="5"/>
        <v>sell</v>
      </c>
    </row>
    <row r="47" spans="1:32" s="359" customFormat="1" hidden="1" x14ac:dyDescent="0.2">
      <c r="A47" s="642" t="s">
        <v>277</v>
      </c>
      <c r="B47" s="485" t="s">
        <v>240</v>
      </c>
      <c r="C47" s="485" t="s">
        <v>278</v>
      </c>
      <c r="D47" s="486">
        <f t="shared" si="4"/>
        <v>-0.25</v>
      </c>
      <c r="E47" s="486"/>
      <c r="F47" s="659"/>
      <c r="G47" s="659"/>
      <c r="H47" s="659"/>
      <c r="I47" s="659"/>
      <c r="J47" s="659"/>
      <c r="K47" s="659"/>
      <c r="L47" s="659"/>
      <c r="M47" s="659">
        <v>0</v>
      </c>
      <c r="N47" s="659"/>
      <c r="O47" s="659"/>
      <c r="P47" s="659"/>
      <c r="Q47" s="659"/>
      <c r="R47" s="659"/>
      <c r="S47" s="659"/>
      <c r="T47" s="659"/>
      <c r="U47" s="659"/>
      <c r="V47" s="659"/>
      <c r="W47" s="659"/>
      <c r="X47" s="659"/>
      <c r="Y47" s="659"/>
      <c r="Z47" s="659"/>
      <c r="AA47" s="659"/>
      <c r="AB47" s="659"/>
      <c r="AC47" s="659"/>
      <c r="AD47" s="613">
        <f t="shared" si="0"/>
        <v>0</v>
      </c>
      <c r="AE47" s="489">
        <f t="shared" si="1"/>
        <v>0</v>
      </c>
      <c r="AF47" s="465" t="str">
        <f t="shared" si="5"/>
        <v>sell</v>
      </c>
    </row>
    <row r="48" spans="1:32" s="359" customFormat="1" hidden="1" x14ac:dyDescent="0.2">
      <c r="A48" s="642" t="s">
        <v>277</v>
      </c>
      <c r="B48" s="485" t="s">
        <v>240</v>
      </c>
      <c r="C48" s="485" t="s">
        <v>278</v>
      </c>
      <c r="D48" s="486">
        <f t="shared" si="4"/>
        <v>-0.25</v>
      </c>
      <c r="E48" s="486"/>
      <c r="F48" s="659"/>
      <c r="G48" s="659"/>
      <c r="H48" s="659"/>
      <c r="I48" s="659"/>
      <c r="J48" s="659"/>
      <c r="K48" s="659"/>
      <c r="L48" s="659"/>
      <c r="M48" s="659"/>
      <c r="N48" s="659">
        <v>0</v>
      </c>
      <c r="O48" s="659"/>
      <c r="P48" s="659"/>
      <c r="Q48" s="659"/>
      <c r="R48" s="659"/>
      <c r="S48" s="659"/>
      <c r="T48" s="659"/>
      <c r="U48" s="659"/>
      <c r="V48" s="659"/>
      <c r="W48" s="659"/>
      <c r="X48" s="659"/>
      <c r="Y48" s="659"/>
      <c r="Z48" s="659"/>
      <c r="AA48" s="659"/>
      <c r="AB48" s="659"/>
      <c r="AC48" s="659"/>
      <c r="AD48" s="613">
        <f t="shared" si="0"/>
        <v>0</v>
      </c>
      <c r="AE48" s="489">
        <f t="shared" si="1"/>
        <v>0</v>
      </c>
      <c r="AF48" s="465" t="str">
        <f t="shared" si="5"/>
        <v>sell</v>
      </c>
    </row>
    <row r="49" spans="1:32" s="359" customFormat="1" hidden="1" x14ac:dyDescent="0.2">
      <c r="A49" s="642" t="s">
        <v>277</v>
      </c>
      <c r="B49" s="485" t="s">
        <v>240</v>
      </c>
      <c r="C49" s="485" t="s">
        <v>278</v>
      </c>
      <c r="D49" s="486">
        <f t="shared" si="4"/>
        <v>-0.25</v>
      </c>
      <c r="E49" s="486"/>
      <c r="F49" s="659"/>
      <c r="G49" s="659"/>
      <c r="H49" s="659"/>
      <c r="I49" s="659"/>
      <c r="J49" s="659"/>
      <c r="K49" s="659"/>
      <c r="L49" s="659"/>
      <c r="M49" s="659"/>
      <c r="N49" s="659"/>
      <c r="O49" s="659">
        <v>0</v>
      </c>
      <c r="P49" s="659"/>
      <c r="Q49" s="659"/>
      <c r="R49" s="659"/>
      <c r="S49" s="659"/>
      <c r="T49" s="659"/>
      <c r="U49" s="659"/>
      <c r="V49" s="659"/>
      <c r="W49" s="659"/>
      <c r="X49" s="659"/>
      <c r="Y49" s="659"/>
      <c r="Z49" s="659"/>
      <c r="AA49" s="659"/>
      <c r="AB49" s="659"/>
      <c r="AC49" s="659"/>
      <c r="AD49" s="613">
        <f t="shared" si="0"/>
        <v>0</v>
      </c>
      <c r="AE49" s="489">
        <f t="shared" si="1"/>
        <v>0</v>
      </c>
      <c r="AF49" s="465" t="str">
        <f t="shared" si="5"/>
        <v>sell</v>
      </c>
    </row>
    <row r="50" spans="1:32" s="359" customFormat="1" hidden="1" x14ac:dyDescent="0.2">
      <c r="A50" s="642" t="s">
        <v>277</v>
      </c>
      <c r="B50" s="485" t="s">
        <v>240</v>
      </c>
      <c r="C50" s="485" t="s">
        <v>278</v>
      </c>
      <c r="D50" s="486">
        <f t="shared" si="4"/>
        <v>-0.25</v>
      </c>
      <c r="E50" s="486"/>
      <c r="F50" s="659"/>
      <c r="G50" s="659"/>
      <c r="H50" s="659"/>
      <c r="I50" s="659"/>
      <c r="J50" s="659"/>
      <c r="K50" s="659"/>
      <c r="L50" s="659"/>
      <c r="M50" s="659"/>
      <c r="N50" s="659"/>
      <c r="O50" s="659"/>
      <c r="P50" s="659">
        <v>0</v>
      </c>
      <c r="Q50" s="659"/>
      <c r="R50" s="659"/>
      <c r="S50" s="659"/>
      <c r="T50" s="659"/>
      <c r="U50" s="659"/>
      <c r="V50" s="659"/>
      <c r="W50" s="659"/>
      <c r="X50" s="659"/>
      <c r="Y50" s="659"/>
      <c r="Z50" s="659"/>
      <c r="AA50" s="659"/>
      <c r="AB50" s="659"/>
      <c r="AC50" s="659"/>
      <c r="AD50" s="613">
        <f t="shared" si="0"/>
        <v>0</v>
      </c>
      <c r="AE50" s="489">
        <f t="shared" si="1"/>
        <v>0</v>
      </c>
      <c r="AF50" s="465" t="str">
        <f t="shared" si="5"/>
        <v>sell</v>
      </c>
    </row>
    <row r="51" spans="1:32" s="359" customFormat="1" hidden="1" x14ac:dyDescent="0.2">
      <c r="A51" s="642" t="s">
        <v>277</v>
      </c>
      <c r="B51" s="485" t="s">
        <v>240</v>
      </c>
      <c r="C51" s="485" t="s">
        <v>278</v>
      </c>
      <c r="D51" s="486">
        <f t="shared" si="4"/>
        <v>-0.25</v>
      </c>
      <c r="E51" s="486"/>
      <c r="F51" s="659"/>
      <c r="G51" s="659"/>
      <c r="H51" s="659"/>
      <c r="I51" s="659"/>
      <c r="J51" s="659"/>
      <c r="K51" s="659"/>
      <c r="L51" s="659"/>
      <c r="M51" s="659"/>
      <c r="N51" s="659"/>
      <c r="O51" s="659"/>
      <c r="P51" s="659"/>
      <c r="Q51" s="659">
        <v>0</v>
      </c>
      <c r="R51" s="659"/>
      <c r="S51" s="659"/>
      <c r="T51" s="659"/>
      <c r="U51" s="659"/>
      <c r="V51" s="659"/>
      <c r="W51" s="659"/>
      <c r="X51" s="659"/>
      <c r="Y51" s="659"/>
      <c r="Z51" s="659"/>
      <c r="AA51" s="659"/>
      <c r="AB51" s="659"/>
      <c r="AC51" s="659"/>
      <c r="AD51" s="613">
        <f t="shared" si="0"/>
        <v>0</v>
      </c>
      <c r="AE51" s="489">
        <f t="shared" si="1"/>
        <v>0</v>
      </c>
      <c r="AF51" s="465" t="str">
        <f t="shared" si="5"/>
        <v>sell</v>
      </c>
    </row>
    <row r="52" spans="1:32" s="359" customFormat="1" hidden="1" x14ac:dyDescent="0.2">
      <c r="A52" s="642" t="s">
        <v>277</v>
      </c>
      <c r="B52" s="485" t="s">
        <v>240</v>
      </c>
      <c r="C52" s="485" t="s">
        <v>278</v>
      </c>
      <c r="D52" s="486">
        <f t="shared" si="4"/>
        <v>-0.25</v>
      </c>
      <c r="E52" s="486"/>
      <c r="F52" s="659"/>
      <c r="G52" s="659"/>
      <c r="H52" s="659"/>
      <c r="I52" s="659"/>
      <c r="J52" s="659"/>
      <c r="K52" s="659"/>
      <c r="L52" s="659"/>
      <c r="M52" s="659"/>
      <c r="N52" s="659"/>
      <c r="O52" s="659"/>
      <c r="P52" s="659"/>
      <c r="Q52" s="659"/>
      <c r="R52" s="659">
        <v>0</v>
      </c>
      <c r="S52" s="659"/>
      <c r="T52" s="659"/>
      <c r="U52" s="659"/>
      <c r="V52" s="659"/>
      <c r="W52" s="659"/>
      <c r="X52" s="659"/>
      <c r="Y52" s="659"/>
      <c r="Z52" s="659"/>
      <c r="AA52" s="659"/>
      <c r="AB52" s="659"/>
      <c r="AC52" s="659"/>
      <c r="AD52" s="613">
        <f t="shared" si="0"/>
        <v>0</v>
      </c>
      <c r="AE52" s="489">
        <f t="shared" si="1"/>
        <v>0</v>
      </c>
      <c r="AF52" s="465" t="str">
        <f t="shared" si="5"/>
        <v>sell</v>
      </c>
    </row>
    <row r="53" spans="1:32" s="359" customFormat="1" hidden="1" x14ac:dyDescent="0.2">
      <c r="A53" s="642" t="s">
        <v>277</v>
      </c>
      <c r="B53" s="485" t="s">
        <v>240</v>
      </c>
      <c r="C53" s="485" t="s">
        <v>278</v>
      </c>
      <c r="D53" s="486">
        <f t="shared" si="4"/>
        <v>-0.25</v>
      </c>
      <c r="E53" s="486"/>
      <c r="F53" s="659"/>
      <c r="G53" s="659"/>
      <c r="H53" s="659"/>
      <c r="I53" s="659"/>
      <c r="J53" s="659"/>
      <c r="K53" s="659"/>
      <c r="L53" s="659"/>
      <c r="M53" s="659"/>
      <c r="N53" s="659"/>
      <c r="O53" s="659"/>
      <c r="P53" s="659"/>
      <c r="Q53" s="659"/>
      <c r="R53" s="659"/>
      <c r="S53" s="659">
        <v>0</v>
      </c>
      <c r="T53" s="659"/>
      <c r="U53" s="659"/>
      <c r="V53" s="659"/>
      <c r="W53" s="659"/>
      <c r="X53" s="659"/>
      <c r="Y53" s="659"/>
      <c r="Z53" s="659"/>
      <c r="AA53" s="659"/>
      <c r="AB53" s="659"/>
      <c r="AC53" s="659"/>
      <c r="AD53" s="613">
        <f t="shared" si="0"/>
        <v>0</v>
      </c>
      <c r="AE53" s="489">
        <f t="shared" si="1"/>
        <v>0</v>
      </c>
      <c r="AF53" s="465" t="str">
        <f t="shared" si="5"/>
        <v>sell</v>
      </c>
    </row>
    <row r="54" spans="1:32" s="359" customFormat="1" hidden="1" x14ac:dyDescent="0.2">
      <c r="A54" s="642" t="s">
        <v>277</v>
      </c>
      <c r="B54" s="485" t="s">
        <v>240</v>
      </c>
      <c r="C54" s="485" t="s">
        <v>278</v>
      </c>
      <c r="D54" s="486">
        <f t="shared" si="4"/>
        <v>-0.25</v>
      </c>
      <c r="E54" s="486"/>
      <c r="F54" s="659"/>
      <c r="G54" s="659"/>
      <c r="H54" s="659"/>
      <c r="I54" s="659"/>
      <c r="J54" s="659"/>
      <c r="K54" s="659"/>
      <c r="L54" s="659"/>
      <c r="M54" s="659"/>
      <c r="N54" s="659"/>
      <c r="O54" s="659"/>
      <c r="P54" s="659"/>
      <c r="Q54" s="659"/>
      <c r="R54" s="659"/>
      <c r="S54" s="659"/>
      <c r="T54" s="659">
        <v>0</v>
      </c>
      <c r="U54" s="659"/>
      <c r="V54" s="659"/>
      <c r="W54" s="659"/>
      <c r="X54" s="659"/>
      <c r="Y54" s="659"/>
      <c r="Z54" s="659"/>
      <c r="AA54" s="659"/>
      <c r="AB54" s="659"/>
      <c r="AC54" s="659"/>
      <c r="AD54" s="613">
        <f t="shared" si="0"/>
        <v>0</v>
      </c>
      <c r="AE54" s="489">
        <f t="shared" si="1"/>
        <v>0</v>
      </c>
      <c r="AF54" s="465" t="str">
        <f t="shared" si="5"/>
        <v>sell</v>
      </c>
    </row>
    <row r="55" spans="1:32" s="359" customFormat="1" hidden="1" x14ac:dyDescent="0.2">
      <c r="A55" s="642" t="s">
        <v>277</v>
      </c>
      <c r="B55" s="485" t="s">
        <v>240</v>
      </c>
      <c r="C55" s="485" t="s">
        <v>278</v>
      </c>
      <c r="D55" s="486">
        <f t="shared" si="4"/>
        <v>-0.25</v>
      </c>
      <c r="E55" s="486"/>
      <c r="F55" s="659"/>
      <c r="G55" s="659"/>
      <c r="H55" s="659"/>
      <c r="I55" s="659"/>
      <c r="J55" s="659"/>
      <c r="K55" s="659"/>
      <c r="L55" s="659"/>
      <c r="M55" s="659"/>
      <c r="N55" s="659"/>
      <c r="O55" s="659"/>
      <c r="P55" s="659"/>
      <c r="Q55" s="659"/>
      <c r="R55" s="659"/>
      <c r="S55" s="659"/>
      <c r="T55" s="659"/>
      <c r="U55" s="659">
        <v>0</v>
      </c>
      <c r="V55" s="659"/>
      <c r="W55" s="659"/>
      <c r="X55" s="659"/>
      <c r="Y55" s="659"/>
      <c r="Z55" s="659"/>
      <c r="AA55" s="659"/>
      <c r="AB55" s="659"/>
      <c r="AC55" s="659"/>
      <c r="AD55" s="613">
        <f t="shared" si="0"/>
        <v>0</v>
      </c>
      <c r="AE55" s="489">
        <f t="shared" si="1"/>
        <v>0</v>
      </c>
      <c r="AF55" s="465" t="str">
        <f t="shared" si="5"/>
        <v>sell</v>
      </c>
    </row>
    <row r="56" spans="1:32" s="359" customFormat="1" hidden="1" x14ac:dyDescent="0.2">
      <c r="A56" s="642" t="s">
        <v>277</v>
      </c>
      <c r="B56" s="485" t="s">
        <v>240</v>
      </c>
      <c r="C56" s="485" t="s">
        <v>278</v>
      </c>
      <c r="D56" s="486">
        <f t="shared" si="4"/>
        <v>-0.25</v>
      </c>
      <c r="E56" s="486"/>
      <c r="F56" s="659"/>
      <c r="G56" s="659"/>
      <c r="H56" s="659"/>
      <c r="I56" s="659"/>
      <c r="J56" s="659"/>
      <c r="K56" s="659"/>
      <c r="L56" s="659"/>
      <c r="M56" s="659"/>
      <c r="N56" s="659"/>
      <c r="O56" s="659"/>
      <c r="P56" s="659"/>
      <c r="Q56" s="659"/>
      <c r="R56" s="659"/>
      <c r="S56" s="659"/>
      <c r="T56" s="659"/>
      <c r="U56" s="659"/>
      <c r="V56" s="659">
        <v>0</v>
      </c>
      <c r="W56" s="659"/>
      <c r="X56" s="659"/>
      <c r="Y56" s="659"/>
      <c r="Z56" s="659"/>
      <c r="AA56" s="659"/>
      <c r="AB56" s="659"/>
      <c r="AC56" s="659"/>
      <c r="AD56" s="613">
        <f t="shared" si="0"/>
        <v>0</v>
      </c>
      <c r="AE56" s="489">
        <f t="shared" si="1"/>
        <v>0</v>
      </c>
      <c r="AF56" s="465" t="str">
        <f t="shared" si="5"/>
        <v>sell</v>
      </c>
    </row>
    <row r="57" spans="1:32" s="359" customFormat="1" hidden="1" x14ac:dyDescent="0.2">
      <c r="A57" s="642" t="s">
        <v>277</v>
      </c>
      <c r="B57" s="485" t="s">
        <v>240</v>
      </c>
      <c r="C57" s="485" t="s">
        <v>278</v>
      </c>
      <c r="D57" s="486">
        <f t="shared" si="4"/>
        <v>-0.25</v>
      </c>
      <c r="E57" s="486"/>
      <c r="F57" s="659"/>
      <c r="G57" s="659"/>
      <c r="H57" s="659"/>
      <c r="I57" s="659"/>
      <c r="J57" s="659"/>
      <c r="K57" s="659"/>
      <c r="L57" s="659"/>
      <c r="M57" s="659"/>
      <c r="N57" s="659"/>
      <c r="O57" s="659"/>
      <c r="P57" s="659"/>
      <c r="Q57" s="659"/>
      <c r="R57" s="659"/>
      <c r="S57" s="659"/>
      <c r="T57" s="659"/>
      <c r="U57" s="659"/>
      <c r="V57" s="659"/>
      <c r="W57" s="659">
        <v>0</v>
      </c>
      <c r="X57" s="659"/>
      <c r="Y57" s="659"/>
      <c r="Z57" s="659"/>
      <c r="AA57" s="659"/>
      <c r="AB57" s="659"/>
      <c r="AC57" s="659"/>
      <c r="AD57" s="613">
        <f t="shared" si="0"/>
        <v>0</v>
      </c>
      <c r="AE57" s="489">
        <f t="shared" si="1"/>
        <v>0</v>
      </c>
      <c r="AF57" s="465" t="str">
        <f t="shared" si="5"/>
        <v>sell</v>
      </c>
    </row>
    <row r="58" spans="1:32" s="359" customFormat="1" hidden="1" x14ac:dyDescent="0.2">
      <c r="A58" s="642" t="s">
        <v>277</v>
      </c>
      <c r="B58" s="485" t="s">
        <v>240</v>
      </c>
      <c r="C58" s="485" t="s">
        <v>278</v>
      </c>
      <c r="D58" s="486">
        <f t="shared" si="4"/>
        <v>-0.25</v>
      </c>
      <c r="E58" s="486"/>
      <c r="F58" s="659"/>
      <c r="G58" s="659"/>
      <c r="H58" s="659"/>
      <c r="I58" s="659"/>
      <c r="J58" s="659"/>
      <c r="K58" s="659"/>
      <c r="L58" s="659"/>
      <c r="M58" s="659"/>
      <c r="N58" s="659"/>
      <c r="O58" s="659"/>
      <c r="P58" s="659"/>
      <c r="Q58" s="659"/>
      <c r="R58" s="659"/>
      <c r="S58" s="659"/>
      <c r="T58" s="659"/>
      <c r="U58" s="659"/>
      <c r="V58" s="659"/>
      <c r="W58" s="659"/>
      <c r="X58" s="659">
        <v>0</v>
      </c>
      <c r="Y58" s="659"/>
      <c r="Z58" s="659"/>
      <c r="AA58" s="659"/>
      <c r="AB58" s="659"/>
      <c r="AC58" s="659"/>
      <c r="AD58" s="613">
        <f t="shared" si="0"/>
        <v>0</v>
      </c>
      <c r="AE58" s="489">
        <f t="shared" si="1"/>
        <v>0</v>
      </c>
      <c r="AF58" s="465" t="str">
        <f t="shared" si="5"/>
        <v>sell</v>
      </c>
    </row>
    <row r="59" spans="1:32" s="359" customFormat="1" hidden="1" x14ac:dyDescent="0.2">
      <c r="A59" s="642" t="s">
        <v>277</v>
      </c>
      <c r="B59" s="485" t="s">
        <v>240</v>
      </c>
      <c r="C59" s="485" t="s">
        <v>278</v>
      </c>
      <c r="D59" s="486">
        <f t="shared" si="4"/>
        <v>-0.25</v>
      </c>
      <c r="E59" s="486"/>
      <c r="F59" s="659"/>
      <c r="G59" s="659"/>
      <c r="H59" s="659"/>
      <c r="I59" s="659"/>
      <c r="J59" s="659"/>
      <c r="K59" s="659"/>
      <c r="L59" s="659"/>
      <c r="M59" s="659"/>
      <c r="N59" s="659"/>
      <c r="O59" s="659"/>
      <c r="P59" s="659"/>
      <c r="Q59" s="659"/>
      <c r="R59" s="659"/>
      <c r="S59" s="659"/>
      <c r="T59" s="659"/>
      <c r="U59" s="659"/>
      <c r="V59" s="659"/>
      <c r="W59" s="659"/>
      <c r="X59" s="659"/>
      <c r="Y59" s="659">
        <v>0</v>
      </c>
      <c r="Z59" s="659"/>
      <c r="AA59" s="659"/>
      <c r="AB59" s="659"/>
      <c r="AC59" s="659"/>
      <c r="AD59" s="613">
        <f t="shared" si="0"/>
        <v>0</v>
      </c>
      <c r="AE59" s="489">
        <f t="shared" si="1"/>
        <v>0</v>
      </c>
      <c r="AF59" s="465" t="str">
        <f t="shared" si="5"/>
        <v>sell</v>
      </c>
    </row>
    <row r="60" spans="1:32" s="359" customFormat="1" hidden="1" x14ac:dyDescent="0.2">
      <c r="A60" s="642" t="s">
        <v>277</v>
      </c>
      <c r="B60" s="485" t="s">
        <v>240</v>
      </c>
      <c r="C60" s="485" t="s">
        <v>278</v>
      </c>
      <c r="D60" s="486">
        <f t="shared" si="4"/>
        <v>-0.25</v>
      </c>
      <c r="E60" s="486"/>
      <c r="F60" s="659"/>
      <c r="G60" s="659"/>
      <c r="H60" s="659"/>
      <c r="I60" s="659"/>
      <c r="J60" s="659"/>
      <c r="K60" s="659"/>
      <c r="L60" s="659"/>
      <c r="M60" s="659"/>
      <c r="N60" s="659"/>
      <c r="O60" s="659"/>
      <c r="P60" s="659"/>
      <c r="Q60" s="659"/>
      <c r="R60" s="659"/>
      <c r="S60" s="659"/>
      <c r="T60" s="659"/>
      <c r="U60" s="659"/>
      <c r="V60" s="659"/>
      <c r="W60" s="659"/>
      <c r="X60" s="659"/>
      <c r="Y60" s="659"/>
      <c r="Z60" s="659">
        <v>0</v>
      </c>
      <c r="AA60" s="659"/>
      <c r="AB60" s="659"/>
      <c r="AC60" s="659"/>
      <c r="AD60" s="613">
        <f t="shared" si="0"/>
        <v>0</v>
      </c>
      <c r="AE60" s="489">
        <f t="shared" si="1"/>
        <v>0</v>
      </c>
      <c r="AF60" s="465" t="str">
        <f t="shared" si="5"/>
        <v>sell</v>
      </c>
    </row>
    <row r="61" spans="1:32" s="359" customFormat="1" hidden="1" x14ac:dyDescent="0.2">
      <c r="A61" s="642" t="s">
        <v>277</v>
      </c>
      <c r="B61" s="485" t="s">
        <v>240</v>
      </c>
      <c r="C61" s="485" t="s">
        <v>278</v>
      </c>
      <c r="D61" s="486">
        <f t="shared" si="4"/>
        <v>-0.25</v>
      </c>
      <c r="E61" s="486"/>
      <c r="F61" s="659"/>
      <c r="G61" s="659"/>
      <c r="H61" s="659"/>
      <c r="I61" s="659"/>
      <c r="J61" s="659"/>
      <c r="K61" s="659"/>
      <c r="L61" s="659"/>
      <c r="M61" s="659"/>
      <c r="N61" s="659"/>
      <c r="O61" s="659"/>
      <c r="P61" s="659"/>
      <c r="Q61" s="659"/>
      <c r="R61" s="659"/>
      <c r="S61" s="659"/>
      <c r="T61" s="659"/>
      <c r="U61" s="659"/>
      <c r="V61" s="659"/>
      <c r="W61" s="659"/>
      <c r="X61" s="659"/>
      <c r="Y61" s="659"/>
      <c r="Z61" s="659"/>
      <c r="AA61" s="659">
        <v>0</v>
      </c>
      <c r="AB61" s="659"/>
      <c r="AC61" s="659"/>
      <c r="AD61" s="613">
        <f t="shared" si="0"/>
        <v>0</v>
      </c>
      <c r="AE61" s="489">
        <f t="shared" si="1"/>
        <v>0</v>
      </c>
      <c r="AF61" s="465" t="str">
        <f t="shared" si="5"/>
        <v>sell</v>
      </c>
    </row>
    <row r="62" spans="1:32" s="359" customFormat="1" hidden="1" x14ac:dyDescent="0.2">
      <c r="A62" s="642" t="s">
        <v>277</v>
      </c>
      <c r="B62" s="485" t="s">
        <v>240</v>
      </c>
      <c r="C62" s="485" t="s">
        <v>278</v>
      </c>
      <c r="D62" s="486">
        <f t="shared" si="4"/>
        <v>-0.25</v>
      </c>
      <c r="E62" s="486"/>
      <c r="F62" s="659"/>
      <c r="G62" s="659"/>
      <c r="H62" s="659"/>
      <c r="I62" s="659"/>
      <c r="J62" s="659"/>
      <c r="K62" s="659"/>
      <c r="L62" s="659"/>
      <c r="M62" s="659"/>
      <c r="N62" s="659"/>
      <c r="O62" s="659"/>
      <c r="P62" s="659"/>
      <c r="Q62" s="659"/>
      <c r="R62" s="659"/>
      <c r="S62" s="659"/>
      <c r="T62" s="659"/>
      <c r="U62" s="659"/>
      <c r="V62" s="659"/>
      <c r="W62" s="659"/>
      <c r="X62" s="659"/>
      <c r="Y62" s="659"/>
      <c r="Z62" s="659"/>
      <c r="AA62" s="659"/>
      <c r="AB62" s="659">
        <v>0</v>
      </c>
      <c r="AC62" s="659"/>
      <c r="AD62" s="613">
        <f t="shared" si="0"/>
        <v>0</v>
      </c>
      <c r="AE62" s="489">
        <f t="shared" si="1"/>
        <v>0</v>
      </c>
      <c r="AF62" s="465" t="str">
        <f t="shared" si="5"/>
        <v>sell</v>
      </c>
    </row>
    <row r="63" spans="1:32" s="359" customFormat="1" hidden="1" x14ac:dyDescent="0.2">
      <c r="A63" s="642"/>
      <c r="B63" s="485"/>
      <c r="C63" s="485"/>
      <c r="D63" s="486"/>
      <c r="E63" s="486"/>
      <c r="F63" s="659"/>
      <c r="G63" s="656"/>
      <c r="H63" s="659"/>
      <c r="I63" s="659"/>
      <c r="J63" s="659"/>
      <c r="K63" s="659"/>
      <c r="L63" s="659"/>
      <c r="M63" s="659"/>
      <c r="N63" s="659"/>
      <c r="O63" s="659"/>
      <c r="P63" s="659"/>
      <c r="Q63" s="659"/>
      <c r="R63" s="659"/>
      <c r="S63" s="659"/>
      <c r="T63" s="659"/>
      <c r="U63" s="659"/>
      <c r="V63" s="659"/>
      <c r="W63" s="659"/>
      <c r="X63" s="659"/>
      <c r="Y63" s="659"/>
      <c r="Z63" s="659"/>
      <c r="AA63" s="659"/>
      <c r="AB63" s="659"/>
      <c r="AC63" s="659"/>
      <c r="AD63" s="614">
        <f t="shared" si="0"/>
        <v>0</v>
      </c>
      <c r="AE63" s="604">
        <f t="shared" si="1"/>
        <v>0</v>
      </c>
      <c r="AF63" s="555" t="str">
        <f t="shared" si="5"/>
        <v>sell</v>
      </c>
    </row>
    <row r="64" spans="1:32" s="639" customFormat="1" ht="15" customHeight="1" x14ac:dyDescent="0.2">
      <c r="A64" s="646"/>
      <c r="B64" s="647"/>
      <c r="C64" s="647"/>
      <c r="D64" s="652"/>
      <c r="E64" s="656"/>
      <c r="F64" s="659"/>
      <c r="G64" s="659"/>
      <c r="H64" s="659"/>
      <c r="I64" s="659"/>
      <c r="J64" s="659"/>
      <c r="K64" s="659"/>
      <c r="L64" s="659"/>
      <c r="M64" s="659"/>
      <c r="N64" s="659"/>
      <c r="O64" s="659"/>
      <c r="P64" s="659"/>
      <c r="Q64" s="659"/>
      <c r="R64" s="659"/>
      <c r="S64" s="659"/>
      <c r="T64" s="659"/>
      <c r="U64" s="659"/>
      <c r="V64" s="659"/>
      <c r="W64" s="659"/>
      <c r="X64" s="659"/>
      <c r="Y64" s="659"/>
      <c r="Z64" s="659"/>
      <c r="AA64" s="659"/>
      <c r="AB64" s="659"/>
      <c r="AC64" s="659"/>
      <c r="AD64" s="614">
        <f>SUM(E64:AC64)</f>
        <v>0</v>
      </c>
      <c r="AE64" s="604">
        <f>AD64*D64</f>
        <v>0</v>
      </c>
      <c r="AF64" s="555" t="str">
        <f>IF(AD64&lt;0,"buy","sell")</f>
        <v>sell</v>
      </c>
    </row>
    <row r="65" spans="1:33" s="639" customFormat="1" x14ac:dyDescent="0.2">
      <c r="A65" s="648"/>
      <c r="B65" s="650"/>
      <c r="C65" s="650"/>
      <c r="D65" s="654"/>
      <c r="E65" s="656"/>
      <c r="F65" s="659"/>
      <c r="G65" s="659"/>
      <c r="H65" s="659"/>
      <c r="I65" s="659"/>
      <c r="J65" s="659"/>
      <c r="K65" s="659"/>
      <c r="L65" s="659"/>
      <c r="M65" s="659"/>
      <c r="N65" s="659"/>
      <c r="O65" s="659"/>
      <c r="P65" s="659"/>
      <c r="Q65" s="659"/>
      <c r="R65" s="659"/>
      <c r="S65" s="659"/>
      <c r="T65" s="659"/>
      <c r="U65" s="659"/>
      <c r="V65" s="659"/>
      <c r="W65" s="659"/>
      <c r="X65" s="659"/>
      <c r="Y65" s="659"/>
      <c r="Z65" s="659"/>
      <c r="AA65" s="659"/>
      <c r="AB65" s="659"/>
      <c r="AC65" s="659"/>
      <c r="AD65" s="614">
        <f>SUM(E65:AC65)</f>
        <v>0</v>
      </c>
      <c r="AE65" s="604">
        <f>AD65*D65</f>
        <v>0</v>
      </c>
      <c r="AF65" s="555" t="str">
        <f>IF(AD65&lt;0,"buy","sell")</f>
        <v>sell</v>
      </c>
    </row>
    <row r="66" spans="1:33" s="639" customFormat="1" x14ac:dyDescent="0.2">
      <c r="A66" s="648"/>
      <c r="B66" s="650"/>
      <c r="C66" s="650"/>
      <c r="D66" s="654"/>
      <c r="E66" s="656"/>
      <c r="F66" s="659"/>
      <c r="G66" s="659"/>
      <c r="H66" s="659"/>
      <c r="I66" s="659"/>
      <c r="J66" s="659"/>
      <c r="K66" s="659"/>
      <c r="L66" s="659"/>
      <c r="M66" s="659"/>
      <c r="N66" s="659"/>
      <c r="O66" s="659"/>
      <c r="P66" s="659"/>
      <c r="Q66" s="659"/>
      <c r="R66" s="659"/>
      <c r="S66" s="659"/>
      <c r="T66" s="659"/>
      <c r="U66" s="659"/>
      <c r="V66" s="659"/>
      <c r="W66" s="659"/>
      <c r="X66" s="659"/>
      <c r="Y66" s="659"/>
      <c r="Z66" s="659"/>
      <c r="AA66" s="659"/>
      <c r="AB66" s="659"/>
      <c r="AC66" s="659"/>
      <c r="AD66" s="614">
        <f>SUM(E66:AC66)</f>
        <v>0</v>
      </c>
      <c r="AE66" s="604">
        <f>AD66*D66</f>
        <v>0</v>
      </c>
      <c r="AF66" s="555" t="str">
        <f>IF(AD66&lt;0,"buy","sell")</f>
        <v>sell</v>
      </c>
    </row>
    <row r="67" spans="1:33" s="639" customFormat="1" x14ac:dyDescent="0.2">
      <c r="A67" s="648"/>
      <c r="B67" s="650"/>
      <c r="C67" s="650"/>
      <c r="D67" s="654"/>
      <c r="E67" s="656"/>
      <c r="F67" s="659"/>
      <c r="G67" s="659"/>
      <c r="H67" s="659"/>
      <c r="I67" s="659"/>
      <c r="J67" s="659"/>
      <c r="K67" s="659"/>
      <c r="L67" s="659"/>
      <c r="M67" s="659"/>
      <c r="N67" s="659"/>
      <c r="O67" s="659"/>
      <c r="P67" s="659"/>
      <c r="Q67" s="659"/>
      <c r="R67" s="659"/>
      <c r="S67" s="659"/>
      <c r="T67" s="659"/>
      <c r="U67" s="659"/>
      <c r="V67" s="659"/>
      <c r="W67" s="659"/>
      <c r="X67" s="659"/>
      <c r="Y67" s="659"/>
      <c r="Z67" s="659"/>
      <c r="AA67" s="659"/>
      <c r="AB67" s="659"/>
      <c r="AC67" s="659"/>
      <c r="AD67" s="614"/>
      <c r="AE67" s="604"/>
      <c r="AF67" s="555"/>
    </row>
    <row r="68" spans="1:33" s="359" customFormat="1" ht="15" customHeight="1" x14ac:dyDescent="0.2">
      <c r="A68" s="649"/>
      <c r="B68" s="657"/>
      <c r="C68" s="657"/>
      <c r="D68" s="655"/>
      <c r="E68" s="644"/>
      <c r="F68" s="664"/>
      <c r="G68" s="664"/>
      <c r="H68" s="664"/>
      <c r="I68" s="664"/>
      <c r="J68" s="664"/>
      <c r="K68" s="664"/>
      <c r="L68" s="664"/>
      <c r="M68" s="664"/>
      <c r="N68" s="664"/>
      <c r="O68" s="664"/>
      <c r="P68" s="664"/>
      <c r="Q68" s="664"/>
      <c r="R68" s="664"/>
      <c r="S68" s="664"/>
      <c r="T68" s="664"/>
      <c r="U68" s="664"/>
      <c r="V68" s="664"/>
      <c r="W68" s="664"/>
      <c r="X68" s="664"/>
      <c r="Y68" s="664"/>
      <c r="Z68" s="664"/>
      <c r="AA68" s="664"/>
      <c r="AB68" s="664"/>
      <c r="AC68" s="664"/>
      <c r="AD68" s="614">
        <f>SUM(E68:AC68)</f>
        <v>0</v>
      </c>
      <c r="AE68" s="604">
        <f>AD68*D68</f>
        <v>0</v>
      </c>
      <c r="AF68" s="555" t="str">
        <f>IF(AD68&lt;0,"buy","sell")</f>
        <v>sell</v>
      </c>
    </row>
    <row r="69" spans="1:33" s="359" customFormat="1" x14ac:dyDescent="0.2">
      <c r="A69" s="649"/>
      <c r="B69" s="651"/>
      <c r="C69" s="651"/>
      <c r="D69" s="655"/>
      <c r="E69" s="644"/>
      <c r="F69" s="664"/>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614">
        <f>SUM(E69:AC69)</f>
        <v>0</v>
      </c>
      <c r="AE69" s="604">
        <f>AD69*D69</f>
        <v>0</v>
      </c>
      <c r="AF69" s="555" t="str">
        <f>IF(AD69&lt;0,"buy","sell")</f>
        <v>sell</v>
      </c>
    </row>
    <row r="70" spans="1:33" s="359" customFormat="1" ht="12" customHeight="1" x14ac:dyDescent="0.2">
      <c r="A70" s="648"/>
      <c r="B70" s="650"/>
      <c r="C70" s="650"/>
      <c r="D70" s="653"/>
      <c r="E70" s="645"/>
      <c r="F70" s="659"/>
      <c r="G70" s="659"/>
      <c r="H70" s="659"/>
      <c r="I70" s="659"/>
      <c r="J70" s="659"/>
      <c r="K70" s="659"/>
      <c r="L70" s="659"/>
      <c r="M70" s="659"/>
      <c r="N70" s="659"/>
      <c r="O70" s="659"/>
      <c r="P70" s="659"/>
      <c r="Q70" s="659"/>
      <c r="R70" s="659"/>
      <c r="S70" s="659"/>
      <c r="T70" s="659"/>
      <c r="U70" s="659"/>
      <c r="V70" s="659"/>
      <c r="W70" s="659"/>
      <c r="X70" s="659"/>
      <c r="Y70" s="659"/>
      <c r="Z70" s="659"/>
      <c r="AA70" s="659"/>
      <c r="AB70" s="659"/>
      <c r="AC70" s="659"/>
      <c r="AD70" s="614">
        <f t="shared" si="0"/>
        <v>0</v>
      </c>
      <c r="AE70" s="604">
        <f t="shared" ref="AE70:AE78" si="6">AD70*D70</f>
        <v>0</v>
      </c>
      <c r="AF70" s="555" t="str">
        <f t="shared" ref="AF70:AF78" si="7">IF(AD70&lt;0,"buy","sell")</f>
        <v>sell</v>
      </c>
    </row>
    <row r="71" spans="1:33" s="359" customFormat="1" ht="14.25" customHeight="1" x14ac:dyDescent="0.2">
      <c r="A71" s="642" t="s">
        <v>369</v>
      </c>
      <c r="B71" s="690" t="s">
        <v>368</v>
      </c>
      <c r="C71" s="690" t="s">
        <v>151</v>
      </c>
      <c r="D71" s="691">
        <v>23.1</v>
      </c>
      <c r="E71" s="692"/>
      <c r="F71" s="693">
        <v>-50</v>
      </c>
      <c r="G71" s="693">
        <v>-50</v>
      </c>
      <c r="H71" s="693">
        <v>-50</v>
      </c>
      <c r="I71" s="693">
        <v>-50</v>
      </c>
      <c r="J71" s="693">
        <v>-50</v>
      </c>
      <c r="K71" s="693">
        <v>-50</v>
      </c>
      <c r="L71" s="694"/>
      <c r="M71" s="694"/>
      <c r="N71" s="694"/>
      <c r="O71" s="694"/>
      <c r="P71" s="694"/>
      <c r="Q71" s="694"/>
      <c r="R71" s="694"/>
      <c r="S71" s="694"/>
      <c r="T71" s="694"/>
      <c r="U71" s="694"/>
      <c r="V71" s="694"/>
      <c r="W71" s="694"/>
      <c r="X71" s="694"/>
      <c r="Y71" s="694"/>
      <c r="Z71" s="694"/>
      <c r="AA71" s="694"/>
      <c r="AB71" s="694">
        <v>-50</v>
      </c>
      <c r="AC71" s="694">
        <v>-50</v>
      </c>
      <c r="AD71" s="614">
        <f t="shared" ref="AD71:AD77" si="8">SUM(E71:AC71)</f>
        <v>-400</v>
      </c>
      <c r="AE71" s="604">
        <f t="shared" si="6"/>
        <v>-9240</v>
      </c>
      <c r="AF71" s="555" t="str">
        <f t="shared" si="7"/>
        <v>buy</v>
      </c>
    </row>
    <row r="72" spans="1:33" s="359" customFormat="1" ht="14.25" customHeight="1" x14ac:dyDescent="0.2">
      <c r="A72" s="642" t="s">
        <v>224</v>
      </c>
      <c r="B72" s="690" t="s">
        <v>368</v>
      </c>
      <c r="C72" s="690" t="s">
        <v>151</v>
      </c>
      <c r="D72" s="691">
        <v>23.1</v>
      </c>
      <c r="E72" s="692"/>
      <c r="F72" s="693">
        <v>-75</v>
      </c>
      <c r="G72" s="693">
        <v>-75</v>
      </c>
      <c r="H72" s="693">
        <v>-75</v>
      </c>
      <c r="I72" s="693">
        <v>-75</v>
      </c>
      <c r="J72" s="693">
        <v>-75</v>
      </c>
      <c r="K72" s="693">
        <v>-75</v>
      </c>
      <c r="L72" s="693"/>
      <c r="M72" s="693"/>
      <c r="N72" s="693"/>
      <c r="O72" s="693"/>
      <c r="P72" s="693"/>
      <c r="Q72" s="693"/>
      <c r="R72" s="693"/>
      <c r="S72" s="693"/>
      <c r="T72" s="693"/>
      <c r="U72" s="693"/>
      <c r="V72" s="693"/>
      <c r="W72" s="693"/>
      <c r="X72" s="693"/>
      <c r="Y72" s="693"/>
      <c r="Z72" s="693"/>
      <c r="AA72" s="693"/>
      <c r="AB72" s="693">
        <v>-75</v>
      </c>
      <c r="AC72" s="693">
        <v>-75</v>
      </c>
      <c r="AD72" s="614">
        <f t="shared" si="8"/>
        <v>-600</v>
      </c>
      <c r="AE72" s="604">
        <f t="shared" si="6"/>
        <v>-13860</v>
      </c>
      <c r="AF72" s="555" t="str">
        <f t="shared" si="7"/>
        <v>buy</v>
      </c>
    </row>
    <row r="73" spans="1:33" s="359" customFormat="1" ht="14.25" customHeight="1" x14ac:dyDescent="0.2">
      <c r="A73" s="642" t="s">
        <v>67</v>
      </c>
      <c r="B73" s="690" t="s">
        <v>368</v>
      </c>
      <c r="C73" s="690" t="s">
        <v>151</v>
      </c>
      <c r="D73" s="691">
        <v>27.5</v>
      </c>
      <c r="E73" s="692"/>
      <c r="F73" s="693"/>
      <c r="G73" s="694"/>
      <c r="H73" s="694"/>
      <c r="I73" s="694"/>
      <c r="J73" s="694"/>
      <c r="K73" s="694"/>
      <c r="L73" s="694">
        <v>-25</v>
      </c>
      <c r="M73" s="694">
        <v>-25</v>
      </c>
      <c r="N73" s="694">
        <v>-25</v>
      </c>
      <c r="O73" s="694">
        <v>-25</v>
      </c>
      <c r="P73" s="694">
        <v>-25</v>
      </c>
      <c r="Q73" s="694">
        <v>-25</v>
      </c>
      <c r="R73" s="694">
        <v>-25</v>
      </c>
      <c r="S73" s="694">
        <v>-25</v>
      </c>
      <c r="T73" s="694">
        <v>-25</v>
      </c>
      <c r="U73" s="694">
        <v>-25</v>
      </c>
      <c r="V73" s="694">
        <v>-25</v>
      </c>
      <c r="W73" s="694">
        <v>-25</v>
      </c>
      <c r="X73" s="694">
        <v>-25</v>
      </c>
      <c r="Y73" s="694">
        <v>-25</v>
      </c>
      <c r="Z73" s="694">
        <v>-25</v>
      </c>
      <c r="AA73" s="694">
        <v>-25</v>
      </c>
      <c r="AB73" s="694"/>
      <c r="AC73" s="694"/>
      <c r="AD73" s="614">
        <f t="shared" si="8"/>
        <v>-400</v>
      </c>
      <c r="AE73" s="604">
        <f t="shared" si="6"/>
        <v>-11000</v>
      </c>
      <c r="AF73" s="555" t="str">
        <f t="shared" si="7"/>
        <v>buy</v>
      </c>
    </row>
    <row r="74" spans="1:33" s="359" customFormat="1" ht="14.25" customHeight="1" x14ac:dyDescent="0.2">
      <c r="A74" s="642" t="s">
        <v>65</v>
      </c>
      <c r="B74" s="690" t="s">
        <v>368</v>
      </c>
      <c r="C74" s="690" t="s">
        <v>151</v>
      </c>
      <c r="D74" s="691">
        <v>95.3</v>
      </c>
      <c r="E74" s="692"/>
      <c r="F74" s="693"/>
      <c r="G74" s="694"/>
      <c r="H74" s="694"/>
      <c r="I74" s="694"/>
      <c r="J74" s="694"/>
      <c r="K74" s="694"/>
      <c r="L74" s="694">
        <v>-25</v>
      </c>
      <c r="M74" s="694">
        <v>-25</v>
      </c>
      <c r="N74" s="694">
        <v>-25</v>
      </c>
      <c r="O74" s="694">
        <v>-25</v>
      </c>
      <c r="P74" s="694">
        <v>-25</v>
      </c>
      <c r="Q74" s="694">
        <v>-25</v>
      </c>
      <c r="R74" s="694">
        <v>-25</v>
      </c>
      <c r="S74" s="694">
        <v>-25</v>
      </c>
      <c r="T74" s="694">
        <v>-25</v>
      </c>
      <c r="U74" s="694">
        <v>-25</v>
      </c>
      <c r="V74" s="694">
        <v>-25</v>
      </c>
      <c r="W74" s="694">
        <v>-25</v>
      </c>
      <c r="X74" s="694">
        <v>-25</v>
      </c>
      <c r="Y74" s="694">
        <v>-25</v>
      </c>
      <c r="Z74" s="694">
        <v>-25</v>
      </c>
      <c r="AA74" s="694">
        <v>-25</v>
      </c>
      <c r="AB74" s="694"/>
      <c r="AC74" s="694"/>
      <c r="AD74" s="614">
        <f t="shared" si="8"/>
        <v>-400</v>
      </c>
      <c r="AE74" s="604">
        <f t="shared" si="6"/>
        <v>-38120</v>
      </c>
      <c r="AF74" s="555" t="str">
        <f t="shared" si="7"/>
        <v>buy</v>
      </c>
    </row>
    <row r="75" spans="1:33" s="359" customFormat="1" ht="14.25" customHeight="1" x14ac:dyDescent="0.2">
      <c r="A75" s="642" t="s">
        <v>224</v>
      </c>
      <c r="B75" s="690" t="s">
        <v>368</v>
      </c>
      <c r="C75" s="690" t="s">
        <v>151</v>
      </c>
      <c r="D75" s="691">
        <v>95.5</v>
      </c>
      <c r="E75" s="692"/>
      <c r="F75" s="693"/>
      <c r="G75" s="694"/>
      <c r="H75" s="694"/>
      <c r="I75" s="694"/>
      <c r="J75" s="694"/>
      <c r="K75" s="694"/>
      <c r="L75" s="694">
        <v>-25</v>
      </c>
      <c r="M75" s="694">
        <v>-25</v>
      </c>
      <c r="N75" s="694">
        <v>-25</v>
      </c>
      <c r="O75" s="694">
        <v>-25</v>
      </c>
      <c r="P75" s="694">
        <v>-25</v>
      </c>
      <c r="Q75" s="694">
        <v>-25</v>
      </c>
      <c r="R75" s="694">
        <v>-25</v>
      </c>
      <c r="S75" s="694">
        <v>-25</v>
      </c>
      <c r="T75" s="694">
        <v>-25</v>
      </c>
      <c r="U75" s="694">
        <v>-25</v>
      </c>
      <c r="V75" s="694">
        <v>-25</v>
      </c>
      <c r="W75" s="694">
        <v>-25</v>
      </c>
      <c r="X75" s="694">
        <v>-25</v>
      </c>
      <c r="Y75" s="694">
        <v>-25</v>
      </c>
      <c r="Z75" s="694">
        <v>-25</v>
      </c>
      <c r="AA75" s="694">
        <v>-25</v>
      </c>
      <c r="AB75" s="694"/>
      <c r="AC75" s="694"/>
      <c r="AD75" s="614">
        <f t="shared" si="8"/>
        <v>-400</v>
      </c>
      <c r="AE75" s="604">
        <f t="shared" si="6"/>
        <v>-38200</v>
      </c>
      <c r="AF75" s="555" t="str">
        <f t="shared" si="7"/>
        <v>buy</v>
      </c>
    </row>
    <row r="76" spans="1:33" s="359" customFormat="1" ht="14.25" customHeight="1" x14ac:dyDescent="0.2">
      <c r="A76" s="648" t="s">
        <v>224</v>
      </c>
      <c r="B76" s="690" t="s">
        <v>368</v>
      </c>
      <c r="C76" s="647" t="s">
        <v>151</v>
      </c>
      <c r="D76" s="653">
        <v>27.5</v>
      </c>
      <c r="E76" s="645"/>
      <c r="F76" s="659"/>
      <c r="G76" s="659"/>
      <c r="H76" s="659"/>
      <c r="I76" s="659"/>
      <c r="J76" s="659"/>
      <c r="K76" s="659"/>
      <c r="L76" s="694">
        <v>-25</v>
      </c>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59"/>
      <c r="AC76" s="659"/>
      <c r="AD76" s="614">
        <f t="shared" si="8"/>
        <v>-400</v>
      </c>
      <c r="AE76" s="604">
        <f t="shared" si="6"/>
        <v>-11000</v>
      </c>
      <c r="AF76" s="555" t="str">
        <f t="shared" si="7"/>
        <v>buy</v>
      </c>
    </row>
    <row r="77" spans="1:33" s="359" customFormat="1" ht="14.25" customHeight="1" x14ac:dyDescent="0.2">
      <c r="A77" s="648" t="s">
        <v>224</v>
      </c>
      <c r="B77" s="647" t="s">
        <v>368</v>
      </c>
      <c r="C77" s="647" t="s">
        <v>151</v>
      </c>
      <c r="D77" s="653">
        <v>26</v>
      </c>
      <c r="E77" s="645"/>
      <c r="F77" s="659"/>
      <c r="G77" s="659"/>
      <c r="H77" s="659"/>
      <c r="I77" s="659"/>
      <c r="J77" s="659"/>
      <c r="K77" s="659"/>
      <c r="L77" s="659">
        <v>-50</v>
      </c>
      <c r="M77" s="659">
        <v>-50</v>
      </c>
      <c r="N77" s="659">
        <v>-50</v>
      </c>
      <c r="O77" s="659">
        <v>-50</v>
      </c>
      <c r="P77" s="659">
        <v>-50</v>
      </c>
      <c r="Q77" s="659">
        <v>-50</v>
      </c>
      <c r="R77" s="659">
        <v>-50</v>
      </c>
      <c r="S77" s="659">
        <v>-50</v>
      </c>
      <c r="T77" s="659">
        <v>-50</v>
      </c>
      <c r="U77" s="659">
        <v>-50</v>
      </c>
      <c r="V77" s="659">
        <v>-50</v>
      </c>
      <c r="W77" s="659">
        <v>-50</v>
      </c>
      <c r="X77" s="659">
        <v>-50</v>
      </c>
      <c r="Y77" s="659">
        <v>-50</v>
      </c>
      <c r="Z77" s="659">
        <v>-50</v>
      </c>
      <c r="AA77" s="659">
        <v>-50</v>
      </c>
      <c r="AB77" s="659"/>
      <c r="AC77" s="659"/>
      <c r="AD77" s="614">
        <f t="shared" si="8"/>
        <v>-800</v>
      </c>
      <c r="AE77" s="604">
        <f t="shared" si="6"/>
        <v>-20800</v>
      </c>
      <c r="AF77" s="555" t="str">
        <f t="shared" si="7"/>
        <v>buy</v>
      </c>
    </row>
    <row r="78" spans="1:33" s="359" customFormat="1" x14ac:dyDescent="0.2">
      <c r="A78" s="648"/>
      <c r="B78" s="650"/>
      <c r="C78" s="650"/>
      <c r="D78" s="653"/>
      <c r="E78" s="645"/>
      <c r="F78" s="490"/>
      <c r="G78" s="490"/>
      <c r="H78" s="490"/>
      <c r="I78" s="490"/>
      <c r="J78" s="490"/>
      <c r="K78" s="490"/>
      <c r="L78" s="490"/>
      <c r="M78" s="490"/>
      <c r="N78" s="490"/>
      <c r="O78" s="490"/>
      <c r="P78" s="490"/>
      <c r="Q78" s="490"/>
      <c r="R78" s="490"/>
      <c r="S78" s="490"/>
      <c r="T78" s="490"/>
      <c r="U78" s="490"/>
      <c r="V78" s="490"/>
      <c r="W78" s="490"/>
      <c r="X78" s="490"/>
      <c r="Y78" s="490"/>
      <c r="Z78" s="490"/>
      <c r="AA78" s="490"/>
      <c r="AB78" s="490"/>
      <c r="AC78" s="490"/>
      <c r="AD78" s="614">
        <f>SUM(F78:AC78)</f>
        <v>0</v>
      </c>
      <c r="AE78" s="604">
        <f t="shared" si="6"/>
        <v>0</v>
      </c>
      <c r="AF78" s="555" t="str">
        <f t="shared" si="7"/>
        <v>sell</v>
      </c>
    </row>
    <row r="79" spans="1:33" s="359" customFormat="1" ht="14.25" customHeight="1" x14ac:dyDescent="0.2">
      <c r="A79" s="602"/>
      <c r="B79" s="567"/>
      <c r="C79" s="567"/>
      <c r="D79" s="567"/>
      <c r="E79" s="640"/>
      <c r="F79" s="567"/>
      <c r="G79" s="567"/>
      <c r="H79" s="567"/>
      <c r="I79" s="567"/>
      <c r="J79" s="567"/>
      <c r="K79" s="567"/>
      <c r="L79" s="567"/>
      <c r="M79" s="567"/>
      <c r="N79" s="567"/>
      <c r="O79" s="567"/>
      <c r="P79" s="567"/>
      <c r="Q79" s="567"/>
      <c r="R79" s="567"/>
      <c r="S79" s="567"/>
      <c r="T79" s="567"/>
      <c r="U79" s="567"/>
      <c r="V79" s="567"/>
      <c r="W79" s="567"/>
      <c r="X79" s="567"/>
      <c r="Y79" s="567"/>
      <c r="Z79" s="567"/>
      <c r="AA79" s="567"/>
      <c r="AB79" s="567"/>
      <c r="AC79" s="567"/>
      <c r="AD79" s="567"/>
      <c r="AE79" s="567"/>
      <c r="AF79" s="567"/>
      <c r="AG79" s="480"/>
    </row>
    <row r="80" spans="1:33" s="359" customFormat="1" x14ac:dyDescent="0.2">
      <c r="A80" s="667"/>
      <c r="B80" s="595"/>
      <c r="C80" s="595"/>
      <c r="D80" s="668"/>
      <c r="E80" s="596"/>
      <c r="F80" s="597"/>
      <c r="G80" s="598"/>
      <c r="H80" s="598"/>
      <c r="I80" s="598"/>
      <c r="J80" s="598"/>
      <c r="K80" s="598"/>
      <c r="L80" s="598"/>
      <c r="M80" s="598"/>
      <c r="N80" s="598"/>
      <c r="O80" s="598"/>
      <c r="P80" s="598"/>
      <c r="Q80" s="598"/>
      <c r="R80" s="598"/>
      <c r="S80" s="598"/>
      <c r="T80" s="598"/>
      <c r="U80" s="598"/>
      <c r="V80" s="598"/>
      <c r="W80" s="598"/>
      <c r="X80" s="598"/>
      <c r="Y80" s="598"/>
      <c r="Z80" s="598"/>
      <c r="AA80" s="598"/>
      <c r="AB80" s="598"/>
      <c r="AC80" s="598"/>
      <c r="AD80" s="614">
        <f>SUM(E80:AC80)</f>
        <v>0</v>
      </c>
      <c r="AE80" s="604">
        <f t="shared" ref="AE80:AE87" si="9">AD80*D80</f>
        <v>0</v>
      </c>
      <c r="AF80" s="555" t="str">
        <f t="shared" ref="AF80:AF91" si="10">IF(AD80&lt;0,"buy","sell")</f>
        <v>sell</v>
      </c>
    </row>
    <row r="81" spans="1:33" s="359" customFormat="1" x14ac:dyDescent="0.2">
      <c r="A81" s="667" t="s">
        <v>63</v>
      </c>
      <c r="B81" s="595" t="s">
        <v>371</v>
      </c>
      <c r="C81" s="595" t="s">
        <v>278</v>
      </c>
      <c r="D81" s="668">
        <v>20</v>
      </c>
      <c r="E81" s="596"/>
      <c r="F81" s="597"/>
      <c r="G81" s="598">
        <v>-25</v>
      </c>
      <c r="H81" s="598"/>
      <c r="I81" s="598"/>
      <c r="J81" s="598"/>
      <c r="K81" s="598"/>
      <c r="L81" s="598"/>
      <c r="M81" s="598"/>
      <c r="N81" s="598"/>
      <c r="O81" s="598"/>
      <c r="P81" s="598"/>
      <c r="Q81" s="598"/>
      <c r="R81" s="598"/>
      <c r="S81" s="598"/>
      <c r="T81" s="598"/>
      <c r="U81" s="598"/>
      <c r="V81" s="598"/>
      <c r="W81" s="598"/>
      <c r="X81" s="598"/>
      <c r="Y81" s="598"/>
      <c r="Z81" s="598"/>
      <c r="AA81" s="598"/>
      <c r="AB81" s="598"/>
      <c r="AC81" s="598"/>
      <c r="AD81" s="614">
        <f>SUM(E81:AC81)</f>
        <v>-25</v>
      </c>
      <c r="AE81" s="604">
        <f t="shared" si="9"/>
        <v>-500</v>
      </c>
      <c r="AF81" s="555" t="str">
        <f>IF(AD81&lt;0,"buy","sell")</f>
        <v>buy</v>
      </c>
    </row>
    <row r="82" spans="1:33" s="359" customFormat="1" x14ac:dyDescent="0.2">
      <c r="A82" s="667" t="s">
        <v>65</v>
      </c>
      <c r="B82" s="595" t="s">
        <v>371</v>
      </c>
      <c r="C82" s="595" t="s">
        <v>151</v>
      </c>
      <c r="D82" s="668">
        <v>20</v>
      </c>
      <c r="E82" s="596"/>
      <c r="F82" s="597"/>
      <c r="G82" s="598"/>
      <c r="H82" s="598"/>
      <c r="I82" s="598"/>
      <c r="J82" s="598"/>
      <c r="K82" s="695">
        <v>-50</v>
      </c>
      <c r="L82" s="598"/>
      <c r="M82" s="598"/>
      <c r="N82" s="598"/>
      <c r="O82" s="598"/>
      <c r="P82" s="598"/>
      <c r="Q82" s="598"/>
      <c r="R82" s="598"/>
      <c r="S82" s="598"/>
      <c r="T82" s="598"/>
      <c r="U82" s="598"/>
      <c r="V82" s="598"/>
      <c r="W82" s="598"/>
      <c r="X82" s="598"/>
      <c r="Y82" s="598"/>
      <c r="Z82" s="598"/>
      <c r="AA82" s="598"/>
      <c r="AB82" s="598"/>
      <c r="AC82" s="598"/>
      <c r="AD82" s="614">
        <f>SUM(E82:AC82)</f>
        <v>-50</v>
      </c>
      <c r="AE82" s="604">
        <f t="shared" si="9"/>
        <v>-1000</v>
      </c>
      <c r="AF82" s="555" t="str">
        <f>IF(AD82&lt;0,"buy","sell")</f>
        <v>buy</v>
      </c>
    </row>
    <row r="83" spans="1:33" s="359" customFormat="1" x14ac:dyDescent="0.2">
      <c r="A83" s="667"/>
      <c r="B83" s="595"/>
      <c r="C83" s="714"/>
      <c r="D83" s="668"/>
      <c r="E83" s="596"/>
      <c r="F83" s="597"/>
      <c r="G83" s="598"/>
      <c r="H83" s="598"/>
      <c r="I83" s="598"/>
      <c r="J83" s="598"/>
      <c r="K83" s="598"/>
      <c r="L83" s="598"/>
      <c r="M83" s="598"/>
      <c r="N83" s="598"/>
      <c r="O83" s="598"/>
      <c r="P83" s="598"/>
      <c r="Q83" s="598"/>
      <c r="R83" s="598"/>
      <c r="S83" s="598"/>
      <c r="T83" s="598"/>
      <c r="U83" s="598"/>
      <c r="V83" s="598"/>
      <c r="W83" s="598"/>
      <c r="X83" s="598"/>
      <c r="Y83" s="695"/>
      <c r="Z83" s="695"/>
      <c r="AA83" s="598"/>
      <c r="AB83" s="598"/>
      <c r="AC83" s="598"/>
      <c r="AD83" s="614">
        <f>SUM(AA83:AC83)</f>
        <v>0</v>
      </c>
      <c r="AE83" s="604">
        <f t="shared" si="9"/>
        <v>0</v>
      </c>
      <c r="AF83" s="555" t="str">
        <f t="shared" si="10"/>
        <v>sell</v>
      </c>
    </row>
    <row r="84" spans="1:33" s="359" customFormat="1" x14ac:dyDescent="0.2">
      <c r="A84" s="667"/>
      <c r="B84" s="595"/>
      <c r="C84" s="595"/>
      <c r="D84" s="668"/>
      <c r="E84" s="596"/>
      <c r="F84" s="597"/>
      <c r="G84" s="598"/>
      <c r="H84" s="598"/>
      <c r="I84" s="598"/>
      <c r="J84" s="598"/>
      <c r="K84" s="598"/>
      <c r="L84" s="598"/>
      <c r="M84" s="598"/>
      <c r="N84" s="598"/>
      <c r="O84" s="598"/>
      <c r="P84" s="598"/>
      <c r="Q84" s="598"/>
      <c r="R84" s="598"/>
      <c r="S84" s="598"/>
      <c r="T84" s="598"/>
      <c r="U84" s="598"/>
      <c r="V84" s="598"/>
      <c r="W84" s="598"/>
      <c r="X84" s="598"/>
      <c r="Y84" s="695"/>
      <c r="Z84" s="695"/>
      <c r="AA84" s="598"/>
      <c r="AB84" s="598"/>
      <c r="AC84" s="598"/>
      <c r="AD84" s="614">
        <f>SUM(AA84:AC84)</f>
        <v>0</v>
      </c>
      <c r="AE84" s="604">
        <f t="shared" si="9"/>
        <v>0</v>
      </c>
      <c r="AF84" s="555" t="str">
        <f t="shared" si="10"/>
        <v>sell</v>
      </c>
    </row>
    <row r="85" spans="1:33" s="359" customFormat="1" ht="13.5" thickBot="1" x14ac:dyDescent="0.25">
      <c r="A85" s="493" t="s">
        <v>279</v>
      </c>
      <c r="B85" s="494"/>
      <c r="C85" s="494"/>
      <c r="D85" s="495"/>
      <c r="E85" s="495"/>
      <c r="F85" s="496"/>
      <c r="G85" s="496"/>
      <c r="H85" s="496"/>
      <c r="I85" s="496"/>
      <c r="J85" s="496"/>
      <c r="K85" s="496"/>
      <c r="L85" s="496"/>
      <c r="M85" s="496"/>
      <c r="N85" s="496"/>
      <c r="O85" s="496"/>
      <c r="P85" s="496"/>
      <c r="Q85" s="496"/>
      <c r="R85" s="496"/>
      <c r="S85" s="496"/>
      <c r="T85" s="496"/>
      <c r="U85" s="496"/>
      <c r="V85" s="496"/>
      <c r="W85" s="496"/>
      <c r="X85" s="496"/>
      <c r="Y85" s="496"/>
      <c r="Z85" s="496"/>
      <c r="AA85" s="598"/>
      <c r="AB85" s="598"/>
      <c r="AC85" s="598"/>
      <c r="AD85" s="614">
        <f>SUM(AA85:AC85)</f>
        <v>0</v>
      </c>
      <c r="AE85" s="604">
        <f t="shared" si="9"/>
        <v>0</v>
      </c>
      <c r="AF85" s="555" t="str">
        <f t="shared" si="10"/>
        <v>sell</v>
      </c>
    </row>
    <row r="86" spans="1:33" s="359" customFormat="1" x14ac:dyDescent="0.2">
      <c r="A86" s="573"/>
      <c r="B86" s="582"/>
      <c r="C86" s="582"/>
      <c r="D86" s="574"/>
      <c r="E86" s="574"/>
      <c r="F86" s="575"/>
      <c r="G86" s="576"/>
      <c r="H86" s="575"/>
      <c r="I86" s="575"/>
      <c r="J86" s="575"/>
      <c r="K86" s="575"/>
      <c r="L86" s="575"/>
      <c r="M86" s="575"/>
      <c r="N86" s="575"/>
      <c r="O86" s="575"/>
      <c r="P86" s="575"/>
      <c r="Q86" s="575"/>
      <c r="R86" s="575"/>
      <c r="S86" s="575"/>
      <c r="T86" s="575"/>
      <c r="U86" s="578"/>
      <c r="V86" s="575"/>
      <c r="W86" s="575"/>
      <c r="X86" s="575"/>
      <c r="Y86" s="575"/>
      <c r="Z86" s="575"/>
      <c r="AA86" s="598"/>
      <c r="AB86" s="598"/>
      <c r="AC86" s="598"/>
      <c r="AD86" s="614">
        <f>SUM(AA86:AC86)</f>
        <v>0</v>
      </c>
      <c r="AE86" s="604">
        <f t="shared" si="9"/>
        <v>0</v>
      </c>
      <c r="AF86" s="555" t="str">
        <f t="shared" si="10"/>
        <v>sell</v>
      </c>
    </row>
    <row r="87" spans="1:33" s="359" customFormat="1" x14ac:dyDescent="0.2">
      <c r="A87" s="580" t="s">
        <v>206</v>
      </c>
      <c r="B87" s="501"/>
      <c r="C87" s="501"/>
      <c r="D87" s="501"/>
      <c r="E87" s="501"/>
      <c r="F87" s="501"/>
      <c r="G87" s="501"/>
      <c r="H87" s="501"/>
      <c r="I87" s="501"/>
      <c r="J87" s="501"/>
      <c r="K87" s="501"/>
      <c r="L87" s="501"/>
      <c r="M87" s="501"/>
      <c r="N87" s="501"/>
      <c r="O87" s="501"/>
      <c r="P87" s="501"/>
      <c r="Q87" s="501"/>
      <c r="R87" s="501"/>
      <c r="S87" s="501"/>
      <c r="T87" s="501"/>
      <c r="U87" s="501"/>
      <c r="V87" s="501"/>
      <c r="W87" s="501"/>
      <c r="X87" s="501"/>
      <c r="Y87" s="501"/>
      <c r="Z87" s="501"/>
      <c r="AA87" s="598"/>
      <c r="AB87" s="598"/>
      <c r="AC87" s="598"/>
      <c r="AD87" s="614">
        <f>SUM(AA87:AC87)</f>
        <v>0</v>
      </c>
      <c r="AE87" s="604">
        <f t="shared" si="9"/>
        <v>0</v>
      </c>
      <c r="AF87" s="555" t="str">
        <f t="shared" si="10"/>
        <v>sell</v>
      </c>
    </row>
    <row r="88" spans="1:33" s="359" customFormat="1" x14ac:dyDescent="0.2">
      <c r="B88" s="367"/>
      <c r="C88" s="367"/>
      <c r="D88" s="368"/>
      <c r="E88" s="368"/>
      <c r="F88" s="367"/>
      <c r="G88" s="369"/>
      <c r="H88" s="369"/>
      <c r="I88" s="369"/>
      <c r="J88" s="369"/>
      <c r="K88" s="369"/>
      <c r="L88" s="369"/>
      <c r="M88" s="369"/>
      <c r="N88" s="369"/>
      <c r="O88" s="369"/>
      <c r="P88" s="369"/>
      <c r="Q88" s="369"/>
      <c r="R88" s="369"/>
      <c r="S88" s="369"/>
      <c r="T88" s="369"/>
      <c r="U88" s="369"/>
      <c r="V88" s="369"/>
      <c r="W88" s="369"/>
      <c r="X88" s="369"/>
      <c r="Y88" s="369"/>
      <c r="Z88" s="452"/>
      <c r="AA88" s="598"/>
      <c r="AB88" s="598"/>
      <c r="AC88" s="598"/>
      <c r="AD88" s="614">
        <f>SUM(E88:AC88)</f>
        <v>0</v>
      </c>
      <c r="AE88" s="604">
        <f>AD88*D83</f>
        <v>0</v>
      </c>
      <c r="AF88" s="555" t="str">
        <f t="shared" si="10"/>
        <v>sell</v>
      </c>
    </row>
    <row r="89" spans="1:33" s="359" customFormat="1" ht="18" x14ac:dyDescent="0.25">
      <c r="A89" s="437" t="s">
        <v>241</v>
      </c>
      <c r="B89" s="438"/>
      <c r="C89" s="568"/>
      <c r="D89" s="439"/>
      <c r="E89" s="439"/>
      <c r="F89" s="440"/>
      <c r="G89" s="441"/>
      <c r="H89" s="373"/>
      <c r="I89" s="373"/>
      <c r="J89" s="373"/>
      <c r="K89" s="374"/>
      <c r="L89" s="373"/>
      <c r="M89" s="373"/>
      <c r="N89" s="373"/>
      <c r="O89" s="373"/>
      <c r="P89" s="373"/>
      <c r="Q89" s="373"/>
      <c r="R89" s="373"/>
      <c r="S89" s="373" t="s">
        <v>15</v>
      </c>
      <c r="T89" s="373"/>
      <c r="U89" s="373"/>
      <c r="V89" s="373"/>
      <c r="W89" s="373"/>
      <c r="X89" s="373"/>
      <c r="Y89" s="373"/>
      <c r="Z89" s="375"/>
      <c r="AA89" s="598"/>
      <c r="AB89" s="598"/>
      <c r="AC89" s="598"/>
      <c r="AD89" s="614">
        <f>SUM(E89:AC89)</f>
        <v>0</v>
      </c>
      <c r="AE89" s="604">
        <f>AD89*D84</f>
        <v>0</v>
      </c>
      <c r="AF89" s="555" t="str">
        <f t="shared" si="10"/>
        <v>sell</v>
      </c>
    </row>
    <row r="90" spans="1:33" s="359" customFormat="1" ht="13.5" thickBot="1" x14ac:dyDescent="0.25">
      <c r="A90" s="442"/>
      <c r="B90" s="443"/>
      <c r="C90" s="443"/>
      <c r="D90" s="439"/>
      <c r="E90" s="439"/>
      <c r="F90" s="441"/>
      <c r="G90" s="441"/>
      <c r="H90" s="373"/>
      <c r="I90" s="373"/>
      <c r="J90" s="373"/>
      <c r="K90" s="376"/>
      <c r="L90" s="376"/>
      <c r="M90" s="373"/>
      <c r="N90" s="373"/>
      <c r="O90" s="373"/>
      <c r="P90" s="373"/>
      <c r="Q90" s="373"/>
      <c r="R90" s="373"/>
      <c r="S90" s="373"/>
      <c r="T90" s="373"/>
      <c r="U90" s="373"/>
      <c r="V90" s="373"/>
      <c r="W90" s="373"/>
      <c r="X90" s="373"/>
      <c r="Y90" s="373"/>
      <c r="Z90" s="375"/>
      <c r="AA90" s="496"/>
      <c r="AB90" s="496"/>
      <c r="AC90" s="497"/>
      <c r="AD90" s="603">
        <f>SUM(F90:AC90)</f>
        <v>0</v>
      </c>
      <c r="AE90" s="604">
        <f>AD90*D85</f>
        <v>0</v>
      </c>
      <c r="AF90" s="555" t="str">
        <f t="shared" si="10"/>
        <v>sell</v>
      </c>
    </row>
    <row r="91" spans="1:33" s="359" customFormat="1" ht="18.75" thickBot="1" x14ac:dyDescent="0.3">
      <c r="A91" s="444" t="s">
        <v>7</v>
      </c>
      <c r="B91" s="445"/>
      <c r="C91" s="445" t="s">
        <v>265</v>
      </c>
      <c r="D91" s="446" t="s">
        <v>9</v>
      </c>
      <c r="E91" s="445"/>
      <c r="F91" s="448" t="s">
        <v>271</v>
      </c>
      <c r="G91" s="449"/>
      <c r="H91" s="373"/>
      <c r="I91" s="373"/>
      <c r="J91" s="373"/>
      <c r="K91" s="376"/>
      <c r="L91" s="374"/>
      <c r="M91" s="373"/>
      <c r="N91" s="373"/>
      <c r="O91" s="373"/>
      <c r="P91" s="373"/>
      <c r="Q91" s="373"/>
      <c r="R91" s="373"/>
      <c r="S91" s="373"/>
      <c r="T91" s="373"/>
      <c r="U91" s="373"/>
      <c r="V91" s="373"/>
      <c r="W91" s="373"/>
      <c r="X91" s="373"/>
      <c r="Y91" s="373"/>
      <c r="AA91" s="575"/>
      <c r="AB91" s="575"/>
      <c r="AC91" s="577"/>
      <c r="AD91" s="603">
        <f>SUM(F91:AC91)</f>
        <v>0</v>
      </c>
      <c r="AE91" s="604">
        <f>AD91*D86</f>
        <v>0</v>
      </c>
      <c r="AF91" s="555" t="str">
        <f t="shared" si="10"/>
        <v>sell</v>
      </c>
    </row>
    <row r="92" spans="1:33" s="359" customFormat="1" ht="18" x14ac:dyDescent="0.25">
      <c r="A92" s="450" t="s">
        <v>243</v>
      </c>
      <c r="B92" s="451" t="s">
        <v>244</v>
      </c>
      <c r="C92" s="451"/>
      <c r="D92" s="600"/>
      <c r="E92" s="451"/>
      <c r="F92" s="447" t="s">
        <v>319</v>
      </c>
      <c r="G92" s="441" t="s">
        <v>320</v>
      </c>
      <c r="H92" s="373"/>
      <c r="I92" s="373"/>
      <c r="J92" s="373"/>
      <c r="K92" s="376"/>
      <c r="L92" s="374"/>
      <c r="M92" s="373"/>
      <c r="N92" s="373"/>
      <c r="O92" s="373"/>
      <c r="P92" s="373"/>
      <c r="Q92" s="373"/>
      <c r="R92" s="373"/>
      <c r="S92" s="373"/>
      <c r="T92" s="373"/>
      <c r="U92" s="373"/>
      <c r="V92" s="373"/>
      <c r="W92" s="373"/>
      <c r="X92" s="373"/>
      <c r="Y92" s="373"/>
      <c r="Z92" s="375" t="s">
        <v>207</v>
      </c>
      <c r="AA92" s="501"/>
      <c r="AB92" s="501"/>
      <c r="AC92" s="501"/>
      <c r="AD92" s="501"/>
      <c r="AE92" s="501"/>
      <c r="AF92" s="501"/>
    </row>
    <row r="93" spans="1:33" x14ac:dyDescent="0.2">
      <c r="A93" s="443">
        <v>24</v>
      </c>
      <c r="B93" s="443">
        <v>1</v>
      </c>
      <c r="C93" s="452">
        <v>1</v>
      </c>
      <c r="D93" s="605"/>
      <c r="E93" s="557"/>
      <c r="F93" s="612">
        <f>D93-0.25</f>
        <v>-0.25</v>
      </c>
      <c r="G93" s="581">
        <f>D93+0.56</f>
        <v>0.56000000000000005</v>
      </c>
      <c r="K93" s="376"/>
      <c r="M93" s="373"/>
      <c r="N93" s="373"/>
      <c r="Z93" s="375"/>
      <c r="AA93" s="452"/>
      <c r="AB93" s="452"/>
      <c r="AC93" s="558"/>
      <c r="AD93" s="471"/>
      <c r="AE93" s="472"/>
      <c r="AF93" s="452"/>
      <c r="AG93" s="359"/>
    </row>
    <row r="94" spans="1:33" s="359" customFormat="1" x14ac:dyDescent="0.2">
      <c r="A94" s="441">
        <v>1</v>
      </c>
      <c r="B94" s="441">
        <v>2</v>
      </c>
      <c r="C94" s="452">
        <v>1</v>
      </c>
      <c r="D94" s="605"/>
      <c r="E94" s="506"/>
      <c r="F94" s="612">
        <f t="shared" ref="F94:F117" si="11">D94-0.25</f>
        <v>-0.25</v>
      </c>
      <c r="G94" s="581">
        <f t="shared" ref="G94:G117" si="12">D94+0.56</f>
        <v>0.56000000000000005</v>
      </c>
      <c r="H94" s="373"/>
      <c r="I94" s="373"/>
      <c r="J94" s="373"/>
      <c r="K94" s="376"/>
      <c r="L94" s="373"/>
      <c r="M94" s="373"/>
      <c r="N94" s="373"/>
      <c r="O94" s="373"/>
      <c r="P94" s="373"/>
      <c r="Q94" s="373"/>
      <c r="R94" s="373"/>
      <c r="S94" s="373"/>
      <c r="T94" s="373"/>
      <c r="U94" s="373"/>
      <c r="V94" s="373"/>
      <c r="W94" s="373"/>
      <c r="X94" s="373"/>
      <c r="Y94" s="373"/>
      <c r="Z94" s="561" t="s">
        <v>266</v>
      </c>
      <c r="AA94" s="375"/>
      <c r="AB94" s="375"/>
      <c r="AC94" s="559"/>
      <c r="AD94" s="471"/>
      <c r="AE94" s="472"/>
      <c r="AF94" s="375"/>
    </row>
    <row r="95" spans="1:33" s="359" customFormat="1" x14ac:dyDescent="0.2">
      <c r="A95" s="443">
        <v>2</v>
      </c>
      <c r="B95" s="443">
        <v>3</v>
      </c>
      <c r="C95" s="452">
        <v>1</v>
      </c>
      <c r="D95" s="605"/>
      <c r="E95" s="506"/>
      <c r="F95" s="612">
        <f t="shared" si="11"/>
        <v>-0.25</v>
      </c>
      <c r="G95" s="581">
        <f t="shared" si="12"/>
        <v>0.56000000000000005</v>
      </c>
      <c r="H95" s="373"/>
      <c r="I95" s="373"/>
      <c r="J95" s="373"/>
      <c r="K95" s="376"/>
      <c r="L95" s="373"/>
      <c r="M95" s="373"/>
      <c r="N95" s="373"/>
      <c r="O95" s="373"/>
      <c r="P95" s="373"/>
      <c r="Q95" s="373"/>
      <c r="R95" s="373"/>
      <c r="S95" s="373"/>
      <c r="T95" s="373"/>
      <c r="U95" s="373"/>
      <c r="V95" s="373"/>
      <c r="W95" s="373"/>
      <c r="X95" s="373"/>
      <c r="Y95" s="373"/>
      <c r="Z95" s="561" t="s">
        <v>267</v>
      </c>
      <c r="AA95" s="375"/>
      <c r="AB95" s="375"/>
      <c r="AC95" s="559"/>
      <c r="AD95" s="471"/>
      <c r="AE95" s="472"/>
      <c r="AF95" s="375"/>
    </row>
    <row r="96" spans="1:33" s="359" customFormat="1" x14ac:dyDescent="0.2">
      <c r="A96" s="441">
        <v>3</v>
      </c>
      <c r="B96" s="441">
        <v>4</v>
      </c>
      <c r="C96" s="452">
        <v>1</v>
      </c>
      <c r="D96" s="605"/>
      <c r="E96" s="506"/>
      <c r="F96" s="612">
        <f t="shared" si="11"/>
        <v>-0.25</v>
      </c>
      <c r="G96" s="581">
        <f t="shared" si="12"/>
        <v>0.56000000000000005</v>
      </c>
      <c r="H96" s="380"/>
      <c r="I96" s="380"/>
      <c r="J96" s="380"/>
      <c r="K96" s="381"/>
      <c r="L96" s="380"/>
      <c r="M96" s="373"/>
      <c r="N96" s="373"/>
      <c r="O96" s="380"/>
      <c r="P96" s="380"/>
      <c r="Q96" s="380"/>
      <c r="R96" s="380"/>
      <c r="S96" s="380"/>
      <c r="T96" s="380"/>
      <c r="U96" s="380"/>
      <c r="V96" s="380"/>
      <c r="W96" s="380"/>
      <c r="X96" s="380"/>
      <c r="Y96" s="380"/>
      <c r="Z96" s="387"/>
      <c r="AA96" s="375"/>
      <c r="AB96" s="375"/>
      <c r="AC96" s="559"/>
      <c r="AD96" s="471"/>
      <c r="AE96" s="472"/>
      <c r="AF96" s="375"/>
    </row>
    <row r="97" spans="1:33" s="359" customFormat="1" x14ac:dyDescent="0.2">
      <c r="A97" s="443">
        <v>4</v>
      </c>
      <c r="B97" s="443">
        <v>5</v>
      </c>
      <c r="C97" s="452">
        <v>1</v>
      </c>
      <c r="D97" s="605"/>
      <c r="E97" s="506"/>
      <c r="F97" s="612">
        <f t="shared" si="11"/>
        <v>-0.25</v>
      </c>
      <c r="G97" s="581">
        <f t="shared" si="12"/>
        <v>0.56000000000000005</v>
      </c>
      <c r="H97" s="380"/>
      <c r="O97" s="373"/>
      <c r="P97" s="373"/>
      <c r="Q97" s="384"/>
      <c r="R97" s="384"/>
      <c r="S97" s="384"/>
      <c r="T97" s="384"/>
      <c r="U97" s="384"/>
      <c r="V97" s="384"/>
      <c r="W97" s="384"/>
      <c r="X97" s="384"/>
      <c r="Y97" s="384"/>
      <c r="Z97" s="563" t="s">
        <v>280</v>
      </c>
      <c r="AA97" s="375"/>
      <c r="AB97" s="375"/>
      <c r="AC97" s="560"/>
      <c r="AD97" s="467"/>
      <c r="AE97" s="468"/>
      <c r="AF97" s="375"/>
    </row>
    <row r="98" spans="1:33" s="359" customFormat="1" x14ac:dyDescent="0.2">
      <c r="A98" s="441">
        <v>5</v>
      </c>
      <c r="B98" s="441">
        <v>6</v>
      </c>
      <c r="C98" s="452">
        <v>1</v>
      </c>
      <c r="D98" s="605"/>
      <c r="E98" s="506"/>
      <c r="F98" s="612">
        <f t="shared" si="11"/>
        <v>-0.25</v>
      </c>
      <c r="G98" s="581">
        <f t="shared" si="12"/>
        <v>0.56000000000000005</v>
      </c>
      <c r="H98" s="373"/>
      <c r="O98" s="373"/>
      <c r="P98" s="373"/>
      <c r="Q98" s="373"/>
      <c r="R98" s="373"/>
      <c r="S98" s="373"/>
      <c r="T98" s="373"/>
      <c r="U98" s="373"/>
      <c r="V98" s="373"/>
      <c r="W98" s="373"/>
      <c r="X98" s="373"/>
      <c r="Y98" s="373"/>
      <c r="Z98" s="563"/>
      <c r="AA98" s="561"/>
      <c r="AB98" s="561"/>
      <c r="AC98" s="560"/>
      <c r="AD98" s="405"/>
      <c r="AE98" s="405"/>
      <c r="AF98" s="561"/>
    </row>
    <row r="99" spans="1:33" s="359" customFormat="1" x14ac:dyDescent="0.2">
      <c r="A99" s="443">
        <v>6</v>
      </c>
      <c r="B99" s="443">
        <v>7</v>
      </c>
      <c r="C99" s="452">
        <v>1</v>
      </c>
      <c r="D99" s="605"/>
      <c r="E99" s="506"/>
      <c r="F99" s="612">
        <f t="shared" si="11"/>
        <v>-0.25</v>
      </c>
      <c r="G99" s="581">
        <f t="shared" si="12"/>
        <v>0.56000000000000005</v>
      </c>
      <c r="H99" s="385"/>
      <c r="O99" s="373"/>
      <c r="P99" s="373"/>
      <c r="Q99" s="385"/>
      <c r="R99" s="385"/>
      <c r="S99" s="385"/>
      <c r="T99" s="385"/>
      <c r="U99" s="385"/>
      <c r="V99" s="385"/>
      <c r="W99" s="385"/>
      <c r="X99" s="385"/>
      <c r="Y99" s="385"/>
      <c r="Z99" s="563" t="s">
        <v>267</v>
      </c>
      <c r="AA99" s="561"/>
      <c r="AB99" s="561"/>
      <c r="AC99" s="560"/>
      <c r="AD99" s="487">
        <f>SUM(AD14:AD68)</f>
        <v>0</v>
      </c>
      <c r="AE99" s="487">
        <f>SUM(AE14:AE68)</f>
        <v>0</v>
      </c>
      <c r="AF99" s="561"/>
    </row>
    <row r="100" spans="1:33" s="359" customFormat="1" x14ac:dyDescent="0.2">
      <c r="A100" s="441">
        <v>7</v>
      </c>
      <c r="B100" s="441">
        <v>8</v>
      </c>
      <c r="C100" s="452">
        <v>1</v>
      </c>
      <c r="D100" s="605"/>
      <c r="E100" s="506"/>
      <c r="F100" s="612">
        <f t="shared" si="11"/>
        <v>-0.25</v>
      </c>
      <c r="G100" s="581">
        <f t="shared" si="12"/>
        <v>0.56000000000000005</v>
      </c>
      <c r="H100" s="385"/>
      <c r="O100" s="373"/>
      <c r="P100" s="373"/>
      <c r="Q100" s="385"/>
      <c r="R100" s="385"/>
      <c r="S100" s="385"/>
      <c r="T100" s="385"/>
      <c r="U100" s="385"/>
      <c r="V100" s="385"/>
      <c r="W100" s="385"/>
      <c r="X100" s="385"/>
      <c r="Y100" s="385"/>
      <c r="Z100" s="405"/>
      <c r="AA100" s="561"/>
      <c r="AB100" s="561"/>
      <c r="AC100" s="562"/>
      <c r="AD100" s="475">
        <f>SUM(AD71:AD91)</f>
        <v>-3475</v>
      </c>
      <c r="AE100" s="475">
        <f>SUM(AE70:AE91)</f>
        <v>-143720</v>
      </c>
      <c r="AF100" s="561"/>
    </row>
    <row r="101" spans="1:33" s="359" customFormat="1" x14ac:dyDescent="0.2">
      <c r="A101" s="443">
        <v>8</v>
      </c>
      <c r="B101" s="443">
        <v>9</v>
      </c>
      <c r="C101" s="452">
        <v>1</v>
      </c>
      <c r="D101" s="605"/>
      <c r="E101" s="506"/>
      <c r="F101" s="612">
        <f t="shared" si="11"/>
        <v>-0.25</v>
      </c>
      <c r="G101" s="581">
        <f t="shared" si="12"/>
        <v>0.56000000000000005</v>
      </c>
      <c r="H101" s="373"/>
      <c r="O101" s="373"/>
      <c r="P101" s="373"/>
      <c r="Q101" s="373"/>
      <c r="R101" s="373"/>
      <c r="S101" s="373"/>
      <c r="T101" s="373"/>
      <c r="U101" s="373"/>
      <c r="V101" s="373"/>
      <c r="W101" s="373"/>
      <c r="X101" s="373"/>
      <c r="Y101" s="373"/>
      <c r="Z101" s="405"/>
      <c r="AA101" s="387"/>
      <c r="AB101" s="387"/>
      <c r="AC101" s="480"/>
      <c r="AF101" s="387"/>
    </row>
    <row r="102" spans="1:33" s="405" customFormat="1" x14ac:dyDescent="0.2">
      <c r="A102" s="441">
        <v>9</v>
      </c>
      <c r="B102" s="441">
        <v>10</v>
      </c>
      <c r="C102" s="452">
        <v>1</v>
      </c>
      <c r="D102" s="605"/>
      <c r="E102" s="506"/>
      <c r="F102" s="612">
        <f t="shared" si="11"/>
        <v>-0.25</v>
      </c>
      <c r="G102" s="581">
        <f t="shared" si="12"/>
        <v>0.56000000000000005</v>
      </c>
      <c r="H102" s="373"/>
      <c r="I102" s="359"/>
      <c r="J102" s="359"/>
      <c r="K102" s="359"/>
      <c r="L102" s="359"/>
      <c r="M102" s="359"/>
      <c r="N102" s="359"/>
      <c r="O102" s="373"/>
      <c r="P102" s="373"/>
      <c r="Q102" s="373"/>
      <c r="R102" s="373"/>
      <c r="S102" s="373"/>
      <c r="T102" s="373"/>
      <c r="U102" s="373"/>
      <c r="V102" s="373"/>
      <c r="W102" s="373"/>
      <c r="X102" s="373"/>
      <c r="Y102" s="373"/>
      <c r="AA102" s="563"/>
      <c r="AB102" s="563"/>
      <c r="AC102" s="564"/>
      <c r="AD102" s="498"/>
      <c r="AE102" s="499"/>
      <c r="AG102" s="359"/>
    </row>
    <row r="103" spans="1:33" s="405" customFormat="1" x14ac:dyDescent="0.2">
      <c r="A103" s="443">
        <v>10</v>
      </c>
      <c r="B103" s="443">
        <v>11</v>
      </c>
      <c r="C103" s="452">
        <v>1</v>
      </c>
      <c r="D103" s="605"/>
      <c r="E103" s="506"/>
      <c r="F103" s="612">
        <f t="shared" si="11"/>
        <v>-0.25</v>
      </c>
      <c r="G103" s="581">
        <f t="shared" si="12"/>
        <v>0.56000000000000005</v>
      </c>
      <c r="H103" s="386"/>
      <c r="I103" s="407"/>
      <c r="J103" s="407"/>
      <c r="K103" s="407"/>
      <c r="L103" s="407"/>
      <c r="M103" s="407"/>
      <c r="N103" s="407"/>
      <c r="O103" s="386"/>
      <c r="P103" s="386"/>
      <c r="Q103" s="386"/>
      <c r="R103" s="386"/>
      <c r="S103" s="386"/>
      <c r="T103" s="386"/>
      <c r="U103" s="386"/>
      <c r="V103" s="386"/>
      <c r="W103" s="386"/>
      <c r="X103" s="386"/>
      <c r="Y103" s="386"/>
      <c r="AA103" s="563"/>
      <c r="AB103" s="563"/>
      <c r="AC103" s="564"/>
      <c r="AD103" s="498"/>
      <c r="AE103" s="499"/>
      <c r="AG103" s="373"/>
    </row>
    <row r="104" spans="1:33" s="405" customFormat="1" x14ac:dyDescent="0.2">
      <c r="A104" s="441">
        <v>11</v>
      </c>
      <c r="B104" s="441">
        <v>12</v>
      </c>
      <c r="C104" s="452">
        <v>1</v>
      </c>
      <c r="D104" s="605"/>
      <c r="E104" s="506"/>
      <c r="F104" s="612">
        <f t="shared" si="11"/>
        <v>-0.25</v>
      </c>
      <c r="G104" s="581">
        <f t="shared" si="12"/>
        <v>0.56000000000000005</v>
      </c>
      <c r="H104" s="387"/>
      <c r="I104" s="359"/>
      <c r="J104" s="359"/>
      <c r="K104" s="359"/>
      <c r="L104" s="359"/>
      <c r="M104" s="359"/>
      <c r="N104" s="359"/>
      <c r="O104" s="387"/>
      <c r="P104" s="387"/>
      <c r="Q104" s="387"/>
      <c r="R104" s="387"/>
      <c r="S104" s="387"/>
      <c r="T104" s="387"/>
      <c r="U104" s="387"/>
      <c r="V104" s="387"/>
      <c r="W104" s="387"/>
      <c r="X104" s="387"/>
      <c r="Y104" s="387"/>
      <c r="AA104" s="563"/>
      <c r="AB104" s="563"/>
      <c r="AC104" s="564"/>
      <c r="AD104" s="500">
        <f>SUM(AD90:AD92)</f>
        <v>0</v>
      </c>
      <c r="AE104" s="500">
        <f>SUM(AE90:AE92)</f>
        <v>0</v>
      </c>
      <c r="AG104" s="359"/>
    </row>
    <row r="105" spans="1:33" s="405" customFormat="1" x14ac:dyDescent="0.2">
      <c r="A105" s="443">
        <v>12</v>
      </c>
      <c r="B105" s="443">
        <v>13</v>
      </c>
      <c r="C105" s="452">
        <v>1</v>
      </c>
      <c r="D105" s="605"/>
      <c r="E105" s="506"/>
      <c r="F105" s="612">
        <f t="shared" si="11"/>
        <v>-0.25</v>
      </c>
      <c r="G105" s="581">
        <f t="shared" si="12"/>
        <v>0.56000000000000005</v>
      </c>
      <c r="H105" s="387"/>
      <c r="I105" s="359"/>
      <c r="J105" s="359"/>
      <c r="K105" s="359"/>
      <c r="L105" s="359"/>
      <c r="M105" s="359"/>
      <c r="N105" s="359"/>
      <c r="O105" s="387"/>
      <c r="P105" s="387"/>
      <c r="Q105" s="387"/>
      <c r="R105" s="387"/>
      <c r="S105" s="387"/>
      <c r="T105" s="387"/>
      <c r="U105" s="387"/>
      <c r="V105" s="387"/>
      <c r="W105" s="387"/>
      <c r="X105" s="387"/>
      <c r="Y105" s="387"/>
      <c r="Z105" s="387"/>
      <c r="AC105" s="481"/>
      <c r="AG105" s="359"/>
    </row>
    <row r="106" spans="1:33" s="405" customFormat="1" x14ac:dyDescent="0.2">
      <c r="A106" s="441">
        <v>13</v>
      </c>
      <c r="B106" s="441">
        <v>14</v>
      </c>
      <c r="C106" s="452">
        <v>1</v>
      </c>
      <c r="D106" s="605"/>
      <c r="E106" s="506"/>
      <c r="F106" s="612">
        <f t="shared" si="11"/>
        <v>-0.25</v>
      </c>
      <c r="G106" s="581">
        <f t="shared" si="12"/>
        <v>0.56000000000000005</v>
      </c>
      <c r="H106" s="387"/>
      <c r="I106" s="359"/>
      <c r="J106" s="359"/>
      <c r="K106" s="359"/>
      <c r="L106" s="359"/>
      <c r="M106" s="359"/>
      <c r="N106" s="359"/>
      <c r="O106" s="387"/>
      <c r="P106" s="387"/>
      <c r="Q106" s="387"/>
      <c r="R106" s="387"/>
      <c r="S106" s="387"/>
      <c r="T106" s="387"/>
      <c r="U106" s="387"/>
      <c r="V106" s="387"/>
      <c r="W106" s="387"/>
      <c r="X106" s="387"/>
      <c r="Y106" s="387"/>
      <c r="Z106" s="387"/>
      <c r="AC106" s="481"/>
      <c r="AG106" s="359"/>
    </row>
    <row r="107" spans="1:33" s="405" customFormat="1" x14ac:dyDescent="0.2">
      <c r="A107" s="443">
        <v>14</v>
      </c>
      <c r="B107" s="443">
        <v>15</v>
      </c>
      <c r="C107" s="452">
        <v>1</v>
      </c>
      <c r="D107" s="605"/>
      <c r="E107" s="506"/>
      <c r="F107" s="612">
        <f t="shared" si="11"/>
        <v>-0.25</v>
      </c>
      <c r="G107" s="581">
        <f t="shared" si="12"/>
        <v>0.56000000000000005</v>
      </c>
      <c r="H107" s="387"/>
      <c r="I107" s="359"/>
      <c r="J107" s="359"/>
      <c r="K107" s="359"/>
      <c r="L107" s="359"/>
      <c r="M107" s="359"/>
      <c r="N107" s="359"/>
      <c r="O107" s="387"/>
      <c r="P107" s="387"/>
      <c r="Q107" s="387"/>
      <c r="R107" s="387"/>
      <c r="S107" s="387"/>
      <c r="T107" s="387"/>
      <c r="U107" s="387"/>
      <c r="V107" s="387"/>
      <c r="W107" s="387"/>
      <c r="X107" s="387"/>
      <c r="Y107" s="387"/>
      <c r="Z107" s="387"/>
      <c r="AC107" s="481"/>
      <c r="AG107" s="359"/>
    </row>
    <row r="108" spans="1:33" s="405" customFormat="1" x14ac:dyDescent="0.2">
      <c r="A108" s="441">
        <v>15</v>
      </c>
      <c r="B108" s="441">
        <v>16</v>
      </c>
      <c r="C108" s="452">
        <v>1</v>
      </c>
      <c r="D108" s="605"/>
      <c r="E108" s="506"/>
      <c r="F108" s="612">
        <f t="shared" si="11"/>
        <v>-0.25</v>
      </c>
      <c r="G108" s="581">
        <f t="shared" si="12"/>
        <v>0.56000000000000005</v>
      </c>
      <c r="H108" s="387"/>
      <c r="I108" s="359"/>
      <c r="J108" s="359"/>
      <c r="K108" s="359"/>
      <c r="L108" s="359"/>
      <c r="M108" s="359"/>
      <c r="N108" s="359"/>
      <c r="O108" s="387"/>
      <c r="P108" s="387"/>
      <c r="Q108" s="387"/>
      <c r="R108" s="387"/>
      <c r="S108" s="387"/>
      <c r="T108" s="387"/>
      <c r="U108" s="387"/>
      <c r="V108" s="387"/>
      <c r="W108" s="387"/>
      <c r="X108" s="387"/>
      <c r="Y108" s="387"/>
      <c r="Z108" s="387"/>
      <c r="AC108" s="481"/>
      <c r="AG108" s="359"/>
    </row>
    <row r="109" spans="1:33" s="405" customFormat="1" x14ac:dyDescent="0.2">
      <c r="A109" s="443">
        <v>16</v>
      </c>
      <c r="B109" s="443">
        <v>17</v>
      </c>
      <c r="C109" s="452">
        <v>1</v>
      </c>
      <c r="D109" s="605"/>
      <c r="E109" s="506"/>
      <c r="F109" s="612">
        <f t="shared" si="11"/>
        <v>-0.25</v>
      </c>
      <c r="G109" s="581">
        <f t="shared" si="12"/>
        <v>0.56000000000000005</v>
      </c>
      <c r="H109" s="387"/>
      <c r="I109" s="359"/>
      <c r="J109" s="359"/>
      <c r="K109" s="359"/>
      <c r="L109" s="359"/>
      <c r="M109" s="359"/>
      <c r="N109" s="359"/>
      <c r="O109" s="387"/>
      <c r="P109" s="387"/>
      <c r="Q109" s="387"/>
      <c r="R109" s="387"/>
      <c r="S109" s="387"/>
      <c r="T109" s="387"/>
      <c r="U109" s="387"/>
      <c r="V109" s="387"/>
      <c r="W109" s="387"/>
      <c r="X109" s="387"/>
      <c r="Y109" s="387"/>
      <c r="Z109" s="387"/>
      <c r="AC109" s="481"/>
      <c r="AG109" s="359"/>
    </row>
    <row r="110" spans="1:33" s="405" customFormat="1" x14ac:dyDescent="0.2">
      <c r="A110" s="441">
        <v>17</v>
      </c>
      <c r="B110" s="441">
        <v>18</v>
      </c>
      <c r="C110" s="452">
        <v>1</v>
      </c>
      <c r="D110" s="605"/>
      <c r="E110" s="506"/>
      <c r="F110" s="612">
        <f t="shared" si="11"/>
        <v>-0.25</v>
      </c>
      <c r="G110" s="581">
        <f t="shared" si="12"/>
        <v>0.56000000000000005</v>
      </c>
      <c r="H110" s="387"/>
      <c r="I110" s="359"/>
      <c r="J110" s="359"/>
      <c r="K110" s="359"/>
      <c r="L110" s="359"/>
      <c r="M110" s="359"/>
      <c r="N110" s="359"/>
      <c r="O110" s="387"/>
      <c r="P110" s="387"/>
      <c r="Q110" s="387"/>
      <c r="R110" s="387"/>
      <c r="S110" s="387"/>
      <c r="T110" s="387"/>
      <c r="U110" s="387"/>
      <c r="V110" s="387"/>
      <c r="W110" s="387"/>
      <c r="X110" s="387"/>
      <c r="Y110" s="387"/>
      <c r="Z110" s="387"/>
      <c r="AA110" s="387"/>
      <c r="AB110" s="387"/>
      <c r="AC110" s="480"/>
      <c r="AG110" s="359"/>
    </row>
    <row r="111" spans="1:33" s="405" customFormat="1" x14ac:dyDescent="0.2">
      <c r="A111" s="443">
        <v>18</v>
      </c>
      <c r="B111" s="443">
        <v>19</v>
      </c>
      <c r="C111" s="452">
        <v>1</v>
      </c>
      <c r="D111" s="605"/>
      <c r="E111" s="506"/>
      <c r="F111" s="612">
        <f t="shared" si="11"/>
        <v>-0.25</v>
      </c>
      <c r="G111" s="581">
        <f t="shared" si="12"/>
        <v>0.56000000000000005</v>
      </c>
      <c r="H111" s="390"/>
      <c r="I111" s="359"/>
      <c r="J111" s="359"/>
      <c r="K111" s="359"/>
      <c r="L111" s="359"/>
      <c r="M111" s="359"/>
      <c r="N111" s="359"/>
      <c r="O111" s="389"/>
      <c r="P111" s="389"/>
      <c r="Q111" s="390"/>
      <c r="R111" s="390"/>
      <c r="S111" s="390"/>
      <c r="T111" s="390"/>
      <c r="U111" s="390"/>
      <c r="V111" s="390"/>
      <c r="W111" s="390"/>
      <c r="X111" s="390"/>
      <c r="Y111" s="390"/>
      <c r="Z111" s="390"/>
      <c r="AA111" s="387"/>
      <c r="AB111" s="387"/>
      <c r="AC111" s="480"/>
      <c r="AD111" s="471"/>
      <c r="AE111" s="472"/>
      <c r="AF111" s="473"/>
      <c r="AG111" s="359"/>
    </row>
    <row r="112" spans="1:33" s="405" customFormat="1" x14ac:dyDescent="0.2">
      <c r="A112" s="441">
        <v>19</v>
      </c>
      <c r="B112" s="441">
        <v>20</v>
      </c>
      <c r="C112" s="452">
        <v>1</v>
      </c>
      <c r="D112" s="605"/>
      <c r="E112" s="506"/>
      <c r="F112" s="612">
        <f t="shared" si="11"/>
        <v>-0.25</v>
      </c>
      <c r="G112" s="581">
        <f t="shared" si="12"/>
        <v>0.56000000000000005</v>
      </c>
      <c r="H112" s="391"/>
      <c r="I112" s="359"/>
      <c r="J112" s="359"/>
      <c r="K112" s="359"/>
      <c r="L112" s="359"/>
      <c r="M112" s="359"/>
      <c r="N112" s="359"/>
      <c r="O112" s="414"/>
      <c r="P112" s="414"/>
      <c r="Q112" s="391"/>
      <c r="R112" s="391"/>
      <c r="S112" s="391"/>
      <c r="T112" s="391"/>
      <c r="U112" s="391"/>
      <c r="V112" s="391"/>
      <c r="W112" s="391"/>
      <c r="X112" s="391"/>
      <c r="Y112" s="391"/>
      <c r="Z112" s="391"/>
      <c r="AA112" s="387"/>
      <c r="AB112" s="387"/>
      <c r="AC112" s="480"/>
      <c r="AD112" s="471"/>
      <c r="AE112" s="472"/>
      <c r="AF112" s="473"/>
    </row>
    <row r="113" spans="1:33" s="474" customFormat="1" ht="13.5" thickBot="1" x14ac:dyDescent="0.25">
      <c r="A113" s="443">
        <v>20</v>
      </c>
      <c r="B113" s="443">
        <v>21</v>
      </c>
      <c r="C113" s="452">
        <v>1</v>
      </c>
      <c r="D113" s="605"/>
      <c r="E113" s="506"/>
      <c r="F113" s="612">
        <f t="shared" si="11"/>
        <v>-0.25</v>
      </c>
      <c r="G113" s="581">
        <f t="shared" si="12"/>
        <v>0.56000000000000005</v>
      </c>
      <c r="H113" s="391"/>
      <c r="I113" s="359"/>
      <c r="J113" s="359"/>
      <c r="K113" s="359"/>
      <c r="L113" s="359"/>
      <c r="M113" s="359"/>
      <c r="N113" s="359"/>
      <c r="O113" s="414"/>
      <c r="P113" s="414"/>
      <c r="Q113" s="391"/>
      <c r="R113" s="391"/>
      <c r="S113" s="391"/>
      <c r="T113" s="391"/>
      <c r="U113" s="391"/>
      <c r="V113" s="391"/>
      <c r="W113" s="391"/>
      <c r="X113" s="391"/>
      <c r="Y113" s="391"/>
      <c r="Z113" s="391"/>
      <c r="AA113" s="387"/>
      <c r="AB113" s="387"/>
      <c r="AC113" s="480"/>
      <c r="AD113" s="471"/>
      <c r="AE113" s="472"/>
      <c r="AF113" s="473"/>
      <c r="AG113" s="405"/>
    </row>
    <row r="114" spans="1:33" s="405" customFormat="1" x14ac:dyDescent="0.2">
      <c r="A114" s="441">
        <v>21</v>
      </c>
      <c r="B114" s="441">
        <v>22</v>
      </c>
      <c r="C114" s="452">
        <v>1</v>
      </c>
      <c r="D114" s="605"/>
      <c r="E114" s="506"/>
      <c r="F114" s="612">
        <f t="shared" si="11"/>
        <v>-0.25</v>
      </c>
      <c r="G114" s="581">
        <f t="shared" si="12"/>
        <v>0.56000000000000005</v>
      </c>
      <c r="H114" s="391"/>
      <c r="I114" s="359"/>
      <c r="J114" s="434"/>
      <c r="K114" s="359"/>
      <c r="L114" s="359"/>
      <c r="M114" s="359"/>
      <c r="N114" s="359"/>
      <c r="O114" s="414"/>
      <c r="P114" s="414"/>
      <c r="Q114" s="391"/>
      <c r="R114" s="391"/>
      <c r="S114" s="391"/>
      <c r="T114" s="391"/>
      <c r="U114" s="391"/>
      <c r="V114" s="391"/>
      <c r="W114" s="391"/>
      <c r="X114" s="391"/>
      <c r="Y114" s="391"/>
      <c r="Z114" s="391"/>
      <c r="AA114" s="387"/>
      <c r="AB114" s="387"/>
      <c r="AC114" s="480"/>
      <c r="AD114" s="471"/>
      <c r="AE114" s="472"/>
      <c r="AF114" s="473"/>
    </row>
    <row r="115" spans="1:33" s="359" customFormat="1" x14ac:dyDescent="0.2">
      <c r="A115" s="443">
        <v>22</v>
      </c>
      <c r="B115" s="443">
        <v>23</v>
      </c>
      <c r="C115" s="452">
        <v>1</v>
      </c>
      <c r="D115" s="605"/>
      <c r="E115" s="506"/>
      <c r="F115" s="612">
        <f t="shared" si="11"/>
        <v>-0.25</v>
      </c>
      <c r="G115" s="581">
        <f t="shared" si="12"/>
        <v>0.56000000000000005</v>
      </c>
      <c r="H115" s="391"/>
      <c r="O115" s="414"/>
      <c r="P115" s="414"/>
      <c r="Q115" s="391"/>
      <c r="R115" s="391"/>
      <c r="S115" s="391"/>
      <c r="T115" s="391"/>
      <c r="U115" s="391"/>
      <c r="V115" s="391"/>
      <c r="W115" s="391"/>
      <c r="X115" s="391"/>
      <c r="Y115" s="391"/>
      <c r="Z115" s="391"/>
      <c r="AA115" s="387"/>
      <c r="AB115" s="387"/>
      <c r="AC115" s="480"/>
      <c r="AD115" s="471"/>
      <c r="AE115" s="565"/>
      <c r="AF115" s="405"/>
      <c r="AG115" s="405"/>
    </row>
    <row r="116" spans="1:33" s="359" customFormat="1" x14ac:dyDescent="0.2">
      <c r="A116" s="443">
        <v>23</v>
      </c>
      <c r="B116" s="441">
        <v>24</v>
      </c>
      <c r="C116" s="452">
        <v>1</v>
      </c>
      <c r="D116" s="605"/>
      <c r="E116" s="557"/>
      <c r="F116" s="612">
        <f t="shared" si="11"/>
        <v>-0.25</v>
      </c>
      <c r="G116" s="581">
        <f t="shared" si="12"/>
        <v>0.56000000000000005</v>
      </c>
      <c r="H116" s="394"/>
      <c r="O116" s="415"/>
      <c r="P116" s="415"/>
      <c r="Q116" s="394"/>
      <c r="R116" s="394"/>
      <c r="S116" s="394"/>
      <c r="T116" s="394"/>
      <c r="U116" s="394"/>
      <c r="V116" s="394"/>
      <c r="W116" s="394"/>
      <c r="X116" s="394"/>
      <c r="Y116" s="394"/>
      <c r="Z116" s="391"/>
      <c r="AA116" s="390"/>
      <c r="AB116" s="390"/>
      <c r="AC116" s="482"/>
      <c r="AD116" s="405"/>
      <c r="AE116" s="405"/>
      <c r="AF116" s="405"/>
      <c r="AG116" s="405"/>
    </row>
    <row r="117" spans="1:33" s="359" customFormat="1" x14ac:dyDescent="0.2">
      <c r="A117" s="599">
        <v>24</v>
      </c>
      <c r="B117" s="443">
        <v>1</v>
      </c>
      <c r="C117" s="452">
        <v>1</v>
      </c>
      <c r="D117" s="607"/>
      <c r="E117" s="502"/>
      <c r="F117" s="612">
        <f t="shared" si="11"/>
        <v>-0.25</v>
      </c>
      <c r="G117" s="581">
        <f t="shared" si="12"/>
        <v>0.56000000000000005</v>
      </c>
      <c r="H117" s="394"/>
      <c r="O117" s="415"/>
      <c r="P117" s="415"/>
      <c r="Q117" s="394"/>
      <c r="R117" s="394"/>
      <c r="S117" s="394"/>
      <c r="T117" s="394"/>
      <c r="U117" s="394"/>
      <c r="V117" s="394"/>
      <c r="W117" s="394"/>
      <c r="X117" s="394"/>
      <c r="Y117" s="394"/>
      <c r="Z117" s="391"/>
      <c r="AA117" s="391"/>
      <c r="AB117" s="391"/>
      <c r="AC117" s="483"/>
      <c r="AD117" s="566"/>
      <c r="AE117" s="475"/>
      <c r="AF117" s="405"/>
      <c r="AG117" s="405"/>
    </row>
    <row r="118" spans="1:33" s="405" customFormat="1" x14ac:dyDescent="0.2">
      <c r="A118" s="359"/>
      <c r="B118" s="359"/>
      <c r="C118" s="359"/>
      <c r="D118" s="605"/>
      <c r="E118" s="359"/>
      <c r="F118" s="359"/>
      <c r="G118" s="441"/>
      <c r="H118" s="394"/>
      <c r="I118" s="359"/>
      <c r="J118" s="359"/>
      <c r="K118" s="359"/>
      <c r="L118" s="359"/>
      <c r="M118" s="359"/>
      <c r="N118" s="359"/>
      <c r="O118" s="415"/>
      <c r="P118" s="415"/>
      <c r="Q118" s="394"/>
      <c r="R118" s="394"/>
      <c r="S118" s="394"/>
      <c r="T118" s="394"/>
      <c r="U118" s="394"/>
      <c r="V118" s="394"/>
      <c r="W118" s="394"/>
      <c r="X118" s="394"/>
      <c r="Y118" s="394"/>
      <c r="Z118" s="391"/>
      <c r="AA118" s="391"/>
      <c r="AB118" s="391"/>
      <c r="AC118" s="483"/>
      <c r="AD118" s="475"/>
      <c r="AE118" s="475"/>
    </row>
    <row r="119" spans="1:33" s="405" customFormat="1" ht="18" x14ac:dyDescent="0.25">
      <c r="A119" s="440"/>
      <c r="B119" s="454" t="s">
        <v>242</v>
      </c>
      <c r="C119" s="455"/>
      <c r="D119" s="608"/>
      <c r="E119" s="455"/>
      <c r="F119" s="455"/>
      <c r="G119" s="441"/>
      <c r="H119" s="441"/>
      <c r="I119" s="359"/>
      <c r="J119" s="359"/>
      <c r="K119" s="359"/>
      <c r="L119" s="359"/>
      <c r="M119" s="359"/>
      <c r="N119" s="359"/>
      <c r="O119" s="457"/>
      <c r="P119" s="457"/>
      <c r="Q119" s="441"/>
      <c r="R119" s="441"/>
      <c r="S119" s="441"/>
      <c r="T119" s="441"/>
      <c r="U119" s="441"/>
      <c r="V119" s="441"/>
      <c r="W119" s="441"/>
      <c r="X119" s="441"/>
      <c r="Y119" s="394"/>
      <c r="Z119" s="391"/>
      <c r="AA119" s="391"/>
      <c r="AB119" s="391"/>
      <c r="AC119" s="483"/>
      <c r="AD119" s="359"/>
      <c r="AE119" s="359"/>
    </row>
    <row r="120" spans="1:33" s="405" customFormat="1" ht="13.5" thickBot="1" x14ac:dyDescent="0.25">
      <c r="A120" s="441"/>
      <c r="B120" s="441"/>
      <c r="C120" s="441"/>
      <c r="D120" s="609"/>
      <c r="E120" s="441"/>
      <c r="F120" s="441"/>
      <c r="G120" s="441"/>
      <c r="H120" s="441"/>
      <c r="I120" s="359"/>
      <c r="J120" s="359"/>
      <c r="K120" s="359"/>
      <c r="L120" s="359"/>
      <c r="M120" s="359"/>
      <c r="N120" s="359"/>
      <c r="O120" s="457"/>
      <c r="P120" s="457"/>
      <c r="Q120" s="441"/>
      <c r="R120" s="441"/>
      <c r="S120" s="441"/>
      <c r="T120" s="441"/>
      <c r="U120" s="441"/>
      <c r="V120" s="441"/>
      <c r="W120" s="441"/>
      <c r="X120" s="441"/>
      <c r="Y120" s="394"/>
      <c r="Z120" s="391"/>
      <c r="AA120" s="391"/>
      <c r="AB120" s="391"/>
      <c r="AC120" s="483"/>
      <c r="AD120" s="471"/>
      <c r="AE120" s="565"/>
      <c r="AF120" s="567"/>
    </row>
    <row r="121" spans="1:33" s="405" customFormat="1" ht="18.75" thickBot="1" x14ac:dyDescent="0.3">
      <c r="A121" s="444" t="s">
        <v>7</v>
      </c>
      <c r="B121" s="445"/>
      <c r="C121" s="445" t="s">
        <v>265</v>
      </c>
      <c r="D121" s="606"/>
      <c r="E121" s="445"/>
      <c r="F121" s="456" t="s">
        <v>271</v>
      </c>
      <c r="G121" s="446"/>
      <c r="H121" s="441" t="s">
        <v>272</v>
      </c>
      <c r="I121" s="359"/>
      <c r="J121" s="359"/>
      <c r="K121" s="359"/>
      <c r="L121" s="359"/>
      <c r="M121" s="359"/>
      <c r="N121" s="359"/>
      <c r="O121" s="457"/>
      <c r="P121" s="457"/>
      <c r="Q121" s="441"/>
      <c r="R121" s="441"/>
      <c r="S121" s="441"/>
      <c r="T121" s="441"/>
      <c r="U121" s="441"/>
      <c r="V121" s="441"/>
      <c r="W121" s="441"/>
      <c r="X121" s="441"/>
      <c r="Y121" s="394"/>
      <c r="Z121" s="394"/>
      <c r="AA121" s="391"/>
      <c r="AB121" s="391"/>
      <c r="AC121" s="483"/>
      <c r="AD121" s="471"/>
      <c r="AE121" s="565"/>
      <c r="AF121" s="567"/>
    </row>
    <row r="122" spans="1:33" s="405" customFormat="1" ht="18" x14ac:dyDescent="0.25">
      <c r="A122" s="450" t="s">
        <v>243</v>
      </c>
      <c r="B122" s="451" t="s">
        <v>244</v>
      </c>
      <c r="C122" s="451"/>
      <c r="D122" s="610"/>
      <c r="E122" s="447"/>
      <c r="F122" s="447" t="s">
        <v>319</v>
      </c>
      <c r="G122" s="441" t="s">
        <v>320</v>
      </c>
      <c r="H122" s="458">
        <v>4.3999999999999997E-2</v>
      </c>
      <c r="I122" s="459" t="s">
        <v>274</v>
      </c>
      <c r="J122" s="359"/>
      <c r="K122" s="359"/>
      <c r="L122" s="359"/>
      <c r="M122" s="460" t="s">
        <v>275</v>
      </c>
      <c r="N122" s="461"/>
      <c r="O122" s="457"/>
      <c r="P122" s="457"/>
      <c r="Q122" s="441"/>
      <c r="R122" s="441"/>
      <c r="S122" s="441"/>
      <c r="T122" s="441"/>
      <c r="U122" s="441"/>
      <c r="V122" s="441"/>
      <c r="W122" s="441"/>
      <c r="X122" s="441"/>
      <c r="Y122" s="394"/>
      <c r="Z122" s="394"/>
      <c r="AA122" s="391"/>
      <c r="AB122" s="391"/>
      <c r="AC122" s="483"/>
      <c r="AD122" s="475"/>
      <c r="AE122" s="475"/>
      <c r="AF122" s="567"/>
    </row>
    <row r="123" spans="1:33" s="405" customFormat="1" ht="13.5" thickBot="1" x14ac:dyDescent="0.25">
      <c r="A123" s="443">
        <v>24</v>
      </c>
      <c r="B123" s="441">
        <v>1</v>
      </c>
      <c r="C123" s="452">
        <v>1</v>
      </c>
      <c r="D123" s="605"/>
      <c r="E123" s="557"/>
      <c r="F123" s="612">
        <f t="shared" ref="F123:F147" si="13">D123-0.25</f>
        <v>-0.25</v>
      </c>
      <c r="G123" s="581">
        <f>D123+0.56</f>
        <v>0.56000000000000005</v>
      </c>
      <c r="I123" s="462" t="s">
        <v>273</v>
      </c>
      <c r="J123" s="463"/>
      <c r="K123" s="359"/>
      <c r="L123" s="359"/>
      <c r="M123" s="359"/>
      <c r="N123" s="359"/>
      <c r="O123" s="457"/>
      <c r="P123" s="457"/>
      <c r="Q123" s="441"/>
      <c r="R123" s="441"/>
      <c r="S123" s="441"/>
      <c r="T123" s="441"/>
      <c r="U123" s="441"/>
      <c r="V123" s="441"/>
      <c r="W123" s="441"/>
      <c r="X123" s="441"/>
      <c r="Y123" s="394"/>
      <c r="Z123" s="394"/>
      <c r="AA123" s="391"/>
      <c r="AB123" s="391"/>
      <c r="AC123" s="483"/>
      <c r="AF123" s="469"/>
      <c r="AG123" s="474"/>
    </row>
    <row r="124" spans="1:33" s="405" customFormat="1" x14ac:dyDescent="0.2">
      <c r="A124" s="441">
        <v>1</v>
      </c>
      <c r="B124" s="441">
        <v>2</v>
      </c>
      <c r="C124" s="452">
        <v>1</v>
      </c>
      <c r="D124" s="611"/>
      <c r="E124" s="506"/>
      <c r="F124" s="612">
        <f t="shared" si="13"/>
        <v>-0.25</v>
      </c>
      <c r="G124" s="581">
        <f t="shared" ref="G124:G146" si="14">D124+0.56</f>
        <v>0.56000000000000005</v>
      </c>
      <c r="I124" s="462"/>
      <c r="J124" s="463"/>
      <c r="K124" s="359"/>
      <c r="L124" s="359"/>
      <c r="M124" s="359"/>
      <c r="N124" s="359"/>
      <c r="O124" s="457"/>
      <c r="P124" s="457"/>
      <c r="Q124" s="441"/>
      <c r="R124" s="441"/>
      <c r="S124" s="441"/>
      <c r="T124" s="441"/>
      <c r="U124" s="441"/>
      <c r="V124" s="441"/>
      <c r="W124" s="441"/>
      <c r="X124" s="441"/>
      <c r="Y124" s="394"/>
      <c r="Z124" s="394"/>
      <c r="AA124" s="391"/>
      <c r="AB124" s="391"/>
      <c r="AC124" s="483"/>
      <c r="AF124" s="469"/>
    </row>
    <row r="125" spans="1:33" s="405" customFormat="1" x14ac:dyDescent="0.2">
      <c r="A125" s="443">
        <v>2</v>
      </c>
      <c r="B125" s="441">
        <v>3</v>
      </c>
      <c r="C125" s="452">
        <v>1</v>
      </c>
      <c r="D125" s="607"/>
      <c r="E125" s="506"/>
      <c r="F125" s="612">
        <f t="shared" si="13"/>
        <v>-0.25</v>
      </c>
      <c r="G125" s="581">
        <f t="shared" si="14"/>
        <v>0.56000000000000005</v>
      </c>
      <c r="I125" s="462"/>
      <c r="J125" s="463"/>
      <c r="K125" s="379"/>
      <c r="L125" s="379"/>
      <c r="M125" s="379"/>
      <c r="N125" s="379"/>
      <c r="O125" s="457"/>
      <c r="P125" s="457"/>
      <c r="Q125" s="441"/>
      <c r="R125" s="441"/>
      <c r="S125" s="441"/>
      <c r="T125" s="441"/>
      <c r="U125" s="441"/>
      <c r="V125" s="441"/>
      <c r="W125" s="441"/>
      <c r="X125" s="441"/>
      <c r="Y125" s="394"/>
      <c r="Z125" s="394"/>
      <c r="AA125" s="391"/>
      <c r="AB125" s="391"/>
      <c r="AC125" s="483"/>
      <c r="AF125" s="359"/>
      <c r="AG125" s="359"/>
    </row>
    <row r="126" spans="1:33" s="405" customFormat="1" x14ac:dyDescent="0.2">
      <c r="A126" s="441">
        <v>3</v>
      </c>
      <c r="B126" s="441">
        <v>4</v>
      </c>
      <c r="C126" s="452">
        <v>1</v>
      </c>
      <c r="D126" s="607"/>
      <c r="E126" s="506"/>
      <c r="F126" s="612">
        <f t="shared" si="13"/>
        <v>-0.25</v>
      </c>
      <c r="G126" s="581">
        <f t="shared" si="14"/>
        <v>0.56000000000000005</v>
      </c>
      <c r="I126" s="464"/>
      <c r="J126" s="463"/>
      <c r="K126" s="441"/>
      <c r="L126" s="441"/>
      <c r="M126" s="457"/>
      <c r="N126" s="457"/>
      <c r="O126" s="441"/>
      <c r="P126" s="441"/>
      <c r="Q126" s="441"/>
      <c r="R126" s="441"/>
      <c r="S126" s="441"/>
      <c r="T126" s="441"/>
      <c r="U126" s="441"/>
      <c r="V126" s="441"/>
      <c r="W126" s="441"/>
      <c r="X126" s="441"/>
      <c r="Y126" s="394"/>
      <c r="Z126" s="394"/>
      <c r="AA126" s="394"/>
      <c r="AB126" s="394"/>
      <c r="AC126" s="484"/>
      <c r="AF126" s="359"/>
      <c r="AG126" s="359"/>
    </row>
    <row r="127" spans="1:33" s="405" customFormat="1" x14ac:dyDescent="0.2">
      <c r="A127" s="443">
        <v>4</v>
      </c>
      <c r="B127" s="441">
        <v>5</v>
      </c>
      <c r="C127" s="452">
        <v>1</v>
      </c>
      <c r="D127" s="607"/>
      <c r="E127" s="506"/>
      <c r="F127" s="612">
        <f t="shared" si="13"/>
        <v>-0.25</v>
      </c>
      <c r="G127" s="581">
        <f t="shared" si="14"/>
        <v>0.56000000000000005</v>
      </c>
      <c r="I127" s="464"/>
      <c r="J127" s="463"/>
      <c r="K127" s="441"/>
      <c r="L127" s="441"/>
      <c r="M127" s="457"/>
      <c r="N127" s="457"/>
      <c r="O127" s="441"/>
      <c r="P127" s="441"/>
      <c r="Q127" s="441"/>
      <c r="R127" s="441"/>
      <c r="S127" s="441"/>
      <c r="T127" s="441"/>
      <c r="U127" s="441"/>
      <c r="V127" s="441"/>
      <c r="W127" s="441"/>
      <c r="X127" s="441"/>
      <c r="Y127" s="394"/>
      <c r="Z127" s="394"/>
      <c r="AA127" s="394"/>
      <c r="AB127" s="394"/>
      <c r="AC127" s="484"/>
      <c r="AF127" s="359"/>
      <c r="AG127" s="359"/>
    </row>
    <row r="128" spans="1:33" s="405" customFormat="1" x14ac:dyDescent="0.2">
      <c r="A128" s="441">
        <v>5</v>
      </c>
      <c r="B128" s="441">
        <v>6</v>
      </c>
      <c r="C128" s="452">
        <v>1</v>
      </c>
      <c r="D128" s="607"/>
      <c r="E128" s="506"/>
      <c r="F128" s="612">
        <f t="shared" si="13"/>
        <v>-0.25</v>
      </c>
      <c r="G128" s="581">
        <f t="shared" si="14"/>
        <v>0.56000000000000005</v>
      </c>
      <c r="I128" s="464"/>
      <c r="J128" s="463"/>
      <c r="K128" s="441"/>
      <c r="L128" s="441"/>
      <c r="M128" s="457"/>
      <c r="N128" s="457"/>
      <c r="O128" s="441"/>
      <c r="P128" s="441"/>
      <c r="Q128" s="441"/>
      <c r="R128" s="441"/>
      <c r="S128" s="441"/>
      <c r="T128" s="441"/>
      <c r="U128" s="441"/>
      <c r="V128" s="441"/>
      <c r="W128" s="441"/>
      <c r="X128" s="441"/>
      <c r="Y128" s="394"/>
      <c r="Z128" s="394"/>
      <c r="AA128" s="466"/>
      <c r="AB128" s="394"/>
      <c r="AC128" s="484"/>
      <c r="AD128" s="359"/>
      <c r="AE128" s="359"/>
      <c r="AF128" s="359"/>
    </row>
    <row r="129" spans="1:32" s="405" customFormat="1" x14ac:dyDescent="0.2">
      <c r="A129" s="443">
        <v>6</v>
      </c>
      <c r="B129" s="441">
        <v>7</v>
      </c>
      <c r="C129" s="452">
        <v>1</v>
      </c>
      <c r="D129" s="607"/>
      <c r="E129" s="506"/>
      <c r="F129" s="612">
        <f t="shared" si="13"/>
        <v>-0.25</v>
      </c>
      <c r="G129" s="581">
        <f t="shared" si="14"/>
        <v>0.56000000000000005</v>
      </c>
      <c r="I129" s="464"/>
      <c r="J129" s="463"/>
      <c r="K129" s="441"/>
      <c r="L129" s="441"/>
      <c r="M129" s="457"/>
      <c r="N129" s="457"/>
      <c r="O129" s="441"/>
      <c r="P129" s="441"/>
      <c r="Q129" s="441"/>
      <c r="R129" s="441"/>
      <c r="S129" s="441"/>
      <c r="T129" s="441"/>
      <c r="U129" s="441"/>
      <c r="V129" s="441"/>
      <c r="W129" s="441"/>
      <c r="X129" s="441"/>
      <c r="Y129" s="394"/>
      <c r="Z129" s="373"/>
      <c r="AA129" s="466"/>
      <c r="AB129" s="394"/>
      <c r="AC129" s="484"/>
      <c r="AD129" s="406"/>
      <c r="AE129" s="359"/>
      <c r="AF129" s="359"/>
    </row>
    <row r="130" spans="1:32" s="405" customFormat="1" x14ac:dyDescent="0.2">
      <c r="A130" s="441">
        <v>7</v>
      </c>
      <c r="B130" s="441">
        <v>8</v>
      </c>
      <c r="C130" s="452">
        <v>1</v>
      </c>
      <c r="D130" s="607"/>
      <c r="E130" s="506"/>
      <c r="F130" s="612">
        <f t="shared" si="13"/>
        <v>-0.25</v>
      </c>
      <c r="G130" s="581">
        <f t="shared" si="14"/>
        <v>0.56000000000000005</v>
      </c>
      <c r="I130" s="464"/>
      <c r="J130" s="463"/>
      <c r="K130" s="441"/>
      <c r="L130" s="441"/>
      <c r="M130" s="457"/>
      <c r="N130" s="457"/>
      <c r="O130" s="441"/>
      <c r="P130" s="441"/>
      <c r="Q130" s="441"/>
      <c r="R130" s="441"/>
      <c r="S130" s="441"/>
      <c r="T130" s="441"/>
      <c r="U130" s="441"/>
      <c r="V130" s="441"/>
      <c r="W130" s="441"/>
      <c r="X130" s="441"/>
      <c r="Y130" s="394"/>
      <c r="Z130" s="373"/>
      <c r="AA130" s="466"/>
      <c r="AB130" s="394"/>
      <c r="AC130" s="484"/>
      <c r="AF130" s="359"/>
    </row>
    <row r="131" spans="1:32" s="405" customFormat="1" x14ac:dyDescent="0.2">
      <c r="A131" s="443">
        <v>8</v>
      </c>
      <c r="B131" s="441">
        <v>9</v>
      </c>
      <c r="C131" s="452">
        <v>1</v>
      </c>
      <c r="D131" s="607"/>
      <c r="E131" s="506"/>
      <c r="F131" s="612">
        <f t="shared" si="13"/>
        <v>-0.25</v>
      </c>
      <c r="G131" s="581">
        <f t="shared" si="14"/>
        <v>0.56000000000000005</v>
      </c>
      <c r="I131" s="464"/>
      <c r="J131" s="463"/>
      <c r="K131" s="441"/>
      <c r="L131" s="441"/>
      <c r="M131" s="457"/>
      <c r="N131" s="457"/>
      <c r="O131" s="441"/>
      <c r="P131" s="441"/>
      <c r="Q131" s="441"/>
      <c r="R131" s="441"/>
      <c r="S131" s="441"/>
      <c r="T131" s="441"/>
      <c r="U131" s="441"/>
      <c r="V131" s="441"/>
      <c r="W131" s="441"/>
      <c r="X131" s="441"/>
      <c r="Y131" s="394"/>
      <c r="Z131" s="373"/>
      <c r="AA131" s="466"/>
      <c r="AB131" s="394"/>
      <c r="AC131" s="484"/>
      <c r="AD131" s="435"/>
      <c r="AE131" s="436"/>
      <c r="AF131" s="359"/>
    </row>
    <row r="132" spans="1:32" s="405" customFormat="1" x14ac:dyDescent="0.2">
      <c r="A132" s="441">
        <v>9</v>
      </c>
      <c r="B132" s="441">
        <v>10</v>
      </c>
      <c r="C132" s="452">
        <v>1</v>
      </c>
      <c r="D132" s="607"/>
      <c r="E132" s="506"/>
      <c r="F132" s="612">
        <f t="shared" si="13"/>
        <v>-0.25</v>
      </c>
      <c r="G132" s="581">
        <f t="shared" si="14"/>
        <v>0.56000000000000005</v>
      </c>
      <c r="I132" s="464"/>
      <c r="J132" s="463"/>
      <c r="K132" s="441"/>
      <c r="L132" s="441"/>
      <c r="M132" s="457"/>
      <c r="N132" s="457"/>
      <c r="O132" s="441"/>
      <c r="P132" s="441"/>
      <c r="Q132" s="441"/>
      <c r="R132" s="441"/>
      <c r="S132" s="441"/>
      <c r="T132" s="441"/>
      <c r="U132" s="441"/>
      <c r="V132" s="441"/>
      <c r="W132" s="441"/>
      <c r="X132" s="441"/>
      <c r="Y132" s="394"/>
      <c r="Z132" s="373"/>
      <c r="AA132" s="466"/>
      <c r="AB132" s="394"/>
      <c r="AC132" s="484"/>
      <c r="AD132" s="406"/>
      <c r="AE132" s="359"/>
      <c r="AF132" s="359"/>
    </row>
    <row r="133" spans="1:32" s="405" customFormat="1" x14ac:dyDescent="0.2">
      <c r="A133" s="443">
        <v>10</v>
      </c>
      <c r="B133" s="441">
        <v>11</v>
      </c>
      <c r="C133" s="452">
        <v>1</v>
      </c>
      <c r="D133" s="607"/>
      <c r="E133" s="506"/>
      <c r="F133" s="612">
        <f t="shared" si="13"/>
        <v>-0.25</v>
      </c>
      <c r="G133" s="581">
        <f t="shared" si="14"/>
        <v>0.56000000000000005</v>
      </c>
      <c r="I133" s="464"/>
      <c r="J133" s="463"/>
      <c r="K133" s="441"/>
      <c r="L133" s="441"/>
      <c r="M133" s="457"/>
      <c r="N133" s="457"/>
      <c r="O133" s="441"/>
      <c r="P133" s="441"/>
      <c r="Q133" s="441"/>
      <c r="R133" s="441"/>
      <c r="S133" s="441"/>
      <c r="T133" s="441"/>
      <c r="U133" s="441"/>
      <c r="V133" s="441"/>
      <c r="W133" s="441"/>
      <c r="X133" s="441"/>
      <c r="Y133" s="394"/>
      <c r="Z133" s="373"/>
      <c r="AA133" s="466"/>
      <c r="AB133" s="394"/>
      <c r="AC133" s="484"/>
      <c r="AD133" s="406"/>
      <c r="AE133" s="359"/>
      <c r="AF133" s="359"/>
    </row>
    <row r="134" spans="1:32" s="405" customFormat="1" x14ac:dyDescent="0.2">
      <c r="A134" s="441">
        <v>11</v>
      </c>
      <c r="B134" s="441">
        <v>12</v>
      </c>
      <c r="C134" s="452">
        <v>1</v>
      </c>
      <c r="D134" s="607"/>
      <c r="E134" s="506"/>
      <c r="F134" s="612">
        <f t="shared" si="13"/>
        <v>-0.25</v>
      </c>
      <c r="G134" s="581">
        <f t="shared" si="14"/>
        <v>0.56000000000000005</v>
      </c>
      <c r="I134" s="464"/>
      <c r="J134" s="463"/>
      <c r="K134" s="441"/>
      <c r="L134" s="441"/>
      <c r="M134" s="457"/>
      <c r="N134" s="457"/>
      <c r="O134" s="441"/>
      <c r="P134" s="441"/>
      <c r="Q134" s="441"/>
      <c r="R134" s="441"/>
      <c r="S134" s="441"/>
      <c r="T134" s="441"/>
      <c r="U134" s="441"/>
      <c r="V134" s="441"/>
      <c r="W134" s="441"/>
      <c r="X134" s="441"/>
      <c r="Y134" s="394"/>
      <c r="Z134" s="373"/>
      <c r="AA134" s="466"/>
      <c r="AB134" s="373"/>
      <c r="AC134" s="479"/>
      <c r="AD134" s="406"/>
      <c r="AE134" s="359"/>
      <c r="AF134" s="359"/>
    </row>
    <row r="135" spans="1:32" s="405" customFormat="1" x14ac:dyDescent="0.2">
      <c r="A135" s="443">
        <v>12</v>
      </c>
      <c r="B135" s="441">
        <v>13</v>
      </c>
      <c r="C135" s="452">
        <v>1</v>
      </c>
      <c r="D135" s="607"/>
      <c r="E135" s="506"/>
      <c r="F135" s="612">
        <f t="shared" si="13"/>
        <v>-0.25</v>
      </c>
      <c r="G135" s="581">
        <f t="shared" si="14"/>
        <v>0.56000000000000005</v>
      </c>
      <c r="I135" s="464"/>
      <c r="J135" s="463"/>
      <c r="K135" s="441"/>
      <c r="L135" s="441"/>
      <c r="M135" s="457"/>
      <c r="N135" s="457"/>
      <c r="O135" s="441"/>
      <c r="P135" s="441"/>
      <c r="Q135" s="441"/>
      <c r="R135" s="441"/>
      <c r="S135" s="441"/>
      <c r="T135" s="441"/>
      <c r="U135" s="441"/>
      <c r="V135" s="441"/>
      <c r="W135" s="441"/>
      <c r="X135" s="441"/>
      <c r="Y135" s="394"/>
      <c r="Z135" s="373"/>
      <c r="AA135" s="466"/>
      <c r="AB135" s="373"/>
      <c r="AC135" s="479"/>
      <c r="AD135" s="406"/>
      <c r="AE135" s="359"/>
      <c r="AF135" s="359"/>
    </row>
    <row r="136" spans="1:32" s="405" customFormat="1" x14ac:dyDescent="0.2">
      <c r="A136" s="441">
        <v>13</v>
      </c>
      <c r="B136" s="441">
        <v>14</v>
      </c>
      <c r="C136" s="452">
        <v>1</v>
      </c>
      <c r="D136" s="607"/>
      <c r="E136" s="506"/>
      <c r="F136" s="612">
        <f t="shared" si="13"/>
        <v>-0.25</v>
      </c>
      <c r="G136" s="581">
        <f t="shared" si="14"/>
        <v>0.56000000000000005</v>
      </c>
      <c r="I136" s="464"/>
      <c r="J136" s="463"/>
      <c r="K136" s="441"/>
      <c r="L136" s="441"/>
      <c r="M136" s="457"/>
      <c r="N136" s="457"/>
      <c r="O136" s="441"/>
      <c r="P136" s="441"/>
      <c r="Q136" s="441"/>
      <c r="R136" s="441"/>
      <c r="S136" s="441"/>
      <c r="T136" s="441"/>
      <c r="U136" s="441"/>
      <c r="V136" s="441"/>
      <c r="W136" s="441"/>
      <c r="X136" s="441"/>
      <c r="Y136" s="394"/>
      <c r="Z136" s="373"/>
      <c r="AA136" s="466"/>
      <c r="AB136" s="373"/>
      <c r="AC136" s="479"/>
      <c r="AD136" s="399"/>
      <c r="AE136" s="400"/>
      <c r="AF136" s="406"/>
    </row>
    <row r="137" spans="1:32" s="405" customFormat="1" x14ac:dyDescent="0.2">
      <c r="A137" s="443">
        <v>14</v>
      </c>
      <c r="B137" s="441">
        <v>15</v>
      </c>
      <c r="C137" s="452">
        <v>1</v>
      </c>
      <c r="D137" s="607"/>
      <c r="E137" s="506"/>
      <c r="F137" s="612">
        <f t="shared" si="13"/>
        <v>-0.25</v>
      </c>
      <c r="G137" s="581">
        <f t="shared" si="14"/>
        <v>0.56000000000000005</v>
      </c>
      <c r="H137" s="405" t="s">
        <v>169</v>
      </c>
      <c r="I137" s="464"/>
      <c r="J137" s="463"/>
      <c r="K137" s="441"/>
      <c r="L137" s="441"/>
      <c r="M137" s="457"/>
      <c r="N137" s="457"/>
      <c r="O137" s="441"/>
      <c r="P137" s="441"/>
      <c r="Q137" s="441"/>
      <c r="R137" s="441"/>
      <c r="S137" s="441"/>
      <c r="T137" s="441"/>
      <c r="U137" s="441"/>
      <c r="V137" s="441"/>
      <c r="W137" s="441"/>
      <c r="X137" s="441"/>
      <c r="Y137" s="394"/>
      <c r="Z137" s="373"/>
      <c r="AA137" s="466"/>
      <c r="AB137" s="373"/>
      <c r="AC137" s="479"/>
      <c r="AD137" s="401"/>
      <c r="AE137" s="401"/>
      <c r="AF137" s="406"/>
    </row>
    <row r="138" spans="1:32" s="405" customFormat="1" x14ac:dyDescent="0.2">
      <c r="A138" s="441">
        <v>15</v>
      </c>
      <c r="B138" s="441">
        <v>16</v>
      </c>
      <c r="C138" s="452">
        <v>1</v>
      </c>
      <c r="D138" s="607"/>
      <c r="E138" s="506"/>
      <c r="F138" s="612">
        <f t="shared" si="13"/>
        <v>-0.25</v>
      </c>
      <c r="G138" s="581">
        <f t="shared" si="14"/>
        <v>0.56000000000000005</v>
      </c>
      <c r="I138" s="464"/>
      <c r="J138" s="463"/>
      <c r="K138" s="441"/>
      <c r="L138" s="441"/>
      <c r="M138" s="457"/>
      <c r="N138" s="457"/>
      <c r="O138" s="441"/>
      <c r="P138" s="441"/>
      <c r="Q138" s="441"/>
      <c r="R138" s="441"/>
      <c r="S138" s="441"/>
      <c r="T138" s="441"/>
      <c r="U138" s="441"/>
      <c r="V138" s="441"/>
      <c r="W138" s="441"/>
      <c r="X138" s="441"/>
      <c r="Y138" s="394"/>
      <c r="Z138" s="373"/>
      <c r="AA138" s="466"/>
      <c r="AB138" s="373"/>
      <c r="AC138" s="479"/>
      <c r="AD138" s="399"/>
      <c r="AE138" s="400"/>
      <c r="AF138" s="406"/>
    </row>
    <row r="139" spans="1:32" s="405" customFormat="1" x14ac:dyDescent="0.2">
      <c r="A139" s="443">
        <v>16</v>
      </c>
      <c r="B139" s="441">
        <v>17</v>
      </c>
      <c r="C139" s="452">
        <v>1</v>
      </c>
      <c r="D139" s="607"/>
      <c r="E139" s="506"/>
      <c r="F139" s="612">
        <f t="shared" si="13"/>
        <v>-0.25</v>
      </c>
      <c r="G139" s="581">
        <f t="shared" si="14"/>
        <v>0.56000000000000005</v>
      </c>
      <c r="I139" s="464"/>
      <c r="J139" s="463"/>
      <c r="K139" s="441"/>
      <c r="L139" s="441"/>
      <c r="M139" s="457"/>
      <c r="N139" s="457"/>
      <c r="O139" s="441"/>
      <c r="R139" s="441"/>
      <c r="S139" s="441"/>
      <c r="T139" s="441"/>
      <c r="U139" s="441"/>
      <c r="V139" s="441"/>
      <c r="W139" s="441"/>
      <c r="X139" s="441"/>
      <c r="Y139" s="394"/>
      <c r="Z139" s="373"/>
      <c r="AA139" s="466"/>
      <c r="AB139" s="373"/>
      <c r="AC139" s="479"/>
      <c r="AD139" s="404"/>
      <c r="AE139" s="402"/>
      <c r="AF139" s="406"/>
    </row>
    <row r="140" spans="1:32" s="405" customFormat="1" x14ac:dyDescent="0.2">
      <c r="A140" s="441">
        <v>17</v>
      </c>
      <c r="B140" s="441">
        <v>18</v>
      </c>
      <c r="C140" s="452">
        <v>1</v>
      </c>
      <c r="D140" s="607"/>
      <c r="E140" s="506"/>
      <c r="F140" s="612">
        <f t="shared" si="13"/>
        <v>-0.25</v>
      </c>
      <c r="G140" s="581">
        <f t="shared" si="14"/>
        <v>0.56000000000000005</v>
      </c>
      <c r="I140" s="464"/>
      <c r="J140" s="463"/>
      <c r="K140" s="441"/>
      <c r="L140" s="441"/>
      <c r="M140" s="457"/>
      <c r="N140" s="457"/>
      <c r="O140" s="441"/>
      <c r="R140" s="441"/>
      <c r="S140" s="441"/>
      <c r="T140" s="441"/>
      <c r="U140" s="441"/>
      <c r="V140" s="441"/>
      <c r="W140" s="441"/>
      <c r="X140" s="441"/>
      <c r="Y140" s="394"/>
      <c r="Z140" s="373"/>
      <c r="AA140" s="466"/>
      <c r="AB140" s="373"/>
      <c r="AC140" s="479"/>
      <c r="AD140" s="404"/>
      <c r="AE140" s="402"/>
      <c r="AF140" s="406"/>
    </row>
    <row r="141" spans="1:32" s="405" customFormat="1" x14ac:dyDescent="0.2">
      <c r="A141" s="443">
        <v>18</v>
      </c>
      <c r="B141" s="441">
        <v>19</v>
      </c>
      <c r="C141" s="452">
        <v>1</v>
      </c>
      <c r="D141" s="607"/>
      <c r="E141" s="506"/>
      <c r="F141" s="612">
        <f t="shared" si="13"/>
        <v>-0.25</v>
      </c>
      <c r="G141" s="581">
        <f t="shared" si="14"/>
        <v>0.56000000000000005</v>
      </c>
      <c r="I141" s="464"/>
      <c r="J141" s="463"/>
      <c r="K141" s="441"/>
      <c r="L141" s="441"/>
      <c r="M141" s="457"/>
      <c r="N141" s="457"/>
      <c r="O141" s="441"/>
      <c r="R141" s="441"/>
      <c r="S141" s="441"/>
      <c r="T141" s="441"/>
      <c r="U141" s="441"/>
      <c r="V141" s="441"/>
      <c r="W141" s="441"/>
      <c r="X141" s="441"/>
      <c r="Y141" s="394"/>
      <c r="Z141" s="373"/>
      <c r="AA141" s="466"/>
      <c r="AB141" s="373"/>
      <c r="AC141" s="479"/>
      <c r="AD141" s="404"/>
      <c r="AE141" s="416"/>
      <c r="AF141" s="406"/>
    </row>
    <row r="142" spans="1:32" s="405" customFormat="1" x14ac:dyDescent="0.2">
      <c r="A142" s="441">
        <v>19</v>
      </c>
      <c r="B142" s="441">
        <v>20</v>
      </c>
      <c r="C142" s="452">
        <v>1</v>
      </c>
      <c r="D142" s="607"/>
      <c r="E142" s="506"/>
      <c r="F142" s="612">
        <f t="shared" si="13"/>
        <v>-0.25</v>
      </c>
      <c r="G142" s="581">
        <f t="shared" si="14"/>
        <v>0.56000000000000005</v>
      </c>
      <c r="I142" s="464"/>
      <c r="J142" s="463"/>
      <c r="K142" s="441"/>
      <c r="L142" s="441"/>
      <c r="M142" s="457"/>
      <c r="N142" s="457"/>
      <c r="O142" s="441"/>
      <c r="R142" s="441"/>
      <c r="S142" s="441"/>
      <c r="T142" s="441"/>
      <c r="U142" s="441"/>
      <c r="V142" s="441"/>
      <c r="W142" s="441"/>
      <c r="X142" s="441"/>
      <c r="Y142" s="394"/>
      <c r="Z142" s="373"/>
      <c r="AA142" s="466"/>
      <c r="AB142" s="373"/>
      <c r="AC142" s="479"/>
      <c r="AD142" s="404"/>
      <c r="AE142" s="417"/>
      <c r="AF142" s="359"/>
    </row>
    <row r="143" spans="1:32" s="405" customFormat="1" x14ac:dyDescent="0.2">
      <c r="A143" s="443">
        <v>20</v>
      </c>
      <c r="B143" s="441">
        <v>21</v>
      </c>
      <c r="C143" s="452">
        <v>1</v>
      </c>
      <c r="D143" s="607"/>
      <c r="E143" s="506"/>
      <c r="F143" s="612">
        <f t="shared" si="13"/>
        <v>-0.25</v>
      </c>
      <c r="G143" s="581">
        <f t="shared" si="14"/>
        <v>0.56000000000000005</v>
      </c>
      <c r="I143" s="464"/>
      <c r="J143" s="463"/>
      <c r="K143" s="441"/>
      <c r="L143" s="441"/>
      <c r="M143" s="457"/>
      <c r="N143" s="457"/>
      <c r="O143" s="441"/>
      <c r="R143" s="441"/>
      <c r="S143" s="441"/>
      <c r="T143" s="441"/>
      <c r="U143" s="441"/>
      <c r="V143" s="441"/>
      <c r="W143" s="441"/>
      <c r="X143" s="441"/>
      <c r="Y143" s="394"/>
      <c r="Z143" s="373"/>
      <c r="AA143" s="466"/>
      <c r="AB143" s="373"/>
      <c r="AC143" s="479"/>
      <c r="AD143" s="399"/>
      <c r="AE143" s="400"/>
      <c r="AF143" s="359"/>
    </row>
    <row r="144" spans="1:32" s="405" customFormat="1" x14ac:dyDescent="0.2">
      <c r="A144" s="441">
        <v>21</v>
      </c>
      <c r="B144" s="441">
        <v>22</v>
      </c>
      <c r="C144" s="452">
        <v>1</v>
      </c>
      <c r="D144" s="607"/>
      <c r="E144" s="506"/>
      <c r="F144" s="612">
        <f t="shared" si="13"/>
        <v>-0.25</v>
      </c>
      <c r="G144" s="581">
        <f t="shared" si="14"/>
        <v>0.56000000000000005</v>
      </c>
      <c r="I144" s="464"/>
      <c r="J144" s="463"/>
      <c r="K144" s="441"/>
      <c r="L144" s="441"/>
      <c r="M144" s="457"/>
      <c r="N144" s="457"/>
      <c r="O144" s="441"/>
      <c r="R144" s="441"/>
      <c r="S144" s="441"/>
      <c r="T144" s="441"/>
      <c r="U144" s="441"/>
      <c r="V144" s="441"/>
      <c r="W144" s="441"/>
      <c r="X144" s="441"/>
      <c r="Y144" s="394"/>
      <c r="Z144" s="373"/>
      <c r="AA144" s="466"/>
      <c r="AB144" s="373"/>
      <c r="AC144" s="479"/>
      <c r="AD144" s="399"/>
      <c r="AE144" s="400"/>
      <c r="AF144" s="401"/>
    </row>
    <row r="145" spans="1:32" s="405" customFormat="1" x14ac:dyDescent="0.2">
      <c r="A145" s="443">
        <v>22</v>
      </c>
      <c r="B145" s="441">
        <v>23</v>
      </c>
      <c r="C145" s="452">
        <v>1</v>
      </c>
      <c r="D145" s="607"/>
      <c r="E145" s="506"/>
      <c r="F145" s="612">
        <f t="shared" si="13"/>
        <v>-0.25</v>
      </c>
      <c r="G145" s="581">
        <f t="shared" si="14"/>
        <v>0.56000000000000005</v>
      </c>
      <c r="I145" s="464"/>
      <c r="J145" s="463"/>
      <c r="K145" s="441"/>
      <c r="L145" s="441"/>
      <c r="M145" s="457"/>
      <c r="N145" s="457"/>
      <c r="O145" s="441"/>
      <c r="R145" s="441"/>
      <c r="S145" s="441"/>
      <c r="T145" s="441"/>
      <c r="U145" s="441"/>
      <c r="V145" s="441"/>
      <c r="W145" s="441"/>
      <c r="X145" s="441"/>
      <c r="Y145" s="394"/>
      <c r="Z145" s="373"/>
      <c r="AA145" s="466"/>
      <c r="AB145" s="373"/>
      <c r="AC145" s="479"/>
      <c r="AD145" s="384"/>
      <c r="AE145" s="384"/>
      <c r="AF145" s="399"/>
    </row>
    <row r="146" spans="1:32" s="405" customFormat="1" x14ac:dyDescent="0.2">
      <c r="A146" s="443">
        <v>23</v>
      </c>
      <c r="B146" s="441">
        <v>24</v>
      </c>
      <c r="C146" s="452">
        <v>1</v>
      </c>
      <c r="D146" s="607"/>
      <c r="E146" s="557"/>
      <c r="F146" s="612">
        <f t="shared" si="13"/>
        <v>-0.25</v>
      </c>
      <c r="G146" s="581">
        <f t="shared" si="14"/>
        <v>0.56000000000000005</v>
      </c>
      <c r="I146" s="464"/>
      <c r="J146" s="463"/>
      <c r="K146" s="441"/>
      <c r="L146" s="441"/>
      <c r="M146" s="457"/>
      <c r="N146" s="457"/>
      <c r="O146" s="441"/>
      <c r="R146" s="441"/>
      <c r="S146" s="441"/>
      <c r="T146" s="441"/>
      <c r="U146" s="441"/>
      <c r="V146" s="441"/>
      <c r="W146" s="441"/>
      <c r="X146" s="441"/>
      <c r="Y146" s="394"/>
      <c r="Z146" s="373"/>
      <c r="AA146" s="466"/>
      <c r="AB146" s="373"/>
      <c r="AC146" s="479"/>
      <c r="AD146" s="373"/>
      <c r="AE146" s="373"/>
      <c r="AF146" s="399"/>
    </row>
    <row r="147" spans="1:32" s="405" customFormat="1" x14ac:dyDescent="0.2">
      <c r="A147" s="373">
        <v>24</v>
      </c>
      <c r="B147" s="441">
        <v>1</v>
      </c>
      <c r="C147" s="452">
        <v>1</v>
      </c>
      <c r="D147" s="607"/>
      <c r="E147" s="502"/>
      <c r="F147" s="612">
        <f t="shared" si="13"/>
        <v>-0.25</v>
      </c>
      <c r="G147" s="581">
        <f>D147+0.56</f>
        <v>0.56000000000000005</v>
      </c>
      <c r="H147" s="453"/>
      <c r="I147" s="464"/>
      <c r="J147" s="463"/>
      <c r="K147" s="441"/>
      <c r="L147" s="441"/>
      <c r="M147" s="457"/>
      <c r="N147" s="457"/>
      <c r="O147" s="441"/>
      <c r="R147" s="441"/>
      <c r="S147" s="441"/>
      <c r="T147" s="441"/>
      <c r="U147" s="441"/>
      <c r="V147" s="441"/>
      <c r="W147" s="441"/>
      <c r="X147" s="441"/>
      <c r="Y147" s="373"/>
      <c r="Z147" s="373"/>
      <c r="AA147" s="466"/>
      <c r="AB147" s="373"/>
      <c r="AC147" s="479"/>
      <c r="AD147" s="385"/>
      <c r="AE147" s="385"/>
      <c r="AF147" s="397"/>
    </row>
    <row r="148" spans="1:32" s="405" customFormat="1" x14ac:dyDescent="0.2">
      <c r="A148" s="373"/>
      <c r="B148" s="373"/>
      <c r="C148" s="373"/>
      <c r="D148" s="601"/>
      <c r="E148" s="505"/>
      <c r="F148" s="373"/>
      <c r="G148" s="373"/>
      <c r="H148" s="396"/>
      <c r="I148" s="373"/>
      <c r="J148" s="373"/>
      <c r="K148" s="373"/>
      <c r="L148" s="373"/>
      <c r="M148" s="388"/>
      <c r="N148" s="388"/>
      <c r="O148" s="373"/>
      <c r="R148" s="373"/>
      <c r="S148" s="373"/>
      <c r="T148" s="373"/>
      <c r="U148" s="373"/>
      <c r="V148" s="373"/>
      <c r="W148" s="373"/>
      <c r="X148" s="373"/>
      <c r="Y148" s="373"/>
      <c r="Z148" s="373"/>
      <c r="AA148" s="466"/>
      <c r="AB148" s="373"/>
      <c r="AC148" s="479"/>
      <c r="AD148" s="385"/>
      <c r="AE148" s="385"/>
      <c r="AF148" s="370"/>
    </row>
    <row r="149" spans="1:32" s="405" customFormat="1" x14ac:dyDescent="0.2">
      <c r="A149" s="373"/>
      <c r="B149" s="373"/>
      <c r="C149" s="373"/>
      <c r="D149" s="373"/>
      <c r="E149" s="373"/>
      <c r="F149" s="373"/>
      <c r="G149" s="373"/>
      <c r="H149" s="373"/>
      <c r="I149" s="373"/>
      <c r="J149" s="373"/>
      <c r="K149" s="373"/>
      <c r="L149" s="373"/>
      <c r="M149" s="388"/>
      <c r="N149" s="388"/>
      <c r="O149" s="373"/>
      <c r="R149" s="373"/>
      <c r="S149" s="373"/>
      <c r="T149" s="373"/>
      <c r="U149" s="373"/>
      <c r="V149" s="373"/>
      <c r="W149" s="373"/>
      <c r="X149" s="373"/>
      <c r="Y149" s="373"/>
      <c r="Z149" s="373"/>
      <c r="AA149" s="466"/>
      <c r="AB149" s="373"/>
      <c r="AC149" s="479"/>
      <c r="AD149" s="373"/>
      <c r="AE149" s="373"/>
      <c r="AF149" s="370"/>
    </row>
    <row r="150" spans="1:32" s="405" customFormat="1" x14ac:dyDescent="0.2">
      <c r="A150" s="373"/>
      <c r="B150" s="373"/>
      <c r="C150" s="373"/>
      <c r="D150" s="373"/>
      <c r="E150" s="373"/>
      <c r="F150" s="373"/>
      <c r="G150" s="373"/>
      <c r="H150" s="373"/>
      <c r="I150" s="373"/>
      <c r="J150" s="373"/>
      <c r="K150" s="373"/>
      <c r="L150" s="373"/>
      <c r="M150" s="388"/>
      <c r="N150" s="388"/>
      <c r="O150" s="373"/>
      <c r="R150" s="373"/>
      <c r="S150" s="373"/>
      <c r="T150" s="373"/>
      <c r="U150" s="373"/>
      <c r="V150" s="373"/>
      <c r="W150" s="373"/>
      <c r="X150" s="373"/>
      <c r="Y150" s="373"/>
      <c r="Z150" s="373"/>
      <c r="AA150" s="466"/>
      <c r="AB150" s="373"/>
      <c r="AC150" s="479"/>
      <c r="AD150" s="373"/>
      <c r="AE150" s="373"/>
      <c r="AF150" s="370"/>
    </row>
    <row r="151" spans="1:32" s="405" customFormat="1" x14ac:dyDescent="0.2">
      <c r="A151" s="373"/>
      <c r="B151" s="373"/>
      <c r="C151" s="373"/>
      <c r="D151" s="373"/>
      <c r="E151" s="373"/>
      <c r="F151" s="373"/>
      <c r="G151" s="373"/>
      <c r="H151" s="373"/>
      <c r="I151" s="373"/>
      <c r="J151" s="373"/>
      <c r="K151" s="373"/>
      <c r="L151" s="373"/>
      <c r="M151" s="388"/>
      <c r="N151" s="388"/>
      <c r="O151" s="373"/>
      <c r="R151" s="373"/>
      <c r="S151" s="373"/>
      <c r="T151" s="373"/>
      <c r="U151" s="373"/>
      <c r="V151" s="373"/>
      <c r="W151" s="373"/>
      <c r="X151" s="373"/>
      <c r="Y151" s="373"/>
      <c r="Z151" s="373"/>
      <c r="AA151" s="466"/>
      <c r="AB151" s="373"/>
      <c r="AC151" s="479"/>
      <c r="AD151" s="386"/>
      <c r="AE151" s="386"/>
      <c r="AF151" s="377"/>
    </row>
    <row r="152" spans="1:32" s="405" customFormat="1" x14ac:dyDescent="0.2">
      <c r="A152" s="373"/>
      <c r="B152" s="373"/>
      <c r="C152" s="373"/>
      <c r="D152" s="373"/>
      <c r="E152" s="373"/>
      <c r="F152" s="373"/>
      <c r="G152" s="373"/>
      <c r="H152" s="373"/>
      <c r="I152" s="373"/>
      <c r="J152" s="373"/>
      <c r="K152" s="373"/>
      <c r="L152" s="373"/>
      <c r="M152" s="388"/>
      <c r="N152" s="388"/>
      <c r="O152" s="373"/>
      <c r="R152" s="373"/>
      <c r="S152" s="373"/>
      <c r="T152" s="373"/>
      <c r="U152" s="373"/>
      <c r="V152" s="373"/>
      <c r="W152" s="373"/>
      <c r="X152" s="373"/>
      <c r="Y152" s="373"/>
      <c r="Z152" s="373"/>
      <c r="AA152" s="373"/>
      <c r="AB152" s="373"/>
      <c r="AC152" s="479"/>
      <c r="AD152" s="387"/>
      <c r="AE152" s="387"/>
      <c r="AF152" s="377"/>
    </row>
    <row r="153" spans="1:32" s="405" customFormat="1" x14ac:dyDescent="0.2">
      <c r="A153" s="373"/>
      <c r="B153" s="373"/>
      <c r="C153" s="373"/>
      <c r="D153" s="373"/>
      <c r="E153" s="373"/>
      <c r="F153" s="373"/>
      <c r="G153" s="373"/>
      <c r="H153" s="373"/>
      <c r="I153" s="373"/>
      <c r="L153" s="373"/>
      <c r="M153" s="388"/>
      <c r="N153" s="388"/>
      <c r="O153" s="373"/>
      <c r="R153" s="373"/>
      <c r="S153" s="373"/>
      <c r="T153" s="373"/>
      <c r="U153" s="373"/>
      <c r="V153" s="373"/>
      <c r="W153" s="373"/>
      <c r="X153" s="373"/>
      <c r="Y153" s="373"/>
      <c r="Z153" s="373"/>
      <c r="AA153" s="373"/>
      <c r="AB153" s="373"/>
      <c r="AC153" s="479"/>
      <c r="AD153" s="387"/>
      <c r="AE153" s="387"/>
      <c r="AF153" s="377"/>
    </row>
    <row r="154" spans="1:32" s="405" customFormat="1" x14ac:dyDescent="0.2">
      <c r="A154" s="373"/>
      <c r="B154" s="373"/>
      <c r="C154" s="373"/>
      <c r="D154" s="373"/>
      <c r="E154" s="373"/>
      <c r="F154" s="373"/>
      <c r="G154" s="373"/>
      <c r="H154" s="373"/>
      <c r="I154" s="373"/>
      <c r="L154" s="373"/>
      <c r="M154" s="388"/>
      <c r="N154" s="388"/>
      <c r="O154" s="373"/>
      <c r="R154" s="373"/>
      <c r="S154" s="373"/>
      <c r="T154" s="373"/>
      <c r="U154" s="373"/>
      <c r="V154" s="373"/>
      <c r="W154" s="373"/>
      <c r="X154" s="373"/>
      <c r="Y154" s="373"/>
      <c r="Z154" s="373"/>
      <c r="AA154" s="373"/>
      <c r="AB154" s="373"/>
      <c r="AC154" s="479"/>
      <c r="AD154" s="387"/>
      <c r="AE154" s="387"/>
      <c r="AF154" s="382"/>
    </row>
    <row r="155" spans="1:32" s="405" customFormat="1" x14ac:dyDescent="0.2">
      <c r="A155" s="373"/>
      <c r="B155" s="373"/>
      <c r="C155" s="373"/>
      <c r="D155" s="373"/>
      <c r="E155" s="373"/>
      <c r="F155" s="373"/>
      <c r="G155" s="373"/>
      <c r="H155" s="373"/>
      <c r="I155" s="373"/>
      <c r="L155" s="373"/>
      <c r="M155" s="388"/>
      <c r="N155" s="388"/>
      <c r="O155" s="373"/>
      <c r="R155" s="373"/>
      <c r="S155" s="373"/>
      <c r="T155" s="373"/>
      <c r="U155" s="373"/>
      <c r="V155" s="373"/>
      <c r="W155" s="373"/>
      <c r="X155" s="373"/>
      <c r="Y155" s="373"/>
      <c r="Z155" s="373"/>
      <c r="AA155" s="373"/>
      <c r="AB155" s="373"/>
      <c r="AC155" s="479"/>
      <c r="AD155" s="387"/>
      <c r="AE155" s="387"/>
      <c r="AF155" s="384"/>
    </row>
    <row r="156" spans="1:32" s="405" customFormat="1" x14ac:dyDescent="0.2">
      <c r="A156" s="373"/>
      <c r="B156" s="373"/>
      <c r="C156" s="373"/>
      <c r="D156" s="373"/>
      <c r="E156" s="373"/>
      <c r="F156" s="373"/>
      <c r="G156" s="373"/>
      <c r="H156" s="373"/>
      <c r="I156" s="373"/>
      <c r="L156" s="373"/>
      <c r="M156" s="388"/>
      <c r="N156" s="388"/>
      <c r="O156" s="373"/>
      <c r="R156" s="373"/>
      <c r="S156" s="373"/>
      <c r="T156" s="373"/>
      <c r="U156" s="373"/>
      <c r="V156" s="373"/>
      <c r="W156" s="373"/>
      <c r="X156" s="373"/>
      <c r="Y156" s="373"/>
      <c r="Z156" s="373"/>
      <c r="AA156" s="373"/>
      <c r="AB156" s="373"/>
      <c r="AC156" s="479"/>
      <c r="AD156" s="387"/>
      <c r="AE156" s="387"/>
      <c r="AF156" s="373"/>
    </row>
    <row r="157" spans="1:32" s="405" customFormat="1" x14ac:dyDescent="0.2">
      <c r="A157" s="373"/>
      <c r="B157" s="373"/>
      <c r="C157" s="373"/>
      <c r="D157" s="373"/>
      <c r="E157" s="373"/>
      <c r="F157" s="373"/>
      <c r="G157" s="373"/>
      <c r="H157" s="373"/>
      <c r="I157" s="373"/>
      <c r="L157" s="373"/>
      <c r="M157" s="388"/>
      <c r="N157" s="388"/>
      <c r="O157" s="373"/>
      <c r="R157" s="373"/>
      <c r="S157" s="373"/>
      <c r="T157" s="373"/>
      <c r="U157" s="373"/>
      <c r="V157" s="373"/>
      <c r="W157" s="373"/>
      <c r="X157" s="373"/>
      <c r="Y157" s="373"/>
      <c r="Z157" s="373"/>
      <c r="AA157" s="373"/>
      <c r="AB157" s="373"/>
      <c r="AC157" s="479"/>
      <c r="AD157" s="387"/>
      <c r="AE157" s="387"/>
      <c r="AF157" s="385"/>
    </row>
    <row r="158" spans="1:32" s="405" customFormat="1" x14ac:dyDescent="0.2">
      <c r="A158" s="373"/>
      <c r="B158" s="373"/>
      <c r="C158" s="373"/>
      <c r="D158" s="373"/>
      <c r="E158" s="373"/>
      <c r="F158" s="373"/>
      <c r="G158" s="373"/>
      <c r="H158" s="373"/>
      <c r="I158" s="373"/>
      <c r="L158" s="373"/>
      <c r="M158" s="388"/>
      <c r="N158" s="388"/>
      <c r="O158" s="373"/>
      <c r="R158" s="373"/>
      <c r="S158" s="373"/>
      <c r="T158" s="373"/>
      <c r="U158" s="373"/>
      <c r="V158" s="373"/>
      <c r="W158" s="373"/>
      <c r="X158" s="373"/>
      <c r="Y158" s="373"/>
      <c r="Z158" s="373"/>
      <c r="AA158" s="373"/>
      <c r="AB158" s="373"/>
      <c r="AC158" s="479"/>
      <c r="AD158" s="387"/>
      <c r="AE158" s="387"/>
      <c r="AF158" s="385"/>
    </row>
    <row r="159" spans="1:32" s="405" customFormat="1" x14ac:dyDescent="0.2">
      <c r="A159" s="373"/>
      <c r="B159" s="373"/>
      <c r="C159" s="373"/>
      <c r="D159" s="373"/>
      <c r="E159" s="373"/>
      <c r="F159" s="373"/>
      <c r="G159" s="373"/>
      <c r="H159" s="373"/>
      <c r="I159" s="373"/>
      <c r="L159" s="373"/>
      <c r="M159" s="388"/>
      <c r="N159" s="388"/>
      <c r="O159" s="373"/>
      <c r="R159" s="373"/>
      <c r="S159" s="373"/>
      <c r="T159" s="373"/>
      <c r="U159" s="373"/>
      <c r="V159" s="373"/>
      <c r="W159" s="373"/>
      <c r="X159" s="373"/>
      <c r="Y159" s="373"/>
      <c r="Z159" s="373"/>
      <c r="AA159" s="373"/>
      <c r="AB159" s="373"/>
      <c r="AC159" s="479"/>
      <c r="AD159" s="390"/>
      <c r="AE159" s="390"/>
      <c r="AF159" s="373"/>
    </row>
    <row r="160" spans="1:32" s="405" customFormat="1" x14ac:dyDescent="0.2">
      <c r="A160" s="373"/>
      <c r="B160" s="373"/>
      <c r="C160" s="373"/>
      <c r="D160" s="373"/>
      <c r="E160" s="373"/>
      <c r="F160" s="373"/>
      <c r="G160" s="373"/>
      <c r="H160" s="373"/>
      <c r="I160" s="373"/>
      <c r="L160" s="373"/>
      <c r="M160" s="388"/>
      <c r="N160" s="388"/>
      <c r="O160" s="373"/>
      <c r="R160" s="373"/>
      <c r="S160" s="373"/>
      <c r="T160" s="373"/>
      <c r="U160" s="373"/>
      <c r="V160" s="373"/>
      <c r="W160" s="373"/>
      <c r="X160" s="373"/>
      <c r="Y160" s="373"/>
      <c r="Z160" s="373"/>
      <c r="AA160" s="373"/>
      <c r="AB160" s="373"/>
      <c r="AC160" s="479"/>
      <c r="AD160" s="391"/>
      <c r="AE160" s="391"/>
      <c r="AF160" s="386"/>
    </row>
    <row r="161" spans="1:32" s="405" customFormat="1" x14ac:dyDescent="0.2">
      <c r="A161" s="373"/>
      <c r="B161" s="373"/>
      <c r="C161" s="373"/>
      <c r="D161" s="373"/>
      <c r="E161" s="373"/>
      <c r="F161" s="373"/>
      <c r="G161" s="373"/>
      <c r="H161" s="373"/>
      <c r="I161" s="373"/>
      <c r="L161" s="373"/>
      <c r="M161" s="388"/>
      <c r="N161" s="388"/>
      <c r="O161" s="373"/>
      <c r="R161" s="373"/>
      <c r="S161" s="373"/>
      <c r="T161" s="373"/>
      <c r="U161" s="373"/>
      <c r="V161" s="373"/>
      <c r="W161" s="373"/>
      <c r="X161" s="373"/>
      <c r="Y161" s="373"/>
      <c r="Z161" s="373"/>
      <c r="AA161" s="373"/>
      <c r="AB161" s="373"/>
      <c r="AC161" s="479"/>
      <c r="AD161" s="391"/>
      <c r="AE161" s="391"/>
      <c r="AF161" s="387"/>
    </row>
    <row r="162" spans="1:32" s="405" customFormat="1" x14ac:dyDescent="0.2">
      <c r="A162" s="373"/>
      <c r="B162" s="373"/>
      <c r="C162" s="373"/>
      <c r="D162" s="373"/>
      <c r="E162" s="373"/>
      <c r="F162" s="373"/>
      <c r="G162" s="373"/>
      <c r="H162" s="373"/>
      <c r="I162" s="373"/>
      <c r="L162" s="373"/>
      <c r="M162" s="388"/>
      <c r="N162" s="388"/>
      <c r="O162" s="373"/>
      <c r="R162" s="373"/>
      <c r="S162" s="373"/>
      <c r="T162" s="373"/>
      <c r="U162" s="373"/>
      <c r="V162" s="373"/>
      <c r="W162" s="373"/>
      <c r="X162" s="373"/>
      <c r="Y162" s="373"/>
      <c r="Z162" s="373"/>
      <c r="AA162" s="373"/>
      <c r="AB162" s="373"/>
      <c r="AC162" s="479"/>
      <c r="AD162" s="391"/>
      <c r="AE162" s="391"/>
      <c r="AF162" s="387"/>
    </row>
    <row r="163" spans="1:32" s="405" customFormat="1" x14ac:dyDescent="0.2">
      <c r="A163" s="373"/>
      <c r="B163" s="373"/>
      <c r="C163" s="373"/>
      <c r="D163" s="373"/>
      <c r="E163" s="373"/>
      <c r="F163" s="373"/>
      <c r="G163" s="373"/>
      <c r="H163" s="373"/>
      <c r="I163" s="373"/>
      <c r="L163" s="373"/>
      <c r="M163" s="388"/>
      <c r="N163" s="388"/>
      <c r="O163" s="373"/>
      <c r="P163" s="373"/>
      <c r="Q163" s="373"/>
      <c r="R163" s="373"/>
      <c r="S163" s="373"/>
      <c r="T163" s="373"/>
      <c r="U163" s="373"/>
      <c r="V163" s="373"/>
      <c r="W163" s="373"/>
      <c r="X163" s="373"/>
      <c r="Y163" s="373"/>
      <c r="Z163" s="373"/>
      <c r="AA163" s="373"/>
      <c r="AB163" s="373"/>
      <c r="AC163" s="479"/>
      <c r="AD163" s="391"/>
      <c r="AE163" s="391"/>
      <c r="AF163" s="387"/>
    </row>
    <row r="164" spans="1:32" s="405" customFormat="1" x14ac:dyDescent="0.2">
      <c r="A164" s="373"/>
      <c r="B164" s="373"/>
      <c r="C164" s="373"/>
      <c r="D164" s="373"/>
      <c r="E164" s="373"/>
      <c r="F164" s="373"/>
      <c r="G164" s="373"/>
      <c r="H164" s="373"/>
      <c r="I164" s="373"/>
      <c r="L164" s="373"/>
      <c r="M164" s="388"/>
      <c r="N164" s="388"/>
      <c r="O164" s="373"/>
      <c r="P164" s="373"/>
      <c r="Q164" s="373"/>
      <c r="R164" s="373"/>
      <c r="S164" s="373"/>
      <c r="T164" s="373"/>
      <c r="U164" s="373"/>
      <c r="V164" s="373"/>
      <c r="W164" s="373"/>
      <c r="X164" s="373"/>
      <c r="Y164" s="373"/>
      <c r="Z164" s="373"/>
      <c r="AA164" s="373"/>
      <c r="AB164" s="373"/>
      <c r="AC164" s="479"/>
      <c r="AD164" s="391"/>
      <c r="AE164" s="394"/>
      <c r="AF164" s="387"/>
    </row>
    <row r="165" spans="1:32" s="405" customFormat="1" x14ac:dyDescent="0.2">
      <c r="A165" s="373"/>
      <c r="B165" s="373"/>
      <c r="C165" s="373"/>
      <c r="D165" s="373"/>
      <c r="E165" s="373"/>
      <c r="F165" s="373"/>
      <c r="G165" s="373"/>
      <c r="H165" s="373"/>
      <c r="I165" s="373"/>
      <c r="L165" s="373"/>
      <c r="M165" s="388"/>
      <c r="N165" s="388"/>
      <c r="O165" s="373"/>
      <c r="P165" s="373"/>
      <c r="Q165" s="373"/>
      <c r="R165" s="373"/>
      <c r="S165" s="373"/>
      <c r="T165" s="373"/>
      <c r="U165" s="373"/>
      <c r="V165" s="373"/>
      <c r="W165" s="373"/>
      <c r="X165" s="373"/>
      <c r="Y165" s="373"/>
      <c r="Z165" s="373"/>
      <c r="AA165" s="373"/>
      <c r="AB165" s="373"/>
      <c r="AC165" s="479"/>
      <c r="AD165" s="391"/>
      <c r="AE165" s="394"/>
      <c r="AF165" s="387"/>
    </row>
    <row r="166" spans="1:32" s="405" customFormat="1" x14ac:dyDescent="0.2">
      <c r="A166" s="373"/>
      <c r="B166" s="373"/>
      <c r="C166" s="373"/>
      <c r="D166" s="373"/>
      <c r="E166" s="373"/>
      <c r="F166" s="373"/>
      <c r="G166" s="373"/>
      <c r="H166" s="373"/>
      <c r="I166" s="373"/>
      <c r="L166" s="373"/>
      <c r="M166" s="388"/>
      <c r="N166" s="388"/>
      <c r="O166" s="373"/>
      <c r="P166" s="373"/>
      <c r="Q166" s="373"/>
      <c r="R166" s="373"/>
      <c r="S166" s="373"/>
      <c r="T166" s="373"/>
      <c r="U166" s="373"/>
      <c r="V166" s="373"/>
      <c r="W166" s="373"/>
      <c r="X166" s="373"/>
      <c r="Y166" s="373"/>
      <c r="Z166" s="373"/>
      <c r="AA166" s="373"/>
      <c r="AB166" s="373"/>
      <c r="AC166" s="479"/>
      <c r="AD166" s="391"/>
      <c r="AE166" s="394"/>
      <c r="AF166" s="387"/>
    </row>
    <row r="167" spans="1:32" s="405" customFormat="1" x14ac:dyDescent="0.2">
      <c r="A167" s="373"/>
      <c r="B167" s="373"/>
      <c r="C167" s="373"/>
      <c r="D167" s="373"/>
      <c r="E167" s="373"/>
      <c r="F167" s="373"/>
      <c r="G167" s="373"/>
      <c r="H167" s="373"/>
      <c r="I167" s="373"/>
      <c r="L167" s="373"/>
      <c r="M167" s="388"/>
      <c r="N167" s="388"/>
      <c r="O167" s="373"/>
      <c r="P167" s="373"/>
      <c r="Q167" s="373"/>
      <c r="R167" s="373"/>
      <c r="S167" s="373"/>
      <c r="T167" s="373"/>
      <c r="U167" s="373"/>
      <c r="V167" s="373"/>
      <c r="W167" s="373"/>
      <c r="X167" s="373"/>
      <c r="Y167" s="373"/>
      <c r="Z167" s="373"/>
      <c r="AA167" s="373"/>
      <c r="AB167" s="373"/>
      <c r="AC167" s="479"/>
      <c r="AD167" s="391"/>
      <c r="AE167" s="394"/>
      <c r="AF167" s="387"/>
    </row>
    <row r="168" spans="1:32" s="405" customFormat="1" x14ac:dyDescent="0.2">
      <c r="A168" s="373"/>
      <c r="B168" s="373"/>
      <c r="C168" s="373"/>
      <c r="D168" s="373"/>
      <c r="E168" s="373"/>
      <c r="F168" s="373"/>
      <c r="G168" s="373"/>
      <c r="H168" s="373"/>
      <c r="I168" s="373"/>
      <c r="L168" s="373"/>
      <c r="M168" s="388"/>
      <c r="N168" s="388"/>
      <c r="O168" s="373"/>
      <c r="P168" s="373"/>
      <c r="Q168" s="373"/>
      <c r="R168" s="373"/>
      <c r="S168" s="373"/>
      <c r="T168" s="373"/>
      <c r="U168" s="373"/>
      <c r="V168" s="373"/>
      <c r="W168" s="373"/>
      <c r="X168" s="373"/>
      <c r="Y168" s="373"/>
      <c r="Z168" s="373"/>
      <c r="AA168" s="373"/>
      <c r="AB168" s="373"/>
      <c r="AC168" s="479"/>
      <c r="AD168" s="391"/>
      <c r="AE168" s="394"/>
      <c r="AF168" s="389"/>
    </row>
    <row r="169" spans="1:32" s="405" customFormat="1" x14ac:dyDescent="0.2">
      <c r="A169" s="373"/>
      <c r="B169" s="373"/>
      <c r="C169" s="373"/>
      <c r="D169" s="373"/>
      <c r="E169" s="373"/>
      <c r="F169" s="373"/>
      <c r="G169" s="373"/>
      <c r="H169" s="373"/>
      <c r="I169" s="373"/>
      <c r="L169" s="373"/>
      <c r="M169" s="388"/>
      <c r="N169" s="388"/>
      <c r="O169" s="373"/>
      <c r="P169" s="373"/>
      <c r="Q169" s="373"/>
      <c r="R169" s="373"/>
      <c r="S169" s="373"/>
      <c r="T169" s="373"/>
      <c r="U169" s="373"/>
      <c r="V169" s="373"/>
      <c r="W169" s="373"/>
      <c r="X169" s="373"/>
      <c r="Y169" s="373"/>
      <c r="Z169" s="373"/>
      <c r="AA169" s="373"/>
      <c r="AB169" s="373"/>
      <c r="AC169" s="479"/>
      <c r="AD169" s="394"/>
      <c r="AE169" s="394"/>
      <c r="AF169" s="391"/>
    </row>
    <row r="170" spans="1:32" s="405" customFormat="1" x14ac:dyDescent="0.2">
      <c r="A170" s="373"/>
      <c r="B170" s="373"/>
      <c r="C170" s="373"/>
      <c r="D170" s="373"/>
      <c r="E170" s="373"/>
      <c r="F170" s="373"/>
      <c r="G170" s="373"/>
      <c r="H170" s="373"/>
      <c r="I170" s="373"/>
      <c r="L170" s="373"/>
      <c r="M170" s="388"/>
      <c r="N170" s="388"/>
      <c r="O170" s="373"/>
      <c r="P170" s="373"/>
      <c r="Q170" s="373"/>
      <c r="R170" s="373"/>
      <c r="S170" s="373"/>
      <c r="T170" s="373"/>
      <c r="U170" s="373"/>
      <c r="V170" s="373"/>
      <c r="W170" s="373"/>
      <c r="X170" s="373"/>
      <c r="Y170" s="373"/>
      <c r="Z170" s="373"/>
      <c r="AA170" s="373"/>
      <c r="AB170" s="373"/>
      <c r="AC170" s="479"/>
      <c r="AD170" s="394"/>
      <c r="AE170" s="394"/>
      <c r="AF170" s="391"/>
    </row>
    <row r="171" spans="1:32" s="405" customFormat="1" x14ac:dyDescent="0.2">
      <c r="A171" s="373"/>
      <c r="B171" s="373"/>
      <c r="C171" s="373"/>
      <c r="D171" s="373"/>
      <c r="E171" s="373"/>
      <c r="F171" s="373"/>
      <c r="G171" s="373"/>
      <c r="H171" s="373"/>
      <c r="I171" s="373"/>
      <c r="L171" s="373"/>
      <c r="M171" s="388"/>
      <c r="N171" s="388"/>
      <c r="O171" s="373"/>
      <c r="P171" s="373"/>
      <c r="Q171" s="373"/>
      <c r="R171" s="373"/>
      <c r="S171" s="373"/>
      <c r="T171" s="373"/>
      <c r="U171" s="373"/>
      <c r="V171" s="373"/>
      <c r="W171" s="373"/>
      <c r="X171" s="373"/>
      <c r="Y171" s="373"/>
      <c r="Z171" s="373"/>
      <c r="AA171" s="373"/>
      <c r="AB171" s="373"/>
      <c r="AC171" s="479"/>
      <c r="AD171" s="394"/>
      <c r="AE171" s="394"/>
      <c r="AF171" s="391"/>
    </row>
    <row r="172" spans="1:32" s="405" customFormat="1" x14ac:dyDescent="0.2">
      <c r="A172" s="373"/>
      <c r="B172" s="373"/>
      <c r="C172" s="373"/>
      <c r="D172" s="373"/>
      <c r="E172" s="373"/>
      <c r="F172" s="373"/>
      <c r="G172" s="373"/>
      <c r="H172" s="373"/>
      <c r="I172" s="373"/>
      <c r="L172" s="373"/>
      <c r="M172" s="388"/>
      <c r="N172" s="388"/>
      <c r="O172" s="373"/>
      <c r="P172" s="373"/>
      <c r="Q172" s="373"/>
      <c r="R172" s="373"/>
      <c r="S172" s="373"/>
      <c r="T172" s="373"/>
      <c r="U172" s="373"/>
      <c r="V172" s="373"/>
      <c r="W172" s="373"/>
      <c r="X172" s="373"/>
      <c r="Y172" s="373"/>
      <c r="Z172" s="373"/>
      <c r="AA172" s="373"/>
      <c r="AB172" s="373"/>
      <c r="AC172" s="479"/>
      <c r="AD172" s="394"/>
      <c r="AE172" s="394"/>
      <c r="AF172" s="391"/>
    </row>
    <row r="173" spans="1:32" s="405" customFormat="1" x14ac:dyDescent="0.2">
      <c r="A173" s="373"/>
      <c r="B173" s="373"/>
      <c r="C173" s="373"/>
      <c r="D173" s="373"/>
      <c r="E173" s="373"/>
      <c r="F173" s="373"/>
      <c r="G173" s="373"/>
      <c r="H173" s="373"/>
      <c r="I173" s="373"/>
      <c r="L173" s="373"/>
      <c r="M173" s="388"/>
      <c r="N173" s="388"/>
      <c r="O173" s="373"/>
      <c r="P173" s="373"/>
      <c r="Q173" s="373"/>
      <c r="R173" s="373"/>
      <c r="S173" s="373"/>
      <c r="T173" s="373"/>
      <c r="U173" s="373"/>
      <c r="V173" s="373"/>
      <c r="W173" s="373"/>
      <c r="X173" s="373"/>
      <c r="Y173" s="373"/>
      <c r="Z173" s="373"/>
      <c r="AA173" s="373"/>
      <c r="AB173" s="373"/>
      <c r="AC173" s="479"/>
      <c r="AD173" s="394"/>
      <c r="AE173" s="394"/>
      <c r="AF173" s="392"/>
    </row>
    <row r="174" spans="1:32" s="405" customFormat="1" x14ac:dyDescent="0.2">
      <c r="A174" s="373"/>
      <c r="B174" s="373"/>
      <c r="C174" s="373"/>
      <c r="D174" s="373"/>
      <c r="E174" s="373"/>
      <c r="F174" s="373"/>
      <c r="G174" s="373"/>
      <c r="H174" s="373"/>
      <c r="I174" s="373"/>
      <c r="L174" s="373"/>
      <c r="M174" s="388"/>
      <c r="N174" s="388"/>
      <c r="O174" s="373"/>
      <c r="P174" s="373"/>
      <c r="Q174" s="373"/>
      <c r="R174" s="373"/>
      <c r="S174" s="373"/>
      <c r="T174" s="373"/>
      <c r="U174" s="373"/>
      <c r="V174" s="373"/>
      <c r="W174" s="373"/>
      <c r="X174" s="373"/>
      <c r="Y174" s="373"/>
      <c r="Z174" s="373"/>
      <c r="AA174" s="373"/>
      <c r="AB174" s="373"/>
      <c r="AC174" s="479"/>
      <c r="AD174" s="392"/>
      <c r="AE174" s="393"/>
      <c r="AF174" s="387"/>
    </row>
    <row r="175" spans="1:32" s="405" customFormat="1" x14ac:dyDescent="0.2">
      <c r="A175" s="373"/>
      <c r="B175" s="373"/>
      <c r="C175" s="373"/>
      <c r="D175" s="373"/>
      <c r="E175" s="373"/>
      <c r="F175" s="373"/>
      <c r="G175" s="373"/>
      <c r="H175" s="373"/>
      <c r="I175" s="373"/>
      <c r="L175" s="373"/>
      <c r="M175" s="388"/>
      <c r="N175" s="388"/>
      <c r="O175" s="373"/>
      <c r="P175" s="373"/>
      <c r="Q175" s="373"/>
      <c r="R175" s="373"/>
      <c r="S175" s="373"/>
      <c r="T175" s="373"/>
      <c r="U175" s="373"/>
      <c r="V175" s="373"/>
      <c r="W175" s="373"/>
      <c r="X175" s="373"/>
      <c r="Y175" s="373"/>
      <c r="Z175" s="373"/>
      <c r="AA175" s="373"/>
      <c r="AB175" s="373"/>
      <c r="AC175" s="479"/>
      <c r="AD175" s="392"/>
      <c r="AE175" s="392"/>
      <c r="AF175" s="389"/>
    </row>
    <row r="176" spans="1:32" s="405" customFormat="1" x14ac:dyDescent="0.2">
      <c r="A176" s="373"/>
      <c r="B176" s="373"/>
      <c r="C176" s="373"/>
      <c r="D176" s="373"/>
      <c r="E176" s="373"/>
      <c r="F176" s="373"/>
      <c r="G176" s="373"/>
      <c r="H176" s="373"/>
      <c r="I176" s="373"/>
      <c r="L176" s="373"/>
      <c r="M176" s="388"/>
      <c r="N176" s="388"/>
      <c r="O176" s="373"/>
      <c r="P176" s="373"/>
      <c r="Q176" s="373"/>
      <c r="R176" s="373"/>
      <c r="S176" s="373"/>
      <c r="T176" s="373"/>
      <c r="U176" s="373"/>
      <c r="V176" s="373"/>
      <c r="W176" s="373"/>
      <c r="X176" s="373"/>
      <c r="Y176" s="373"/>
      <c r="Z176" s="373"/>
      <c r="AA176" s="373"/>
      <c r="AB176" s="373"/>
      <c r="AC176" s="479"/>
      <c r="AD176" s="392"/>
      <c r="AE176" s="395"/>
      <c r="AF176" s="391"/>
    </row>
    <row r="177" spans="1:32" s="405" customFormat="1" x14ac:dyDescent="0.2">
      <c r="A177" s="373"/>
      <c r="B177" s="373"/>
      <c r="C177" s="373"/>
      <c r="D177" s="373"/>
      <c r="E177" s="373"/>
      <c r="F177" s="373"/>
      <c r="G177" s="373"/>
      <c r="H177" s="373"/>
      <c r="I177" s="373"/>
      <c r="J177" s="373"/>
      <c r="K177" s="373"/>
      <c r="L177" s="373"/>
      <c r="M177" s="388"/>
      <c r="N177" s="388"/>
      <c r="O177" s="373"/>
      <c r="P177" s="373"/>
      <c r="Q177" s="373"/>
      <c r="R177" s="373"/>
      <c r="S177" s="373"/>
      <c r="T177" s="373"/>
      <c r="U177" s="373"/>
      <c r="V177" s="373"/>
      <c r="W177" s="373"/>
      <c r="X177" s="373"/>
      <c r="Y177" s="373"/>
      <c r="Z177" s="373"/>
      <c r="AA177" s="373"/>
      <c r="AB177" s="373"/>
      <c r="AC177" s="479"/>
      <c r="AD177" s="392"/>
      <c r="AE177" s="393"/>
      <c r="AF177" s="391"/>
    </row>
    <row r="178" spans="1:32" s="405" customFormat="1" x14ac:dyDescent="0.2">
      <c r="A178" s="373"/>
      <c r="B178" s="373"/>
      <c r="C178" s="373"/>
      <c r="D178" s="373"/>
      <c r="E178" s="373"/>
      <c r="F178" s="373"/>
      <c r="G178" s="373"/>
      <c r="H178" s="373"/>
      <c r="I178" s="373"/>
      <c r="J178" s="373"/>
      <c r="K178" s="373"/>
      <c r="L178" s="373"/>
      <c r="M178" s="388"/>
      <c r="N178" s="388"/>
      <c r="O178" s="373"/>
      <c r="P178" s="373"/>
      <c r="Q178" s="373"/>
      <c r="R178" s="373"/>
      <c r="S178" s="373"/>
      <c r="T178" s="373"/>
      <c r="U178" s="373"/>
      <c r="V178" s="373"/>
      <c r="W178" s="373"/>
      <c r="X178" s="373"/>
      <c r="Y178" s="373"/>
      <c r="Z178" s="373"/>
      <c r="AA178" s="373"/>
      <c r="AB178" s="373"/>
      <c r="AC178" s="479"/>
      <c r="AD178" s="392"/>
      <c r="AE178" s="393"/>
      <c r="AF178" s="391"/>
    </row>
    <row r="179" spans="1:32" s="405" customFormat="1" x14ac:dyDescent="0.2">
      <c r="A179" s="373"/>
      <c r="B179" s="373"/>
      <c r="C179" s="373"/>
      <c r="D179" s="373"/>
      <c r="E179" s="373"/>
      <c r="F179" s="373"/>
      <c r="G179" s="373"/>
      <c r="H179" s="373"/>
      <c r="I179" s="373"/>
      <c r="J179" s="373"/>
      <c r="K179" s="373"/>
      <c r="L179" s="373"/>
      <c r="M179" s="388"/>
      <c r="N179" s="388"/>
      <c r="O179" s="373"/>
      <c r="P179" s="373"/>
      <c r="Q179" s="373"/>
      <c r="R179" s="373"/>
      <c r="S179" s="373"/>
      <c r="T179" s="373"/>
      <c r="U179" s="373"/>
      <c r="V179" s="373"/>
      <c r="W179" s="373"/>
      <c r="X179" s="373"/>
      <c r="Y179" s="373"/>
      <c r="Z179" s="373"/>
      <c r="AA179" s="373"/>
      <c r="AB179" s="373"/>
      <c r="AC179" s="479"/>
      <c r="AD179" s="392"/>
      <c r="AE179" s="393"/>
      <c r="AF179" s="391"/>
    </row>
    <row r="180" spans="1:32" s="405" customFormat="1" ht="12.75" customHeight="1" x14ac:dyDescent="0.2">
      <c r="A180" s="373"/>
      <c r="B180" s="373"/>
      <c r="C180" s="373"/>
      <c r="D180" s="373"/>
      <c r="E180" s="373"/>
      <c r="F180" s="373"/>
      <c r="G180" s="373"/>
      <c r="H180" s="373"/>
      <c r="I180" s="373"/>
      <c r="J180" s="373"/>
      <c r="K180" s="373"/>
      <c r="L180" s="373"/>
      <c r="M180" s="388"/>
      <c r="N180" s="388"/>
      <c r="O180" s="373"/>
      <c r="P180" s="373"/>
      <c r="Q180" s="373"/>
      <c r="R180" s="373"/>
      <c r="S180" s="373"/>
      <c r="T180" s="373"/>
      <c r="U180" s="373"/>
      <c r="V180" s="373"/>
      <c r="W180" s="373"/>
      <c r="X180" s="373"/>
      <c r="Y180" s="373"/>
      <c r="Z180" s="373"/>
      <c r="AA180" s="373"/>
      <c r="AB180" s="373"/>
      <c r="AC180" s="479"/>
      <c r="AD180" s="392"/>
      <c r="AE180" s="392"/>
      <c r="AF180" s="391"/>
    </row>
    <row r="181" spans="1:32" s="405" customFormat="1" x14ac:dyDescent="0.2">
      <c r="A181" s="373"/>
      <c r="B181" s="373"/>
      <c r="C181" s="373"/>
      <c r="D181" s="373"/>
      <c r="E181" s="373"/>
      <c r="F181" s="373"/>
      <c r="G181" s="373"/>
      <c r="H181" s="373"/>
      <c r="I181" s="373"/>
      <c r="J181" s="373"/>
      <c r="K181" s="373"/>
      <c r="L181" s="373"/>
      <c r="M181" s="388"/>
      <c r="N181" s="388"/>
      <c r="O181" s="373"/>
      <c r="P181" s="373"/>
      <c r="Q181" s="373"/>
      <c r="R181" s="373"/>
      <c r="S181" s="373"/>
      <c r="T181" s="373"/>
      <c r="U181" s="373"/>
      <c r="V181" s="373"/>
      <c r="W181" s="373"/>
      <c r="X181" s="373"/>
      <c r="Y181" s="373"/>
      <c r="Z181" s="373"/>
      <c r="AA181" s="373"/>
      <c r="AB181" s="373"/>
      <c r="AC181" s="479"/>
      <c r="AD181" s="392"/>
      <c r="AE181" s="395"/>
      <c r="AF181" s="391"/>
    </row>
    <row r="182" spans="1:32" s="405" customFormat="1" x14ac:dyDescent="0.2">
      <c r="A182" s="373"/>
      <c r="B182" s="373"/>
      <c r="C182" s="373"/>
      <c r="D182" s="373"/>
      <c r="E182" s="373"/>
      <c r="F182" s="373"/>
      <c r="G182" s="373"/>
      <c r="H182" s="373"/>
      <c r="I182" s="373"/>
      <c r="J182" s="373"/>
      <c r="K182" s="373"/>
      <c r="L182" s="373"/>
      <c r="M182" s="388"/>
      <c r="N182" s="388"/>
      <c r="O182" s="373"/>
      <c r="P182" s="373"/>
      <c r="Q182" s="373"/>
      <c r="R182" s="373"/>
      <c r="S182" s="373"/>
      <c r="T182" s="373"/>
      <c r="U182" s="373"/>
      <c r="V182" s="373"/>
      <c r="W182" s="373"/>
      <c r="X182" s="373"/>
      <c r="Y182" s="373"/>
      <c r="Z182" s="373"/>
      <c r="AA182" s="373"/>
      <c r="AB182" s="373"/>
      <c r="AC182" s="479"/>
      <c r="AD182" s="392"/>
      <c r="AE182" s="393"/>
      <c r="AF182" s="391"/>
    </row>
    <row r="183" spans="1:32" s="405" customFormat="1" x14ac:dyDescent="0.2">
      <c r="A183" s="373"/>
      <c r="B183" s="373"/>
      <c r="C183" s="373"/>
      <c r="D183" s="373"/>
      <c r="E183" s="373"/>
      <c r="F183" s="373"/>
      <c r="G183" s="373"/>
      <c r="H183" s="373"/>
      <c r="I183" s="373"/>
      <c r="J183" s="373"/>
      <c r="K183" s="373"/>
      <c r="L183" s="373"/>
      <c r="M183" s="388"/>
      <c r="N183" s="388"/>
      <c r="O183" s="373"/>
      <c r="P183" s="373"/>
      <c r="Q183" s="373"/>
      <c r="R183" s="373"/>
      <c r="S183" s="373"/>
      <c r="T183" s="373"/>
      <c r="U183" s="373"/>
      <c r="V183" s="373"/>
      <c r="W183" s="373"/>
      <c r="X183" s="373"/>
      <c r="Y183" s="373"/>
      <c r="Z183" s="373"/>
      <c r="AA183" s="373"/>
      <c r="AB183" s="373"/>
      <c r="AC183" s="479"/>
      <c r="AD183" s="394"/>
      <c r="AE183" s="392"/>
      <c r="AF183" s="391"/>
    </row>
    <row r="184" spans="1:32" s="405" customFormat="1" x14ac:dyDescent="0.2">
      <c r="A184" s="373"/>
      <c r="B184" s="373"/>
      <c r="C184" s="373"/>
      <c r="D184" s="373"/>
      <c r="E184" s="373"/>
      <c r="F184" s="373"/>
      <c r="G184" s="373"/>
      <c r="H184" s="373"/>
      <c r="I184" s="373"/>
      <c r="J184" s="373"/>
      <c r="K184" s="373"/>
      <c r="L184" s="373"/>
      <c r="M184" s="388"/>
      <c r="N184" s="388"/>
      <c r="O184" s="373"/>
      <c r="P184" s="373"/>
      <c r="Q184" s="373"/>
      <c r="R184" s="373"/>
      <c r="S184" s="373"/>
      <c r="T184" s="373"/>
      <c r="U184" s="373"/>
      <c r="V184" s="373"/>
      <c r="W184" s="373"/>
      <c r="X184" s="373"/>
      <c r="Y184" s="373"/>
      <c r="Z184" s="373"/>
      <c r="AA184" s="373"/>
      <c r="AB184" s="373"/>
      <c r="AC184" s="479"/>
      <c r="AD184" s="394"/>
      <c r="AE184" s="392"/>
      <c r="AF184" s="391"/>
    </row>
    <row r="185" spans="1:32" s="405" customFormat="1" x14ac:dyDescent="0.2">
      <c r="A185" s="373"/>
      <c r="B185" s="373"/>
      <c r="C185" s="373"/>
      <c r="D185" s="373"/>
      <c r="E185" s="373"/>
      <c r="F185" s="373"/>
      <c r="G185" s="373"/>
      <c r="H185" s="373"/>
      <c r="I185" s="373"/>
      <c r="J185" s="373"/>
      <c r="K185" s="373"/>
      <c r="L185" s="373"/>
      <c r="M185" s="388"/>
      <c r="N185" s="388"/>
      <c r="O185" s="373"/>
      <c r="P185" s="373"/>
      <c r="Q185" s="373"/>
      <c r="R185" s="373"/>
      <c r="S185" s="373"/>
      <c r="T185" s="373"/>
      <c r="U185" s="373"/>
      <c r="V185" s="373"/>
      <c r="W185" s="373"/>
      <c r="X185" s="373"/>
      <c r="Y185" s="373"/>
      <c r="Z185" s="373"/>
      <c r="AA185" s="373"/>
      <c r="AB185" s="373"/>
      <c r="AC185" s="479"/>
      <c r="AD185" s="394"/>
      <c r="AE185" s="392"/>
      <c r="AF185" s="394"/>
    </row>
    <row r="186" spans="1:32" s="405" customFormat="1" x14ac:dyDescent="0.2">
      <c r="A186" s="373"/>
      <c r="B186" s="373"/>
      <c r="C186" s="373"/>
      <c r="D186" s="373"/>
      <c r="E186" s="373"/>
      <c r="F186" s="373"/>
      <c r="G186" s="373"/>
      <c r="H186" s="373"/>
      <c r="I186" s="373"/>
      <c r="J186" s="373"/>
      <c r="K186" s="373"/>
      <c r="L186" s="373"/>
      <c r="M186" s="388"/>
      <c r="N186" s="388"/>
      <c r="O186" s="373"/>
      <c r="P186" s="373"/>
      <c r="Q186" s="373"/>
      <c r="R186" s="373"/>
      <c r="S186" s="373"/>
      <c r="T186" s="373"/>
      <c r="U186" s="373"/>
      <c r="V186" s="373"/>
      <c r="W186" s="373"/>
      <c r="X186" s="373"/>
      <c r="Y186" s="373"/>
      <c r="Z186" s="373"/>
      <c r="AA186" s="373"/>
      <c r="AB186" s="373"/>
      <c r="AC186" s="479"/>
      <c r="AD186" s="373"/>
      <c r="AE186" s="377"/>
      <c r="AF186" s="394"/>
    </row>
    <row r="187" spans="1:32" s="405" customFormat="1" x14ac:dyDescent="0.2">
      <c r="A187" s="373"/>
      <c r="B187" s="373"/>
      <c r="C187" s="373"/>
      <c r="D187" s="373"/>
      <c r="E187" s="373"/>
      <c r="F187" s="373"/>
      <c r="G187" s="373"/>
      <c r="H187" s="373"/>
      <c r="I187" s="373"/>
      <c r="J187" s="373"/>
      <c r="K187" s="373"/>
      <c r="L187" s="373"/>
      <c r="M187" s="388"/>
      <c r="N187" s="388"/>
      <c r="O187" s="373"/>
      <c r="P187" s="373"/>
      <c r="Q187" s="373"/>
      <c r="R187" s="373"/>
      <c r="S187" s="373"/>
      <c r="T187" s="373"/>
      <c r="U187" s="373"/>
      <c r="V187" s="373"/>
      <c r="W187" s="373"/>
      <c r="X187" s="373"/>
      <c r="Y187" s="373"/>
      <c r="Z187" s="373"/>
      <c r="AA187" s="373"/>
      <c r="AB187" s="373"/>
      <c r="AC187" s="479"/>
      <c r="AD187" s="373"/>
      <c r="AE187" s="377"/>
      <c r="AF187" s="394"/>
    </row>
    <row r="188" spans="1:32" s="405" customFormat="1" x14ac:dyDescent="0.2">
      <c r="A188" s="373"/>
      <c r="B188" s="373"/>
      <c r="C188" s="373"/>
      <c r="D188" s="373"/>
      <c r="E188" s="373"/>
      <c r="F188" s="373"/>
      <c r="G188" s="373"/>
      <c r="H188" s="373"/>
      <c r="I188" s="373"/>
      <c r="J188" s="373"/>
      <c r="K188" s="373"/>
      <c r="L188" s="373"/>
      <c r="M188" s="388"/>
      <c r="N188" s="388"/>
      <c r="O188" s="373"/>
      <c r="P188" s="373"/>
      <c r="Q188" s="373"/>
      <c r="R188" s="373"/>
      <c r="S188" s="373"/>
      <c r="T188" s="373"/>
      <c r="U188" s="373"/>
      <c r="V188" s="373"/>
      <c r="W188" s="373"/>
      <c r="X188" s="373"/>
      <c r="Y188" s="373"/>
      <c r="Z188" s="373"/>
      <c r="AA188" s="373"/>
      <c r="AB188" s="373"/>
      <c r="AC188" s="479"/>
      <c r="AD188" s="373"/>
      <c r="AE188" s="377"/>
      <c r="AF188" s="394"/>
    </row>
    <row r="189" spans="1:32" s="405" customFormat="1" x14ac:dyDescent="0.2">
      <c r="A189" s="373"/>
      <c r="B189" s="373"/>
      <c r="C189" s="373"/>
      <c r="D189" s="373"/>
      <c r="E189" s="373"/>
      <c r="F189" s="373"/>
      <c r="G189" s="373"/>
      <c r="H189" s="373"/>
      <c r="I189" s="373"/>
      <c r="J189" s="373"/>
      <c r="K189" s="373"/>
      <c r="L189" s="373"/>
      <c r="M189" s="388"/>
      <c r="N189" s="388"/>
      <c r="O189" s="373"/>
      <c r="P189" s="373"/>
      <c r="Q189" s="373"/>
      <c r="R189" s="373"/>
      <c r="S189" s="373"/>
      <c r="T189" s="373"/>
      <c r="U189" s="373"/>
      <c r="V189" s="373"/>
      <c r="W189" s="373"/>
      <c r="X189" s="373"/>
      <c r="Y189" s="373"/>
      <c r="Z189" s="373"/>
      <c r="AA189" s="373"/>
      <c r="AB189" s="373"/>
      <c r="AC189" s="479"/>
      <c r="AD189" s="373"/>
      <c r="AE189" s="377"/>
      <c r="AF189" s="394"/>
    </row>
    <row r="190" spans="1:32" s="405" customFormat="1" x14ac:dyDescent="0.2">
      <c r="A190" s="373"/>
      <c r="B190" s="373"/>
      <c r="C190" s="373"/>
      <c r="D190" s="373"/>
      <c r="E190" s="373"/>
      <c r="F190" s="373"/>
      <c r="G190" s="373"/>
      <c r="H190" s="373"/>
      <c r="I190" s="373"/>
      <c r="J190" s="373"/>
      <c r="K190" s="373"/>
      <c r="L190" s="373"/>
      <c r="M190" s="388"/>
      <c r="N190" s="388"/>
      <c r="O190" s="373"/>
      <c r="P190" s="373"/>
      <c r="Q190" s="373"/>
      <c r="R190" s="373"/>
      <c r="S190" s="373"/>
      <c r="T190" s="373"/>
      <c r="U190" s="373"/>
      <c r="V190" s="373"/>
      <c r="W190" s="373"/>
      <c r="X190" s="373"/>
      <c r="Y190" s="373"/>
      <c r="Z190" s="373"/>
      <c r="AA190" s="373"/>
      <c r="AB190" s="373"/>
      <c r="AC190" s="479"/>
      <c r="AD190" s="373"/>
      <c r="AE190" s="377"/>
      <c r="AF190" s="394"/>
    </row>
    <row r="191" spans="1:32" s="405" customFormat="1" ht="12" customHeight="1" x14ac:dyDescent="0.2">
      <c r="A191" s="373"/>
      <c r="B191" s="373"/>
      <c r="C191" s="373"/>
      <c r="D191" s="373"/>
      <c r="E191" s="373"/>
      <c r="F191" s="373"/>
      <c r="G191" s="373"/>
      <c r="H191" s="373"/>
      <c r="I191" s="373"/>
      <c r="J191" s="373"/>
      <c r="K191" s="373"/>
      <c r="L191" s="373"/>
      <c r="M191" s="388"/>
      <c r="N191" s="388"/>
      <c r="O191" s="373"/>
      <c r="P191" s="373"/>
      <c r="Q191" s="373"/>
      <c r="R191" s="373"/>
      <c r="S191" s="373"/>
      <c r="T191" s="373"/>
      <c r="U191" s="373"/>
      <c r="V191" s="373"/>
      <c r="W191" s="373"/>
      <c r="X191" s="373"/>
      <c r="Y191" s="373"/>
      <c r="Z191" s="373"/>
      <c r="AA191" s="373"/>
      <c r="AB191" s="373"/>
      <c r="AC191" s="479"/>
      <c r="AD191" s="373"/>
      <c r="AE191" s="377"/>
      <c r="AF191" s="394"/>
    </row>
    <row r="192" spans="1:32" s="405" customFormat="1" ht="12" customHeight="1" x14ac:dyDescent="0.2">
      <c r="A192" s="373"/>
      <c r="B192" s="373"/>
      <c r="C192" s="373"/>
      <c r="D192" s="373"/>
      <c r="E192" s="373"/>
      <c r="F192" s="373"/>
      <c r="G192" s="373"/>
      <c r="H192" s="373"/>
      <c r="I192" s="373"/>
      <c r="J192" s="373"/>
      <c r="K192" s="373"/>
      <c r="L192" s="373"/>
      <c r="M192" s="388"/>
      <c r="N192" s="388"/>
      <c r="O192" s="373"/>
      <c r="P192" s="373"/>
      <c r="Q192" s="373"/>
      <c r="R192" s="373"/>
      <c r="S192" s="373"/>
      <c r="T192" s="373"/>
      <c r="U192" s="373"/>
      <c r="V192" s="373"/>
      <c r="W192" s="373"/>
      <c r="X192" s="373"/>
      <c r="Y192" s="373"/>
      <c r="Z192" s="373"/>
      <c r="AA192" s="373"/>
      <c r="AB192" s="373"/>
      <c r="AC192" s="479"/>
      <c r="AD192" s="373"/>
      <c r="AE192" s="377"/>
      <c r="AF192" s="394"/>
    </row>
    <row r="193" spans="1:32" s="405" customFormat="1" ht="12" customHeight="1" x14ac:dyDescent="0.2">
      <c r="A193" s="373"/>
      <c r="B193" s="373"/>
      <c r="C193" s="373"/>
      <c r="D193" s="373"/>
      <c r="E193" s="373"/>
      <c r="F193" s="373"/>
      <c r="G193" s="373"/>
      <c r="H193" s="373"/>
      <c r="I193" s="373"/>
      <c r="J193" s="373"/>
      <c r="K193" s="373"/>
      <c r="L193" s="373"/>
      <c r="M193" s="388"/>
      <c r="N193" s="388"/>
      <c r="O193" s="373"/>
      <c r="P193" s="373"/>
      <c r="Q193" s="373"/>
      <c r="R193" s="373"/>
      <c r="S193" s="373"/>
      <c r="T193" s="373"/>
      <c r="U193" s="373"/>
      <c r="V193" s="373"/>
      <c r="W193" s="373"/>
      <c r="X193" s="373"/>
      <c r="Y193" s="373"/>
      <c r="Z193" s="373"/>
      <c r="AA193" s="373"/>
      <c r="AB193" s="373"/>
      <c r="AC193" s="479"/>
      <c r="AD193" s="373"/>
      <c r="AE193" s="377"/>
      <c r="AF193" s="373"/>
    </row>
    <row r="194" spans="1:32" s="405" customFormat="1" ht="12" customHeight="1" x14ac:dyDescent="0.2">
      <c r="A194" s="373"/>
      <c r="B194" s="373"/>
      <c r="C194" s="373"/>
      <c r="D194" s="373"/>
      <c r="E194" s="373"/>
      <c r="F194" s="373"/>
      <c r="G194" s="373"/>
      <c r="H194" s="373"/>
      <c r="I194" s="373"/>
      <c r="J194" s="373"/>
      <c r="K194" s="373"/>
      <c r="L194" s="373"/>
      <c r="M194" s="388"/>
      <c r="N194" s="388"/>
      <c r="O194" s="373"/>
      <c r="P194" s="373"/>
      <c r="Q194" s="373"/>
      <c r="R194" s="373"/>
      <c r="S194" s="373"/>
      <c r="T194" s="373"/>
      <c r="U194" s="373"/>
      <c r="V194" s="373"/>
      <c r="W194" s="373"/>
      <c r="X194" s="373"/>
      <c r="Y194" s="373"/>
      <c r="Z194" s="373"/>
      <c r="AA194" s="373"/>
      <c r="AB194" s="373"/>
      <c r="AC194" s="479"/>
      <c r="AD194" s="373"/>
      <c r="AE194" s="377"/>
      <c r="AF194" s="373"/>
    </row>
    <row r="195" spans="1:32" s="405" customFormat="1" ht="12" customHeight="1" x14ac:dyDescent="0.2">
      <c r="A195" s="373"/>
      <c r="B195" s="373"/>
      <c r="C195" s="373"/>
      <c r="D195" s="373"/>
      <c r="E195" s="373"/>
      <c r="F195" s="373"/>
      <c r="G195" s="373"/>
      <c r="H195" s="373"/>
      <c r="I195" s="373"/>
      <c r="J195" s="373"/>
      <c r="K195" s="373"/>
      <c r="L195" s="373"/>
      <c r="M195" s="388"/>
      <c r="N195" s="388"/>
      <c r="O195" s="373"/>
      <c r="P195" s="373"/>
      <c r="Q195" s="373"/>
      <c r="R195" s="373"/>
      <c r="S195" s="373"/>
      <c r="T195" s="373"/>
      <c r="U195" s="373"/>
      <c r="V195" s="373"/>
      <c r="W195" s="373"/>
      <c r="X195" s="373"/>
      <c r="Y195" s="373"/>
      <c r="Z195" s="373"/>
      <c r="AA195" s="373"/>
      <c r="AB195" s="373"/>
      <c r="AC195" s="479"/>
      <c r="AD195" s="373"/>
      <c r="AE195" s="377"/>
      <c r="AF195" s="373"/>
    </row>
    <row r="196" spans="1:32" s="405" customFormat="1" ht="12" customHeight="1" x14ac:dyDescent="0.2">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73"/>
      <c r="AE196" s="377"/>
      <c r="AF196" s="373"/>
    </row>
    <row r="197" spans="1:32" s="405" customFormat="1" ht="12" customHeight="1" x14ac:dyDescent="0.2">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73"/>
      <c r="AE197" s="377"/>
      <c r="AF197" s="373"/>
    </row>
    <row r="198" spans="1:32" s="405" customFormat="1" ht="12" customHeight="1" x14ac:dyDescent="0.2">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73"/>
      <c r="AE198" s="377"/>
      <c r="AF198" s="373"/>
    </row>
    <row r="199" spans="1:32" s="405" customFormat="1" ht="12" customHeight="1" x14ac:dyDescent="0.2">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73"/>
      <c r="AE199" s="377"/>
      <c r="AF199" s="373"/>
    </row>
    <row r="200" spans="1:32" s="405" customFormat="1" ht="12" customHeigh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73"/>
    </row>
    <row r="201" spans="1:32" s="405" customFormat="1" ht="12" customHeigh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73"/>
    </row>
    <row r="202" spans="1:32" s="405" customFormat="1" ht="12" customHeigh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73"/>
    </row>
    <row r="203" spans="1:32" s="405" customFormat="1" ht="12"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73"/>
    </row>
    <row r="204" spans="1:32" s="405" customFormat="1" ht="12" customHeigh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73"/>
    </row>
    <row r="205" spans="1:32" s="405" customFormat="1" ht="12" customHeigh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73"/>
    </row>
    <row r="206" spans="1:32" s="405" customFormat="1" ht="12" customHeigh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73"/>
    </row>
    <row r="207" spans="1:32" s="405" customFormat="1" ht="12" customHeigh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2" s="405" customFormat="1" ht="12" customHeigh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row>
    <row r="209" spans="1:33" s="405" customFormat="1" ht="12" customHeigh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row>
    <row r="210" spans="1:33" s="359"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c r="AG210" s="405"/>
    </row>
    <row r="211" spans="1:33" s="359"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c r="AG211" s="405"/>
    </row>
    <row r="212" spans="1:33" s="359"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c r="AG212" s="405"/>
    </row>
    <row r="213" spans="1:33" s="359"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c r="AG213" s="405"/>
    </row>
    <row r="214" spans="1:33" s="359" customForma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c r="AG214" s="405"/>
    </row>
    <row r="215" spans="1:33" s="359" customForma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c r="AG215" s="405"/>
    </row>
    <row r="216" spans="1:33" s="359" customForma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c r="AG216" s="405"/>
    </row>
    <row r="217" spans="1:33" s="359" customForma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c r="AG217" s="405"/>
    </row>
    <row r="218" spans="1:33" s="359" customForma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c r="AG218" s="405"/>
    </row>
    <row r="219" spans="1:33" s="359" customForma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c r="AG219" s="405"/>
    </row>
    <row r="220" spans="1:33" s="359" customForma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3" s="359" customForma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3" s="359" customForma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3" s="359" customForma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3" s="359" customForma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4" s="359" customForma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4" s="359" customForma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4" s="359" customForma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4" s="359" customForma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4" s="359" customForma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4" s="359" customForma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4" s="359" customForma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4" s="359" customForma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4"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row>
    <row r="234" spans="1:34"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row>
    <row r="235" spans="1:34"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row>
    <row r="236" spans="1:34"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row>
    <row r="237" spans="1:34"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H237" s="401"/>
    </row>
    <row r="238" spans="1:34"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6"/>
      <c r="AH238" s="401"/>
    </row>
    <row r="239" spans="1:34"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6"/>
      <c r="AH239" s="403"/>
    </row>
    <row r="240" spans="1:34"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6"/>
      <c r="AH240" s="401"/>
    </row>
    <row r="241" spans="1:34" s="359" customFormat="1" ht="14.25" customHeigh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6"/>
      <c r="AH241" s="400"/>
    </row>
    <row r="242" spans="1:34"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H242" s="400"/>
    </row>
    <row r="243" spans="1:34" s="407" customFormat="1" ht="12" customHeigh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c r="AG243" s="359"/>
      <c r="AH243" s="401"/>
    </row>
    <row r="244" spans="1:34"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c r="AH244" s="401"/>
    </row>
    <row r="245" spans="1:34" s="359" customFormat="1" ht="17.25" customHeigh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c r="AH245" s="401"/>
    </row>
    <row r="246" spans="1:34"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c r="AH246" s="391"/>
    </row>
    <row r="247" spans="1:34"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c r="AG247" s="400"/>
      <c r="AH247" s="372"/>
    </row>
    <row r="248" spans="1:34"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c r="AG248" s="400"/>
      <c r="AH248" s="372"/>
    </row>
    <row r="249" spans="1:34" s="359" customFormat="1" ht="13.5" customHeigh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c r="AG249" s="398"/>
      <c r="AH249" s="373"/>
    </row>
    <row r="250" spans="1:34"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c r="AG250" s="371"/>
      <c r="AH250" s="373"/>
    </row>
    <row r="251" spans="1:34"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c r="AG251" s="371"/>
      <c r="AH251" s="373"/>
    </row>
    <row r="252" spans="1:34"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c r="AG252" s="371"/>
      <c r="AH252" s="373"/>
    </row>
    <row r="253" spans="1:34"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c r="AG253" s="378"/>
      <c r="AH253" s="380"/>
    </row>
    <row r="254" spans="1:34" s="359" customFormat="1" ht="15.75" customHeigh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c r="AG254" s="378"/>
      <c r="AH254" s="384"/>
    </row>
    <row r="255" spans="1:34" s="359" customFormat="1" ht="15.75" customHeigh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c r="AG255" s="378"/>
      <c r="AH255" s="373"/>
    </row>
    <row r="256" spans="1:34" s="359" customFormat="1" ht="12.75" customHeigh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G256" s="383"/>
      <c r="AH256" s="385"/>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384"/>
      <c r="AH257" s="385"/>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373"/>
      <c r="AH258" s="37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385"/>
      <c r="AH259" s="386"/>
    </row>
    <row r="260" spans="1:34" s="359" customForma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385"/>
      <c r="AH260" s="387"/>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373"/>
      <c r="AH261" s="387"/>
    </row>
    <row r="262" spans="1:34" s="359" customFormat="1" ht="14.25" customHeigh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86"/>
      <c r="AH262" s="387"/>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387"/>
      <c r="AH263" s="387"/>
    </row>
    <row r="264" spans="1:34" s="359" customForma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387"/>
      <c r="AH264" s="387"/>
    </row>
    <row r="265" spans="1:34" s="37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G265" s="387"/>
      <c r="AH265" s="387"/>
    </row>
    <row r="266" spans="1:34" s="379" customFormat="1" ht="12"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87"/>
    </row>
    <row r="267" spans="1:34" s="37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387"/>
    </row>
    <row r="268" spans="1:34" s="380" customFormat="1" ht="11.2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G268" s="387"/>
    </row>
    <row r="269" spans="1:34" s="384"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87"/>
    </row>
    <row r="270" spans="1:34" x14ac:dyDescent="0.2">
      <c r="AG270" s="389"/>
    </row>
    <row r="271" spans="1:34" s="385"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391"/>
    </row>
    <row r="272" spans="1:34" s="385" customForma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1"/>
    </row>
    <row r="273" spans="1:33" x14ac:dyDescent="0.2">
      <c r="AG273" s="391"/>
    </row>
    <row r="274" spans="1:33" x14ac:dyDescent="0.2">
      <c r="AG274" s="391"/>
    </row>
    <row r="275" spans="1:33" s="388" customFormat="1" x14ac:dyDescent="0.2">
      <c r="A275" s="373"/>
      <c r="B275" s="373"/>
      <c r="C275" s="373"/>
      <c r="D275" s="373"/>
      <c r="E275" s="373"/>
      <c r="F275" s="373"/>
      <c r="G275" s="373"/>
      <c r="H275" s="373"/>
      <c r="I275" s="373"/>
      <c r="J275" s="373"/>
      <c r="K275" s="373"/>
      <c r="L275" s="373"/>
      <c r="O275" s="373"/>
      <c r="P275" s="373"/>
      <c r="Q275" s="373"/>
      <c r="R275" s="373"/>
      <c r="S275" s="373"/>
      <c r="T275" s="373"/>
      <c r="U275" s="373"/>
      <c r="V275" s="373"/>
      <c r="W275" s="373"/>
      <c r="X275" s="373"/>
      <c r="Y275" s="373"/>
      <c r="Z275" s="373"/>
      <c r="AA275" s="373"/>
      <c r="AB275" s="373"/>
      <c r="AC275" s="479"/>
      <c r="AD275" s="373"/>
      <c r="AE275" s="377"/>
      <c r="AF275" s="373"/>
      <c r="AG275" s="393"/>
    </row>
    <row r="276" spans="1:33" s="388" customFormat="1" x14ac:dyDescent="0.2">
      <c r="A276" s="373"/>
      <c r="B276" s="373"/>
      <c r="C276" s="373"/>
      <c r="D276" s="373"/>
      <c r="E276" s="373"/>
      <c r="F276" s="373"/>
      <c r="G276" s="373"/>
      <c r="H276" s="373"/>
      <c r="I276" s="373"/>
      <c r="J276" s="373"/>
      <c r="K276" s="373"/>
      <c r="L276" s="373"/>
      <c r="O276" s="373"/>
      <c r="P276" s="373"/>
      <c r="Q276" s="373"/>
      <c r="R276" s="373"/>
      <c r="S276" s="373"/>
      <c r="T276" s="373"/>
      <c r="U276" s="373"/>
      <c r="V276" s="373"/>
      <c r="W276" s="373"/>
      <c r="X276" s="373"/>
      <c r="Y276" s="373"/>
      <c r="Z276" s="373"/>
      <c r="AA276" s="373"/>
      <c r="AB276" s="373"/>
      <c r="AC276" s="479"/>
      <c r="AD276" s="373"/>
      <c r="AE276" s="377"/>
      <c r="AF276" s="373"/>
      <c r="AG276" s="379"/>
    </row>
    <row r="277" spans="1:33" s="388" customFormat="1" x14ac:dyDescent="0.2">
      <c r="A277" s="373"/>
      <c r="B277" s="373"/>
      <c r="C277" s="373"/>
      <c r="D277" s="373"/>
      <c r="E277" s="373"/>
      <c r="F277" s="373"/>
      <c r="G277" s="373"/>
      <c r="H277" s="373"/>
      <c r="I277" s="373"/>
      <c r="J277" s="373"/>
      <c r="K277" s="373"/>
      <c r="L277" s="373"/>
      <c r="O277" s="373"/>
      <c r="P277" s="373"/>
      <c r="Q277" s="373"/>
      <c r="R277" s="373"/>
      <c r="S277" s="373"/>
      <c r="T277" s="373"/>
      <c r="U277" s="373"/>
      <c r="V277" s="373"/>
      <c r="W277" s="373"/>
      <c r="X277" s="373"/>
      <c r="Y277" s="373"/>
      <c r="Z277" s="373"/>
      <c r="AA277" s="373"/>
      <c r="AB277" s="373"/>
      <c r="AC277" s="479"/>
      <c r="AD277" s="373"/>
      <c r="AE277" s="377"/>
      <c r="AF277" s="373"/>
      <c r="AG277" s="379"/>
    </row>
    <row r="278" spans="1:33" s="388" customFormat="1" x14ac:dyDescent="0.2">
      <c r="A278" s="373"/>
      <c r="B278" s="373"/>
      <c r="C278" s="373"/>
      <c r="D278" s="373"/>
      <c r="E278" s="373"/>
      <c r="F278" s="373"/>
      <c r="G278" s="373"/>
      <c r="H278" s="373"/>
      <c r="I278" s="373"/>
      <c r="J278" s="373"/>
      <c r="K278" s="373"/>
      <c r="L278" s="373"/>
      <c r="O278" s="373"/>
      <c r="P278" s="373"/>
      <c r="Q278" s="373"/>
      <c r="R278" s="373"/>
      <c r="S278" s="373"/>
      <c r="T278" s="373"/>
      <c r="U278" s="373"/>
      <c r="V278" s="373"/>
      <c r="W278" s="373"/>
      <c r="X278" s="373"/>
      <c r="Y278" s="373"/>
      <c r="Z278" s="373"/>
      <c r="AA278" s="373"/>
      <c r="AB278" s="373"/>
      <c r="AC278" s="479"/>
      <c r="AD278" s="373"/>
      <c r="AE278" s="377"/>
      <c r="AF278" s="373"/>
      <c r="AG278" s="380"/>
    </row>
    <row r="279" spans="1:33" s="388" customFormat="1" x14ac:dyDescent="0.2">
      <c r="A279" s="373"/>
      <c r="B279" s="373"/>
      <c r="C279" s="373"/>
      <c r="D279" s="373"/>
      <c r="E279" s="373"/>
      <c r="F279" s="373"/>
      <c r="G279" s="373"/>
      <c r="H279" s="373"/>
      <c r="I279" s="373"/>
      <c r="J279" s="373"/>
      <c r="K279" s="373"/>
      <c r="L279" s="373"/>
      <c r="O279" s="373"/>
      <c r="P279" s="373"/>
      <c r="Q279" s="373"/>
      <c r="R279" s="373"/>
      <c r="S279" s="373"/>
      <c r="T279" s="373"/>
      <c r="U279" s="373"/>
      <c r="V279" s="373"/>
      <c r="W279" s="373"/>
      <c r="X279" s="373"/>
      <c r="Y279" s="373"/>
      <c r="Z279" s="373"/>
      <c r="AA279" s="373"/>
      <c r="AB279" s="373"/>
      <c r="AC279" s="479"/>
      <c r="AD279" s="373"/>
      <c r="AE279" s="377"/>
      <c r="AF279" s="373"/>
      <c r="AG279" s="384"/>
    </row>
    <row r="280" spans="1:33" s="388" customFormat="1" x14ac:dyDescent="0.2">
      <c r="A280" s="373"/>
      <c r="B280" s="373"/>
      <c r="C280" s="373"/>
      <c r="D280" s="373"/>
      <c r="E280" s="373"/>
      <c r="F280" s="373"/>
      <c r="G280" s="373"/>
      <c r="H280" s="373"/>
      <c r="I280" s="373"/>
      <c r="J280" s="373"/>
      <c r="K280" s="373"/>
      <c r="L280" s="373"/>
      <c r="O280" s="373"/>
      <c r="P280" s="373"/>
      <c r="Q280" s="373"/>
      <c r="R280" s="373"/>
      <c r="S280" s="373"/>
      <c r="T280" s="373"/>
      <c r="U280" s="373"/>
      <c r="V280" s="373"/>
      <c r="W280" s="373"/>
      <c r="X280" s="373"/>
      <c r="Y280" s="373"/>
      <c r="Z280" s="373"/>
      <c r="AA280" s="373"/>
      <c r="AB280" s="373"/>
      <c r="AC280" s="479"/>
      <c r="AD280" s="373"/>
      <c r="AE280" s="377"/>
      <c r="AF280" s="373"/>
      <c r="AG280" s="373"/>
    </row>
    <row r="281" spans="1:33" s="388" customFormat="1" x14ac:dyDescent="0.2">
      <c r="A281" s="373"/>
      <c r="B281" s="373"/>
      <c r="C281" s="373"/>
      <c r="D281" s="373"/>
      <c r="E281" s="373"/>
      <c r="F281" s="373"/>
      <c r="G281" s="373"/>
      <c r="H281" s="373"/>
      <c r="I281" s="373"/>
      <c r="J281" s="373"/>
      <c r="K281" s="373"/>
      <c r="L281" s="373"/>
      <c r="O281" s="373"/>
      <c r="P281" s="373"/>
      <c r="Q281" s="373"/>
      <c r="R281" s="373"/>
      <c r="S281" s="373"/>
      <c r="T281" s="373"/>
      <c r="U281" s="373"/>
      <c r="V281" s="373"/>
      <c r="W281" s="373"/>
      <c r="X281" s="373"/>
      <c r="Y281" s="373"/>
      <c r="Z281" s="373"/>
      <c r="AA281" s="373"/>
      <c r="AB281" s="373"/>
      <c r="AC281" s="479"/>
      <c r="AD281" s="373"/>
      <c r="AE281" s="377"/>
      <c r="AF281" s="373"/>
      <c r="AG281" s="385"/>
    </row>
    <row r="282" spans="1:33" s="388" customFormat="1" x14ac:dyDescent="0.2">
      <c r="A282" s="373"/>
      <c r="B282" s="373"/>
      <c r="C282" s="373"/>
      <c r="D282" s="373"/>
      <c r="E282" s="373"/>
      <c r="F282" s="373"/>
      <c r="G282" s="373"/>
      <c r="H282" s="373"/>
      <c r="I282" s="373"/>
      <c r="J282" s="373"/>
      <c r="K282" s="373"/>
      <c r="L282" s="373"/>
      <c r="O282" s="373"/>
      <c r="P282" s="373"/>
      <c r="Q282" s="373"/>
      <c r="R282" s="373"/>
      <c r="S282" s="373"/>
      <c r="T282" s="373"/>
      <c r="U282" s="373"/>
      <c r="V282" s="373"/>
      <c r="W282" s="373"/>
      <c r="X282" s="373"/>
      <c r="Y282" s="373"/>
      <c r="Z282" s="373"/>
      <c r="AA282" s="373"/>
      <c r="AB282" s="373"/>
      <c r="AC282" s="479"/>
      <c r="AD282" s="373"/>
      <c r="AE282" s="377"/>
      <c r="AF282" s="373"/>
      <c r="AG282" s="385"/>
    </row>
    <row r="284" spans="1:33" s="386"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row>
    <row r="285" spans="1:33" s="387" customForma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8"/>
    </row>
    <row r="286" spans="1:33" s="387"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8"/>
    </row>
    <row r="287" spans="1:33" s="387"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8"/>
    </row>
    <row r="288" spans="1:33" s="387"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8"/>
    </row>
    <row r="289" spans="1:33" s="387" customForma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8"/>
    </row>
    <row r="290" spans="1:33" s="387"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8"/>
    </row>
    <row r="291" spans="1:33" s="387" customForma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8"/>
    </row>
    <row r="292" spans="1:33" s="390" customForma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8"/>
    </row>
    <row r="293" spans="1:33" s="391" customFormat="1" ht="12.75" customHeight="1" x14ac:dyDescent="0.2">
      <c r="A293" s="373"/>
      <c r="B293" s="373"/>
      <c r="C293" s="373"/>
      <c r="D293" s="373"/>
      <c r="E293" s="373"/>
      <c r="F293" s="373"/>
      <c r="G293" s="373"/>
      <c r="H293" s="373"/>
      <c r="I293" s="373"/>
      <c r="J293" s="373"/>
      <c r="K293" s="373"/>
      <c r="L293" s="373"/>
      <c r="M293" s="388"/>
      <c r="N293" s="388"/>
      <c r="O293" s="373"/>
      <c r="P293" s="373"/>
      <c r="Q293" s="373"/>
      <c r="R293" s="373"/>
      <c r="S293" s="373"/>
      <c r="T293" s="373"/>
      <c r="U293" s="373"/>
      <c r="V293" s="373"/>
      <c r="W293" s="373"/>
      <c r="X293" s="373"/>
      <c r="Y293" s="373"/>
      <c r="Z293" s="373"/>
      <c r="AA293" s="373"/>
      <c r="AB293" s="373"/>
      <c r="AC293" s="479"/>
      <c r="AD293" s="373"/>
      <c r="AE293" s="377"/>
      <c r="AF293" s="373"/>
      <c r="AG293" s="373"/>
    </row>
    <row r="294" spans="1:33" s="391" customFormat="1" ht="12.75" customHeigh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86"/>
    </row>
    <row r="295" spans="1:33" s="391" customFormat="1" ht="12.75" customHeigh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87"/>
    </row>
    <row r="296" spans="1:33" s="391" customFormat="1" ht="12.75" customHeight="1" x14ac:dyDescent="0.2">
      <c r="A296" s="373"/>
      <c r="B296" s="373"/>
      <c r="C296" s="373"/>
      <c r="D296" s="373"/>
      <c r="E296" s="373"/>
      <c r="F296" s="373"/>
      <c r="G296" s="373"/>
      <c r="H296" s="373"/>
      <c r="I296" s="373"/>
      <c r="J296" s="373"/>
      <c r="K296" s="373"/>
      <c r="L296" s="373"/>
      <c r="M296" s="388"/>
      <c r="N296" s="388"/>
      <c r="O296" s="373"/>
      <c r="P296" s="373"/>
      <c r="Q296" s="373"/>
      <c r="R296" s="373"/>
      <c r="S296" s="373"/>
      <c r="T296" s="373"/>
      <c r="U296" s="373"/>
      <c r="V296" s="373"/>
      <c r="W296" s="373"/>
      <c r="X296" s="373"/>
      <c r="Y296" s="373"/>
      <c r="Z296" s="373"/>
      <c r="AA296" s="373"/>
      <c r="AB296" s="373"/>
      <c r="AC296" s="479"/>
      <c r="AD296" s="373"/>
      <c r="AE296" s="377"/>
      <c r="AF296" s="373"/>
      <c r="AG296" s="387"/>
    </row>
    <row r="297" spans="1:33" s="391" customFormat="1" ht="12.75" customHeight="1" x14ac:dyDescent="0.2">
      <c r="A297" s="373"/>
      <c r="B297" s="373"/>
      <c r="C297" s="373"/>
      <c r="D297" s="373"/>
      <c r="E297" s="373"/>
      <c r="F297" s="373"/>
      <c r="G297" s="373"/>
      <c r="H297" s="373"/>
      <c r="I297" s="373"/>
      <c r="J297" s="373"/>
      <c r="K297" s="373"/>
      <c r="L297" s="373"/>
      <c r="M297" s="388"/>
      <c r="N297" s="388"/>
      <c r="O297" s="373"/>
      <c r="P297" s="373"/>
      <c r="Q297" s="373"/>
      <c r="R297" s="373"/>
      <c r="S297" s="373"/>
      <c r="T297" s="373"/>
      <c r="U297" s="373"/>
      <c r="V297" s="373"/>
      <c r="W297" s="373"/>
      <c r="X297" s="373"/>
      <c r="Y297" s="373"/>
      <c r="Z297" s="373"/>
      <c r="AA297" s="373"/>
      <c r="AB297" s="373"/>
      <c r="AC297" s="479"/>
      <c r="AD297" s="373"/>
      <c r="AE297" s="377"/>
      <c r="AF297" s="373"/>
      <c r="AG297" s="387"/>
    </row>
    <row r="298" spans="1:33" s="391" customFormat="1" ht="12.75" customHeight="1" x14ac:dyDescent="0.2">
      <c r="A298" s="373"/>
      <c r="B298" s="373"/>
      <c r="C298" s="373"/>
      <c r="D298" s="373"/>
      <c r="E298" s="373"/>
      <c r="F298" s="373"/>
      <c r="G298" s="373"/>
      <c r="H298" s="373"/>
      <c r="I298" s="373"/>
      <c r="J298" s="373"/>
      <c r="K298" s="373"/>
      <c r="L298" s="373"/>
      <c r="M298" s="388"/>
      <c r="N298" s="388"/>
      <c r="O298" s="373"/>
      <c r="P298" s="373"/>
      <c r="Q298" s="373"/>
      <c r="R298" s="373"/>
      <c r="S298" s="373"/>
      <c r="T298" s="373"/>
      <c r="U298" s="373"/>
      <c r="V298" s="373"/>
      <c r="W298" s="373"/>
      <c r="X298" s="373"/>
      <c r="Y298" s="373"/>
      <c r="Z298" s="373"/>
      <c r="AA298" s="373"/>
      <c r="AB298" s="373"/>
      <c r="AC298" s="479"/>
      <c r="AD298" s="373"/>
      <c r="AE298" s="377"/>
      <c r="AF298" s="373"/>
      <c r="AG298" s="387"/>
    </row>
    <row r="299" spans="1:33" s="391" customFormat="1" ht="12.75" customHeight="1" x14ac:dyDescent="0.2">
      <c r="A299" s="373"/>
      <c r="B299" s="373"/>
      <c r="C299" s="373"/>
      <c r="D299" s="373"/>
      <c r="E299" s="373"/>
      <c r="F299" s="373"/>
      <c r="G299" s="373"/>
      <c r="H299" s="373"/>
      <c r="I299" s="373"/>
      <c r="J299" s="373"/>
      <c r="K299" s="373"/>
      <c r="L299" s="373"/>
      <c r="M299" s="388"/>
      <c r="N299" s="388"/>
      <c r="O299" s="373"/>
      <c r="P299" s="373"/>
      <c r="Q299" s="373"/>
      <c r="R299" s="373"/>
      <c r="S299" s="373"/>
      <c r="T299" s="373"/>
      <c r="U299" s="373"/>
      <c r="V299" s="373"/>
      <c r="W299" s="373"/>
      <c r="X299" s="373"/>
      <c r="Y299" s="373"/>
      <c r="Z299" s="373"/>
      <c r="AA299" s="373"/>
      <c r="AB299" s="373"/>
      <c r="AC299" s="479"/>
      <c r="AD299" s="373"/>
      <c r="AE299" s="377"/>
      <c r="AF299" s="373"/>
      <c r="AG299" s="387"/>
    </row>
    <row r="300" spans="1:33" s="391" customFormat="1" ht="12.75" customHeight="1" x14ac:dyDescent="0.2">
      <c r="A300" s="373"/>
      <c r="B300" s="373"/>
      <c r="C300" s="373"/>
      <c r="D300" s="373"/>
      <c r="E300" s="373"/>
      <c r="F300" s="373"/>
      <c r="G300" s="373"/>
      <c r="H300" s="373"/>
      <c r="I300" s="373"/>
      <c r="J300" s="373"/>
      <c r="K300" s="373"/>
      <c r="L300" s="373"/>
      <c r="M300" s="388"/>
      <c r="N300" s="388"/>
      <c r="O300" s="373"/>
      <c r="P300" s="373"/>
      <c r="Q300" s="373"/>
      <c r="R300" s="373"/>
      <c r="S300" s="373"/>
      <c r="T300" s="373"/>
      <c r="U300" s="373"/>
      <c r="V300" s="373"/>
      <c r="W300" s="373"/>
      <c r="X300" s="373"/>
      <c r="Y300" s="373"/>
      <c r="Z300" s="373"/>
      <c r="AA300" s="373"/>
      <c r="AB300" s="373"/>
      <c r="AC300" s="479"/>
      <c r="AD300" s="373"/>
      <c r="AE300" s="377"/>
      <c r="AF300" s="373"/>
      <c r="AG300" s="387"/>
    </row>
    <row r="301" spans="1:33" s="391" customFormat="1" ht="12.75" customHeight="1" x14ac:dyDescent="0.2">
      <c r="A301" s="373"/>
      <c r="B301" s="373"/>
      <c r="C301" s="373"/>
      <c r="D301" s="373"/>
      <c r="E301" s="373"/>
      <c r="F301" s="373"/>
      <c r="G301" s="373"/>
      <c r="H301" s="373"/>
      <c r="I301" s="373"/>
      <c r="J301" s="373"/>
      <c r="K301" s="373"/>
      <c r="L301" s="373"/>
      <c r="M301" s="388"/>
      <c r="N301" s="388"/>
      <c r="O301" s="373"/>
      <c r="P301" s="373"/>
      <c r="Q301" s="373"/>
      <c r="R301" s="373"/>
      <c r="S301" s="373"/>
      <c r="T301" s="373"/>
      <c r="U301" s="373"/>
      <c r="V301" s="373"/>
      <c r="W301" s="373"/>
      <c r="X301" s="373"/>
      <c r="Y301" s="373"/>
      <c r="Z301" s="373"/>
      <c r="AA301" s="373"/>
      <c r="AB301" s="373"/>
      <c r="AC301" s="479"/>
      <c r="AD301" s="373"/>
      <c r="AE301" s="377"/>
      <c r="AF301" s="373"/>
      <c r="AG301" s="387"/>
    </row>
    <row r="302" spans="1:33" s="394" customFormat="1" x14ac:dyDescent="0.2">
      <c r="A302" s="373"/>
      <c r="B302" s="373"/>
      <c r="C302" s="373"/>
      <c r="D302" s="373"/>
      <c r="E302" s="373"/>
      <c r="F302" s="373"/>
      <c r="G302" s="373"/>
      <c r="H302" s="373"/>
      <c r="I302" s="373"/>
      <c r="J302" s="373"/>
      <c r="K302" s="373"/>
      <c r="L302" s="373"/>
      <c r="M302" s="388"/>
      <c r="N302" s="388"/>
      <c r="O302" s="373"/>
      <c r="P302" s="373"/>
      <c r="Q302" s="373"/>
      <c r="R302" s="373"/>
      <c r="S302" s="373"/>
      <c r="T302" s="373"/>
      <c r="U302" s="373"/>
      <c r="V302" s="373"/>
      <c r="W302" s="373"/>
      <c r="X302" s="373"/>
      <c r="Y302" s="373"/>
      <c r="Z302" s="373"/>
      <c r="AA302" s="373"/>
      <c r="AB302" s="373"/>
      <c r="AC302" s="479"/>
      <c r="AD302" s="373"/>
      <c r="AE302" s="377"/>
      <c r="AF302" s="373"/>
      <c r="AG302" s="390"/>
    </row>
    <row r="303" spans="1:33" s="394" customFormat="1" x14ac:dyDescent="0.2">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91"/>
    </row>
    <row r="304" spans="1:33" s="394" customFormat="1" x14ac:dyDescent="0.2">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91"/>
    </row>
    <row r="305" spans="1:33" s="394" customFormat="1" x14ac:dyDescent="0.2">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91"/>
    </row>
    <row r="306" spans="1:33" s="394" customFormat="1" x14ac:dyDescent="0.2">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91"/>
    </row>
    <row r="307" spans="1:33" s="394"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91"/>
    </row>
    <row r="308" spans="1:33" s="394"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91"/>
    </row>
    <row r="309" spans="1:33" s="394"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91"/>
    </row>
    <row r="310" spans="1:33" x14ac:dyDescent="0.2">
      <c r="AG310" s="391"/>
    </row>
    <row r="311" spans="1:33" x14ac:dyDescent="0.2">
      <c r="AG311" s="391"/>
    </row>
    <row r="312" spans="1:33" x14ac:dyDescent="0.2">
      <c r="AG312" s="394"/>
    </row>
    <row r="313" spans="1:33" x14ac:dyDescent="0.2">
      <c r="AG313" s="394"/>
    </row>
    <row r="314" spans="1:33" x14ac:dyDescent="0.2">
      <c r="AG314" s="394"/>
    </row>
    <row r="315" spans="1:33" x14ac:dyDescent="0.2">
      <c r="AG315" s="394"/>
    </row>
    <row r="316" spans="1:33" x14ac:dyDescent="0.2">
      <c r="AG316" s="394"/>
    </row>
    <row r="317" spans="1:33" x14ac:dyDescent="0.2">
      <c r="AG317" s="394"/>
    </row>
    <row r="318" spans="1:33" x14ac:dyDescent="0.2">
      <c r="AG318" s="394"/>
    </row>
    <row r="319" spans="1:33" x14ac:dyDescent="0.2">
      <c r="AG319" s="394"/>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88</xdr:row>
                    <xdr:rowOff>171450</xdr:rowOff>
                  </from>
                  <to>
                    <xdr:col>12</xdr:col>
                    <xdr:colOff>95250</xdr:colOff>
                    <xdr:row>89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6" activePane="bottomLeft" state="frozen"/>
      <selection pane="bottomLeft" activeCell="B38" sqref="B3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0">
        <v>37190</v>
      </c>
      <c r="B1" s="621"/>
      <c r="C1" s="621"/>
      <c r="D1" s="621"/>
      <c r="E1" s="621"/>
      <c r="F1" s="621"/>
      <c r="G1" s="621"/>
      <c r="H1" s="621"/>
      <c r="I1" s="621"/>
      <c r="J1" s="621"/>
      <c r="K1" s="621"/>
      <c r="L1" s="621"/>
      <c r="M1" s="621"/>
      <c r="N1" s="621"/>
      <c r="O1" s="621"/>
      <c r="P1" s="621"/>
      <c r="Q1" s="621"/>
      <c r="R1" s="621"/>
      <c r="S1" s="621"/>
      <c r="T1" s="621"/>
      <c r="U1" s="621"/>
      <c r="V1" s="621"/>
      <c r="W1" s="621"/>
      <c r="X1" s="621"/>
      <c r="Y1" s="62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623"/>
      <c r="B2" s="513" t="s">
        <v>366</v>
      </c>
      <c r="C2" s="513" t="s">
        <v>366</v>
      </c>
      <c r="D2" s="513" t="s">
        <v>366</v>
      </c>
      <c r="E2" s="513" t="s">
        <v>366</v>
      </c>
      <c r="F2" s="513" t="s">
        <v>366</v>
      </c>
      <c r="G2" s="513" t="s">
        <v>366</v>
      </c>
      <c r="H2" s="513" t="s">
        <v>366</v>
      </c>
      <c r="I2" s="513" t="s">
        <v>366</v>
      </c>
      <c r="J2" s="513" t="s">
        <v>366</v>
      </c>
      <c r="K2" s="513" t="s">
        <v>366</v>
      </c>
      <c r="L2" s="513" t="s">
        <v>366</v>
      </c>
      <c r="M2" s="513" t="s">
        <v>366</v>
      </c>
      <c r="N2" s="513" t="s">
        <v>366</v>
      </c>
      <c r="O2" s="513" t="s">
        <v>366</v>
      </c>
      <c r="P2" s="513" t="s">
        <v>366</v>
      </c>
      <c r="Q2" s="513" t="s">
        <v>366</v>
      </c>
      <c r="R2" s="513" t="s">
        <v>366</v>
      </c>
      <c r="S2" s="513" t="s">
        <v>366</v>
      </c>
      <c r="T2" s="513" t="s">
        <v>366</v>
      </c>
      <c r="U2" s="513" t="s">
        <v>366</v>
      </c>
      <c r="V2" s="513" t="s">
        <v>366</v>
      </c>
      <c r="W2" s="513" t="s">
        <v>366</v>
      </c>
      <c r="X2" s="513" t="s">
        <v>366</v>
      </c>
      <c r="Y2" s="513" t="s">
        <v>366</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2"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4">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5" t="s">
        <v>305</v>
      </c>
      <c r="B4" s="546">
        <v>590</v>
      </c>
      <c r="C4" s="546">
        <v>603</v>
      </c>
      <c r="D4" s="546">
        <v>566</v>
      </c>
      <c r="E4" s="546">
        <v>578</v>
      </c>
      <c r="F4" s="546">
        <v>625</v>
      </c>
      <c r="G4" s="546">
        <v>721</v>
      </c>
      <c r="H4" s="546">
        <v>747</v>
      </c>
      <c r="I4" s="546">
        <v>792</v>
      </c>
      <c r="J4" s="546">
        <v>800</v>
      </c>
      <c r="K4" s="546">
        <v>848</v>
      </c>
      <c r="L4" s="546">
        <v>853</v>
      </c>
      <c r="M4" s="546">
        <v>875</v>
      </c>
      <c r="N4" s="546">
        <v>881</v>
      </c>
      <c r="O4" s="546">
        <v>891</v>
      </c>
      <c r="P4" s="546">
        <v>891</v>
      </c>
      <c r="Q4" s="546">
        <v>888</v>
      </c>
      <c r="R4" s="546">
        <v>820</v>
      </c>
      <c r="S4" s="546">
        <v>881</v>
      </c>
      <c r="T4" s="546">
        <v>887</v>
      </c>
      <c r="U4" s="546">
        <v>843</v>
      </c>
      <c r="V4" s="546">
        <v>794</v>
      </c>
      <c r="W4" s="546">
        <v>728</v>
      </c>
      <c r="X4" s="547">
        <v>702</v>
      </c>
      <c r="Y4" s="547">
        <v>638</v>
      </c>
      <c r="Z4" s="357">
        <f>SUM(B4:Y4)</f>
        <v>18442</v>
      </c>
      <c r="AA4" s="357"/>
      <c r="AB4" s="357"/>
      <c r="AC4" s="357"/>
      <c r="AD4" s="357"/>
    </row>
    <row r="5" spans="1:213" s="161" customFormat="1" thickBot="1" x14ac:dyDescent="0.25">
      <c r="A5" s="626" t="s">
        <v>64</v>
      </c>
      <c r="B5" s="548">
        <f>Deals!F4</f>
        <v>10</v>
      </c>
      <c r="C5" s="548">
        <f>Deals!G4</f>
        <v>10</v>
      </c>
      <c r="D5" s="548">
        <f>Deals!H4</f>
        <v>10</v>
      </c>
      <c r="E5" s="548">
        <f>Deals!I4</f>
        <v>10</v>
      </c>
      <c r="F5" s="548">
        <f>Deals!J4</f>
        <v>15</v>
      </c>
      <c r="G5" s="548">
        <f>Deals!K4</f>
        <v>25</v>
      </c>
      <c r="H5" s="548">
        <f>Deals!L4</f>
        <v>25</v>
      </c>
      <c r="I5" s="548">
        <f>Deals!M4</f>
        <v>25</v>
      </c>
      <c r="J5" s="548">
        <f>Deals!N4</f>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20</v>
      </c>
      <c r="X5" s="548">
        <f>Deals!AB4</f>
        <v>20</v>
      </c>
      <c r="Y5" s="534">
        <f>Deals!AC4</f>
        <v>10</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-25</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7"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-150</v>
      </c>
      <c r="I11" s="199">
        <f t="array" aca="1" ref="I11" ca="1">SUM(IF((DelPoint= "PV")*(DType = "pre")*(OFFSET(DelPoint,0,I3+2)&lt;0),OFFSET(DelPoint,0,I3+2),0))</f>
        <v>-150</v>
      </c>
      <c r="J11" s="199">
        <f t="array" aca="1" ref="J11" ca="1">SUM(IF((DelPoint= "PV")*(DType = "pre")*(OFFSET(DelPoint,0,J3+2)&lt;0),OFFSET(DelPoint,0,J3+2),0))</f>
        <v>-150</v>
      </c>
      <c r="K11" s="199">
        <f t="array" aca="1" ref="K11" ca="1">SUM(IF((DelPoint= "PV")*(DType = "pre")*(OFFSET(DelPoint,0,K3+2)&lt;0),OFFSET(DelPoint,0,K3+2),0))</f>
        <v>-150</v>
      </c>
      <c r="L11" s="199">
        <f t="array" aca="1" ref="L11" ca="1">SUM(IF((DelPoint= "PV")*(DType = "pre")*(OFFSET(DelPoint,0,L3+2)&lt;0),OFFSET(DelPoint,0,L3+2),0))</f>
        <v>-150</v>
      </c>
      <c r="M11" s="199">
        <f t="array" aca="1" ref="M11" ca="1">SUM(IF((DelPoint= "PV")*(DType = "pre")*(OFFSET(DelPoint,0,M3+2)&lt;0),OFFSET(DelPoint,0,M3+2),0))</f>
        <v>-150</v>
      </c>
      <c r="N11" s="199">
        <f t="array" aca="1" ref="N11" ca="1">SUM(IF((DelPoint= "PV")*(DType = "pre")*(OFFSET(DelPoint,0,N3+2)&lt;0),OFFSET(DelPoint,0,N3+2),0))</f>
        <v>-150</v>
      </c>
      <c r="O11" s="199">
        <f t="array" aca="1" ref="O11" ca="1">SUM(IF((DelPoint= "PV")*(DType = "pre")*(OFFSET(DelPoint,0,O3+2)&lt;0),OFFSET(DelPoint,0,O3+2),0))</f>
        <v>-150</v>
      </c>
      <c r="P11" s="199">
        <f t="array" aca="1" ref="P11" ca="1">SUM(IF((DelPoint= "PV")*(DType = "pre")*(OFFSET(DelPoint,0,P3+2)&lt;0),OFFSET(DelPoint,0,P3+2),0))</f>
        <v>-150</v>
      </c>
      <c r="Q11" s="199">
        <f t="array" aca="1" ref="Q11" ca="1">SUM(IF((DelPoint= "PV")*(DType = "pre")*(OFFSET(DelPoint,0,Q3+2)&lt;0),OFFSET(DelPoint,0,Q3+2),0))</f>
        <v>-150</v>
      </c>
      <c r="R11" s="199">
        <f t="array" aca="1" ref="R11" ca="1">SUM(IF((DelPoint= "PV")*(DType = "pre")*(OFFSET(DelPoint,0,R3+2)&lt;0),OFFSET(DelPoint,0,R3+2),0))</f>
        <v>-150</v>
      </c>
      <c r="S11" s="199">
        <f t="array" aca="1" ref="S11" ca="1">SUM(IF((DelPoint= "PV")*(DType = "pre")*(OFFSET(DelPoint,0,S3+2)&lt;0),OFFSET(DelPoint,0,S3+2),0))</f>
        <v>-150</v>
      </c>
      <c r="T11" s="199">
        <f t="array" aca="1" ref="T11" ca="1">SUM(IF((DelPoint= "PV")*(DType = "pre")*(OFFSET(DelPoint,0,T3+2)&lt;0),OFFSET(DelPoint,0,T3+2),0))</f>
        <v>-150</v>
      </c>
      <c r="U11" s="199">
        <f t="array" aca="1" ref="U11" ca="1">SUM(IF((DelPoint= "PV")*(DType = "pre")*(OFFSET(DelPoint,0,U3+2)&lt;0),OFFSET(DelPoint,0,U3+2),0))</f>
        <v>-150</v>
      </c>
      <c r="V11" s="199">
        <f t="array" aca="1" ref="V11" ca="1">SUM(IF((DelPoint= "PV")*(DType = "pre")*(OFFSET(DelPoint,0,V3+2)&lt;0),OFFSET(DelPoint,0,V3+2),0))</f>
        <v>-150</v>
      </c>
      <c r="W11" s="199">
        <f t="array" aca="1" ref="W11" ca="1">SUM(IF((DelPoint= "PV")*(DType = "pre")*(OFFSET(DelPoint,0,W3+2)&lt;0),OFFSET(DelPoint,0,W3+2),0))</f>
        <v>-150</v>
      </c>
      <c r="X11" s="199">
        <f t="array" aca="1" ref="X11" ca="1">SUM(IF((DelPoint= "PV")*(DType = "pre")*(OFFSET(DelPoint,0,X3+2)&lt;0),OFFSET(DelPoint,0,X3+2),0))</f>
        <v>-125</v>
      </c>
      <c r="Y11" s="199">
        <f t="array" aca="1" ref="Y11" ca="1">SUM(IF((DelPoint= "PV")*(DType = "pre")*(OFFSET(DelPoint,0,Y3+2)&lt;0),OFFSET(DelPoint,0,Y3+2),0))</f>
        <v>-125</v>
      </c>
      <c r="Z11" s="160"/>
      <c r="AA11" s="162"/>
    </row>
    <row r="12" spans="1:213" s="161" customFormat="1" ht="12" x14ac:dyDescent="0.2">
      <c r="A12" s="628"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8" t="s">
        <v>304</v>
      </c>
      <c r="B13" s="570"/>
      <c r="C13" s="570"/>
      <c r="D13" s="570"/>
      <c r="E13" s="570"/>
      <c r="F13" s="570"/>
      <c r="G13" s="570"/>
      <c r="H13" s="570"/>
      <c r="I13" s="570"/>
      <c r="J13" s="570"/>
      <c r="K13" s="570"/>
      <c r="L13" s="570"/>
      <c r="M13" s="570"/>
      <c r="N13" s="570"/>
      <c r="O13" s="570"/>
      <c r="P13" s="570"/>
      <c r="Q13" s="570"/>
      <c r="R13" s="570"/>
      <c r="S13" s="570"/>
      <c r="T13" s="570"/>
      <c r="U13" s="570"/>
      <c r="V13" s="570"/>
      <c r="W13" s="570"/>
      <c r="X13" s="570"/>
      <c r="Y13" s="570"/>
      <c r="Z13" s="160"/>
      <c r="AA13" s="162"/>
    </row>
    <row r="14" spans="1:213" s="161" customFormat="1" ht="12" x14ac:dyDescent="0.2">
      <c r="A14" s="629"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-50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2" x14ac:dyDescent="0.2">
      <c r="A15" s="630"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31"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32"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0</v>
      </c>
      <c r="P17" s="504">
        <f>Deals!T5</f>
        <v>0</v>
      </c>
      <c r="Q17" s="504">
        <f>Deals!U5</f>
        <v>0</v>
      </c>
      <c r="R17" s="504">
        <f>Deals!V5</f>
        <v>0</v>
      </c>
      <c r="S17" s="504">
        <f>Deals!W5</f>
        <v>0</v>
      </c>
      <c r="T17" s="504">
        <f>Deals!X5</f>
        <v>0</v>
      </c>
      <c r="U17" s="504">
        <f>Deals!Y5</f>
        <v>0</v>
      </c>
      <c r="V17" s="504">
        <f>Deals!Z5</f>
        <v>0</v>
      </c>
      <c r="W17" s="504">
        <f>Deals!AA5</f>
        <v>0</v>
      </c>
      <c r="X17" s="504">
        <f>Deals!AB5</f>
        <v>0</v>
      </c>
      <c r="Y17" s="507">
        <f>Deals!AC5</f>
        <v>0</v>
      </c>
      <c r="Z17" s="160"/>
      <c r="AA17" s="162"/>
    </row>
    <row r="18" spans="1:27" s="161" customFormat="1" ht="12" x14ac:dyDescent="0.2">
      <c r="A18" s="633" t="s">
        <v>251</v>
      </c>
      <c r="B18" s="504">
        <f>Deals!F7</f>
        <v>-103</v>
      </c>
      <c r="C18" s="504">
        <f>Deals!G7</f>
        <v>-103</v>
      </c>
      <c r="D18" s="504">
        <f>Deals!H7</f>
        <v>-103</v>
      </c>
      <c r="E18" s="504">
        <f>Deals!I7</f>
        <v>-103</v>
      </c>
      <c r="F18" s="504">
        <f>Deals!J7</f>
        <v>-103</v>
      </c>
      <c r="G18" s="504">
        <f>Deals!K7</f>
        <v>-103</v>
      </c>
      <c r="H18" s="504">
        <f>Deals!L7</f>
        <v>-103</v>
      </c>
      <c r="I18" s="504">
        <f>Deals!M7</f>
        <v>-103</v>
      </c>
      <c r="J18" s="504">
        <f>Deals!N7</f>
        <v>-103</v>
      </c>
      <c r="K18" s="504">
        <f>Deals!O7</f>
        <v>-103</v>
      </c>
      <c r="L18" s="504">
        <f>Deals!P7</f>
        <v>-103</v>
      </c>
      <c r="M18" s="504">
        <f>Deals!Q7</f>
        <v>-103</v>
      </c>
      <c r="N18" s="504">
        <f>Deals!R7</f>
        <v>-103</v>
      </c>
      <c r="O18" s="504">
        <f>Deals!S7</f>
        <v>-103</v>
      </c>
      <c r="P18" s="504">
        <f>Deals!T7</f>
        <v>-103</v>
      </c>
      <c r="Q18" s="504">
        <f>Deals!U7</f>
        <v>-103</v>
      </c>
      <c r="R18" s="504">
        <f>Deals!V7</f>
        <v>-103</v>
      </c>
      <c r="S18" s="504">
        <f>Deals!W7</f>
        <v>-103</v>
      </c>
      <c r="T18" s="504">
        <f>Deals!X7</f>
        <v>-103</v>
      </c>
      <c r="U18" s="504">
        <f>Deals!Y7</f>
        <v>-103</v>
      </c>
      <c r="V18" s="504">
        <f>Deals!Z7</f>
        <v>-103</v>
      </c>
      <c r="W18" s="504">
        <f>Deals!AA7</f>
        <v>-103</v>
      </c>
      <c r="X18" s="504">
        <f>Deals!AB7</f>
        <v>-103</v>
      </c>
      <c r="Y18" s="504">
        <f>Deals!AC7</f>
        <v>-103</v>
      </c>
      <c r="Z18" s="160"/>
      <c r="AA18" s="162"/>
    </row>
    <row r="19" spans="1:27" s="161" customFormat="1" ht="12" x14ac:dyDescent="0.2">
      <c r="A19" s="633"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4"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1"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35</v>
      </c>
      <c r="C22" s="423">
        <f>Deals!G3</f>
        <v>35</v>
      </c>
      <c r="D22" s="423">
        <f>Deals!H3</f>
        <v>25</v>
      </c>
      <c r="E22" s="423">
        <f>Deals!I3</f>
        <v>25</v>
      </c>
      <c r="F22" s="423">
        <f>Deals!J3</f>
        <v>25</v>
      </c>
      <c r="G22" s="423">
        <f>Deals!K3</f>
        <v>25</v>
      </c>
      <c r="H22" s="423">
        <f>Deals!L3</f>
        <v>70</v>
      </c>
      <c r="I22" s="423">
        <f>Deals!M3</f>
        <v>90</v>
      </c>
      <c r="J22" s="423">
        <f>Deals!N3</f>
        <v>110</v>
      </c>
      <c r="K22" s="423">
        <f>Deals!O3</f>
        <v>130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150</v>
      </c>
      <c r="W22" s="423">
        <f>Deals!AA3</f>
        <v>130</v>
      </c>
      <c r="X22" s="423">
        <f>Deals!AB3</f>
        <v>90</v>
      </c>
      <c r="Y22" s="534">
        <f>Deals!AC3</f>
        <v>60</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203">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9">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6"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198"/>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70">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8" t="s">
        <v>304</v>
      </c>
      <c r="B31" s="570">
        <f ca="1">Deals!F9+Deals!F10+Deals!F11</f>
        <v>103</v>
      </c>
      <c r="C31" s="570">
        <f>Deals!G9+Deals!G10+Deals!G11</f>
        <v>103</v>
      </c>
      <c r="D31" s="570">
        <f>Deals!H9+Deals!H10+Deals!H11</f>
        <v>103</v>
      </c>
      <c r="E31" s="570">
        <f>Deals!I9+Deals!I10+Deals!I11</f>
        <v>103</v>
      </c>
      <c r="F31" s="570">
        <f>Deals!J9+Deals!J10+Deals!J11</f>
        <v>103</v>
      </c>
      <c r="G31" s="570">
        <f>Deals!K9+Deals!K10+Deals!K11</f>
        <v>103</v>
      </c>
      <c r="H31" s="570">
        <f>Deals!L9+Deals!L10+Deals!L11</f>
        <v>0</v>
      </c>
      <c r="I31" s="570">
        <f>Deals!M9+Deals!M10+Deals!M11</f>
        <v>0</v>
      </c>
      <c r="J31" s="570">
        <f>Deals!N9+Deals!N10+Deals!N11</f>
        <v>0</v>
      </c>
      <c r="K31" s="570">
        <f>Deals!O9+Deals!O10+Deals!O11</f>
        <v>0</v>
      </c>
      <c r="L31" s="570">
        <f>Deals!P9+Deals!P10+Deals!P11</f>
        <v>0</v>
      </c>
      <c r="M31" s="570">
        <f>Deals!Q9+Deals!Q10+Deals!Q11</f>
        <v>0</v>
      </c>
      <c r="N31" s="570">
        <f>Deals!R9+Deals!R10+Deals!R11</f>
        <v>0</v>
      </c>
      <c r="O31" s="570">
        <f>Deals!S9+Deals!S10+Deals!S11</f>
        <v>0</v>
      </c>
      <c r="P31" s="570">
        <f>Deals!T9+Deals!T10+Deals!T11</f>
        <v>0</v>
      </c>
      <c r="Q31" s="570">
        <f>Deals!U9+Deals!U10+Deals!U11</f>
        <v>0</v>
      </c>
      <c r="R31" s="570">
        <f>Deals!V9+Deals!V10+Deals!V11</f>
        <v>0</v>
      </c>
      <c r="S31" s="570">
        <f>Deals!W9+Deals!W10+Deals!W11</f>
        <v>0</v>
      </c>
      <c r="T31" s="570">
        <f>Deals!X9+Deals!X10+Deals!X11</f>
        <v>0</v>
      </c>
      <c r="U31" s="570">
        <f>Deals!Y9+Deals!Y10+Deals!Y11</f>
        <v>0</v>
      </c>
      <c r="V31" s="570">
        <f>Deals!Z9+Deals!Z10+Deals!Z11</f>
        <v>0</v>
      </c>
      <c r="W31" s="570">
        <f>Deals!AA9+Deals!AA10+Deals!AA11</f>
        <v>0</v>
      </c>
      <c r="X31" s="570">
        <f>Deals!AB9+Deals!AB10+Deals!AB11</f>
        <v>103</v>
      </c>
      <c r="Y31" s="570">
        <f>Deals!AC9+Deals!AC10+Deals!AC11</f>
        <v>103</v>
      </c>
      <c r="Z31" s="160"/>
      <c r="AA31" s="162"/>
    </row>
    <row r="32" spans="1:27" s="161" customFormat="1" ht="12" x14ac:dyDescent="0.2">
      <c r="A32" s="525" t="s">
        <v>119</v>
      </c>
      <c r="B32" s="643">
        <f t="array" aca="1" ref="B32" ca="1">SUM(IF((DelPoint= "PV")*IF((DType = "firm")+(DType = "econ")&gt;0,1,0)*(OFFSET(DelPoint,0,B3+2)&gt;0),OFFSET(DelPoint,0,B3+2),0))</f>
        <v>0</v>
      </c>
      <c r="C32" s="643">
        <f t="array" aca="1" ref="C32" ca="1">SUM(IF((DelPoint= "PV")*IF((DType = "firm")+(DType = "econ")&gt;0,1,0)*(OFFSET(DelPoint,0,C3+2)&gt;0),OFFSET(DelPoint,0,C3+2),0))</f>
        <v>0</v>
      </c>
      <c r="D32" s="643">
        <f t="array" aca="1" ref="D32" ca="1">SUM(IF((DelPoint= "PV")*IF((DType = "firm")+(DType = "econ")&gt;0,1,0)*(OFFSET(DelPoint,0,D3+2)&gt;0),OFFSET(DelPoint,0,D3+2),0))</f>
        <v>0</v>
      </c>
      <c r="E32" s="643">
        <f t="array" aca="1" ref="E32" ca="1">SUM(IF((DelPoint= "PV")*IF((DType = "firm")+(DType = "econ")&gt;0,1,0)*(OFFSET(DelPoint,0,E3+2)&gt;0),OFFSET(DelPoint,0,E3+2),0))</f>
        <v>0</v>
      </c>
      <c r="F32" s="643">
        <f t="array" aca="1" ref="F32" ca="1">SUM(IF((DelPoint= "PV")*IF((DType = "firm")+(DType = "econ")&gt;0,1,0)*(OFFSET(DelPoint,0,F3+2)&gt;0),OFFSET(DelPoint,0,F3+2),0))</f>
        <v>0</v>
      </c>
      <c r="G32" s="643">
        <f t="array" aca="1" ref="G32" ca="1">SUM(IF((DelPoint= "PV")*IF((DType = "firm")+(DType = "econ")&gt;0,1,0)*(OFFSET(DelPoint,0,G3+2)&gt;0),OFFSET(DelPoint,0,G3+2),0))</f>
        <v>0</v>
      </c>
      <c r="H32" s="643">
        <f t="array" aca="1" ref="H32" ca="1">SUM(IF((DelPoint= "PV")*IF((DType = "firm")+(DType = "econ")&gt;0,1,0)*(OFFSET(DelPoint,0,H3+2)&gt;0),OFFSET(DelPoint,0,H3+2),0))</f>
        <v>0</v>
      </c>
      <c r="I32" s="643">
        <f t="array" aca="1" ref="I32" ca="1">SUM(IF((DelPoint= "PV")*IF((DType = "firm")+(DType = "econ")&gt;0,1,0)*(OFFSET(DelPoint,0,I3+2)&gt;0),OFFSET(DelPoint,0,I3+2),0))</f>
        <v>0</v>
      </c>
      <c r="J32" s="638">
        <f t="array" aca="1" ref="J32" ca="1">SUM(IF((DelPoint= "PV")*IF((DType = "firm")+(DType = "econ")&gt;0,1,0)*(OFFSET(DelPoint,0,J3+2)&gt;0),OFFSET(DelPoint,0,J3+2),0))</f>
        <v>0</v>
      </c>
      <c r="K32" s="638">
        <f t="array" aca="1" ref="K32" ca="1">SUM(IF((DelPoint= "PV")*IF((DType = "firm")+(DType = "econ")&gt;0,1,0)*(OFFSET(DelPoint,0,K3+2)&gt;0),OFFSET(DelPoint,0,K3+2),0))</f>
        <v>0</v>
      </c>
      <c r="L32" s="638">
        <f t="array" aca="1" ref="L32" ca="1">SUM(IF((DelPoint= "PV")*IF((DType = "firm")+(DType = "econ")&gt;0,1,0)*(OFFSET(DelPoint,0,L3+2)&gt;0),OFFSET(DelPoint,0,L3+2),0))</f>
        <v>0</v>
      </c>
      <c r="M32" s="638">
        <f t="array" aca="1" ref="M32" ca="1">SUM(IF((DelPoint= "PV")*IF((DType = "firm")+(DType = "econ")&gt;0,1,0)*(OFFSET(DelPoint,0,M3+2)&gt;0),OFFSET(DelPoint,0,M3+2),0))</f>
        <v>0</v>
      </c>
      <c r="N32" s="638">
        <f t="array" aca="1" ref="N32" ca="1">SUM(IF((DelPoint= "PV")*IF((DType = "firm")+(DType = "econ")&gt;0,1,0)*(OFFSET(DelPoint,0,N3+2)&gt;0),OFFSET(DelPoint,0,N3+2),0))</f>
        <v>0</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0</v>
      </c>
      <c r="Y32" s="638">
        <f t="array" aca="1" ref="Y32" ca="1">SUM(IF((DelPoint= "PV")*IF((DType = "firm")+(DType = "econ")&gt;0,1,0)*(OFFSET(DelPoint,0,Y3+2)&gt;0),OFFSET(DelPoint,0,Y3+2),0))</f>
        <v>0</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5">
        <f t="shared" ca="1" si="4"/>
        <v>0</v>
      </c>
      <c r="F36" s="615">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531" t="s">
        <v>257</v>
      </c>
      <c r="B37" s="713"/>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554" t="s">
        <v>121</v>
      </c>
      <c r="B38" s="569">
        <f ca="1">SUM(B22:B37)+B4+B5</f>
        <v>738</v>
      </c>
      <c r="C38" s="569">
        <f t="shared" ref="C38:Y38" ca="1" si="6">SUM(C22:C37)+C4+C5</f>
        <v>751</v>
      </c>
      <c r="D38" s="569">
        <f t="shared" ca="1" si="6"/>
        <v>704</v>
      </c>
      <c r="E38" s="569">
        <f ca="1">SUM(E22:E37)+E4+E5</f>
        <v>716</v>
      </c>
      <c r="F38" s="569">
        <f t="shared" ca="1" si="6"/>
        <v>768</v>
      </c>
      <c r="G38" s="569">
        <f t="shared" ca="1" si="6"/>
        <v>874</v>
      </c>
      <c r="H38" s="569">
        <f t="shared" ca="1" si="6"/>
        <v>842</v>
      </c>
      <c r="I38" s="569">
        <f t="shared" ca="1" si="6"/>
        <v>907</v>
      </c>
      <c r="J38" s="569">
        <f t="shared" ca="1" si="6"/>
        <v>935</v>
      </c>
      <c r="K38" s="569">
        <f t="shared" ca="1" si="6"/>
        <v>1003</v>
      </c>
      <c r="L38" s="569">
        <f t="shared" ca="1" si="6"/>
        <v>1028</v>
      </c>
      <c r="M38" s="569">
        <f t="shared" ca="1" si="6"/>
        <v>1050</v>
      </c>
      <c r="N38" s="569">
        <f t="shared" ca="1" si="6"/>
        <v>1056</v>
      </c>
      <c r="O38" s="569">
        <f t="shared" ca="1" si="6"/>
        <v>1066</v>
      </c>
      <c r="P38" s="569">
        <f t="shared" ca="1" si="6"/>
        <v>1066</v>
      </c>
      <c r="Q38" s="569">
        <f t="shared" ca="1" si="6"/>
        <v>1063</v>
      </c>
      <c r="R38" s="569">
        <f t="shared" ca="1" si="6"/>
        <v>995</v>
      </c>
      <c r="S38" s="569">
        <f t="shared" ca="1" si="6"/>
        <v>1056</v>
      </c>
      <c r="T38" s="569">
        <f t="shared" ca="1" si="6"/>
        <v>1062</v>
      </c>
      <c r="U38" s="569">
        <f t="shared" ca="1" si="6"/>
        <v>1018</v>
      </c>
      <c r="V38" s="569">
        <f t="shared" ca="1" si="6"/>
        <v>969</v>
      </c>
      <c r="W38" s="569">
        <f t="shared" ca="1" si="6"/>
        <v>878</v>
      </c>
      <c r="X38" s="569">
        <f t="shared" ca="1" si="6"/>
        <v>915</v>
      </c>
      <c r="Y38" s="569">
        <f t="shared" ca="1" si="6"/>
        <v>811</v>
      </c>
      <c r="Z38" s="351"/>
      <c r="AA38" s="162"/>
    </row>
    <row r="39" spans="1:33" s="161" customFormat="1" ht="16.5" thickBot="1" x14ac:dyDescent="0.25">
      <c r="A39" s="583" t="s">
        <v>264</v>
      </c>
      <c r="B39" s="584"/>
      <c r="C39" s="585"/>
      <c r="D39" s="585"/>
      <c r="E39" s="616"/>
      <c r="F39" s="585"/>
      <c r="G39" s="585"/>
      <c r="H39" s="585"/>
      <c r="I39" s="585"/>
      <c r="J39" s="585"/>
      <c r="K39" s="585"/>
      <c r="L39" s="585"/>
      <c r="M39" s="585"/>
      <c r="N39" s="585"/>
      <c r="O39" s="585"/>
      <c r="P39" s="585"/>
      <c r="Q39" s="585"/>
      <c r="R39" s="585"/>
      <c r="S39" s="585"/>
      <c r="T39" s="585"/>
      <c r="U39" s="585"/>
      <c r="V39" s="585"/>
      <c r="W39" s="585"/>
      <c r="X39" s="585"/>
      <c r="Y39" s="586"/>
      <c r="Z39" s="160"/>
      <c r="AA39" s="162"/>
    </row>
    <row r="40" spans="1:33" s="161" customFormat="1" thickTop="1" x14ac:dyDescent="0.2">
      <c r="A40" s="589"/>
      <c r="B40" s="590"/>
      <c r="C40" s="591"/>
      <c r="D40" s="591"/>
      <c r="E40" s="617"/>
      <c r="F40" s="591"/>
      <c r="G40" s="591"/>
      <c r="H40" s="591"/>
      <c r="I40" s="591"/>
      <c r="J40" s="591"/>
      <c r="K40" s="591"/>
      <c r="L40" s="591"/>
      <c r="M40" s="591"/>
      <c r="N40" s="591"/>
      <c r="O40" s="591"/>
      <c r="P40" s="591"/>
      <c r="Q40" s="591"/>
      <c r="R40" s="591"/>
      <c r="S40" s="591"/>
      <c r="T40" s="591"/>
      <c r="U40" s="591"/>
      <c r="V40" s="591"/>
      <c r="W40" s="591"/>
      <c r="X40" s="591"/>
      <c r="Y40" s="592"/>
      <c r="Z40" s="352" t="s">
        <v>122</v>
      </c>
      <c r="AA40" s="165" t="s">
        <v>123</v>
      </c>
      <c r="AF40" s="166"/>
      <c r="AG40" s="166"/>
    </row>
    <row r="41" spans="1:33" s="161" customFormat="1" ht="12.75" customHeight="1" x14ac:dyDescent="0.2">
      <c r="A41" s="665" t="s">
        <v>129</v>
      </c>
      <c r="B41" s="669">
        <v>39</v>
      </c>
      <c r="C41" s="669">
        <v>38</v>
      </c>
      <c r="D41" s="669">
        <v>39</v>
      </c>
      <c r="E41" s="670">
        <v>39</v>
      </c>
      <c r="F41" s="669">
        <v>39</v>
      </c>
      <c r="G41" s="669">
        <v>53</v>
      </c>
      <c r="H41" s="669">
        <v>60</v>
      </c>
      <c r="I41" s="669">
        <v>37</v>
      </c>
      <c r="J41" s="669">
        <v>36</v>
      </c>
      <c r="K41" s="669">
        <v>45</v>
      </c>
      <c r="L41" s="669">
        <v>36</v>
      </c>
      <c r="M41" s="669">
        <v>40</v>
      </c>
      <c r="N41" s="669">
        <v>39</v>
      </c>
      <c r="O41" s="669">
        <v>36</v>
      </c>
      <c r="P41" s="669">
        <v>42</v>
      </c>
      <c r="Q41" s="669">
        <v>37</v>
      </c>
      <c r="R41" s="669">
        <v>36</v>
      </c>
      <c r="S41" s="669">
        <v>40</v>
      </c>
      <c r="T41" s="669">
        <v>40</v>
      </c>
      <c r="U41" s="669">
        <v>36</v>
      </c>
      <c r="V41" s="669">
        <v>38</v>
      </c>
      <c r="W41" s="669">
        <v>38</v>
      </c>
      <c r="X41" s="669">
        <v>59</v>
      </c>
      <c r="Y41" s="671">
        <v>42</v>
      </c>
      <c r="Z41" s="353">
        <v>80</v>
      </c>
      <c r="AA41" s="213">
        <f ca="1">-Economics!D34/Economics!I34</f>
        <v>11513.21946747449</v>
      </c>
    </row>
    <row r="42" spans="1:33" s="161" customFormat="1" ht="15" customHeight="1" x14ac:dyDescent="0.2">
      <c r="A42" s="665" t="s">
        <v>130</v>
      </c>
      <c r="B42" s="669">
        <v>38</v>
      </c>
      <c r="C42" s="669">
        <v>38</v>
      </c>
      <c r="D42" s="669">
        <v>37</v>
      </c>
      <c r="E42" s="670">
        <v>38</v>
      </c>
      <c r="F42" s="669">
        <v>39</v>
      </c>
      <c r="G42" s="669">
        <v>77</v>
      </c>
      <c r="H42" s="669">
        <v>73</v>
      </c>
      <c r="I42" s="669">
        <v>54</v>
      </c>
      <c r="J42" s="669">
        <v>35</v>
      </c>
      <c r="K42" s="669">
        <v>36</v>
      </c>
      <c r="L42" s="669">
        <v>36</v>
      </c>
      <c r="M42" s="669">
        <v>38</v>
      </c>
      <c r="N42" s="669">
        <v>37</v>
      </c>
      <c r="O42" s="669">
        <v>48</v>
      </c>
      <c r="P42" s="669">
        <v>44</v>
      </c>
      <c r="Q42" s="669">
        <v>37</v>
      </c>
      <c r="R42" s="669">
        <v>35</v>
      </c>
      <c r="S42" s="669">
        <v>38</v>
      </c>
      <c r="T42" s="669">
        <v>36</v>
      </c>
      <c r="U42" s="669">
        <v>36</v>
      </c>
      <c r="V42" s="669">
        <v>36</v>
      </c>
      <c r="W42" s="669">
        <v>38</v>
      </c>
      <c r="X42" s="669">
        <v>63</v>
      </c>
      <c r="Y42" s="671">
        <v>40</v>
      </c>
      <c r="Z42" s="353">
        <v>78</v>
      </c>
      <c r="AA42" s="213">
        <f ca="1">-Economics!D35/Economics!I35</f>
        <v>10955.686981823979</v>
      </c>
    </row>
    <row r="43" spans="1:33" s="161" customFormat="1" ht="12.75" customHeight="1" x14ac:dyDescent="0.2">
      <c r="A43" s="666" t="s">
        <v>131</v>
      </c>
      <c r="B43" s="672">
        <v>71</v>
      </c>
      <c r="C43" s="672">
        <v>54</v>
      </c>
      <c r="D43" s="672">
        <v>35</v>
      </c>
      <c r="E43" s="673">
        <v>46</v>
      </c>
      <c r="F43" s="672">
        <v>86</v>
      </c>
      <c r="G43" s="672">
        <v>100</v>
      </c>
      <c r="H43" s="672">
        <v>96</v>
      </c>
      <c r="I43" s="672">
        <v>68</v>
      </c>
      <c r="J43" s="672">
        <v>43</v>
      </c>
      <c r="K43" s="672">
        <v>57</v>
      </c>
      <c r="L43" s="672">
        <v>88</v>
      </c>
      <c r="M43" s="672">
        <v>94</v>
      </c>
      <c r="N43" s="672">
        <v>97</v>
      </c>
      <c r="O43" s="672">
        <v>99</v>
      </c>
      <c r="P43" s="672">
        <v>100</v>
      </c>
      <c r="Q43" s="672">
        <v>99</v>
      </c>
      <c r="R43" s="672">
        <v>45</v>
      </c>
      <c r="S43" s="672">
        <v>82</v>
      </c>
      <c r="T43" s="672">
        <v>86</v>
      </c>
      <c r="U43" s="672">
        <v>85</v>
      </c>
      <c r="V43" s="672">
        <v>42</v>
      </c>
      <c r="W43" s="672">
        <v>50</v>
      </c>
      <c r="X43" s="672">
        <v>100</v>
      </c>
      <c r="Y43" s="674">
        <v>68</v>
      </c>
      <c r="Z43" s="355">
        <v>103</v>
      </c>
      <c r="AA43" s="214">
        <f ca="1">-Economics!D36/Economics!I36</f>
        <v>18241.314572704083</v>
      </c>
    </row>
    <row r="44" spans="1:33" s="161" customFormat="1" ht="12.75" customHeight="1" x14ac:dyDescent="0.2">
      <c r="A44" s="665" t="s">
        <v>49</v>
      </c>
      <c r="B44" s="669">
        <v>10</v>
      </c>
      <c r="C44" s="669">
        <v>11</v>
      </c>
      <c r="D44" s="669">
        <v>10</v>
      </c>
      <c r="E44" s="669">
        <v>10</v>
      </c>
      <c r="F44" s="669">
        <v>11</v>
      </c>
      <c r="G44" s="669">
        <v>11</v>
      </c>
      <c r="H44" s="669">
        <v>11</v>
      </c>
      <c r="I44" s="669"/>
      <c r="J44" s="669">
        <v>0</v>
      </c>
      <c r="K44" s="669">
        <v>0</v>
      </c>
      <c r="L44" s="669">
        <v>0</v>
      </c>
      <c r="M44" s="669">
        <v>0</v>
      </c>
      <c r="N44" s="669">
        <v>0</v>
      </c>
      <c r="O44" s="669">
        <v>0</v>
      </c>
      <c r="P44" s="669">
        <v>0</v>
      </c>
      <c r="Q44" s="669">
        <v>0</v>
      </c>
      <c r="R44" s="669">
        <v>0</v>
      </c>
      <c r="S44" s="669">
        <v>0</v>
      </c>
      <c r="T44" s="669">
        <v>0</v>
      </c>
      <c r="U44" s="669">
        <v>0</v>
      </c>
      <c r="V44" s="669">
        <v>0</v>
      </c>
      <c r="W44" s="669">
        <v>0</v>
      </c>
      <c r="X44" s="669">
        <v>0</v>
      </c>
      <c r="Y44" s="671">
        <v>0</v>
      </c>
      <c r="Z44" s="353">
        <v>40</v>
      </c>
      <c r="AA44" s="213">
        <f ca="1">-Economics!D37/Economics!I37</f>
        <v>1755.953917211416</v>
      </c>
    </row>
    <row r="45" spans="1:33" s="161" customFormat="1" ht="12.75" customHeight="1" thickBot="1" x14ac:dyDescent="0.25">
      <c r="A45" s="665" t="s">
        <v>50</v>
      </c>
      <c r="B45" s="669">
        <v>12</v>
      </c>
      <c r="C45" s="669">
        <v>12</v>
      </c>
      <c r="D45" s="669">
        <v>12</v>
      </c>
      <c r="E45" s="669">
        <v>12</v>
      </c>
      <c r="F45" s="669">
        <v>12</v>
      </c>
      <c r="G45" s="669">
        <v>12</v>
      </c>
      <c r="H45" s="669">
        <v>12</v>
      </c>
      <c r="I45" s="669"/>
      <c r="J45" s="669">
        <v>0</v>
      </c>
      <c r="K45" s="669">
        <v>0</v>
      </c>
      <c r="L45" s="669">
        <v>0</v>
      </c>
      <c r="M45" s="669">
        <v>0</v>
      </c>
      <c r="N45" s="669">
        <v>0</v>
      </c>
      <c r="O45" s="669">
        <v>0</v>
      </c>
      <c r="P45" s="669">
        <v>0</v>
      </c>
      <c r="Q45" s="669">
        <v>0</v>
      </c>
      <c r="R45" s="669">
        <v>0</v>
      </c>
      <c r="S45" s="669">
        <v>0</v>
      </c>
      <c r="T45" s="669">
        <v>0</v>
      </c>
      <c r="U45" s="669">
        <v>0</v>
      </c>
      <c r="V45" s="669">
        <v>0</v>
      </c>
      <c r="W45" s="669">
        <v>0</v>
      </c>
      <c r="X45" s="669">
        <v>0</v>
      </c>
      <c r="Y45" s="671">
        <v>0</v>
      </c>
      <c r="Z45" s="353">
        <v>40</v>
      </c>
      <c r="AA45" s="213">
        <f ca="1">-Economics!D38/Economics!I38</f>
        <v>1855.6014080436862</v>
      </c>
    </row>
    <row r="46" spans="1:33" s="161" customFormat="1" ht="12.75" customHeight="1" thickBot="1" x14ac:dyDescent="0.25">
      <c r="A46" s="658" t="s">
        <v>361</v>
      </c>
      <c r="B46" s="669">
        <v>0</v>
      </c>
      <c r="C46" s="669">
        <v>0</v>
      </c>
      <c r="D46" s="669">
        <v>0</v>
      </c>
      <c r="E46" s="669">
        <v>0</v>
      </c>
      <c r="F46" s="669">
        <v>0</v>
      </c>
      <c r="G46" s="669">
        <v>0</v>
      </c>
      <c r="H46" s="669">
        <v>0</v>
      </c>
      <c r="I46" s="669">
        <v>0</v>
      </c>
      <c r="J46" s="669">
        <v>0</v>
      </c>
      <c r="K46" s="669">
        <v>0</v>
      </c>
      <c r="L46" s="669">
        <v>0</v>
      </c>
      <c r="M46" s="669">
        <v>0</v>
      </c>
      <c r="N46" s="669">
        <v>0</v>
      </c>
      <c r="O46" s="669">
        <v>0</v>
      </c>
      <c r="P46" s="669">
        <v>0</v>
      </c>
      <c r="Q46" s="669">
        <v>0</v>
      </c>
      <c r="R46" s="669">
        <v>0</v>
      </c>
      <c r="S46" s="669">
        <v>0</v>
      </c>
      <c r="T46" s="669">
        <v>0</v>
      </c>
      <c r="U46" s="669">
        <v>0</v>
      </c>
      <c r="V46" s="669">
        <v>0</v>
      </c>
      <c r="W46" s="669">
        <v>0</v>
      </c>
      <c r="X46" s="669">
        <v>0</v>
      </c>
      <c r="Y46" s="671">
        <v>0</v>
      </c>
      <c r="Z46" s="353">
        <v>108</v>
      </c>
      <c r="AA46" s="213">
        <f ca="1">-Economics!D39/Economics!I39</f>
        <v>0</v>
      </c>
    </row>
    <row r="47" spans="1:33" s="161" customFormat="1" ht="12.75" customHeight="1" x14ac:dyDescent="0.2">
      <c r="A47" s="665" t="s">
        <v>363</v>
      </c>
      <c r="B47" s="669">
        <v>0</v>
      </c>
      <c r="C47" s="669">
        <v>0</v>
      </c>
      <c r="D47" s="669">
        <v>0</v>
      </c>
      <c r="E47" s="669">
        <v>0</v>
      </c>
      <c r="F47" s="669">
        <v>0</v>
      </c>
      <c r="G47" s="669">
        <v>0</v>
      </c>
      <c r="H47" s="669">
        <v>0</v>
      </c>
      <c r="I47" s="669">
        <v>0</v>
      </c>
      <c r="J47" s="669">
        <v>0</v>
      </c>
      <c r="K47" s="669">
        <v>0</v>
      </c>
      <c r="L47" s="669">
        <v>0</v>
      </c>
      <c r="M47" s="669">
        <v>0</v>
      </c>
      <c r="N47" s="669">
        <v>0</v>
      </c>
      <c r="O47" s="669">
        <v>0</v>
      </c>
      <c r="P47" s="669">
        <v>0</v>
      </c>
      <c r="Q47" s="669">
        <v>0</v>
      </c>
      <c r="R47" s="669">
        <v>0</v>
      </c>
      <c r="S47" s="669">
        <v>0</v>
      </c>
      <c r="T47" s="669">
        <v>0</v>
      </c>
      <c r="U47" s="669">
        <v>0</v>
      </c>
      <c r="V47" s="669">
        <v>0</v>
      </c>
      <c r="W47" s="669">
        <v>0</v>
      </c>
      <c r="X47" s="669">
        <v>0</v>
      </c>
      <c r="Y47" s="671">
        <v>0</v>
      </c>
      <c r="Z47" s="353">
        <v>108</v>
      </c>
      <c r="AA47" s="213">
        <f ca="1">-Economics!D40/Economics!I40</f>
        <v>0</v>
      </c>
    </row>
    <row r="48" spans="1:33" s="161" customFormat="1" ht="12.75" customHeight="1" x14ac:dyDescent="0.2">
      <c r="A48" s="666" t="s">
        <v>132</v>
      </c>
      <c r="B48" s="672">
        <v>0</v>
      </c>
      <c r="C48" s="672">
        <v>0</v>
      </c>
      <c r="D48" s="672">
        <v>0</v>
      </c>
      <c r="E48" s="672">
        <v>0</v>
      </c>
      <c r="F48" s="672">
        <v>0</v>
      </c>
      <c r="G48" s="672">
        <v>0</v>
      </c>
      <c r="H48" s="672">
        <v>0</v>
      </c>
      <c r="I48" s="672">
        <v>154</v>
      </c>
      <c r="J48" s="672">
        <v>173</v>
      </c>
      <c r="K48" s="672">
        <v>211</v>
      </c>
      <c r="L48" s="672">
        <v>211</v>
      </c>
      <c r="M48" s="672">
        <v>210</v>
      </c>
      <c r="N48" s="672">
        <v>209</v>
      </c>
      <c r="O48" s="672">
        <v>208</v>
      </c>
      <c r="P48" s="672">
        <v>205</v>
      </c>
      <c r="Q48" s="672">
        <v>205</v>
      </c>
      <c r="R48" s="672">
        <v>204</v>
      </c>
      <c r="S48" s="672">
        <v>204</v>
      </c>
      <c r="T48" s="672">
        <v>208</v>
      </c>
      <c r="U48" s="672">
        <v>168</v>
      </c>
      <c r="V48" s="672">
        <v>158</v>
      </c>
      <c r="W48" s="672">
        <v>84</v>
      </c>
      <c r="X48" s="672">
        <v>100</v>
      </c>
      <c r="Y48" s="674">
        <v>78</v>
      </c>
      <c r="Z48" s="355">
        <v>212</v>
      </c>
      <c r="AA48" s="214">
        <f ca="1">-Economics!D41/Economics!I41</f>
        <v>28258.450255102041</v>
      </c>
    </row>
    <row r="49" spans="1:27" s="161" customFormat="1" ht="12.75" customHeight="1" x14ac:dyDescent="0.2">
      <c r="A49" s="666" t="s">
        <v>133</v>
      </c>
      <c r="B49" s="672">
        <v>0</v>
      </c>
      <c r="C49" s="672">
        <v>0</v>
      </c>
      <c r="D49" s="672">
        <v>0</v>
      </c>
      <c r="E49" s="672">
        <v>0</v>
      </c>
      <c r="F49" s="672">
        <v>0</v>
      </c>
      <c r="G49" s="672">
        <v>0</v>
      </c>
      <c r="H49" s="672">
        <v>0</v>
      </c>
      <c r="I49" s="672">
        <v>0</v>
      </c>
      <c r="J49" s="672">
        <v>0</v>
      </c>
      <c r="K49" s="672">
        <v>0</v>
      </c>
      <c r="L49" s="672">
        <v>0</v>
      </c>
      <c r="M49" s="672">
        <v>0</v>
      </c>
      <c r="N49" s="672">
        <v>0</v>
      </c>
      <c r="O49" s="672">
        <v>0</v>
      </c>
      <c r="P49" s="672">
        <v>0</v>
      </c>
      <c r="Q49" s="672">
        <v>0</v>
      </c>
      <c r="R49" s="672">
        <v>0</v>
      </c>
      <c r="S49" s="672">
        <v>0</v>
      </c>
      <c r="T49" s="672">
        <v>0</v>
      </c>
      <c r="U49" s="672">
        <v>0</v>
      </c>
      <c r="V49" s="672">
        <v>0</v>
      </c>
      <c r="W49" s="672">
        <v>0</v>
      </c>
      <c r="X49" s="672">
        <v>0</v>
      </c>
      <c r="Y49" s="674">
        <v>0</v>
      </c>
      <c r="Z49" s="355">
        <v>68</v>
      </c>
      <c r="AA49" s="214">
        <f ca="1">-Economics!D42/Economics!I42</f>
        <v>0</v>
      </c>
    </row>
    <row r="50" spans="1:27" s="161" customFormat="1" ht="12.75" customHeight="1" x14ac:dyDescent="0.2">
      <c r="A50" s="665" t="s">
        <v>134</v>
      </c>
      <c r="B50" s="669">
        <v>0</v>
      </c>
      <c r="C50" s="669">
        <v>0</v>
      </c>
      <c r="D50" s="669">
        <v>0</v>
      </c>
      <c r="E50" s="669">
        <v>0</v>
      </c>
      <c r="F50" s="669">
        <v>0</v>
      </c>
      <c r="G50" s="669">
        <v>0</v>
      </c>
      <c r="H50" s="669">
        <v>0</v>
      </c>
      <c r="I50" s="669">
        <v>0</v>
      </c>
      <c r="J50" s="669">
        <v>0</v>
      </c>
      <c r="K50" s="669">
        <v>0</v>
      </c>
      <c r="L50" s="669">
        <v>0</v>
      </c>
      <c r="M50" s="669">
        <v>0</v>
      </c>
      <c r="N50" s="669">
        <v>0</v>
      </c>
      <c r="O50" s="669">
        <v>0</v>
      </c>
      <c r="P50" s="669">
        <v>0</v>
      </c>
      <c r="Q50" s="669">
        <v>0</v>
      </c>
      <c r="R50" s="669">
        <v>0</v>
      </c>
      <c r="S50" s="669">
        <v>0</v>
      </c>
      <c r="T50" s="669">
        <v>0</v>
      </c>
      <c r="U50" s="669">
        <v>0</v>
      </c>
      <c r="V50" s="669">
        <v>0</v>
      </c>
      <c r="W50" s="669">
        <v>0</v>
      </c>
      <c r="X50" s="669">
        <v>0</v>
      </c>
      <c r="Y50" s="671">
        <v>0</v>
      </c>
      <c r="Z50" s="353">
        <v>48</v>
      </c>
      <c r="AA50" s="213">
        <f ca="1">-Economics!D43/Economics!I43</f>
        <v>0</v>
      </c>
    </row>
    <row r="51" spans="1:27" s="161" customFormat="1" ht="12.75" customHeight="1" x14ac:dyDescent="0.2">
      <c r="A51" s="665" t="s">
        <v>135</v>
      </c>
      <c r="B51" s="669">
        <v>0</v>
      </c>
      <c r="C51" s="669">
        <v>0</v>
      </c>
      <c r="D51" s="669">
        <v>0</v>
      </c>
      <c r="E51" s="669">
        <v>0</v>
      </c>
      <c r="F51" s="669">
        <v>0</v>
      </c>
      <c r="G51" s="669">
        <v>0</v>
      </c>
      <c r="H51" s="669">
        <v>0</v>
      </c>
      <c r="I51" s="669">
        <v>0</v>
      </c>
      <c r="J51" s="669">
        <v>0</v>
      </c>
      <c r="K51" s="669">
        <v>0</v>
      </c>
      <c r="L51" s="669">
        <v>0</v>
      </c>
      <c r="M51" s="669">
        <v>0</v>
      </c>
      <c r="N51" s="669">
        <v>0</v>
      </c>
      <c r="O51" s="669">
        <v>0</v>
      </c>
      <c r="P51" s="669">
        <v>0</v>
      </c>
      <c r="Q51" s="669">
        <v>0</v>
      </c>
      <c r="R51" s="669">
        <v>0</v>
      </c>
      <c r="S51" s="669">
        <v>0</v>
      </c>
      <c r="T51" s="669">
        <v>0</v>
      </c>
      <c r="U51" s="669">
        <v>0</v>
      </c>
      <c r="V51" s="669">
        <v>0</v>
      </c>
      <c r="W51" s="669">
        <v>0</v>
      </c>
      <c r="X51" s="669">
        <v>0</v>
      </c>
      <c r="Y51" s="671">
        <v>0</v>
      </c>
      <c r="Z51" s="353">
        <v>44</v>
      </c>
      <c r="AA51" s="213">
        <f ca="1">-Economics!D44/Economics!I44</f>
        <v>0</v>
      </c>
    </row>
    <row r="52" spans="1:27" s="161" customFormat="1" ht="12.75" customHeight="1" thickBot="1" x14ac:dyDescent="0.25">
      <c r="A52" s="665" t="s">
        <v>136</v>
      </c>
      <c r="B52" s="669">
        <v>54</v>
      </c>
      <c r="C52" s="669">
        <v>54</v>
      </c>
      <c r="D52" s="669">
        <v>53</v>
      </c>
      <c r="E52" s="669">
        <v>54</v>
      </c>
      <c r="F52" s="669">
        <v>53</v>
      </c>
      <c r="G52" s="669">
        <v>54</v>
      </c>
      <c r="H52" s="669">
        <v>53</v>
      </c>
      <c r="I52" s="669">
        <v>54</v>
      </c>
      <c r="J52" s="669">
        <v>54</v>
      </c>
      <c r="K52" s="669">
        <v>54</v>
      </c>
      <c r="L52" s="669">
        <v>54</v>
      </c>
      <c r="M52" s="669">
        <v>74</v>
      </c>
      <c r="N52" s="669">
        <v>73</v>
      </c>
      <c r="O52" s="669">
        <v>84</v>
      </c>
      <c r="P52" s="669">
        <v>83</v>
      </c>
      <c r="Q52" s="669">
        <v>98</v>
      </c>
      <c r="R52" s="669">
        <v>98</v>
      </c>
      <c r="S52" s="669">
        <v>98</v>
      </c>
      <c r="T52" s="669">
        <v>98</v>
      </c>
      <c r="U52" s="669">
        <v>98</v>
      </c>
      <c r="V52" s="669">
        <v>98</v>
      </c>
      <c r="W52" s="669">
        <v>77</v>
      </c>
      <c r="X52" s="669">
        <v>73</v>
      </c>
      <c r="Y52" s="671">
        <v>58</v>
      </c>
      <c r="Z52" s="356">
        <v>130</v>
      </c>
      <c r="AA52" s="215">
        <f ca="1">-Economics!D45/Economics!I45</f>
        <v>17403.139952153113</v>
      </c>
    </row>
    <row r="53" spans="1:27" s="161" customFormat="1" ht="12.75" customHeight="1" thickTop="1" x14ac:dyDescent="0.2">
      <c r="A53" s="665" t="s">
        <v>126</v>
      </c>
      <c r="B53" s="669">
        <v>65</v>
      </c>
      <c r="C53" s="669">
        <v>65</v>
      </c>
      <c r="D53" s="669">
        <v>65</v>
      </c>
      <c r="E53" s="669">
        <v>65</v>
      </c>
      <c r="F53" s="669">
        <v>65</v>
      </c>
      <c r="G53" s="669">
        <v>65</v>
      </c>
      <c r="H53" s="669">
        <v>65</v>
      </c>
      <c r="I53" s="669">
        <v>65</v>
      </c>
      <c r="J53" s="669">
        <v>65</v>
      </c>
      <c r="K53" s="669">
        <v>65</v>
      </c>
      <c r="L53" s="669">
        <v>64</v>
      </c>
      <c r="M53" s="669">
        <v>64</v>
      </c>
      <c r="N53" s="669">
        <v>65</v>
      </c>
      <c r="O53" s="669">
        <v>64</v>
      </c>
      <c r="P53" s="669">
        <v>64</v>
      </c>
      <c r="Q53" s="669">
        <v>64</v>
      </c>
      <c r="R53" s="669">
        <v>64</v>
      </c>
      <c r="S53" s="669">
        <v>64</v>
      </c>
      <c r="T53" s="669">
        <v>64</v>
      </c>
      <c r="U53" s="669">
        <v>64</v>
      </c>
      <c r="V53" s="669">
        <v>64</v>
      </c>
      <c r="W53" s="669">
        <v>64</v>
      </c>
      <c r="X53" s="669">
        <v>64</v>
      </c>
      <c r="Y53" s="671">
        <v>64</v>
      </c>
      <c r="Z53" s="353">
        <v>198</v>
      </c>
      <c r="AA53" s="211"/>
    </row>
    <row r="54" spans="1:27" s="161" customFormat="1" ht="12.75" customHeight="1" x14ac:dyDescent="0.2">
      <c r="A54" s="665" t="s">
        <v>127</v>
      </c>
      <c r="B54" s="669">
        <v>65</v>
      </c>
      <c r="C54" s="669">
        <v>65</v>
      </c>
      <c r="D54" s="669">
        <v>65</v>
      </c>
      <c r="E54" s="669">
        <v>65</v>
      </c>
      <c r="F54" s="669">
        <v>65</v>
      </c>
      <c r="G54" s="669">
        <v>65</v>
      </c>
      <c r="H54" s="669">
        <v>65</v>
      </c>
      <c r="I54" s="669">
        <v>65</v>
      </c>
      <c r="J54" s="669">
        <v>65</v>
      </c>
      <c r="K54" s="669">
        <v>65</v>
      </c>
      <c r="L54" s="669">
        <v>64</v>
      </c>
      <c r="M54" s="669">
        <v>64</v>
      </c>
      <c r="N54" s="669">
        <v>64</v>
      </c>
      <c r="O54" s="669">
        <v>64</v>
      </c>
      <c r="P54" s="669">
        <v>64</v>
      </c>
      <c r="Q54" s="669">
        <v>64</v>
      </c>
      <c r="R54" s="669">
        <v>64</v>
      </c>
      <c r="S54" s="669">
        <v>64</v>
      </c>
      <c r="T54" s="669">
        <v>64</v>
      </c>
      <c r="U54" s="669">
        <v>64</v>
      </c>
      <c r="V54" s="669">
        <v>64</v>
      </c>
      <c r="W54" s="669">
        <v>64</v>
      </c>
      <c r="X54" s="669">
        <v>64</v>
      </c>
      <c r="Y54" s="671">
        <v>64</v>
      </c>
      <c r="Z54" s="353">
        <v>198</v>
      </c>
      <c r="AA54" s="211"/>
    </row>
    <row r="55" spans="1:27" s="161" customFormat="1" ht="12.75" customHeight="1" x14ac:dyDescent="0.2">
      <c r="A55" s="665" t="s">
        <v>128</v>
      </c>
      <c r="B55" s="669">
        <v>65</v>
      </c>
      <c r="C55" s="669">
        <v>65</v>
      </c>
      <c r="D55" s="669">
        <v>65</v>
      </c>
      <c r="E55" s="669">
        <v>65</v>
      </c>
      <c r="F55" s="669">
        <v>65</v>
      </c>
      <c r="G55" s="669">
        <v>65</v>
      </c>
      <c r="H55" s="669">
        <v>65</v>
      </c>
      <c r="I55" s="669">
        <v>65</v>
      </c>
      <c r="J55" s="669">
        <v>65</v>
      </c>
      <c r="K55" s="669">
        <v>65</v>
      </c>
      <c r="L55" s="669">
        <v>64</v>
      </c>
      <c r="M55" s="669">
        <v>65</v>
      </c>
      <c r="N55" s="669">
        <v>64</v>
      </c>
      <c r="O55" s="669">
        <v>65</v>
      </c>
      <c r="P55" s="669">
        <v>64</v>
      </c>
      <c r="Q55" s="669">
        <v>64</v>
      </c>
      <c r="R55" s="669">
        <v>64</v>
      </c>
      <c r="S55" s="669">
        <v>64</v>
      </c>
      <c r="T55" s="669">
        <v>64</v>
      </c>
      <c r="U55" s="669">
        <v>64</v>
      </c>
      <c r="V55" s="669">
        <v>64</v>
      </c>
      <c r="W55" s="669">
        <v>64</v>
      </c>
      <c r="X55" s="669">
        <v>64</v>
      </c>
      <c r="Y55" s="671">
        <v>64</v>
      </c>
      <c r="Z55" s="353">
        <v>198</v>
      </c>
      <c r="AA55" s="211"/>
    </row>
    <row r="56" spans="1:27" s="161" customFormat="1" ht="12.75" customHeight="1" x14ac:dyDescent="0.2">
      <c r="A56" s="665" t="s">
        <v>124</v>
      </c>
      <c r="B56" s="669">
        <v>98</v>
      </c>
      <c r="C56" s="669">
        <v>98</v>
      </c>
      <c r="D56" s="669">
        <v>98</v>
      </c>
      <c r="E56" s="669">
        <v>97</v>
      </c>
      <c r="F56" s="669">
        <v>98</v>
      </c>
      <c r="G56" s="669">
        <v>97</v>
      </c>
      <c r="H56" s="669">
        <v>98</v>
      </c>
      <c r="I56" s="669">
        <v>97</v>
      </c>
      <c r="J56" s="669">
        <v>97</v>
      </c>
      <c r="K56" s="669">
        <v>97</v>
      </c>
      <c r="L56" s="669">
        <v>97</v>
      </c>
      <c r="M56" s="669">
        <v>97</v>
      </c>
      <c r="N56" s="669">
        <v>97</v>
      </c>
      <c r="O56" s="669">
        <v>97</v>
      </c>
      <c r="P56" s="669">
        <v>97</v>
      </c>
      <c r="Q56" s="669">
        <v>97</v>
      </c>
      <c r="R56" s="669">
        <v>97</v>
      </c>
      <c r="S56" s="669">
        <v>97</v>
      </c>
      <c r="T56" s="669">
        <v>97</v>
      </c>
      <c r="U56" s="669">
        <v>97</v>
      </c>
      <c r="V56" s="669">
        <v>97</v>
      </c>
      <c r="W56" s="669">
        <v>97</v>
      </c>
      <c r="X56" s="669">
        <v>97</v>
      </c>
      <c r="Y56" s="669">
        <v>97</v>
      </c>
      <c r="Z56" s="353">
        <v>52</v>
      </c>
      <c r="AA56" s="211"/>
    </row>
    <row r="57" spans="1:27" s="161" customFormat="1" ht="12.75" customHeight="1" thickBot="1" x14ac:dyDescent="0.25">
      <c r="A57" s="665" t="s">
        <v>125</v>
      </c>
      <c r="B57" s="669"/>
      <c r="C57" s="669"/>
      <c r="D57" s="669"/>
      <c r="E57" s="669"/>
      <c r="F57" s="669"/>
      <c r="G57" s="669"/>
      <c r="H57" s="669"/>
      <c r="I57" s="669"/>
      <c r="J57" s="669"/>
      <c r="K57" s="669"/>
      <c r="L57" s="669"/>
      <c r="M57" s="669">
        <v>0</v>
      </c>
      <c r="N57" s="669"/>
      <c r="O57" s="669"/>
      <c r="P57" s="669"/>
      <c r="Q57" s="669"/>
      <c r="R57" s="669"/>
      <c r="S57" s="669"/>
      <c r="T57" s="669"/>
      <c r="U57" s="669"/>
      <c r="V57" s="669"/>
      <c r="W57" s="669"/>
      <c r="X57" s="669"/>
      <c r="Y57" s="671"/>
      <c r="Z57" s="353">
        <v>52</v>
      </c>
      <c r="AA57" s="211"/>
    </row>
    <row r="58" spans="1:27" s="161" customFormat="1" ht="17.25" customHeight="1" thickBot="1" x14ac:dyDescent="0.25">
      <c r="A58" s="593" t="s">
        <v>10</v>
      </c>
      <c r="B58" s="594">
        <f t="shared" ref="B58:I58" ca="1" si="7">B59-B38</f>
        <v>7</v>
      </c>
      <c r="C58" s="594">
        <f t="shared" ca="1" si="7"/>
        <v>2</v>
      </c>
      <c r="D58" s="594">
        <f t="shared" ca="1" si="7"/>
        <v>3</v>
      </c>
      <c r="E58" s="594">
        <f t="shared" ca="1" si="7"/>
        <v>3</v>
      </c>
      <c r="F58" s="594">
        <f t="shared" ca="1" si="7"/>
        <v>-7</v>
      </c>
      <c r="G58" s="594">
        <f t="shared" ca="1" si="7"/>
        <v>3</v>
      </c>
      <c r="H58" s="594">
        <f t="shared" ca="1" si="7"/>
        <v>9</v>
      </c>
      <c r="I58" s="594">
        <f t="shared" ca="1" si="7"/>
        <v>5</v>
      </c>
      <c r="J58" s="594">
        <f t="shared" ref="J58:Y58" ca="1" si="8">J59-J38</f>
        <v>-49</v>
      </c>
      <c r="K58" s="594">
        <f t="shared" ca="1" si="8"/>
        <v>-55</v>
      </c>
      <c r="L58" s="594">
        <f t="shared" ca="1" si="8"/>
        <v>-61</v>
      </c>
      <c r="M58" s="594">
        <f t="shared" ca="1" si="8"/>
        <v>-51</v>
      </c>
      <c r="N58" s="594">
        <f ca="1">N59-N38</f>
        <v>-58</v>
      </c>
      <c r="O58" s="594">
        <f t="shared" ca="1" si="8"/>
        <v>-48</v>
      </c>
      <c r="P58" s="594">
        <f t="shared" ca="1" si="8"/>
        <v>-50</v>
      </c>
      <c r="Q58" s="594">
        <f t="shared" ca="1" si="8"/>
        <v>-45</v>
      </c>
      <c r="R58" s="594">
        <f t="shared" ca="1" si="8"/>
        <v>-35</v>
      </c>
      <c r="S58" s="594">
        <f t="shared" ca="1" si="8"/>
        <v>-52</v>
      </c>
      <c r="T58" s="594">
        <f t="shared" ca="1" si="8"/>
        <v>-52</v>
      </c>
      <c r="U58" s="594">
        <f t="shared" ca="1" si="8"/>
        <v>-53</v>
      </c>
      <c r="V58" s="594">
        <f t="shared" ca="1" si="8"/>
        <v>-55</v>
      </c>
      <c r="W58" s="594">
        <f t="shared" ca="1" si="8"/>
        <v>-49</v>
      </c>
      <c r="X58" s="594">
        <f t="shared" ca="1" si="8"/>
        <v>-3</v>
      </c>
      <c r="Y58" s="594">
        <f t="shared" ca="1" si="8"/>
        <v>-8</v>
      </c>
      <c r="Z58" s="354">
        <f ca="1">SUM(Z41:Z55)+Z41+Z42+Z43+Z48+Z49+Z50+Z51+Z52</f>
        <v>2416</v>
      </c>
      <c r="AA58" s="212">
        <f ca="1">SUM(AA41:AA55)</f>
        <v>89983.366554512817</v>
      </c>
    </row>
    <row r="59" spans="1:27" s="161" customFormat="1" ht="12" x14ac:dyDescent="0.2">
      <c r="A59" s="587">
        <v>0</v>
      </c>
      <c r="B59" s="588">
        <f t="shared" ref="B59:I59" ca="1" si="9">SUM(B41:B57)-SUM(B7:B20)</f>
        <v>745</v>
      </c>
      <c r="C59" s="588">
        <f t="shared" ca="1" si="9"/>
        <v>753</v>
      </c>
      <c r="D59" s="588">
        <f t="shared" ca="1" si="9"/>
        <v>707</v>
      </c>
      <c r="E59" s="588">
        <f t="shared" ca="1" si="9"/>
        <v>719</v>
      </c>
      <c r="F59" s="588">
        <f t="shared" ca="1" si="9"/>
        <v>761</v>
      </c>
      <c r="G59" s="588">
        <f t="shared" ca="1" si="9"/>
        <v>877</v>
      </c>
      <c r="H59" s="588">
        <f t="shared" ca="1" si="9"/>
        <v>851</v>
      </c>
      <c r="I59" s="588">
        <f t="shared" ca="1" si="9"/>
        <v>912</v>
      </c>
      <c r="J59" s="588">
        <f t="shared" ref="J59:Y59" ca="1" si="10">SUM(J41:J57)-SUM(J7:J20)</f>
        <v>886</v>
      </c>
      <c r="K59" s="588">
        <f t="shared" ca="1" si="10"/>
        <v>948</v>
      </c>
      <c r="L59" s="588">
        <f t="shared" ca="1" si="10"/>
        <v>967</v>
      </c>
      <c r="M59" s="588">
        <f t="shared" ca="1" si="10"/>
        <v>999</v>
      </c>
      <c r="N59" s="588">
        <f t="shared" ca="1" si="10"/>
        <v>998</v>
      </c>
      <c r="O59" s="588">
        <f t="shared" ca="1" si="10"/>
        <v>1018</v>
      </c>
      <c r="P59" s="588">
        <f t="shared" ca="1" si="10"/>
        <v>1016</v>
      </c>
      <c r="Q59" s="588">
        <f t="shared" ca="1" si="10"/>
        <v>1018</v>
      </c>
      <c r="R59" s="588">
        <f t="shared" ca="1" si="10"/>
        <v>960</v>
      </c>
      <c r="S59" s="588">
        <f t="shared" ca="1" si="10"/>
        <v>1004</v>
      </c>
      <c r="T59" s="588">
        <f t="shared" ca="1" si="10"/>
        <v>1010</v>
      </c>
      <c r="U59" s="588">
        <f t="shared" ca="1" si="10"/>
        <v>965</v>
      </c>
      <c r="V59" s="588">
        <f t="shared" ca="1" si="10"/>
        <v>914</v>
      </c>
      <c r="W59" s="588">
        <f t="shared" ca="1" si="10"/>
        <v>829</v>
      </c>
      <c r="X59" s="588">
        <f t="shared" ca="1" si="10"/>
        <v>912</v>
      </c>
      <c r="Y59" s="588">
        <f t="shared" ca="1" si="10"/>
        <v>803</v>
      </c>
      <c r="Z59" s="216">
        <f ca="1">SUM(Economics!D28:D45)</f>
        <v>-237425.03768062501</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103</v>
      </c>
      <c r="C61" s="169">
        <f t="shared" ca="1" si="11"/>
        <v>103</v>
      </c>
      <c r="D61" s="169">
        <f t="shared" ca="1" si="11"/>
        <v>103</v>
      </c>
      <c r="E61" s="169">
        <f ca="1">IF(-SUM(E18:E20,E35:E37)&gt;134,"err",-SUM(E18:E20,))</f>
        <v>103</v>
      </c>
      <c r="F61" s="169">
        <f t="shared" ca="1" si="11"/>
        <v>103</v>
      </c>
      <c r="G61" s="169">
        <f t="shared" ca="1" si="11"/>
        <v>103</v>
      </c>
      <c r="H61" s="169">
        <f t="shared" ca="1" si="11"/>
        <v>103</v>
      </c>
      <c r="I61" s="169">
        <f t="shared" ca="1" si="11"/>
        <v>103</v>
      </c>
      <c r="J61" s="169">
        <f t="shared" ca="1" si="11"/>
        <v>103</v>
      </c>
      <c r="K61" s="169">
        <f t="shared" ca="1" si="11"/>
        <v>103</v>
      </c>
      <c r="L61" s="169">
        <f t="shared" ca="1" si="11"/>
        <v>103</v>
      </c>
      <c r="M61" s="169">
        <v>0</v>
      </c>
      <c r="N61" s="169">
        <f t="shared" ca="1" si="11"/>
        <v>103</v>
      </c>
      <c r="O61" s="169">
        <f t="shared" ca="1" si="11"/>
        <v>103</v>
      </c>
      <c r="P61" s="169">
        <f t="shared" ca="1" si="11"/>
        <v>103</v>
      </c>
      <c r="Q61" s="169">
        <f t="shared" ca="1" si="11"/>
        <v>103</v>
      </c>
      <c r="R61" s="169">
        <f t="shared" ca="1" si="11"/>
        <v>103</v>
      </c>
      <c r="S61" s="169">
        <f t="shared" ca="1" si="11"/>
        <v>103</v>
      </c>
      <c r="T61" s="169">
        <f t="shared" ca="1" si="11"/>
        <v>103</v>
      </c>
      <c r="U61" s="169">
        <f t="shared" ca="1" si="11"/>
        <v>103</v>
      </c>
      <c r="V61" s="169">
        <f t="shared" ca="1" si="11"/>
        <v>103</v>
      </c>
      <c r="W61" s="169">
        <f t="shared" ca="1" si="11"/>
        <v>103</v>
      </c>
      <c r="X61" s="169">
        <f t="shared" ca="1" si="11"/>
        <v>103</v>
      </c>
      <c r="Y61" s="169">
        <f t="shared" ca="1" si="11"/>
        <v>103</v>
      </c>
      <c r="Z61" s="220" t="s">
        <v>138</v>
      </c>
      <c r="AA61" s="221" t="e">
        <f ca="1">AA59</f>
        <v>#N/A</v>
      </c>
    </row>
    <row r="62" spans="1:27" s="161" customFormat="1" ht="14.25" customHeight="1" thickTop="1" x14ac:dyDescent="0.2">
      <c r="A62" s="193" t="s">
        <v>139</v>
      </c>
      <c r="B62" s="169">
        <f t="shared" ref="B62:Y62" ca="1" si="12">-SUM(B11:B14,B29:B32,B22) + SUM(B53:B55)</f>
        <v>182</v>
      </c>
      <c r="C62" s="169">
        <f t="shared" ca="1" si="12"/>
        <v>182</v>
      </c>
      <c r="D62" s="169">
        <f t="shared" ca="1" si="12"/>
        <v>192</v>
      </c>
      <c r="E62" s="169">
        <f t="shared" ca="1" si="12"/>
        <v>192</v>
      </c>
      <c r="F62" s="169">
        <f t="shared" ca="1" si="12"/>
        <v>192</v>
      </c>
      <c r="G62" s="169">
        <f t="shared" ca="1" si="12"/>
        <v>242</v>
      </c>
      <c r="H62" s="169">
        <f t="shared" ca="1" si="12"/>
        <v>275</v>
      </c>
      <c r="I62" s="169">
        <f t="shared" ca="1" si="12"/>
        <v>255</v>
      </c>
      <c r="J62" s="169">
        <f t="shared" ca="1" si="12"/>
        <v>235</v>
      </c>
      <c r="K62" s="169">
        <f t="shared" ca="1" si="12"/>
        <v>215</v>
      </c>
      <c r="L62" s="169">
        <f t="shared" ca="1" si="12"/>
        <v>192</v>
      </c>
      <c r="M62" s="169">
        <f t="shared" ca="1" si="12"/>
        <v>193</v>
      </c>
      <c r="N62" s="169">
        <f t="shared" ca="1" si="12"/>
        <v>193</v>
      </c>
      <c r="O62" s="169">
        <f t="shared" ca="1" si="12"/>
        <v>193</v>
      </c>
      <c r="P62" s="169">
        <f t="shared" ca="1" si="12"/>
        <v>192</v>
      </c>
      <c r="Q62" s="169">
        <f t="shared" ca="1" si="12"/>
        <v>192</v>
      </c>
      <c r="R62" s="169">
        <f t="shared" ca="1" si="12"/>
        <v>192</v>
      </c>
      <c r="S62" s="169">
        <f t="shared" ca="1" si="12"/>
        <v>192</v>
      </c>
      <c r="T62" s="169">
        <f t="shared" ca="1" si="12"/>
        <v>192</v>
      </c>
      <c r="U62" s="169">
        <f t="shared" ca="1" si="12"/>
        <v>192</v>
      </c>
      <c r="V62" s="169">
        <f t="shared" ca="1" si="12"/>
        <v>192</v>
      </c>
      <c r="W62" s="169">
        <f t="shared" ca="1" si="12"/>
        <v>212</v>
      </c>
      <c r="X62" s="169">
        <f t="shared" ca="1" si="12"/>
        <v>124</v>
      </c>
      <c r="Y62" s="170">
        <f t="shared" ca="1" si="12"/>
        <v>154</v>
      </c>
      <c r="Z62" s="191"/>
      <c r="AA62" s="162"/>
    </row>
    <row r="63" spans="1:27" s="161" customFormat="1" ht="12" x14ac:dyDescent="0.2">
      <c r="A63" s="193" t="s">
        <v>140</v>
      </c>
      <c r="B63" s="169">
        <f t="shared" ref="B63:L63" ca="1" si="13">-SUM(B8:B10,B25:B28) + SUM(B56:B57)</f>
        <v>98</v>
      </c>
      <c r="C63" s="169">
        <f t="shared" ca="1" si="13"/>
        <v>123</v>
      </c>
      <c r="D63" s="169">
        <f t="shared" ca="1" si="13"/>
        <v>98</v>
      </c>
      <c r="E63" s="169">
        <f t="shared" ca="1" si="13"/>
        <v>97</v>
      </c>
      <c r="F63" s="169">
        <f t="shared" ca="1" si="13"/>
        <v>98</v>
      </c>
      <c r="G63" s="169">
        <f t="shared" ca="1" si="13"/>
        <v>97</v>
      </c>
      <c r="H63" s="169">
        <f t="shared" ca="1" si="13"/>
        <v>98</v>
      </c>
      <c r="I63" s="169">
        <f t="shared" ca="1" si="13"/>
        <v>97</v>
      </c>
      <c r="J63" s="169">
        <f t="shared" ca="1" si="13"/>
        <v>97</v>
      </c>
      <c r="K63" s="169">
        <f t="shared" ca="1" si="13"/>
        <v>97</v>
      </c>
      <c r="L63" s="169">
        <f t="shared" ca="1" si="13"/>
        <v>97</v>
      </c>
      <c r="M63" s="169">
        <f ca="1">-SUM(M8:M10,M25:M28) + SUM(M57:M57)</f>
        <v>0</v>
      </c>
      <c r="N63" s="169">
        <f t="shared" ref="N63:Y63" ca="1" si="14">-SUM(N8:N10,N25:N28) + SUM(N56:N57)</f>
        <v>97</v>
      </c>
      <c r="O63" s="169">
        <f t="shared" ca="1" si="14"/>
        <v>97</v>
      </c>
      <c r="P63" s="169">
        <f t="shared" ca="1" si="14"/>
        <v>97</v>
      </c>
      <c r="Q63" s="169">
        <f t="shared" ca="1" si="14"/>
        <v>97</v>
      </c>
      <c r="R63" s="169">
        <f t="shared" ca="1" si="14"/>
        <v>97</v>
      </c>
      <c r="S63" s="169">
        <f t="shared" ca="1" si="14"/>
        <v>97</v>
      </c>
      <c r="T63" s="169">
        <f t="shared" ca="1" si="14"/>
        <v>97</v>
      </c>
      <c r="U63" s="169">
        <f t="shared" ca="1" si="14"/>
        <v>97</v>
      </c>
      <c r="V63" s="169">
        <f t="shared" ca="1" si="14"/>
        <v>97</v>
      </c>
      <c r="W63" s="169">
        <f t="shared" ca="1" si="14"/>
        <v>97</v>
      </c>
      <c r="X63" s="169">
        <f t="shared" ca="1" si="14"/>
        <v>97</v>
      </c>
      <c r="Y63" s="170">
        <f t="shared" ca="1" si="14"/>
        <v>97</v>
      </c>
      <c r="Z63" s="191"/>
      <c r="AA63" s="162"/>
    </row>
    <row r="64" spans="1:27" s="161" customFormat="1" ht="12" x14ac:dyDescent="0.2">
      <c r="A64" s="193" t="s">
        <v>141</v>
      </c>
      <c r="B64" s="169">
        <f ca="1">IF(B62+B63&gt;645,"err",B62+B63)</f>
        <v>280</v>
      </c>
      <c r="C64" s="169">
        <f t="shared" ref="C64:Y64" ca="1" si="15">IF(C62+C63&gt;645,"err",C62+C63)</f>
        <v>305</v>
      </c>
      <c r="D64" s="169">
        <f t="shared" ca="1" si="15"/>
        <v>290</v>
      </c>
      <c r="E64" s="169">
        <f t="shared" ca="1" si="15"/>
        <v>289</v>
      </c>
      <c r="F64" s="169">
        <f t="shared" ca="1" si="15"/>
        <v>290</v>
      </c>
      <c r="G64" s="169">
        <f t="shared" ca="1" si="15"/>
        <v>339</v>
      </c>
      <c r="H64" s="169">
        <f t="shared" ca="1" si="15"/>
        <v>373</v>
      </c>
      <c r="I64" s="169">
        <f t="shared" ca="1" si="15"/>
        <v>352</v>
      </c>
      <c r="J64" s="169">
        <f t="shared" ca="1" si="15"/>
        <v>332</v>
      </c>
      <c r="K64" s="169">
        <f t="shared" ca="1" si="15"/>
        <v>312</v>
      </c>
      <c r="L64" s="169">
        <f t="shared" ca="1" si="15"/>
        <v>289</v>
      </c>
      <c r="M64" s="169">
        <f t="shared" ca="1" si="15"/>
        <v>193</v>
      </c>
      <c r="N64" s="169">
        <f t="shared" ca="1" si="15"/>
        <v>290</v>
      </c>
      <c r="O64" s="169">
        <f t="shared" ca="1" si="15"/>
        <v>290</v>
      </c>
      <c r="P64" s="169">
        <f t="shared" ca="1" si="15"/>
        <v>289</v>
      </c>
      <c r="Q64" s="169">
        <f t="shared" ca="1" si="15"/>
        <v>289</v>
      </c>
      <c r="R64" s="169">
        <f t="shared" ca="1" si="15"/>
        <v>289</v>
      </c>
      <c r="S64" s="169">
        <f t="shared" ca="1" si="15"/>
        <v>289</v>
      </c>
      <c r="T64" s="169">
        <f t="shared" ca="1" si="15"/>
        <v>289</v>
      </c>
      <c r="U64" s="169">
        <f t="shared" ca="1" si="15"/>
        <v>289</v>
      </c>
      <c r="V64" s="169">
        <f t="shared" ca="1" si="15"/>
        <v>289</v>
      </c>
      <c r="W64" s="169">
        <f t="shared" ca="1" si="15"/>
        <v>309</v>
      </c>
      <c r="X64" s="169">
        <f t="shared" ca="1" si="15"/>
        <v>221</v>
      </c>
      <c r="Y64" s="170">
        <f t="shared" ca="1" si="15"/>
        <v>251</v>
      </c>
      <c r="Z64" s="192"/>
      <c r="AA64" s="162"/>
    </row>
    <row r="65" spans="1:27" s="161" customFormat="1" ht="12" x14ac:dyDescent="0.2">
      <c r="A65" s="193" t="s">
        <v>18</v>
      </c>
      <c r="B65" s="169">
        <f ca="1">SUM(B61:B63)</f>
        <v>383</v>
      </c>
      <c r="C65" s="169">
        <f t="shared" ref="C65:Y65" ca="1" si="16">SUM(C61:C63)</f>
        <v>408</v>
      </c>
      <c r="D65" s="169">
        <f t="shared" ca="1" si="16"/>
        <v>393</v>
      </c>
      <c r="E65" s="169">
        <f t="shared" ca="1" si="16"/>
        <v>392</v>
      </c>
      <c r="F65" s="169">
        <f t="shared" ca="1" si="16"/>
        <v>393</v>
      </c>
      <c r="G65" s="169">
        <f t="shared" ca="1" si="16"/>
        <v>442</v>
      </c>
      <c r="H65" s="169">
        <f t="shared" ca="1" si="16"/>
        <v>476</v>
      </c>
      <c r="I65" s="169">
        <f t="shared" ca="1" si="16"/>
        <v>455</v>
      </c>
      <c r="J65" s="169">
        <f t="shared" ca="1" si="16"/>
        <v>435</v>
      </c>
      <c r="K65" s="169">
        <f t="shared" ca="1" si="16"/>
        <v>415</v>
      </c>
      <c r="L65" s="169">
        <f t="shared" ca="1" si="16"/>
        <v>392</v>
      </c>
      <c r="M65" s="169">
        <f t="shared" ca="1" si="16"/>
        <v>193</v>
      </c>
      <c r="N65" s="169">
        <f t="shared" ca="1" si="16"/>
        <v>393</v>
      </c>
      <c r="O65" s="169">
        <f t="shared" ca="1" si="16"/>
        <v>393</v>
      </c>
      <c r="P65" s="169">
        <f t="shared" ca="1" si="16"/>
        <v>392</v>
      </c>
      <c r="Q65" s="169">
        <f t="shared" ca="1" si="16"/>
        <v>392</v>
      </c>
      <c r="R65" s="169">
        <f t="shared" ca="1" si="16"/>
        <v>392</v>
      </c>
      <c r="S65" s="169">
        <f t="shared" ca="1" si="16"/>
        <v>392</v>
      </c>
      <c r="T65" s="169">
        <f t="shared" ca="1" si="16"/>
        <v>392</v>
      </c>
      <c r="U65" s="169">
        <f t="shared" ca="1" si="16"/>
        <v>392</v>
      </c>
      <c r="V65" s="169">
        <f t="shared" ca="1" si="16"/>
        <v>392</v>
      </c>
      <c r="W65" s="169">
        <f t="shared" ca="1" si="16"/>
        <v>412</v>
      </c>
      <c r="X65" s="169">
        <f t="shared" ca="1" si="16"/>
        <v>324</v>
      </c>
      <c r="Y65" s="170">
        <f t="shared" ca="1" si="16"/>
        <v>354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646</v>
      </c>
      <c r="C67" s="169">
        <f t="array" ref="C67">SUM(IF(C$41:C$55 = 0,0,$Z$41:$Z$55-C$41:C$55))-INDEX(Balancing!$R$4:$R$27,C$3)</f>
        <v>663</v>
      </c>
      <c r="D67" s="169">
        <f t="array" ref="D67">SUM(IF(D$41:D$55 = 0,0,$Z$41:$Z$55-D$41:D$55))-INDEX(Balancing!$R$4:$R$27,D$3)</f>
        <v>684</v>
      </c>
      <c r="E67" s="169">
        <f t="array" ref="E67">SUM(IF(E$41:E$55 = 0,0,$Z$41:$Z$55-E$41:E$55))-INDEX(Balancing!$R$4:$R$27,E$3)</f>
        <v>671</v>
      </c>
      <c r="F67" s="169">
        <f t="array" ref="F67">SUM(IF(F$41:F$55 = 0,0,$Z$41:$Z$55-F$41:F$55))-INDEX(Balancing!$R$4:$R$27,F$3)</f>
        <v>630</v>
      </c>
      <c r="G67" s="169">
        <f t="array" ref="G67">SUM(IF(G$41:G$55 = 0,0,$Z$41:$Z$55-G$41:G$55))-INDEX(Balancing!$R$4:$R$27,G$3)</f>
        <v>563</v>
      </c>
      <c r="H67" s="169">
        <f t="array" ref="H67">SUM(IF(H$41:H$55 = 0,0,$Z$41:$Z$55-H$41:H$55))-INDEX(Balancing!$R$4:$R$27,H$3)</f>
        <v>565</v>
      </c>
      <c r="I67" s="169">
        <f t="array" ref="I67">SUM(IF(I$41:I$55 = 0,0,$Z$41:$Z$55-I$41:I$55))-INDEX(Balancing!$R$4:$R$27,I$3)</f>
        <v>635</v>
      </c>
      <c r="J67" s="169">
        <f t="array" ref="J67">SUM(IF(J$41:J$55 = 0,0,$Z$41:$Z$55-J$41:J$55))-INDEX(Balancing!$R$4:$R$27,J$3)</f>
        <v>661</v>
      </c>
      <c r="K67" s="169">
        <f t="array" ref="K67">SUM(IF(K$41:K$55 = 0,0,$Z$41:$Z$55-K$41:K$55))-INDEX(Balancing!$R$4:$R$27,K$3)</f>
        <v>599</v>
      </c>
      <c r="L67" s="169">
        <f t="array" ref="L67">SUM(IF(L$41:L$55 = 0,0,$Z$41:$Z$55-L$41:L$55))-INDEX(Balancing!$R$4:$R$27,L$3)</f>
        <v>580</v>
      </c>
      <c r="M67" s="169">
        <f t="array" ref="M67">SUM(IF(M$41:M$55 = 0,0,$Z$41:$Z$55-M$41:M$55))-INDEX(Balancing!$R$4:$R$27,M$3)</f>
        <v>548</v>
      </c>
      <c r="N67" s="169">
        <v>179</v>
      </c>
      <c r="O67" s="169">
        <f t="array" ref="O67">SUM(IF(O$41:O$55 = 0,0,$Z$41:$Z$55-O$41:O$55))-INDEX(Balancing!$R$4:$R$27,O$3)</f>
        <v>529</v>
      </c>
      <c r="P67" s="169">
        <f t="array" ref="P67">SUM(IF(P$41:P$55 = 0,0,$Z$41:$Z$55-P$41:P$55))-INDEX(Balancing!$R$4:$R$27,P$3)</f>
        <v>531</v>
      </c>
      <c r="Q67" s="169">
        <f t="array" ref="Q67">SUM(IF(Q$41:Q$55 = 0,0,$Z$41:$Z$55-Q$41:Q$55))-INDEX(Balancing!$R$4:$R$27,Q$3)</f>
        <v>529</v>
      </c>
      <c r="R67" s="169">
        <f t="array" ref="R67">SUM(IF(R$41:R$55 = 0,0,$Z$41:$Z$55-R$41:R$55))-INDEX(Balancing!$R$4:$R$27,R$3)</f>
        <v>587</v>
      </c>
      <c r="S67" s="169">
        <f t="array" ref="S67">SUM(IF(S$41:S$55 = 0,0,$Z$41:$Z$55-S$41:S$55))-INDEX(Balancing!$R$4:$R$27,S$3)</f>
        <v>543</v>
      </c>
      <c r="T67" s="169">
        <f t="array" ref="T67">SUM(IF(T$41:T$55 = 0,0,$Z$41:$Z$55-T$41:T$55))-INDEX(Balancing!$R$4:$R$27,T$3)</f>
        <v>537</v>
      </c>
      <c r="U67" s="169">
        <f t="array" ref="U67">SUM(IF(U$41:U$55 = 0,0,$Z$41:$Z$55-U$41:U$55))-INDEX(Balancing!$R$4:$R$27,U$3)</f>
        <v>582</v>
      </c>
      <c r="V67" s="169">
        <f t="array" ref="V67">SUM(IF(V$41:V$55 = 0,0,$Z$41:$Z$55-V$41:V$55))-INDEX(Balancing!$R$4:$R$27,V$3)</f>
        <v>633</v>
      </c>
      <c r="W67" s="169">
        <f t="array" ref="W67">SUM(IF(W$41:W$55 = 0,0,$Z$41:$Z$55-W$41:W$55))-INDEX(Balancing!$R$4:$R$27,W$3)</f>
        <v>718</v>
      </c>
      <c r="X67" s="169">
        <f t="array" ref="X67">SUM(IF(X$41:X$55 = 0,0,$Z$41:$Z$55-X$41:X$55))-INDEX(Balancing!$R$4:$R$27,X$3)</f>
        <v>610</v>
      </c>
      <c r="Y67" s="170">
        <f t="array" ref="Y67">SUM(IF(Y$41:Y$55 = 0,0,$Z$41:$Z$55-Y$41:Y$55))-INDEX(Balancing!$R$4:$R$27,Y$3)</f>
        <v>719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41</v>
      </c>
      <c r="C69" s="171">
        <f t="shared" si="17"/>
        <v>42</v>
      </c>
      <c r="D69" s="171">
        <f t="shared" si="17"/>
        <v>40</v>
      </c>
      <c r="E69" s="171">
        <f t="shared" si="17"/>
        <v>40</v>
      </c>
      <c r="F69" s="171">
        <f t="shared" si="17"/>
        <v>44</v>
      </c>
      <c r="G69" s="171">
        <f t="shared" si="17"/>
        <v>50</v>
      </c>
      <c r="H69" s="171">
        <f t="shared" ref="H69:X69" si="18">IF(H67&lt;0.07*I4,"err",ROUND(I4*0.07,0))</f>
        <v>55</v>
      </c>
      <c r="I69" s="171">
        <f t="shared" si="18"/>
        <v>56</v>
      </c>
      <c r="J69" s="171">
        <f t="shared" si="18"/>
        <v>59</v>
      </c>
      <c r="K69" s="171">
        <f t="shared" si="18"/>
        <v>60</v>
      </c>
      <c r="L69" s="171">
        <f t="shared" si="18"/>
        <v>61</v>
      </c>
      <c r="M69" s="171">
        <f t="shared" si="18"/>
        <v>62</v>
      </c>
      <c r="N69" s="171">
        <f t="shared" si="18"/>
        <v>62</v>
      </c>
      <c r="O69" s="171">
        <f t="shared" si="18"/>
        <v>62</v>
      </c>
      <c r="P69" s="171">
        <f t="shared" si="18"/>
        <v>62</v>
      </c>
      <c r="Q69" s="171">
        <f t="shared" si="18"/>
        <v>57</v>
      </c>
      <c r="R69" s="171">
        <f t="shared" si="18"/>
        <v>62</v>
      </c>
      <c r="S69" s="171">
        <f t="shared" si="18"/>
        <v>62</v>
      </c>
      <c r="T69" s="171">
        <f t="shared" si="18"/>
        <v>59</v>
      </c>
      <c r="U69" s="171">
        <f t="shared" si="18"/>
        <v>56</v>
      </c>
      <c r="V69" s="171">
        <f t="shared" si="18"/>
        <v>51</v>
      </c>
      <c r="W69" s="171">
        <f t="shared" si="18"/>
        <v>49</v>
      </c>
      <c r="X69" s="171">
        <f t="shared" si="18"/>
        <v>45</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35</v>
      </c>
      <c r="C78" s="476">
        <f t="shared" ca="1" si="19"/>
        <v>35</v>
      </c>
      <c r="D78" s="476">
        <f t="shared" ca="1" si="19"/>
        <v>25</v>
      </c>
      <c r="E78" s="476">
        <f ca="1">(E22+E25+E29)</f>
        <v>25</v>
      </c>
      <c r="F78" s="476">
        <f t="shared" ca="1" si="19"/>
        <v>25</v>
      </c>
      <c r="G78" s="476">
        <f ca="1">(G22+G25+G29)</f>
        <v>25</v>
      </c>
      <c r="H78" s="476">
        <f ca="1">(H22+H25+H29)</f>
        <v>70</v>
      </c>
      <c r="I78" s="476">
        <f ca="1">(I22+I25+I29)</f>
        <v>90</v>
      </c>
      <c r="J78" s="476">
        <f ca="1">(J22+J25+J29)</f>
        <v>110</v>
      </c>
      <c r="K78" s="476">
        <f t="shared" ca="1" si="19"/>
        <v>130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150</v>
      </c>
      <c r="W78" s="476">
        <f t="shared" ca="1" si="19"/>
        <v>130</v>
      </c>
      <c r="X78" s="476">
        <f t="shared" ca="1" si="19"/>
        <v>90</v>
      </c>
      <c r="Y78" s="476">
        <f t="shared" ca="1" si="19"/>
        <v>60</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Deals!AD118</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2500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f ca="1">SUM(Z90,Z93,Z96,Z99,Z102,Z107,Z112,Z117,Z122,Z127,Z132,Z137,Z142,Z147,Z152,Z157,Z162)</f>
        <v>242716.57269516497</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98</v>
      </c>
      <c r="C89" s="231">
        <f t="shared" si="20"/>
        <v>98</v>
      </c>
      <c r="D89" s="231">
        <f t="shared" si="20"/>
        <v>98</v>
      </c>
      <c r="E89" s="231">
        <f>E56</f>
        <v>97</v>
      </c>
      <c r="F89" s="231">
        <f t="shared" si="20"/>
        <v>98</v>
      </c>
      <c r="G89" s="231">
        <f t="shared" si="20"/>
        <v>97</v>
      </c>
      <c r="H89" s="231">
        <f t="shared" si="20"/>
        <v>98</v>
      </c>
      <c r="I89" s="231">
        <f t="shared" si="20"/>
        <v>97</v>
      </c>
      <c r="J89" s="231">
        <f t="shared" si="20"/>
        <v>97</v>
      </c>
      <c r="K89" s="231">
        <f t="shared" si="20"/>
        <v>97</v>
      </c>
      <c r="L89" s="231">
        <f t="shared" si="20"/>
        <v>97</v>
      </c>
      <c r="M89" s="231">
        <f>M57</f>
        <v>0</v>
      </c>
      <c r="N89" s="231">
        <f t="shared" si="20"/>
        <v>97</v>
      </c>
      <c r="O89" s="231">
        <f t="shared" si="20"/>
        <v>97</v>
      </c>
      <c r="P89" s="231">
        <f t="shared" si="20"/>
        <v>97</v>
      </c>
      <c r="Q89" s="231">
        <f t="shared" si="20"/>
        <v>97</v>
      </c>
      <c r="R89" s="231">
        <f t="shared" si="20"/>
        <v>97</v>
      </c>
      <c r="S89" s="231">
        <f t="shared" si="20"/>
        <v>97</v>
      </c>
      <c r="T89" s="231">
        <f t="shared" si="20"/>
        <v>97</v>
      </c>
      <c r="U89" s="231">
        <f t="shared" si="20"/>
        <v>97</v>
      </c>
      <c r="V89" s="231">
        <f t="shared" si="20"/>
        <v>97</v>
      </c>
      <c r="W89" s="231">
        <f t="shared" si="20"/>
        <v>97</v>
      </c>
      <c r="X89" s="231">
        <f t="shared" si="20"/>
        <v>97</v>
      </c>
      <c r="Y89" s="231">
        <f t="shared" si="20"/>
        <v>97</v>
      </c>
      <c r="Z89" s="260">
        <f t="array" ref="Z89">SUM(B89:Y89*Economics!F$28)</f>
        <v>29235.431680000012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5</v>
      </c>
      <c r="C91" s="209">
        <f t="shared" si="21"/>
        <v>-46</v>
      </c>
      <c r="D91" s="209">
        <f t="shared" si="21"/>
        <v>-96</v>
      </c>
      <c r="E91" s="209">
        <f t="shared" si="21"/>
        <v>-95</v>
      </c>
      <c r="F91" s="209">
        <f t="shared" si="21"/>
        <v>-96</v>
      </c>
      <c r="G91" s="209">
        <f t="shared" si="21"/>
        <v>-95</v>
      </c>
      <c r="H91" s="209">
        <f t="shared" si="21"/>
        <v>-46</v>
      </c>
      <c r="I91" s="209">
        <f t="shared" si="21"/>
        <v>-45</v>
      </c>
      <c r="J91" s="209">
        <f t="shared" si="21"/>
        <v>-45</v>
      </c>
      <c r="K91" s="209">
        <f t="shared" si="21"/>
        <v>-45</v>
      </c>
      <c r="L91" s="209">
        <f t="shared" si="21"/>
        <v>6</v>
      </c>
      <c r="M91" s="209">
        <f t="shared" si="21"/>
        <v>103</v>
      </c>
      <c r="N91" s="209">
        <f t="shared" si="21"/>
        <v>6</v>
      </c>
      <c r="O91" s="209">
        <f t="shared" si="21"/>
        <v>6</v>
      </c>
      <c r="P91" s="209">
        <f t="shared" si="21"/>
        <v>6</v>
      </c>
      <c r="Q91" s="209">
        <f t="shared" si="21"/>
        <v>6</v>
      </c>
      <c r="R91" s="209">
        <f t="shared" si="21"/>
        <v>6</v>
      </c>
      <c r="S91" s="209">
        <f t="shared" si="21"/>
        <v>6</v>
      </c>
      <c r="T91" s="209">
        <f t="shared" si="21"/>
        <v>6</v>
      </c>
      <c r="U91" s="209">
        <f t="shared" si="21"/>
        <v>6</v>
      </c>
      <c r="V91" s="209">
        <f t="shared" si="21"/>
        <v>-45</v>
      </c>
      <c r="W91" s="209">
        <f t="shared" si="21"/>
        <v>-45</v>
      </c>
      <c r="X91" s="209">
        <f t="shared" si="21"/>
        <v>-45</v>
      </c>
      <c r="Y91" s="209">
        <f t="shared" si="21"/>
        <v>-45</v>
      </c>
      <c r="Z91" s="263">
        <f>Z89-Z90</f>
        <v>8197.9497600000177</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65</v>
      </c>
      <c r="C95" s="181">
        <f t="shared" si="24"/>
        <v>65</v>
      </c>
      <c r="D95" s="181">
        <f t="shared" si="24"/>
        <v>65</v>
      </c>
      <c r="E95" s="181">
        <f>E53</f>
        <v>65</v>
      </c>
      <c r="F95" s="181">
        <f t="shared" si="24"/>
        <v>65</v>
      </c>
      <c r="G95" s="181">
        <f t="shared" si="24"/>
        <v>65</v>
      </c>
      <c r="H95" s="181">
        <f t="shared" si="24"/>
        <v>65</v>
      </c>
      <c r="I95" s="181">
        <f t="shared" si="24"/>
        <v>65</v>
      </c>
      <c r="J95" s="181">
        <f t="shared" si="24"/>
        <v>65</v>
      </c>
      <c r="K95" s="181">
        <f t="shared" si="24"/>
        <v>65</v>
      </c>
      <c r="L95" s="181">
        <f t="shared" si="24"/>
        <v>64</v>
      </c>
      <c r="M95" s="181">
        <f t="shared" si="24"/>
        <v>64</v>
      </c>
      <c r="N95" s="181">
        <f t="shared" si="24"/>
        <v>65</v>
      </c>
      <c r="O95" s="181">
        <f t="shared" si="24"/>
        <v>64</v>
      </c>
      <c r="P95" s="181">
        <f t="shared" si="24"/>
        <v>64</v>
      </c>
      <c r="Q95" s="181">
        <f t="shared" si="24"/>
        <v>64</v>
      </c>
      <c r="R95" s="181">
        <f t="shared" si="24"/>
        <v>64</v>
      </c>
      <c r="S95" s="181">
        <f t="shared" si="24"/>
        <v>64</v>
      </c>
      <c r="T95" s="181">
        <f t="shared" si="24"/>
        <v>64</v>
      </c>
      <c r="U95" s="181">
        <f t="shared" si="24"/>
        <v>64</v>
      </c>
      <c r="V95" s="181">
        <f t="shared" si="24"/>
        <v>64</v>
      </c>
      <c r="W95" s="181">
        <f t="shared" si="24"/>
        <v>64</v>
      </c>
      <c r="X95" s="181">
        <f t="shared" si="24"/>
        <v>64</v>
      </c>
      <c r="Y95" s="181">
        <f t="shared" si="24"/>
        <v>64</v>
      </c>
      <c r="Z95" s="262">
        <f t="array" ref="Z95">SUM(B95:Y95*Economics!F$30)</f>
        <v>9430.5120000000024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135</v>
      </c>
      <c r="C97" s="209">
        <f t="shared" si="25"/>
        <v>135</v>
      </c>
      <c r="D97" s="209">
        <f t="shared" si="25"/>
        <v>135</v>
      </c>
      <c r="E97" s="209">
        <f t="shared" si="25"/>
        <v>135</v>
      </c>
      <c r="F97" s="209">
        <f t="shared" si="25"/>
        <v>135</v>
      </c>
      <c r="G97" s="209">
        <f t="shared" si="25"/>
        <v>135</v>
      </c>
      <c r="H97" s="209">
        <f t="shared" si="25"/>
        <v>135</v>
      </c>
      <c r="I97" s="209">
        <f t="shared" si="25"/>
        <v>135</v>
      </c>
      <c r="J97" s="209">
        <f t="shared" si="25"/>
        <v>135</v>
      </c>
      <c r="K97" s="209">
        <f t="shared" si="25"/>
        <v>135</v>
      </c>
      <c r="L97" s="209">
        <f t="shared" si="25"/>
        <v>136</v>
      </c>
      <c r="M97" s="209">
        <f t="shared" si="25"/>
        <v>136</v>
      </c>
      <c r="N97" s="209">
        <f t="shared" si="25"/>
        <v>135</v>
      </c>
      <c r="O97" s="209">
        <f t="shared" si="25"/>
        <v>136</v>
      </c>
      <c r="P97" s="209">
        <f t="shared" si="25"/>
        <v>136</v>
      </c>
      <c r="Q97" s="209">
        <f t="shared" si="25"/>
        <v>136</v>
      </c>
      <c r="R97" s="209">
        <f t="shared" si="25"/>
        <v>136</v>
      </c>
      <c r="S97" s="209">
        <f t="shared" si="25"/>
        <v>136</v>
      </c>
      <c r="T97" s="209">
        <f t="shared" si="25"/>
        <v>136</v>
      </c>
      <c r="U97" s="209">
        <f t="shared" si="25"/>
        <v>136</v>
      </c>
      <c r="V97" s="209">
        <f t="shared" si="25"/>
        <v>136</v>
      </c>
      <c r="W97" s="209">
        <f t="shared" si="25"/>
        <v>136</v>
      </c>
      <c r="X97" s="209">
        <f t="shared" si="25"/>
        <v>136</v>
      </c>
      <c r="Y97" s="209">
        <f t="shared" si="25"/>
        <v>136</v>
      </c>
      <c r="Z97" s="263">
        <f>Z95-Z96</f>
        <v>-19830.288000000008</v>
      </c>
    </row>
    <row r="98" spans="1:29" x14ac:dyDescent="0.2">
      <c r="A98" s="183" t="str">
        <f>Economics!A31</f>
        <v>PV Unit 2</v>
      </c>
      <c r="B98" s="181">
        <f t="shared" ref="B98:Y98" si="26">B54</f>
        <v>65</v>
      </c>
      <c r="C98" s="181">
        <f t="shared" si="26"/>
        <v>65</v>
      </c>
      <c r="D98" s="181">
        <f t="shared" si="26"/>
        <v>65</v>
      </c>
      <c r="E98" s="181">
        <f>E54</f>
        <v>65</v>
      </c>
      <c r="F98" s="181">
        <f t="shared" si="26"/>
        <v>65</v>
      </c>
      <c r="G98" s="181">
        <f t="shared" si="26"/>
        <v>65</v>
      </c>
      <c r="H98" s="181">
        <f t="shared" si="26"/>
        <v>65</v>
      </c>
      <c r="I98" s="181">
        <f t="shared" si="26"/>
        <v>65</v>
      </c>
      <c r="J98" s="181">
        <f t="shared" si="26"/>
        <v>65</v>
      </c>
      <c r="K98" s="181">
        <f t="shared" si="26"/>
        <v>65</v>
      </c>
      <c r="L98" s="181">
        <f t="shared" si="26"/>
        <v>64</v>
      </c>
      <c r="M98" s="181">
        <f t="shared" si="26"/>
        <v>64</v>
      </c>
      <c r="N98" s="181">
        <f t="shared" si="26"/>
        <v>64</v>
      </c>
      <c r="O98" s="181">
        <f t="shared" si="26"/>
        <v>64</v>
      </c>
      <c r="P98" s="181">
        <f t="shared" si="26"/>
        <v>64</v>
      </c>
      <c r="Q98" s="181">
        <f t="shared" si="26"/>
        <v>64</v>
      </c>
      <c r="R98" s="181">
        <f t="shared" si="26"/>
        <v>64</v>
      </c>
      <c r="S98" s="181">
        <f t="shared" si="26"/>
        <v>64</v>
      </c>
      <c r="T98" s="181">
        <f t="shared" si="26"/>
        <v>64</v>
      </c>
      <c r="U98" s="181">
        <f t="shared" si="26"/>
        <v>64</v>
      </c>
      <c r="V98" s="181">
        <f t="shared" si="26"/>
        <v>64</v>
      </c>
      <c r="W98" s="181">
        <f t="shared" si="26"/>
        <v>64</v>
      </c>
      <c r="X98" s="181">
        <f t="shared" si="26"/>
        <v>64</v>
      </c>
      <c r="Y98" s="181">
        <f t="shared" si="26"/>
        <v>64</v>
      </c>
      <c r="Z98" s="262">
        <f t="array" ref="Z98">SUM(B98:Y98*Economics!F$31)</f>
        <v>9424.4160000000029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129</v>
      </c>
      <c r="C100" s="209">
        <f t="shared" si="27"/>
        <v>129</v>
      </c>
      <c r="D100" s="209">
        <f t="shared" si="27"/>
        <v>129</v>
      </c>
      <c r="E100" s="209">
        <f t="shared" si="27"/>
        <v>129</v>
      </c>
      <c r="F100" s="209">
        <f t="shared" si="27"/>
        <v>130</v>
      </c>
      <c r="G100" s="209">
        <f t="shared" si="27"/>
        <v>130</v>
      </c>
      <c r="H100" s="209">
        <f t="shared" si="27"/>
        <v>130</v>
      </c>
      <c r="I100" s="209">
        <f t="shared" si="27"/>
        <v>130</v>
      </c>
      <c r="J100" s="209">
        <f t="shared" si="27"/>
        <v>130</v>
      </c>
      <c r="K100" s="209">
        <f t="shared" si="27"/>
        <v>130</v>
      </c>
      <c r="L100" s="209">
        <f t="shared" si="27"/>
        <v>131</v>
      </c>
      <c r="M100" s="209">
        <f t="shared" si="27"/>
        <v>131</v>
      </c>
      <c r="N100" s="209">
        <f t="shared" si="27"/>
        <v>131</v>
      </c>
      <c r="O100" s="209">
        <f t="shared" si="27"/>
        <v>131</v>
      </c>
      <c r="P100" s="209">
        <f t="shared" si="27"/>
        <v>131</v>
      </c>
      <c r="Q100" s="209">
        <f t="shared" si="27"/>
        <v>131</v>
      </c>
      <c r="R100" s="209">
        <f t="shared" si="27"/>
        <v>131</v>
      </c>
      <c r="S100" s="209">
        <f t="shared" si="27"/>
        <v>131</v>
      </c>
      <c r="T100" s="209">
        <f t="shared" si="27"/>
        <v>131</v>
      </c>
      <c r="U100" s="209">
        <f t="shared" si="27"/>
        <v>131</v>
      </c>
      <c r="V100" s="209">
        <f t="shared" si="27"/>
        <v>131</v>
      </c>
      <c r="W100" s="209">
        <f t="shared" si="27"/>
        <v>131</v>
      </c>
      <c r="X100" s="209">
        <f t="shared" si="27"/>
        <v>131</v>
      </c>
      <c r="Y100" s="209">
        <f t="shared" si="27"/>
        <v>131</v>
      </c>
      <c r="Z100" s="263">
        <f>Z98-Z99</f>
        <v>-19080.480000000003</v>
      </c>
    </row>
    <row r="101" spans="1:29" x14ac:dyDescent="0.2">
      <c r="A101" s="183" t="str">
        <f>Economics!A32</f>
        <v>PV Unit 3</v>
      </c>
      <c r="B101" s="181">
        <f t="shared" ref="B101:Y101" si="28">B55</f>
        <v>65</v>
      </c>
      <c r="C101" s="181">
        <f t="shared" si="28"/>
        <v>65</v>
      </c>
      <c r="D101" s="181">
        <f t="shared" si="28"/>
        <v>65</v>
      </c>
      <c r="E101" s="181">
        <f>E55</f>
        <v>65</v>
      </c>
      <c r="F101" s="181">
        <f t="shared" si="28"/>
        <v>65</v>
      </c>
      <c r="G101" s="181">
        <f t="shared" si="28"/>
        <v>65</v>
      </c>
      <c r="H101" s="181">
        <f t="shared" si="28"/>
        <v>65</v>
      </c>
      <c r="I101" s="181">
        <f t="shared" si="28"/>
        <v>65</v>
      </c>
      <c r="J101" s="181">
        <f t="shared" si="28"/>
        <v>65</v>
      </c>
      <c r="K101" s="181">
        <f t="shared" si="28"/>
        <v>65</v>
      </c>
      <c r="L101" s="181">
        <f t="shared" si="28"/>
        <v>64</v>
      </c>
      <c r="M101" s="181">
        <f t="shared" si="28"/>
        <v>65</v>
      </c>
      <c r="N101" s="181">
        <f t="shared" si="28"/>
        <v>64</v>
      </c>
      <c r="O101" s="181">
        <f t="shared" si="28"/>
        <v>65</v>
      </c>
      <c r="P101" s="181">
        <f t="shared" si="28"/>
        <v>64</v>
      </c>
      <c r="Q101" s="181">
        <f t="shared" si="28"/>
        <v>64</v>
      </c>
      <c r="R101" s="181">
        <f t="shared" si="28"/>
        <v>64</v>
      </c>
      <c r="S101" s="181">
        <f t="shared" si="28"/>
        <v>64</v>
      </c>
      <c r="T101" s="181">
        <f t="shared" si="28"/>
        <v>64</v>
      </c>
      <c r="U101" s="181">
        <f t="shared" si="28"/>
        <v>64</v>
      </c>
      <c r="V101" s="181">
        <f t="shared" si="28"/>
        <v>64</v>
      </c>
      <c r="W101" s="181">
        <f t="shared" si="28"/>
        <v>64</v>
      </c>
      <c r="X101" s="181">
        <f t="shared" si="28"/>
        <v>64</v>
      </c>
      <c r="Y101" s="181">
        <f t="shared" si="28"/>
        <v>64</v>
      </c>
      <c r="Z101" s="262">
        <f t="array" ref="Z101">SUM(B101:Y101*Economics!F$32)</f>
        <v>9436.608000000002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135</v>
      </c>
      <c r="C103" s="209">
        <f t="shared" si="29"/>
        <v>135</v>
      </c>
      <c r="D103" s="209">
        <f t="shared" si="29"/>
        <v>135</v>
      </c>
      <c r="E103" s="209">
        <f t="shared" si="29"/>
        <v>135</v>
      </c>
      <c r="F103" s="209">
        <f t="shared" si="29"/>
        <v>135</v>
      </c>
      <c r="G103" s="209">
        <f t="shared" si="29"/>
        <v>135</v>
      </c>
      <c r="H103" s="209">
        <f t="shared" si="29"/>
        <v>135</v>
      </c>
      <c r="I103" s="209">
        <f t="shared" si="29"/>
        <v>135</v>
      </c>
      <c r="J103" s="209">
        <f t="shared" si="29"/>
        <v>135</v>
      </c>
      <c r="K103" s="209">
        <f t="shared" si="29"/>
        <v>135</v>
      </c>
      <c r="L103" s="209">
        <f t="shared" si="29"/>
        <v>136</v>
      </c>
      <c r="M103" s="209">
        <f t="shared" si="29"/>
        <v>135</v>
      </c>
      <c r="N103" s="209">
        <f t="shared" si="29"/>
        <v>136</v>
      </c>
      <c r="O103" s="209">
        <f t="shared" si="29"/>
        <v>135</v>
      </c>
      <c r="P103" s="209">
        <f t="shared" si="29"/>
        <v>136</v>
      </c>
      <c r="Q103" s="209">
        <f t="shared" si="29"/>
        <v>136</v>
      </c>
      <c r="R103" s="209">
        <f t="shared" si="29"/>
        <v>136</v>
      </c>
      <c r="S103" s="209">
        <f t="shared" si="29"/>
        <v>136</v>
      </c>
      <c r="T103" s="209">
        <f t="shared" si="29"/>
        <v>136</v>
      </c>
      <c r="U103" s="209">
        <f t="shared" si="29"/>
        <v>136</v>
      </c>
      <c r="V103" s="209">
        <f t="shared" si="29"/>
        <v>136</v>
      </c>
      <c r="W103" s="209">
        <f t="shared" si="29"/>
        <v>136</v>
      </c>
      <c r="X103" s="209">
        <f t="shared" si="29"/>
        <v>136</v>
      </c>
      <c r="Y103" s="209">
        <f t="shared" si="29"/>
        <v>136</v>
      </c>
      <c r="Z103" s="263">
        <f>Z101-Z102</f>
        <v>-19824.19200000001</v>
      </c>
    </row>
    <row r="104" spans="1:29" x14ac:dyDescent="0.2">
      <c r="A104" s="183" t="str">
        <f>Economics!A34</f>
        <v>Newman 1</v>
      </c>
      <c r="B104" s="181">
        <v>31</v>
      </c>
      <c r="C104" s="181">
        <f t="shared" ref="C104:R104" si="30">C41</f>
        <v>38</v>
      </c>
      <c r="D104" s="181">
        <f t="shared" si="30"/>
        <v>39</v>
      </c>
      <c r="E104" s="181">
        <f>E41</f>
        <v>39</v>
      </c>
      <c r="F104" s="181">
        <f t="shared" si="30"/>
        <v>39</v>
      </c>
      <c r="G104" s="181">
        <f t="shared" si="30"/>
        <v>53</v>
      </c>
      <c r="H104" s="181">
        <f t="shared" si="30"/>
        <v>60</v>
      </c>
      <c r="I104" s="181">
        <f>I41</f>
        <v>37</v>
      </c>
      <c r="J104" s="181">
        <f t="shared" si="30"/>
        <v>36</v>
      </c>
      <c r="K104" s="181">
        <f t="shared" si="30"/>
        <v>45</v>
      </c>
      <c r="L104" s="181">
        <f t="shared" si="30"/>
        <v>36</v>
      </c>
      <c r="M104" s="181">
        <f t="shared" si="30"/>
        <v>40</v>
      </c>
      <c r="N104" s="181">
        <f t="shared" si="30"/>
        <v>39</v>
      </c>
      <c r="O104" s="181">
        <f t="shared" si="30"/>
        <v>36</v>
      </c>
      <c r="P104" s="181">
        <f t="shared" si="30"/>
        <v>42</v>
      </c>
      <c r="Q104" s="181">
        <f t="shared" si="30"/>
        <v>37</v>
      </c>
      <c r="R104" s="181">
        <f t="shared" si="30"/>
        <v>36</v>
      </c>
      <c r="S104" s="181">
        <v>34</v>
      </c>
      <c r="T104" s="181">
        <v>34</v>
      </c>
      <c r="U104" s="181">
        <v>34</v>
      </c>
      <c r="V104" s="181">
        <v>34</v>
      </c>
      <c r="W104" s="181">
        <f>W41</f>
        <v>38</v>
      </c>
      <c r="X104" s="181">
        <f>X41</f>
        <v>59</v>
      </c>
      <c r="Y104" s="181">
        <f>Y41</f>
        <v>42</v>
      </c>
      <c r="Z104" s="222">
        <f>SUM(B104:Y104)</f>
        <v>958</v>
      </c>
      <c r="AA104" s="321" t="s">
        <v>166</v>
      </c>
    </row>
    <row r="105" spans="1:29" x14ac:dyDescent="0.2">
      <c r="A105" s="185">
        <f>Economics!$I34</f>
        <v>1.96</v>
      </c>
      <c r="B105" s="189">
        <f t="shared" ref="B105:Y105" ca="1" si="31">IndGencost(B104,OFFSET(HeatRateStart,1,MATCH($A104,HeatRateNames,0)-1,250,1),$A105)</f>
        <v>23.547401890555044</v>
      </c>
      <c r="C105" s="189">
        <f t="shared" ca="1" si="31"/>
        <v>23.075264070160518</v>
      </c>
      <c r="D105" s="189">
        <f t="shared" ca="1" si="31"/>
        <v>23.022853483985266</v>
      </c>
      <c r="E105" s="189">
        <f ca="1">IndGencost(E104,OFFSET(HeatRateStart,1,MATCH($A104,HeatRateNames,0)-1,250,1),$A105)</f>
        <v>23.022853483985266</v>
      </c>
      <c r="F105" s="189">
        <f t="shared" ca="1" si="31"/>
        <v>23.022853483985266</v>
      </c>
      <c r="G105" s="189">
        <f t="shared" ca="1" si="31"/>
        <v>22.519990317546014</v>
      </c>
      <c r="H105" s="189">
        <f t="shared" ca="1" si="31"/>
        <v>22.370917768732706</v>
      </c>
      <c r="I105" s="189">
        <f t="shared" ca="1" si="31"/>
        <v>23.130824439378429</v>
      </c>
      <c r="J105" s="189">
        <f t="shared" ca="1" si="31"/>
        <v>23.189797073559234</v>
      </c>
      <c r="K105" s="189">
        <f t="shared" ca="1" si="31"/>
        <v>22.76277622080379</v>
      </c>
      <c r="L105" s="189">
        <f t="shared" ca="1" si="31"/>
        <v>23.189797073559234</v>
      </c>
      <c r="M105" s="189">
        <f t="shared" ca="1" si="31"/>
        <v>22.97335644712448</v>
      </c>
      <c r="N105" s="189">
        <f t="shared" ca="1" si="31"/>
        <v>23.022853483985266</v>
      </c>
      <c r="O105" s="189">
        <f t="shared" ca="1" si="31"/>
        <v>23.189797073559234</v>
      </c>
      <c r="P105" s="189">
        <f t="shared" ca="1" si="31"/>
        <v>22.882270578685034</v>
      </c>
      <c r="Q105" s="189">
        <f t="shared" ca="1" si="31"/>
        <v>23.130824439378429</v>
      </c>
      <c r="R105" s="189">
        <f t="shared" ca="1" si="31"/>
        <v>23.189797073559234</v>
      </c>
      <c r="S105" s="189">
        <f t="shared" ca="1" si="31"/>
        <v>23.319183465619929</v>
      </c>
      <c r="T105" s="189">
        <f t="shared" ca="1" si="31"/>
        <v>23.319183465619929</v>
      </c>
      <c r="U105" s="189">
        <f t="shared" ca="1" si="31"/>
        <v>23.319183465619929</v>
      </c>
      <c r="V105" s="189">
        <f t="shared" ca="1" si="31"/>
        <v>23.319183465619929</v>
      </c>
      <c r="W105" s="189">
        <f t="shared" ca="1" si="31"/>
        <v>23.075264070160518</v>
      </c>
      <c r="X105" s="189">
        <f t="shared" ca="1" si="31"/>
        <v>22.389452171353323</v>
      </c>
      <c r="Y105" s="189">
        <f t="shared" ca="1" si="31"/>
        <v>22.882270578685034</v>
      </c>
      <c r="Z105" s="262">
        <f t="array" aca="1" ref="Z105" ca="1">SUM(B104:Y104*B105:Y105)</f>
        <v>22019.837557366387</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5" thickBot="1" x14ac:dyDescent="0.25">
      <c r="A108" s="187" t="s">
        <v>165</v>
      </c>
      <c r="B108" s="188">
        <f t="shared" ref="B108:Y108" ca="1" si="33">B107-B105</f>
        <v>8.6997236101804987E-2</v>
      </c>
      <c r="C108" s="188">
        <f t="shared" ca="1" si="33"/>
        <v>0.55913505649633066</v>
      </c>
      <c r="D108" s="188">
        <f t="shared" ca="1" si="33"/>
        <v>0.61154564267158307</v>
      </c>
      <c r="E108" s="188">
        <f t="shared" ca="1" si="33"/>
        <v>0.61154564267158307</v>
      </c>
      <c r="F108" s="188">
        <f t="shared" ca="1" si="33"/>
        <v>0.61154564267158307</v>
      </c>
      <c r="G108" s="188">
        <f t="shared" ca="1" si="33"/>
        <v>1.1144088091108344</v>
      </c>
      <c r="H108" s="188">
        <f t="shared" ca="1" si="33"/>
        <v>1.2634813579241424</v>
      </c>
      <c r="I108" s="188">
        <f t="shared" ca="1" si="33"/>
        <v>0.50357468727841947</v>
      </c>
      <c r="J108" s="188">
        <f t="shared" ca="1" si="33"/>
        <v>0.44460205309761491</v>
      </c>
      <c r="K108" s="188">
        <f t="shared" ca="1" si="33"/>
        <v>0.87162290585305868</v>
      </c>
      <c r="L108" s="188">
        <f t="shared" ca="1" si="33"/>
        <v>0.44460205309761491</v>
      </c>
      <c r="M108" s="188">
        <f t="shared" ca="1" si="33"/>
        <v>0.66104267953236828</v>
      </c>
      <c r="N108" s="188">
        <f t="shared" ca="1" si="33"/>
        <v>0.61154564267158307</v>
      </c>
      <c r="O108" s="188">
        <f t="shared" ca="1" si="33"/>
        <v>0.44460205309761491</v>
      </c>
      <c r="P108" s="188">
        <f t="shared" ca="1" si="33"/>
        <v>0.7521285479718145</v>
      </c>
      <c r="Q108" s="188">
        <f t="shared" ca="1" si="33"/>
        <v>0.50357468727841947</v>
      </c>
      <c r="R108" s="188">
        <f t="shared" ca="1" si="33"/>
        <v>0.44460205309761491</v>
      </c>
      <c r="S108" s="188">
        <f t="shared" ca="1" si="33"/>
        <v>0.31521566103691967</v>
      </c>
      <c r="T108" s="188">
        <f t="shared" ca="1" si="33"/>
        <v>0.31521566103691967</v>
      </c>
      <c r="U108" s="188">
        <f t="shared" ca="1" si="33"/>
        <v>0.31521566103691967</v>
      </c>
      <c r="V108" s="188">
        <f t="shared" ca="1" si="33"/>
        <v>0.31521566103691967</v>
      </c>
      <c r="W108" s="188">
        <f t="shared" ca="1" si="33"/>
        <v>0.55913505649633066</v>
      </c>
      <c r="X108" s="188">
        <f t="shared" ca="1" si="33"/>
        <v>1.2449469553035257</v>
      </c>
      <c r="Y108" s="188">
        <f t="shared" ca="1" si="33"/>
        <v>0.7521285479718145</v>
      </c>
      <c r="Z108" s="263">
        <f ca="1">Z105-Z107</f>
        <v>5003.0701861734597</v>
      </c>
    </row>
    <row r="109" spans="1:29" x14ac:dyDescent="0.2">
      <c r="A109" s="183" t="str">
        <f>Economics!A35</f>
        <v>Newman 2</v>
      </c>
      <c r="B109" s="181">
        <f>B42</f>
        <v>38</v>
      </c>
      <c r="C109" s="181">
        <f t="shared" ref="C109:Y109" si="34">C42</f>
        <v>38</v>
      </c>
      <c r="D109" s="181">
        <f t="shared" si="34"/>
        <v>37</v>
      </c>
      <c r="E109" s="181">
        <f>E42</f>
        <v>38</v>
      </c>
      <c r="F109" s="181">
        <f t="shared" si="34"/>
        <v>39</v>
      </c>
      <c r="G109" s="181">
        <f t="shared" si="34"/>
        <v>77</v>
      </c>
      <c r="H109" s="181">
        <f t="shared" si="34"/>
        <v>73</v>
      </c>
      <c r="I109" s="181">
        <f>I42</f>
        <v>54</v>
      </c>
      <c r="J109" s="181">
        <f t="shared" si="34"/>
        <v>35</v>
      </c>
      <c r="K109" s="181">
        <f t="shared" si="34"/>
        <v>36</v>
      </c>
      <c r="L109" s="181">
        <f t="shared" si="34"/>
        <v>36</v>
      </c>
      <c r="M109" s="181">
        <f t="shared" si="34"/>
        <v>38</v>
      </c>
      <c r="N109" s="181">
        <f t="shared" si="34"/>
        <v>37</v>
      </c>
      <c r="O109" s="181">
        <f t="shared" si="34"/>
        <v>48</v>
      </c>
      <c r="P109" s="181">
        <f t="shared" si="34"/>
        <v>44</v>
      </c>
      <c r="Q109" s="181">
        <f t="shared" si="34"/>
        <v>37</v>
      </c>
      <c r="R109" s="181">
        <f t="shared" si="34"/>
        <v>35</v>
      </c>
      <c r="S109" s="181">
        <f t="shared" si="34"/>
        <v>38</v>
      </c>
      <c r="T109" s="181">
        <f t="shared" si="34"/>
        <v>36</v>
      </c>
      <c r="U109" s="181">
        <f t="shared" si="34"/>
        <v>36</v>
      </c>
      <c r="V109" s="181">
        <f t="shared" si="34"/>
        <v>36</v>
      </c>
      <c r="W109" s="181">
        <f t="shared" si="34"/>
        <v>38</v>
      </c>
      <c r="X109" s="181">
        <f t="shared" si="34"/>
        <v>63</v>
      </c>
      <c r="Y109" s="181">
        <f t="shared" si="34"/>
        <v>40</v>
      </c>
      <c r="Z109" s="222">
        <f>SUM(B109:Y109)</f>
        <v>1027</v>
      </c>
      <c r="AA109" s="321" t="s">
        <v>170</v>
      </c>
    </row>
    <row r="110" spans="1:29" x14ac:dyDescent="0.2">
      <c r="A110" s="185">
        <f>Economics!$I35</f>
        <v>1.96</v>
      </c>
      <c r="B110" s="189">
        <f t="shared" ref="B110:Y110" ca="1" si="35">IndGencost(B109,OFFSET(HeatRateStart,1,MATCH($A109,HeatRateNames,0)-1,250,1),$A110)</f>
        <v>21.103691779156737</v>
      </c>
      <c r="C110" s="189">
        <f t="shared" ca="1" si="35"/>
        <v>21.103691779156737</v>
      </c>
      <c r="D110" s="189">
        <f t="shared" ca="1" si="35"/>
        <v>21.160356411838535</v>
      </c>
      <c r="E110" s="189">
        <f ca="1">IndGencost(E109,OFFSET(HeatRateStart,1,MATCH($A109,HeatRateNames,0)-1,250,1),$A110)</f>
        <v>21.103691779156737</v>
      </c>
      <c r="F110" s="189">
        <f t="shared" ca="1" si="35"/>
        <v>21.050465743033094</v>
      </c>
      <c r="G110" s="189">
        <f t="shared" ca="1" si="35"/>
        <v>20.252240030527737</v>
      </c>
      <c r="H110" s="189">
        <f t="shared" ca="1" si="35"/>
        <v>20.277776449455629</v>
      </c>
      <c r="I110" s="189">
        <f t="shared" ca="1" si="35"/>
        <v>20.534804251515428</v>
      </c>
      <c r="J110" s="189">
        <f t="shared" ca="1" si="35"/>
        <v>21.285180414267952</v>
      </c>
      <c r="K110" s="189">
        <f t="shared" ca="1" si="35"/>
        <v>21.220746190791662</v>
      </c>
      <c r="L110" s="189">
        <f t="shared" ca="1" si="35"/>
        <v>21.220746190791662</v>
      </c>
      <c r="M110" s="189">
        <f t="shared" ca="1" si="35"/>
        <v>21.103691779156737</v>
      </c>
      <c r="N110" s="189">
        <f t="shared" ca="1" si="35"/>
        <v>21.160356411838535</v>
      </c>
      <c r="O110" s="189">
        <f t="shared" ca="1" si="35"/>
        <v>20.690707736031218</v>
      </c>
      <c r="P110" s="189">
        <f t="shared" ca="1" si="35"/>
        <v>20.827708769000662</v>
      </c>
      <c r="Q110" s="189">
        <f t="shared" ca="1" si="35"/>
        <v>21.160356411838535</v>
      </c>
      <c r="R110" s="189">
        <f t="shared" ca="1" si="35"/>
        <v>21.285180414267952</v>
      </c>
      <c r="S110" s="189">
        <f t="shared" ca="1" si="35"/>
        <v>21.103691779156737</v>
      </c>
      <c r="T110" s="189">
        <f t="shared" ca="1" si="35"/>
        <v>21.220746190791662</v>
      </c>
      <c r="U110" s="189">
        <f t="shared" ca="1" si="35"/>
        <v>21.220746190791662</v>
      </c>
      <c r="V110" s="189">
        <f t="shared" ca="1" si="35"/>
        <v>21.220746190791662</v>
      </c>
      <c r="W110" s="189">
        <f t="shared" ca="1" si="35"/>
        <v>21.103691779156737</v>
      </c>
      <c r="X110" s="189">
        <f t="shared" ca="1" si="35"/>
        <v>20.378888841073479</v>
      </c>
      <c r="Y110" s="189">
        <f t="shared" ca="1" si="35"/>
        <v>21.000420408725741</v>
      </c>
      <c r="Z110" s="262">
        <f t="array" aca="1" ref="Z110" ca="1">SUM(B109:Y109*B110:Y110)</f>
        <v>21473.145957926274</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5" thickBot="1" x14ac:dyDescent="0.25">
      <c r="A113" s="187" t="s">
        <v>165</v>
      </c>
      <c r="B113" s="188">
        <f t="shared" ref="B113:Y113" ca="1" si="37">B112-B110</f>
        <v>0.48749793138957287</v>
      </c>
      <c r="C113" s="188">
        <f t="shared" ca="1" si="37"/>
        <v>0.48749793138957287</v>
      </c>
      <c r="D113" s="188">
        <f t="shared" ca="1" si="37"/>
        <v>0.43083329870777476</v>
      </c>
      <c r="E113" s="188">
        <f t="shared" ca="1" si="37"/>
        <v>0.48749793138957287</v>
      </c>
      <c r="F113" s="188">
        <f t="shared" ca="1" si="37"/>
        <v>0.54072396751321605</v>
      </c>
      <c r="G113" s="188">
        <f t="shared" ca="1" si="37"/>
        <v>1.3389496800185725</v>
      </c>
      <c r="H113" s="188">
        <f t="shared" ca="1" si="37"/>
        <v>1.3134132610906804</v>
      </c>
      <c r="I113" s="188">
        <f t="shared" ca="1" si="37"/>
        <v>1.0563854590308814</v>
      </c>
      <c r="J113" s="188">
        <f t="shared" ca="1" si="37"/>
        <v>0.30600929627835782</v>
      </c>
      <c r="K113" s="188">
        <f t="shared" ca="1" si="37"/>
        <v>0.37044351975464807</v>
      </c>
      <c r="L113" s="188">
        <f t="shared" ca="1" si="37"/>
        <v>0.37044351975464807</v>
      </c>
      <c r="M113" s="188">
        <f t="shared" ca="1" si="37"/>
        <v>0.48749793138957287</v>
      </c>
      <c r="N113" s="188">
        <f t="shared" ca="1" si="37"/>
        <v>0.43083329870777476</v>
      </c>
      <c r="O113" s="188">
        <f t="shared" ca="1" si="37"/>
        <v>0.90048197451509182</v>
      </c>
      <c r="P113" s="188">
        <f t="shared" ca="1" si="37"/>
        <v>0.76348094154564805</v>
      </c>
      <c r="Q113" s="188">
        <f t="shared" ca="1" si="37"/>
        <v>0.43083329870777476</v>
      </c>
      <c r="R113" s="188">
        <f t="shared" ca="1" si="37"/>
        <v>0.30600929627835782</v>
      </c>
      <c r="S113" s="188">
        <f t="shared" ca="1" si="37"/>
        <v>0.48749793138957287</v>
      </c>
      <c r="T113" s="188">
        <f t="shared" ca="1" si="37"/>
        <v>0.37044351975464807</v>
      </c>
      <c r="U113" s="188">
        <f t="shared" ca="1" si="37"/>
        <v>0.37044351975464807</v>
      </c>
      <c r="V113" s="188">
        <f t="shared" ca="1" si="37"/>
        <v>0.37044351975464807</v>
      </c>
      <c r="W113" s="188">
        <f t="shared" ca="1" si="37"/>
        <v>0.48749793138957287</v>
      </c>
      <c r="X113" s="188">
        <f t="shared" ca="1" si="37"/>
        <v>1.2123008694728306</v>
      </c>
      <c r="Y113" s="188">
        <f t="shared" ca="1" si="37"/>
        <v>0.59076930182056842</v>
      </c>
      <c r="Z113" s="263">
        <f ca="1">Z110-Z112</f>
        <v>5409.3008132798095</v>
      </c>
      <c r="AC113" s="174"/>
    </row>
    <row r="114" spans="1:29" x14ac:dyDescent="0.2">
      <c r="A114" s="183" t="str">
        <f>Economics!A36</f>
        <v>Newman 3</v>
      </c>
      <c r="B114" s="181">
        <f t="shared" ref="B114:Y114" si="38">B43</f>
        <v>71</v>
      </c>
      <c r="C114" s="181">
        <f t="shared" si="38"/>
        <v>54</v>
      </c>
      <c r="D114" s="181">
        <f t="shared" si="38"/>
        <v>35</v>
      </c>
      <c r="E114" s="181">
        <f>E43</f>
        <v>46</v>
      </c>
      <c r="F114" s="181">
        <f t="shared" si="38"/>
        <v>86</v>
      </c>
      <c r="G114" s="181">
        <f t="shared" si="38"/>
        <v>100</v>
      </c>
      <c r="H114" s="181">
        <f t="shared" si="38"/>
        <v>96</v>
      </c>
      <c r="I114" s="181">
        <f t="shared" si="38"/>
        <v>68</v>
      </c>
      <c r="J114" s="181">
        <f t="shared" si="38"/>
        <v>43</v>
      </c>
      <c r="K114" s="181">
        <f t="shared" si="38"/>
        <v>57</v>
      </c>
      <c r="L114" s="181">
        <f t="shared" si="38"/>
        <v>88</v>
      </c>
      <c r="M114" s="181">
        <f t="shared" si="38"/>
        <v>94</v>
      </c>
      <c r="N114" s="181">
        <f t="shared" si="38"/>
        <v>97</v>
      </c>
      <c r="O114" s="181">
        <f t="shared" si="38"/>
        <v>99</v>
      </c>
      <c r="P114" s="181">
        <f t="shared" si="38"/>
        <v>100</v>
      </c>
      <c r="Q114" s="181">
        <f t="shared" si="38"/>
        <v>99</v>
      </c>
      <c r="R114" s="181">
        <f t="shared" si="38"/>
        <v>45</v>
      </c>
      <c r="S114" s="181">
        <f t="shared" si="38"/>
        <v>82</v>
      </c>
      <c r="T114" s="181">
        <f t="shared" si="38"/>
        <v>86</v>
      </c>
      <c r="U114" s="181">
        <f t="shared" si="38"/>
        <v>85</v>
      </c>
      <c r="V114" s="181">
        <f t="shared" si="38"/>
        <v>42</v>
      </c>
      <c r="W114" s="181">
        <f t="shared" si="38"/>
        <v>50</v>
      </c>
      <c r="X114" s="181">
        <f t="shared" si="38"/>
        <v>100</v>
      </c>
      <c r="Y114" s="181">
        <f t="shared" si="38"/>
        <v>68</v>
      </c>
      <c r="Z114" s="222">
        <f>SUM(B114:Y114)</f>
        <v>1791</v>
      </c>
      <c r="AA114" s="321" t="s">
        <v>172</v>
      </c>
    </row>
    <row r="115" spans="1:29" x14ac:dyDescent="0.2">
      <c r="A115" s="185">
        <f>Economics!$I36</f>
        <v>1.96</v>
      </c>
      <c r="B115" s="189">
        <f t="shared" ref="B115:Y115" ca="1" si="39">IndGencost(B114,OFFSET(HeatRateStart,1,MATCH($A114,HeatRateNames,0)-1,250,1),$A115)</f>
        <v>19.836939541010789</v>
      </c>
      <c r="C115" s="189">
        <f t="shared" ca="1" si="39"/>
        <v>20.278668542826619</v>
      </c>
      <c r="D115" s="189">
        <f t="shared" ca="1" si="39"/>
        <v>21.778120423861914</v>
      </c>
      <c r="E115" s="189">
        <f ca="1">IndGencost(E114,OFFSET(HeatRateStart,1,MATCH($A114,HeatRateNames,0)-1,250,1),$A115)</f>
        <v>20.710297794383504</v>
      </c>
      <c r="F115" s="189">
        <f t="shared" ca="1" si="39"/>
        <v>19.734419918969621</v>
      </c>
      <c r="G115" s="189">
        <f t="shared" ca="1" si="39"/>
        <v>19.769932384777071</v>
      </c>
      <c r="H115" s="189">
        <f t="shared" ca="1" si="39"/>
        <v>19.750226217726865</v>
      </c>
      <c r="I115" s="189">
        <f t="shared" ca="1" si="39"/>
        <v>19.883105092862071</v>
      </c>
      <c r="J115" s="189">
        <f t="shared" ca="1" si="39"/>
        <v>20.933119477183322</v>
      </c>
      <c r="K115" s="189">
        <f t="shared" ca="1" si="39"/>
        <v>20.16279548014256</v>
      </c>
      <c r="L115" s="189">
        <f t="shared" ca="1" si="39"/>
        <v>19.733235838608309</v>
      </c>
      <c r="M115" s="189">
        <f t="shared" ca="1" si="39"/>
        <v>19.742996979997514</v>
      </c>
      <c r="N115" s="189">
        <f t="shared" ca="1" si="39"/>
        <v>19.754517085507974</v>
      </c>
      <c r="O115" s="189">
        <f t="shared" ca="1" si="39"/>
        <v>19.764383010931688</v>
      </c>
      <c r="P115" s="189">
        <f t="shared" ca="1" si="39"/>
        <v>19.769932384777071</v>
      </c>
      <c r="Q115" s="189">
        <f t="shared" ca="1" si="39"/>
        <v>19.764383010931688</v>
      </c>
      <c r="R115" s="189">
        <f t="shared" ca="1" si="39"/>
        <v>20.780138182216223</v>
      </c>
      <c r="S115" s="189">
        <f t="shared" ca="1" si="39"/>
        <v>19.744418920865876</v>
      </c>
      <c r="T115" s="189">
        <f t="shared" ca="1" si="39"/>
        <v>19.734419918969621</v>
      </c>
      <c r="U115" s="189">
        <f t="shared" ca="1" si="39"/>
        <v>19.735932148821213</v>
      </c>
      <c r="V115" s="189">
        <f t="shared" ca="1" si="39"/>
        <v>21.01689374237969</v>
      </c>
      <c r="W115" s="189">
        <f t="shared" ca="1" si="39"/>
        <v>20.469064398384099</v>
      </c>
      <c r="X115" s="189">
        <f t="shared" ca="1" si="39"/>
        <v>19.769932384777071</v>
      </c>
      <c r="Y115" s="189">
        <f t="shared" ca="1" si="39"/>
        <v>19.883105092862071</v>
      </c>
      <c r="Z115" s="262">
        <f t="array" aca="1" ref="Z115" ca="1">SUM(B114:Y114*B115:Y115)</f>
        <v>35752.974175850861</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5" thickBot="1" x14ac:dyDescent="0.25">
      <c r="A118" s="187" t="s">
        <v>165</v>
      </c>
      <c r="B118" s="188">
        <f t="shared" ref="B118:Y118" ca="1" si="41">B117-B115</f>
        <v>-19.836939541010789</v>
      </c>
      <c r="C118" s="188">
        <f t="shared" ca="1" si="41"/>
        <v>-20.278668542826619</v>
      </c>
      <c r="D118" s="188">
        <f t="shared" ca="1" si="41"/>
        <v>-21.778120423861914</v>
      </c>
      <c r="E118" s="188">
        <f t="shared" ca="1" si="41"/>
        <v>-20.710297794383504</v>
      </c>
      <c r="F118" s="188">
        <f t="shared" ca="1" si="41"/>
        <v>-19.734419918969621</v>
      </c>
      <c r="G118" s="188">
        <f t="shared" ca="1" si="41"/>
        <v>-19.769932384777071</v>
      </c>
      <c r="H118" s="188">
        <f t="shared" ca="1" si="41"/>
        <v>-19.750226217726865</v>
      </c>
      <c r="I118" s="188">
        <f t="shared" ca="1" si="41"/>
        <v>-19.883105092862071</v>
      </c>
      <c r="J118" s="188">
        <f t="shared" ca="1" si="41"/>
        <v>-20.933119477183322</v>
      </c>
      <c r="K118" s="188">
        <f t="shared" ca="1" si="41"/>
        <v>-20.16279548014256</v>
      </c>
      <c r="L118" s="188">
        <f t="shared" ca="1" si="41"/>
        <v>-19.733235838608309</v>
      </c>
      <c r="M118" s="188">
        <f t="shared" ca="1" si="41"/>
        <v>-19.742996979997514</v>
      </c>
      <c r="N118" s="188">
        <f t="shared" ca="1" si="41"/>
        <v>-19.754517085507974</v>
      </c>
      <c r="O118" s="188">
        <f t="shared" ca="1" si="41"/>
        <v>-19.764383010931688</v>
      </c>
      <c r="P118" s="188">
        <f t="shared" ca="1" si="41"/>
        <v>-19.769932384777071</v>
      </c>
      <c r="Q118" s="188">
        <f t="shared" ca="1" si="41"/>
        <v>-19.764383010931688</v>
      </c>
      <c r="R118" s="188">
        <f t="shared" ca="1" si="41"/>
        <v>-20.780138182216223</v>
      </c>
      <c r="S118" s="188">
        <f t="shared" ca="1" si="41"/>
        <v>-19.744418920865876</v>
      </c>
      <c r="T118" s="188">
        <f t="shared" ca="1" si="41"/>
        <v>-19.734419918969621</v>
      </c>
      <c r="U118" s="188">
        <f t="shared" ca="1" si="41"/>
        <v>-19.735932148821213</v>
      </c>
      <c r="V118" s="188">
        <f t="shared" ca="1" si="41"/>
        <v>-21.01689374237969</v>
      </c>
      <c r="W118" s="188">
        <f t="shared" ca="1" si="41"/>
        <v>-20.469064398384099</v>
      </c>
      <c r="X118" s="188">
        <f t="shared" ca="1" si="41"/>
        <v>-19.769932384777071</v>
      </c>
      <c r="Y118" s="188">
        <f t="shared" ca="1" si="41"/>
        <v>-19.883105092862071</v>
      </c>
      <c r="Z118" s="263">
        <f ca="1">Z115-Z117</f>
        <v>35752.974175850861</v>
      </c>
    </row>
    <row r="119" spans="1:29" x14ac:dyDescent="0.2">
      <c r="A119" s="183" t="str">
        <f>Economics!A37</f>
        <v>GT 1</v>
      </c>
      <c r="B119" s="181">
        <f t="shared" ref="B119:Y119" si="42">B44</f>
        <v>10</v>
      </c>
      <c r="C119" s="181">
        <f t="shared" si="42"/>
        <v>11</v>
      </c>
      <c r="D119" s="181">
        <f t="shared" si="42"/>
        <v>10</v>
      </c>
      <c r="E119" s="181">
        <f>E44</f>
        <v>10</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74</v>
      </c>
      <c r="AA119" s="321" t="s">
        <v>174</v>
      </c>
    </row>
    <row r="120" spans="1:29" x14ac:dyDescent="0.2">
      <c r="A120" s="185">
        <f>Economics!$I37</f>
        <v>1.96</v>
      </c>
      <c r="B120" s="189">
        <f t="shared" ref="B120:Y120" ca="1" si="43">IndGencost(B119,OFFSET(HeatRateStart,1,MATCH($A119,HeatRateNames,0)-1,250,1),$A120)</f>
        <v>48.053575735254292</v>
      </c>
      <c r="C120" s="189">
        <f t="shared" ca="1" si="43"/>
        <v>45.455963986515826</v>
      </c>
      <c r="D120" s="189">
        <f t="shared" ca="1" si="43"/>
        <v>48.053575735254292</v>
      </c>
      <c r="E120" s="189">
        <f ca="1">IndGencost(E119,OFFSET(HeatRateStart,1,MATCH($A119,HeatRateNames,0)-1,250,1),$A120)</f>
        <v>48.053575735254292</v>
      </c>
      <c r="F120" s="189">
        <f t="shared" ca="1" si="43"/>
        <v>45.455963986515826</v>
      </c>
      <c r="G120" s="189">
        <f t="shared" ca="1" si="43"/>
        <v>45.455963986515826</v>
      </c>
      <c r="H120" s="189">
        <f t="shared" ca="1" si="43"/>
        <v>45.455963986515826</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3441.6696874643258</v>
      </c>
      <c r="AA120" s="321" t="s">
        <v>167</v>
      </c>
    </row>
    <row r="121" spans="1:29" x14ac:dyDescent="0.2">
      <c r="A121" s="184" t="s">
        <v>163</v>
      </c>
      <c r="B121" s="186">
        <f t="shared" ref="B121:Y121" si="44">B119</f>
        <v>10</v>
      </c>
      <c r="C121" s="186">
        <f t="shared" si="44"/>
        <v>11</v>
      </c>
      <c r="D121" s="186">
        <f t="shared" si="44"/>
        <v>10</v>
      </c>
      <c r="E121" s="186">
        <f t="shared" si="44"/>
        <v>10</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74</v>
      </c>
    </row>
    <row r="122" spans="1:29" x14ac:dyDescent="0.2">
      <c r="A122" s="182"/>
      <c r="B122" s="190">
        <f t="shared" ref="B122:Y122" ca="1" si="45">IndGencost(B121,OFFSET(HeatRateStart,1,MATCH($A119,HeatRateNames,0)-1,250,1),$A120)</f>
        <v>48.053575735254292</v>
      </c>
      <c r="C122" s="190">
        <f t="shared" ca="1" si="45"/>
        <v>45.455963986515826</v>
      </c>
      <c r="D122" s="190">
        <f t="shared" ca="1" si="45"/>
        <v>48.053575735254292</v>
      </c>
      <c r="E122" s="190">
        <f ca="1">IndGencost(E121,OFFSET(HeatRateStart,1,MATCH($A119,HeatRateNames,0)-1,250,1),$A120)</f>
        <v>48.053575735254292</v>
      </c>
      <c r="F122" s="190">
        <f t="shared" ca="1" si="45"/>
        <v>45.455963986515826</v>
      </c>
      <c r="G122" s="190">
        <f t="shared" ca="1" si="45"/>
        <v>45.455963986515826</v>
      </c>
      <c r="H122" s="190">
        <f t="shared" ca="1" si="45"/>
        <v>45.455963986515826</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3441.6696874643258</v>
      </c>
    </row>
    <row r="123" spans="1:29" ht="13.5" thickBot="1" x14ac:dyDescent="0.25">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
      <c r="A124" s="183" t="str">
        <f>Economics!A38</f>
        <v>GT 2</v>
      </c>
      <c r="B124" s="181">
        <f t="shared" ref="B124:Y124" si="47">B45</f>
        <v>12</v>
      </c>
      <c r="C124" s="181">
        <f t="shared" si="47"/>
        <v>12</v>
      </c>
      <c r="D124" s="181">
        <f t="shared" si="47"/>
        <v>12</v>
      </c>
      <c r="E124" s="181">
        <f>E45</f>
        <v>12</v>
      </c>
      <c r="F124" s="181">
        <f t="shared" si="47"/>
        <v>12</v>
      </c>
      <c r="G124" s="181">
        <f t="shared" si="47"/>
        <v>12</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84</v>
      </c>
      <c r="AA124" s="321" t="s">
        <v>174</v>
      </c>
    </row>
    <row r="125" spans="1:29" x14ac:dyDescent="0.2">
      <c r="A125" s="185">
        <f>Economics!$I38</f>
        <v>1.96</v>
      </c>
      <c r="B125" s="189">
        <f t="shared" ref="B125:Y125" ca="1" si="48">IndGencost(B124,OFFSET(HeatRateStart,1,MATCH($A124,HeatRateNames,0)-1,250,1),$A125)</f>
        <v>43.297362549352009</v>
      </c>
      <c r="C125" s="189">
        <f t="shared" ca="1" si="48"/>
        <v>43.297362549352009</v>
      </c>
      <c r="D125" s="189">
        <f t="shared" ca="1" si="48"/>
        <v>43.297362549352009</v>
      </c>
      <c r="E125" s="189">
        <f ca="1">IndGencost(E124,OFFSET(HeatRateStart,1,MATCH($A124,HeatRateNames,0)-1,250,1),$A125)</f>
        <v>43.297362549352009</v>
      </c>
      <c r="F125" s="189">
        <f t="shared" ca="1" si="48"/>
        <v>43.297362549352009</v>
      </c>
      <c r="G125" s="189">
        <f t="shared" ca="1" si="48"/>
        <v>43.297362549352009</v>
      </c>
      <c r="H125" s="189">
        <f t="shared" ca="1" si="48"/>
        <v>43.297362549352009</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3636.9784541455692</v>
      </c>
      <c r="AA125" s="321" t="s">
        <v>167</v>
      </c>
    </row>
    <row r="126" spans="1:29" x14ac:dyDescent="0.2">
      <c r="A126" s="184" t="s">
        <v>163</v>
      </c>
      <c r="B126" s="186">
        <f t="shared" ref="B126:Y126" si="49">B124</f>
        <v>12</v>
      </c>
      <c r="C126" s="186">
        <f t="shared" si="49"/>
        <v>12</v>
      </c>
      <c r="D126" s="186">
        <f t="shared" si="49"/>
        <v>12</v>
      </c>
      <c r="E126" s="186">
        <f t="shared" si="49"/>
        <v>12</v>
      </c>
      <c r="F126" s="186">
        <f t="shared" si="49"/>
        <v>12</v>
      </c>
      <c r="G126" s="186">
        <f t="shared" si="49"/>
        <v>12</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84</v>
      </c>
    </row>
    <row r="127" spans="1:29" x14ac:dyDescent="0.2">
      <c r="A127" s="182"/>
      <c r="B127" s="190">
        <f t="shared" ref="B127:Y127" ca="1" si="50">IndGencost(B126,OFFSET(HeatRateStart,1,MATCH($A124,HeatRateNames,0)-1,250,1),$A125)</f>
        <v>43.297362549352009</v>
      </c>
      <c r="C127" s="190">
        <f t="shared" ca="1" si="50"/>
        <v>43.297362549352009</v>
      </c>
      <c r="D127" s="190">
        <f t="shared" ca="1" si="50"/>
        <v>43.297362549352009</v>
      </c>
      <c r="E127" s="190">
        <f ca="1">IndGencost(E126,OFFSET(HeatRateStart,1,MATCH($A124,HeatRateNames,0)-1,250,1),$A125)</f>
        <v>43.297362549352009</v>
      </c>
      <c r="F127" s="190">
        <f t="shared" ca="1" si="50"/>
        <v>43.297362549352009</v>
      </c>
      <c r="G127" s="190">
        <f t="shared" ca="1" si="50"/>
        <v>43.297362549352009</v>
      </c>
      <c r="H127" s="190">
        <f t="shared" ca="1" si="50"/>
        <v>43.297362549352009</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3636.9784541455692</v>
      </c>
    </row>
    <row r="128" spans="1:29" ht="13.5" thickBot="1" x14ac:dyDescent="0.25">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5" thickBot="1" x14ac:dyDescent="0.25">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5" thickBot="1" x14ac:dyDescent="0.25">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154</v>
      </c>
      <c r="J139" s="181">
        <f t="shared" si="61"/>
        <v>173</v>
      </c>
      <c r="K139" s="181">
        <f t="shared" si="61"/>
        <v>211</v>
      </c>
      <c r="L139" s="181">
        <f t="shared" si="61"/>
        <v>211</v>
      </c>
      <c r="M139" s="181">
        <f t="shared" si="61"/>
        <v>210</v>
      </c>
      <c r="N139" s="181">
        <f t="shared" si="61"/>
        <v>209</v>
      </c>
      <c r="O139" s="181">
        <f t="shared" si="61"/>
        <v>208</v>
      </c>
      <c r="P139" s="181">
        <f t="shared" si="61"/>
        <v>205</v>
      </c>
      <c r="Q139" s="181">
        <f t="shared" si="61"/>
        <v>205</v>
      </c>
      <c r="R139" s="181">
        <f t="shared" si="61"/>
        <v>204</v>
      </c>
      <c r="S139" s="181">
        <f t="shared" si="61"/>
        <v>204</v>
      </c>
      <c r="T139" s="181">
        <f t="shared" si="61"/>
        <v>208</v>
      </c>
      <c r="U139" s="181">
        <f t="shared" si="61"/>
        <v>168</v>
      </c>
      <c r="V139" s="181">
        <f t="shared" si="61"/>
        <v>158</v>
      </c>
      <c r="W139" s="181">
        <f t="shared" si="61"/>
        <v>84</v>
      </c>
      <c r="X139" s="181">
        <f t="shared" si="61"/>
        <v>100</v>
      </c>
      <c r="Y139" s="181">
        <f t="shared" si="61"/>
        <v>78</v>
      </c>
      <c r="Z139" s="222">
        <f>SUM(B139:Y139)</f>
        <v>2990</v>
      </c>
      <c r="AA139" s="321" t="s">
        <v>174</v>
      </c>
    </row>
    <row r="140" spans="1:27" x14ac:dyDescent="0.2">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18.78467299069213</v>
      </c>
      <c r="J140" s="189">
        <f t="shared" ca="1" si="62"/>
        <v>18.403248612894419</v>
      </c>
      <c r="K140" s="189">
        <f t="shared" ca="1" si="62"/>
        <v>17.993428308656409</v>
      </c>
      <c r="L140" s="189">
        <f t="shared" ca="1" si="62"/>
        <v>17.993428308656409</v>
      </c>
      <c r="M140" s="189">
        <f t="shared" ca="1" si="62"/>
        <v>17.999790690325259</v>
      </c>
      <c r="N140" s="189">
        <f t="shared" ca="1" si="62"/>
        <v>18.006350943151507</v>
      </c>
      <c r="O140" s="189">
        <f t="shared" ca="1" si="62"/>
        <v>18.013111921046068</v>
      </c>
      <c r="P140" s="189">
        <f t="shared" ca="1" si="62"/>
        <v>18.034628579539888</v>
      </c>
      <c r="Q140" s="189">
        <f t="shared" ca="1" si="62"/>
        <v>18.034628579539888</v>
      </c>
      <c r="R140" s="189">
        <f t="shared" ca="1" si="62"/>
        <v>18.042222120092266</v>
      </c>
      <c r="S140" s="189">
        <f t="shared" ca="1" si="62"/>
        <v>18.042222120092266</v>
      </c>
      <c r="T140" s="189">
        <f t="shared" ca="1" si="62"/>
        <v>18.013111921046068</v>
      </c>
      <c r="U140" s="189">
        <f t="shared" ca="1" si="62"/>
        <v>18.489294231852341</v>
      </c>
      <c r="V140" s="189">
        <f t="shared" ca="1" si="62"/>
        <v>18.69131358186014</v>
      </c>
      <c r="W140" s="189">
        <f t="shared" ca="1" si="62"/>
        <v>22.740521378592874</v>
      </c>
      <c r="X140" s="189">
        <f t="shared" ca="1" si="62"/>
        <v>21.2243798130846</v>
      </c>
      <c r="Y140" s="189">
        <f t="shared" ca="1" si="62"/>
        <v>23.493661238481806</v>
      </c>
      <c r="Z140" s="262">
        <f t="array" aca="1" ref="Z140" ca="1">SUM(B139:Y139*B140:Y140)</f>
        <v>55386.56702129839</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5" thickBot="1" x14ac:dyDescent="0.25">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1.4593624611383689</v>
      </c>
      <c r="J143" s="188">
        <f t="shared" ca="1" si="64"/>
        <v>1.8407868389360793</v>
      </c>
      <c r="K143" s="188">
        <f t="shared" ca="1" si="64"/>
        <v>2.2506071431740899</v>
      </c>
      <c r="L143" s="188">
        <f t="shared" ca="1" si="64"/>
        <v>2.2506071431740899</v>
      </c>
      <c r="M143" s="188">
        <f t="shared" ca="1" si="64"/>
        <v>2.2442447615052394</v>
      </c>
      <c r="N143" s="188">
        <f t="shared" ca="1" si="64"/>
        <v>2.237684508678992</v>
      </c>
      <c r="O143" s="188">
        <f t="shared" ca="1" si="64"/>
        <v>2.2309235307844304</v>
      </c>
      <c r="P143" s="188">
        <f t="shared" ca="1" si="64"/>
        <v>2.2094068722906108</v>
      </c>
      <c r="Q143" s="188">
        <f t="shared" ca="1" si="64"/>
        <v>2.2094068722906108</v>
      </c>
      <c r="R143" s="188">
        <f t="shared" ca="1" si="64"/>
        <v>2.2018133317382329</v>
      </c>
      <c r="S143" s="188">
        <f t="shared" ca="1" si="64"/>
        <v>2.2018133317382329</v>
      </c>
      <c r="T143" s="188">
        <f t="shared" ca="1" si="64"/>
        <v>0.21838911297809815</v>
      </c>
      <c r="U143" s="188">
        <f t="shared" ca="1" si="64"/>
        <v>-0.25779319782817467</v>
      </c>
      <c r="V143" s="188">
        <f t="shared" ca="1" si="64"/>
        <v>-0.23755021916991481</v>
      </c>
      <c r="W143" s="188">
        <f t="shared" ca="1" si="64"/>
        <v>-4.1950144258282975</v>
      </c>
      <c r="X143" s="188">
        <f t="shared" ca="1" si="64"/>
        <v>-2.1992644576312941</v>
      </c>
      <c r="Y143" s="188">
        <f t="shared" ca="1" si="64"/>
        <v>-4.4685458830285008</v>
      </c>
      <c r="Z143" s="263">
        <f ca="1">Z140-Z142</f>
        <v>-6327.4964757264388</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2">
        <f>SUM(B144:Y144)</f>
        <v>0</v>
      </c>
      <c r="AA144" s="321" t="s">
        <v>170</v>
      </c>
    </row>
    <row r="145" spans="1:27" x14ac:dyDescent="0.2">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0</v>
      </c>
      <c r="L145" s="189">
        <f t="shared" ca="1" si="66"/>
        <v>0</v>
      </c>
      <c r="M145" s="189">
        <f t="shared" ca="1" si="66"/>
        <v>0</v>
      </c>
      <c r="N145" s="189">
        <f t="shared" ca="1" si="66"/>
        <v>0</v>
      </c>
      <c r="O145" s="189">
        <f t="shared" ca="1" si="66"/>
        <v>0</v>
      </c>
      <c r="P145" s="189">
        <f t="shared" ca="1" si="66"/>
        <v>0</v>
      </c>
      <c r="Q145" s="189">
        <f t="shared" ca="1" si="66"/>
        <v>0</v>
      </c>
      <c r="R145" s="189">
        <f t="shared" ca="1" si="66"/>
        <v>0</v>
      </c>
      <c r="S145" s="189">
        <f t="shared" ca="1" si="66"/>
        <v>0</v>
      </c>
      <c r="T145" s="189">
        <f t="shared" ca="1" si="66"/>
        <v>0</v>
      </c>
      <c r="U145" s="189">
        <f t="shared" ca="1" si="66"/>
        <v>0</v>
      </c>
      <c r="V145" s="189">
        <f t="shared" ca="1" si="66"/>
        <v>0</v>
      </c>
      <c r="W145" s="189">
        <f t="shared" ca="1" si="66"/>
        <v>0</v>
      </c>
      <c r="X145" s="189">
        <f t="shared" ca="1" si="66"/>
        <v>0</v>
      </c>
      <c r="Y145" s="189">
        <f t="shared" ca="1" si="66"/>
        <v>0</v>
      </c>
      <c r="Z145" s="262">
        <f t="array" aca="1" ref="Z145" ca="1">SUM(B144:Y144*B145:Y145)</f>
        <v>0</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3">
        <f>SUM(B146:Y146)</f>
        <v>0</v>
      </c>
    </row>
    <row r="147" spans="1:27" x14ac:dyDescent="0.2">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0</v>
      </c>
      <c r="L147" s="190">
        <f t="shared" ca="1" si="68"/>
        <v>0</v>
      </c>
      <c r="M147" s="190">
        <f t="shared" ca="1" si="68"/>
        <v>0</v>
      </c>
      <c r="N147" s="190">
        <f t="shared" ca="1" si="68"/>
        <v>0</v>
      </c>
      <c r="O147" s="190">
        <f t="shared" ca="1" si="68"/>
        <v>0</v>
      </c>
      <c r="P147" s="190">
        <f t="shared" ca="1" si="68"/>
        <v>0</v>
      </c>
      <c r="Q147" s="190">
        <f t="shared" ca="1" si="68"/>
        <v>0</v>
      </c>
      <c r="R147" s="190">
        <f t="shared" ca="1" si="68"/>
        <v>0</v>
      </c>
      <c r="S147" s="190">
        <f t="shared" ca="1" si="68"/>
        <v>0</v>
      </c>
      <c r="T147" s="190">
        <f t="shared" ca="1" si="68"/>
        <v>0</v>
      </c>
      <c r="U147" s="190">
        <f t="shared" ca="1" si="68"/>
        <v>0</v>
      </c>
      <c r="V147" s="190">
        <f t="shared" ca="1" si="68"/>
        <v>0</v>
      </c>
      <c r="W147" s="190">
        <f t="shared" ca="1" si="68"/>
        <v>0</v>
      </c>
      <c r="X147" s="190">
        <f t="shared" ca="1" si="68"/>
        <v>0</v>
      </c>
      <c r="Y147" s="190">
        <f t="shared" ca="1" si="68"/>
        <v>0</v>
      </c>
      <c r="Z147" s="261">
        <f t="array" aca="1" ref="Z147" ca="1">SUM(B146:Y146*B147:Y147)</f>
        <v>0</v>
      </c>
    </row>
    <row r="148" spans="1:27" ht="13.5" thickBot="1" x14ac:dyDescent="0.25">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f t="shared" ca="1" si="69"/>
        <v>0</v>
      </c>
      <c r="N148" s="188">
        <f t="shared" ca="1" si="69"/>
        <v>0</v>
      </c>
      <c r="O148" s="188">
        <f t="shared" ca="1" si="69"/>
        <v>0</v>
      </c>
      <c r="P148" s="188">
        <f t="shared" ca="1" si="69"/>
        <v>0</v>
      </c>
      <c r="Q148" s="188">
        <f t="shared" ca="1" si="69"/>
        <v>0</v>
      </c>
      <c r="R148" s="188">
        <f t="shared" ca="1" si="69"/>
        <v>0</v>
      </c>
      <c r="S148" s="188">
        <f t="shared" ca="1" si="69"/>
        <v>0</v>
      </c>
      <c r="T148" s="188">
        <f t="shared" ca="1" si="69"/>
        <v>0</v>
      </c>
      <c r="U148" s="188">
        <f t="shared" ca="1" si="69"/>
        <v>0</v>
      </c>
      <c r="V148" s="188">
        <f t="shared" ca="1" si="69"/>
        <v>0</v>
      </c>
      <c r="W148" s="188">
        <f t="shared" ca="1" si="69"/>
        <v>0</v>
      </c>
      <c r="X148" s="188">
        <f t="shared" ca="1" si="69"/>
        <v>0</v>
      </c>
      <c r="Y148" s="188">
        <f t="shared" ca="1" si="69"/>
        <v>0</v>
      </c>
      <c r="Z148" s="263">
        <f ca="1">Z145-Z147</f>
        <v>0</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5" thickBot="1" x14ac:dyDescent="0.25">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0</v>
      </c>
      <c r="N155" s="189">
        <f t="shared" ca="1" si="75"/>
        <v>0</v>
      </c>
      <c r="O155" s="189">
        <f t="shared" ca="1" si="75"/>
        <v>0</v>
      </c>
      <c r="P155" s="189">
        <f t="shared" ca="1" si="75"/>
        <v>0</v>
      </c>
      <c r="Q155" s="189">
        <f t="shared" ca="1" si="75"/>
        <v>0</v>
      </c>
      <c r="R155" s="189">
        <f t="shared" ca="1" si="75"/>
        <v>0</v>
      </c>
      <c r="S155" s="189">
        <f t="shared" ca="1" si="75"/>
        <v>0</v>
      </c>
      <c r="T155" s="189">
        <f t="shared" ca="1" si="75"/>
        <v>0</v>
      </c>
      <c r="U155" s="189">
        <f t="shared" ca="1" si="75"/>
        <v>0</v>
      </c>
      <c r="V155" s="189">
        <f t="shared" ca="1" si="75"/>
        <v>0</v>
      </c>
      <c r="W155" s="189">
        <f t="shared" ca="1" si="75"/>
        <v>0</v>
      </c>
      <c r="X155" s="189">
        <f t="shared" ca="1" si="75"/>
        <v>0</v>
      </c>
      <c r="Y155" s="189">
        <f t="shared" ca="1" si="75"/>
        <v>0</v>
      </c>
      <c r="Z155" s="262">
        <f t="array" aca="1" ref="Z155" ca="1">SUM(B154:Y154*B155:Y155)</f>
        <v>0</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5" thickBot="1" x14ac:dyDescent="0.25">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0</v>
      </c>
      <c r="N158" s="188">
        <f t="shared" ca="1" si="77"/>
        <v>0</v>
      </c>
      <c r="O158" s="188">
        <f t="shared" ca="1" si="77"/>
        <v>0</v>
      </c>
      <c r="P158" s="188">
        <f t="shared" ca="1" si="77"/>
        <v>0</v>
      </c>
      <c r="Q158" s="188">
        <f t="shared" ca="1" si="77"/>
        <v>0</v>
      </c>
      <c r="R158" s="188">
        <f t="shared" ca="1" si="77"/>
        <v>0</v>
      </c>
      <c r="S158" s="188">
        <f t="shared" ca="1" si="77"/>
        <v>0</v>
      </c>
      <c r="T158" s="188">
        <f t="shared" ca="1" si="77"/>
        <v>0</v>
      </c>
      <c r="U158" s="188">
        <f t="shared" ca="1" si="77"/>
        <v>0</v>
      </c>
      <c r="V158" s="188">
        <f t="shared" ca="1" si="77"/>
        <v>0</v>
      </c>
      <c r="W158" s="188">
        <f t="shared" ca="1" si="77"/>
        <v>0</v>
      </c>
      <c r="X158" s="188">
        <f t="shared" ca="1" si="77"/>
        <v>0</v>
      </c>
      <c r="Y158" s="188">
        <f t="shared" ca="1" si="77"/>
        <v>0</v>
      </c>
      <c r="Z158" s="263">
        <f ca="1">Z155-Z157</f>
        <v>0</v>
      </c>
    </row>
    <row r="159" spans="1:27" x14ac:dyDescent="0.2">
      <c r="A159" s="183" t="str">
        <f>Economics!A45</f>
        <v>Rio Grande 8</v>
      </c>
      <c r="B159" s="181">
        <f t="shared" ref="B159:Y159" si="78">B52</f>
        <v>54</v>
      </c>
      <c r="C159" s="181">
        <f t="shared" si="78"/>
        <v>54</v>
      </c>
      <c r="D159" s="181">
        <f t="shared" si="78"/>
        <v>53</v>
      </c>
      <c r="E159" s="181">
        <f>E52</f>
        <v>54</v>
      </c>
      <c r="F159" s="181">
        <f t="shared" si="78"/>
        <v>53</v>
      </c>
      <c r="G159" s="181">
        <f t="shared" si="78"/>
        <v>54</v>
      </c>
      <c r="H159" s="181">
        <f t="shared" si="78"/>
        <v>53</v>
      </c>
      <c r="I159" s="181">
        <f t="shared" si="78"/>
        <v>54</v>
      </c>
      <c r="J159" s="181">
        <f t="shared" si="78"/>
        <v>54</v>
      </c>
      <c r="K159" s="181">
        <f t="shared" si="78"/>
        <v>54</v>
      </c>
      <c r="L159" s="181">
        <f t="shared" si="78"/>
        <v>54</v>
      </c>
      <c r="M159" s="181">
        <f t="shared" si="78"/>
        <v>74</v>
      </c>
      <c r="N159" s="181">
        <f t="shared" si="78"/>
        <v>73</v>
      </c>
      <c r="O159" s="181">
        <f t="shared" si="78"/>
        <v>84</v>
      </c>
      <c r="P159" s="181">
        <f t="shared" si="78"/>
        <v>83</v>
      </c>
      <c r="Q159" s="181">
        <f t="shared" si="78"/>
        <v>98</v>
      </c>
      <c r="R159" s="181">
        <f t="shared" si="78"/>
        <v>98</v>
      </c>
      <c r="S159" s="181">
        <f t="shared" si="78"/>
        <v>98</v>
      </c>
      <c r="T159" s="181">
        <f t="shared" si="78"/>
        <v>98</v>
      </c>
      <c r="U159" s="181">
        <f t="shared" si="78"/>
        <v>98</v>
      </c>
      <c r="V159" s="181">
        <f t="shared" si="78"/>
        <v>98</v>
      </c>
      <c r="W159" s="181">
        <f t="shared" si="78"/>
        <v>77</v>
      </c>
      <c r="X159" s="181">
        <f t="shared" si="78"/>
        <v>73</v>
      </c>
      <c r="Y159" s="181">
        <f t="shared" si="78"/>
        <v>58</v>
      </c>
      <c r="Z159" s="222">
        <f>SUM(B159:Y159)</f>
        <v>1701</v>
      </c>
      <c r="AA159" s="321" t="s">
        <v>178</v>
      </c>
    </row>
    <row r="160" spans="1:27" x14ac:dyDescent="0.2">
      <c r="A160" s="185">
        <f>Economics!$I45</f>
        <v>2.09</v>
      </c>
      <c r="B160" s="189">
        <f t="shared" ref="B160:Y160" ca="1" si="79">IndGencost(B159,OFFSET(HeatRateStart,1,MATCH($A159,HeatRateNames,0)-1,250,1),$A160)</f>
        <v>21.590163557794359</v>
      </c>
      <c r="C160" s="189">
        <f t="shared" ca="1" si="79"/>
        <v>21.590163557794359</v>
      </c>
      <c r="D160" s="189">
        <f t="shared" ca="1" si="79"/>
        <v>21.628364111781121</v>
      </c>
      <c r="E160" s="189">
        <f ca="1">IndGencost(E159,OFFSET(HeatRateStart,1,MATCH($A159,HeatRateNames,0)-1,250,1),$A160)</f>
        <v>21.590163557794359</v>
      </c>
      <c r="F160" s="189">
        <f t="shared" ca="1" si="79"/>
        <v>21.628364111781121</v>
      </c>
      <c r="G160" s="189">
        <f t="shared" ca="1" si="79"/>
        <v>21.590163557794359</v>
      </c>
      <c r="H160" s="189">
        <f t="shared" ca="1" si="79"/>
        <v>21.628364111781121</v>
      </c>
      <c r="I160" s="189">
        <f t="shared" ca="1" si="79"/>
        <v>21.590163557794359</v>
      </c>
      <c r="J160" s="189">
        <f t="shared" ca="1" si="79"/>
        <v>21.590163557794359</v>
      </c>
      <c r="K160" s="189">
        <f t="shared" ca="1" si="79"/>
        <v>21.590163557794359</v>
      </c>
      <c r="L160" s="189">
        <f t="shared" ca="1" si="79"/>
        <v>21.590163557794359</v>
      </c>
      <c r="M160" s="189">
        <f t="shared" ca="1" si="79"/>
        <v>21.214967777406848</v>
      </c>
      <c r="N160" s="189">
        <f t="shared" ca="1" si="79"/>
        <v>21.220957279197158</v>
      </c>
      <c r="O160" s="189">
        <f t="shared" ca="1" si="79"/>
        <v>21.2026012721232</v>
      </c>
      <c r="P160" s="189">
        <f t="shared" ca="1" si="79"/>
        <v>21.20041774381356</v>
      </c>
      <c r="Q160" s="189">
        <f t="shared" ca="1" si="79"/>
        <v>21.293430962270623</v>
      </c>
      <c r="R160" s="189">
        <f t="shared" ca="1" si="79"/>
        <v>21.293430962270623</v>
      </c>
      <c r="S160" s="189">
        <f t="shared" ca="1" si="79"/>
        <v>21.293430962270623</v>
      </c>
      <c r="T160" s="189">
        <f t="shared" ca="1" si="79"/>
        <v>21.293430962270623</v>
      </c>
      <c r="U160" s="189">
        <f t="shared" ca="1" si="79"/>
        <v>21.293430962270623</v>
      </c>
      <c r="V160" s="189">
        <f t="shared" ca="1" si="79"/>
        <v>21.293430962270623</v>
      </c>
      <c r="W160" s="189">
        <f t="shared" ca="1" si="79"/>
        <v>21.202655557835257</v>
      </c>
      <c r="X160" s="189">
        <f t="shared" ca="1" si="79"/>
        <v>21.220957279197158</v>
      </c>
      <c r="Y160" s="189">
        <f t="shared" ca="1" si="79"/>
        <v>21.460983946241182</v>
      </c>
      <c r="Z160" s="262">
        <f t="array" aca="1" ref="Z160" ca="1">SUM(B159:Y159*B160:Y160)</f>
        <v>36372.560061276548</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5" thickBot="1" x14ac:dyDescent="0.25">
      <c r="A163" s="187" t="s">
        <v>165</v>
      </c>
      <c r="B163" s="188">
        <f t="shared" ref="B163:Y163" ca="1" si="81">B162-B160</f>
        <v>-6.9061227322571028E-2</v>
      </c>
      <c r="C163" s="188">
        <f t="shared" ca="1" si="81"/>
        <v>-6.9061227322571028E-2</v>
      </c>
      <c r="D163" s="188">
        <f t="shared" ca="1" si="81"/>
        <v>-0.10726178130933306</v>
      </c>
      <c r="E163" s="188">
        <f t="shared" ca="1" si="81"/>
        <v>-6.9061227322571028E-2</v>
      </c>
      <c r="F163" s="188">
        <f t="shared" ca="1" si="81"/>
        <v>-0.31928767919540135</v>
      </c>
      <c r="G163" s="188">
        <f t="shared" ca="1" si="81"/>
        <v>-0.38021742882993692</v>
      </c>
      <c r="H163" s="188">
        <f t="shared" ca="1" si="81"/>
        <v>-0.10726178130933306</v>
      </c>
      <c r="I163" s="188">
        <f t="shared" ca="1" si="81"/>
        <v>-6.9061227322571028E-2</v>
      </c>
      <c r="J163" s="188">
        <f t="shared" ca="1" si="81"/>
        <v>-6.9061227322571028E-2</v>
      </c>
      <c r="K163" s="188">
        <f t="shared" ca="1" si="81"/>
        <v>-6.9061227322571028E-2</v>
      </c>
      <c r="L163" s="188">
        <f t="shared" ca="1" si="81"/>
        <v>-6.9061227322571028E-2</v>
      </c>
      <c r="M163" s="188">
        <f t="shared" ca="1" si="81"/>
        <v>0.30613455306493975</v>
      </c>
      <c r="N163" s="188">
        <f t="shared" ca="1" si="81"/>
        <v>0.30014505127462954</v>
      </c>
      <c r="O163" s="188">
        <f t="shared" ca="1" si="81"/>
        <v>0.31850105834858766</v>
      </c>
      <c r="P163" s="188">
        <f t="shared" ca="1" si="81"/>
        <v>0.32068458665822774</v>
      </c>
      <c r="Q163" s="188">
        <f t="shared" ca="1" si="81"/>
        <v>0.22767136820116463</v>
      </c>
      <c r="R163" s="188">
        <f t="shared" ca="1" si="81"/>
        <v>0.22767136820116463</v>
      </c>
      <c r="S163" s="188">
        <f t="shared" ca="1" si="81"/>
        <v>0.22767136820116463</v>
      </c>
      <c r="T163" s="188">
        <f t="shared" ca="1" si="81"/>
        <v>-8.7984480180232083E-2</v>
      </c>
      <c r="U163" s="188">
        <f t="shared" ca="1" si="81"/>
        <v>0.14540815729377599</v>
      </c>
      <c r="V163" s="188">
        <f t="shared" ca="1" si="81"/>
        <v>-6.4605167414867992E-2</v>
      </c>
      <c r="W163" s="188">
        <f t="shared" ca="1" si="81"/>
        <v>0.10642087475046225</v>
      </c>
      <c r="X163" s="188">
        <f t="shared" ca="1" si="81"/>
        <v>0.30014505127462954</v>
      </c>
      <c r="Y163" s="188">
        <f t="shared" ca="1" si="81"/>
        <v>6.011838423060567E-2</v>
      </c>
      <c r="Z163" s="263">
        <f ca="1">Z160-Z162</f>
        <v>4247.0334405857247</v>
      </c>
      <c r="AA163" s="265"/>
    </row>
    <row r="164" spans="1:27" s="272" customFormat="1" x14ac:dyDescent="0.2">
      <c r="A164" s="305" t="s">
        <v>182</v>
      </c>
      <c r="B164" s="306">
        <f t="shared" ref="B164:Y164" si="82">B159+B154+B149+B144+B139+B134+B129+B124+B119+B114+B109+B104+B101+B98+B95+B92+B89</f>
        <v>509</v>
      </c>
      <c r="C164" s="306">
        <f t="shared" si="82"/>
        <v>500</v>
      </c>
      <c r="D164" s="306">
        <f t="shared" si="82"/>
        <v>479</v>
      </c>
      <c r="E164" s="306">
        <f t="shared" si="82"/>
        <v>491</v>
      </c>
      <c r="F164" s="306">
        <f t="shared" si="82"/>
        <v>533</v>
      </c>
      <c r="G164" s="306">
        <f t="shared" si="82"/>
        <v>599</v>
      </c>
      <c r="H164" s="306">
        <f t="shared" si="82"/>
        <v>598</v>
      </c>
      <c r="I164" s="306">
        <f t="shared" si="82"/>
        <v>659</v>
      </c>
      <c r="J164" s="306">
        <f t="shared" si="82"/>
        <v>633</v>
      </c>
      <c r="K164" s="306">
        <f t="shared" si="82"/>
        <v>695</v>
      </c>
      <c r="L164" s="306">
        <f t="shared" si="82"/>
        <v>714</v>
      </c>
      <c r="M164" s="306" t="e">
        <f t="shared" si="82"/>
        <v>#REF!</v>
      </c>
      <c r="N164" s="306">
        <f t="shared" si="82"/>
        <v>745</v>
      </c>
      <c r="O164" s="306">
        <f t="shared" si="82"/>
        <v>765</v>
      </c>
      <c r="P164" s="306">
        <f t="shared" si="82"/>
        <v>763</v>
      </c>
      <c r="Q164" s="306">
        <f t="shared" si="82"/>
        <v>765</v>
      </c>
      <c r="R164" s="306">
        <f t="shared" si="82"/>
        <v>707</v>
      </c>
      <c r="S164" s="306">
        <f t="shared" si="82"/>
        <v>745</v>
      </c>
      <c r="T164" s="306">
        <f t="shared" si="82"/>
        <v>751</v>
      </c>
      <c r="U164" s="306">
        <f t="shared" si="82"/>
        <v>710</v>
      </c>
      <c r="V164" s="306">
        <f t="shared" si="82"/>
        <v>657</v>
      </c>
      <c r="W164" s="306">
        <f t="shared" si="82"/>
        <v>576</v>
      </c>
      <c r="X164" s="306">
        <f t="shared" si="82"/>
        <v>684</v>
      </c>
      <c r="Y164" s="307">
        <f t="shared" si="82"/>
        <v>575</v>
      </c>
      <c r="Z164" s="273"/>
      <c r="AA164" s="271"/>
    </row>
    <row r="165" spans="1:27" s="272" customFormat="1" ht="13.5" customHeight="1" thickBot="1" x14ac:dyDescent="0.25">
      <c r="A165" s="308" t="s">
        <v>183</v>
      </c>
      <c r="B165" s="309">
        <f t="shared" ref="B165:Y165" si="83">B161+B156+B151+B146+B141+B136+B131+B126+B121+B116+B111+B106+B102+B99+B96+B93+B90</f>
        <v>1001</v>
      </c>
      <c r="C165" s="309">
        <f t="shared" si="83"/>
        <v>901</v>
      </c>
      <c r="D165" s="309">
        <f t="shared" si="83"/>
        <v>870</v>
      </c>
      <c r="E165" s="309">
        <f t="shared" si="83"/>
        <v>870</v>
      </c>
      <c r="F165" s="309">
        <f t="shared" si="83"/>
        <v>881</v>
      </c>
      <c r="G165" s="309">
        <f t="shared" si="83"/>
        <v>891</v>
      </c>
      <c r="H165" s="309">
        <f t="shared" si="83"/>
        <v>917</v>
      </c>
      <c r="I165" s="309">
        <f t="shared" si="83"/>
        <v>879</v>
      </c>
      <c r="J165" s="309">
        <f t="shared" si="83"/>
        <v>879</v>
      </c>
      <c r="K165" s="309">
        <f t="shared" si="83"/>
        <v>879</v>
      </c>
      <c r="L165" s="309">
        <f t="shared" si="83"/>
        <v>930</v>
      </c>
      <c r="M165" s="309">
        <f t="shared" si="83"/>
        <v>930</v>
      </c>
      <c r="N165" s="309">
        <f t="shared" si="83"/>
        <v>930</v>
      </c>
      <c r="O165" s="309">
        <f t="shared" si="83"/>
        <v>930</v>
      </c>
      <c r="P165" s="309">
        <f t="shared" si="83"/>
        <v>930</v>
      </c>
      <c r="Q165" s="309">
        <f t="shared" si="83"/>
        <v>930</v>
      </c>
      <c r="R165" s="309">
        <f t="shared" si="83"/>
        <v>930</v>
      </c>
      <c r="S165" s="309">
        <f t="shared" si="83"/>
        <v>930</v>
      </c>
      <c r="T165" s="309">
        <f t="shared" si="83"/>
        <v>1029</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#REF!</v>
      </c>
    </row>
    <row r="166" spans="1:27" x14ac:dyDescent="0.2">
      <c r="A166" s="333" t="s">
        <v>184</v>
      </c>
      <c r="B166" s="334">
        <f t="shared" ref="B166:Y166" si="84">B165-B164</f>
        <v>492</v>
      </c>
      <c r="C166" s="334">
        <f t="shared" si="84"/>
        <v>401</v>
      </c>
      <c r="D166" s="334">
        <f t="shared" si="84"/>
        <v>391</v>
      </c>
      <c r="E166" s="334">
        <f t="shared" si="84"/>
        <v>379</v>
      </c>
      <c r="F166" s="334">
        <f t="shared" si="84"/>
        <v>348</v>
      </c>
      <c r="G166" s="334">
        <f t="shared" si="84"/>
        <v>292</v>
      </c>
      <c r="H166" s="334">
        <f t="shared" si="84"/>
        <v>319</v>
      </c>
      <c r="I166" s="334">
        <f t="shared" si="84"/>
        <v>220</v>
      </c>
      <c r="J166" s="334">
        <f t="shared" si="84"/>
        <v>246</v>
      </c>
      <c r="K166" s="334">
        <f t="shared" si="84"/>
        <v>184</v>
      </c>
      <c r="L166" s="334">
        <f t="shared" si="84"/>
        <v>216</v>
      </c>
      <c r="M166" s="334" t="e">
        <f t="shared" si="84"/>
        <v>#REF!</v>
      </c>
      <c r="N166" s="334">
        <f t="shared" si="84"/>
        <v>185</v>
      </c>
      <c r="O166" s="334">
        <f t="shared" si="84"/>
        <v>165</v>
      </c>
      <c r="P166" s="334">
        <f t="shared" si="84"/>
        <v>167</v>
      </c>
      <c r="Q166" s="334">
        <f t="shared" si="84"/>
        <v>165</v>
      </c>
      <c r="R166" s="334">
        <f t="shared" si="84"/>
        <v>223</v>
      </c>
      <c r="S166" s="334">
        <f t="shared" si="84"/>
        <v>185</v>
      </c>
      <c r="T166" s="334">
        <f t="shared" si="84"/>
        <v>278</v>
      </c>
      <c r="U166" s="334">
        <f t="shared" si="84"/>
        <v>344</v>
      </c>
      <c r="V166" s="334">
        <f t="shared" si="84"/>
        <v>311</v>
      </c>
      <c r="W166" s="334">
        <f t="shared" si="84"/>
        <v>362</v>
      </c>
      <c r="X166" s="334">
        <f t="shared" si="84"/>
        <v>225</v>
      </c>
      <c r="Y166" s="335">
        <f t="shared" si="84"/>
        <v>334</v>
      </c>
      <c r="Z166" s="339" t="e">
        <f>SUM(B166:Y166)</f>
        <v>#REF!</v>
      </c>
    </row>
    <row r="167" spans="1:27" s="328" customFormat="1" ht="32.25" customHeight="1" thickBot="1" x14ac:dyDescent="0.25">
      <c r="A167" s="336" t="s">
        <v>185</v>
      </c>
      <c r="B167" s="337">
        <f t="shared" ref="B167:Y167" ca="1" si="85">B58</f>
        <v>7</v>
      </c>
      <c r="C167" s="337">
        <f t="shared" ca="1" si="85"/>
        <v>2</v>
      </c>
      <c r="D167" s="337">
        <f t="shared" ca="1" si="85"/>
        <v>3</v>
      </c>
      <c r="E167" s="337">
        <f ca="1">E58</f>
        <v>3</v>
      </c>
      <c r="F167" s="337">
        <f t="shared" ca="1" si="85"/>
        <v>-7</v>
      </c>
      <c r="G167" s="337">
        <f t="shared" ca="1" si="85"/>
        <v>3</v>
      </c>
      <c r="H167" s="337">
        <f t="shared" ca="1" si="85"/>
        <v>9</v>
      </c>
      <c r="I167" s="337">
        <f t="shared" ca="1" si="85"/>
        <v>5</v>
      </c>
      <c r="J167" s="337">
        <f t="shared" ca="1" si="85"/>
        <v>-49</v>
      </c>
      <c r="K167" s="337">
        <f t="shared" ca="1" si="85"/>
        <v>-55</v>
      </c>
      <c r="L167" s="337">
        <f t="shared" ca="1" si="85"/>
        <v>-61</v>
      </c>
      <c r="M167" s="337">
        <f t="shared" ca="1" si="85"/>
        <v>-51</v>
      </c>
      <c r="N167" s="337">
        <f t="shared" ca="1" si="85"/>
        <v>-58</v>
      </c>
      <c r="O167" s="337">
        <f t="shared" ca="1" si="85"/>
        <v>-48</v>
      </c>
      <c r="P167" s="337">
        <f t="shared" ca="1" si="85"/>
        <v>-50</v>
      </c>
      <c r="Q167" s="337">
        <f t="shared" ca="1" si="85"/>
        <v>-45</v>
      </c>
      <c r="R167" s="337">
        <f t="shared" ca="1" si="85"/>
        <v>-35</v>
      </c>
      <c r="S167" s="337">
        <f t="shared" ca="1" si="85"/>
        <v>-52</v>
      </c>
      <c r="T167" s="337">
        <f t="shared" ca="1" si="85"/>
        <v>-52</v>
      </c>
      <c r="U167" s="337">
        <f t="shared" ca="1" si="85"/>
        <v>-53</v>
      </c>
      <c r="V167" s="337">
        <f t="shared" ca="1" si="85"/>
        <v>-55</v>
      </c>
      <c r="W167" s="337">
        <f t="shared" ca="1" si="85"/>
        <v>-49</v>
      </c>
      <c r="X167" s="337">
        <f t="shared" ca="1" si="85"/>
        <v>-3</v>
      </c>
      <c r="Y167" s="338">
        <f t="shared" ca="1" si="85"/>
        <v>-8</v>
      </c>
      <c r="Z167" s="326">
        <f ca="1">SUM(B167:Y167)</f>
        <v>-699</v>
      </c>
      <c r="AA167" s="327"/>
    </row>
    <row r="168" spans="1:27" ht="13.5" hidden="1" thickBot="1" x14ac:dyDescent="0.25">
      <c r="A168" s="329" t="s">
        <v>186</v>
      </c>
      <c r="B168" s="330">
        <f t="shared" ref="B168:Y168" ca="1" si="86">B167+B166</f>
        <v>499</v>
      </c>
      <c r="C168" s="330">
        <f t="shared" ca="1" si="86"/>
        <v>403</v>
      </c>
      <c r="D168" s="330">
        <f t="shared" ca="1" si="86"/>
        <v>394</v>
      </c>
      <c r="E168" s="330">
        <f t="shared" ca="1" si="86"/>
        <v>382</v>
      </c>
      <c r="F168" s="330">
        <f t="shared" ca="1" si="86"/>
        <v>341</v>
      </c>
      <c r="G168" s="330">
        <f t="shared" ca="1" si="86"/>
        <v>295</v>
      </c>
      <c r="H168" s="330">
        <f t="shared" ca="1" si="86"/>
        <v>328</v>
      </c>
      <c r="I168" s="330">
        <f t="shared" ca="1" si="86"/>
        <v>225</v>
      </c>
      <c r="J168" s="330">
        <f t="shared" ca="1" si="86"/>
        <v>197</v>
      </c>
      <c r="K168" s="330">
        <f t="shared" ca="1" si="86"/>
        <v>129</v>
      </c>
      <c r="L168" s="330">
        <f t="shared" ca="1" si="86"/>
        <v>155</v>
      </c>
      <c r="M168" s="330" t="e">
        <f t="shared" ca="1" si="86"/>
        <v>#REF!</v>
      </c>
      <c r="N168" s="330">
        <f t="shared" ca="1" si="86"/>
        <v>127</v>
      </c>
      <c r="O168" s="330">
        <f t="shared" ca="1" si="86"/>
        <v>117</v>
      </c>
      <c r="P168" s="330">
        <f t="shared" ca="1" si="86"/>
        <v>117</v>
      </c>
      <c r="Q168" s="330">
        <f t="shared" ca="1" si="86"/>
        <v>120</v>
      </c>
      <c r="R168" s="330">
        <f t="shared" ca="1" si="86"/>
        <v>188</v>
      </c>
      <c r="S168" s="330">
        <f t="shared" ca="1" si="86"/>
        <v>133</v>
      </c>
      <c r="T168" s="330">
        <f t="shared" ca="1" si="86"/>
        <v>226</v>
      </c>
      <c r="U168" s="330">
        <f t="shared" ca="1" si="86"/>
        <v>291</v>
      </c>
      <c r="V168" s="330">
        <f t="shared" ca="1" si="86"/>
        <v>256</v>
      </c>
      <c r="W168" s="330">
        <f t="shared" ca="1" si="86"/>
        <v>313</v>
      </c>
      <c r="X168" s="330">
        <f t="shared" ca="1" si="86"/>
        <v>222</v>
      </c>
      <c r="Y168" s="330">
        <f t="shared" ca="1" si="86"/>
        <v>326</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607</v>
      </c>
      <c r="C171" s="341">
        <f t="shared" si="87"/>
        <v>617</v>
      </c>
      <c r="D171" s="341">
        <f t="shared" si="87"/>
        <v>634</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625</v>
      </c>
      <c r="F171" s="341">
        <f t="shared" si="87"/>
        <v>583</v>
      </c>
      <c r="G171" s="341">
        <f t="shared" si="87"/>
        <v>518</v>
      </c>
      <c r="H171" s="341">
        <f t="shared" si="87"/>
        <v>518</v>
      </c>
      <c r="I171" s="341">
        <f t="shared" si="87"/>
        <v>560</v>
      </c>
      <c r="J171" s="341">
        <f t="shared" si="87"/>
        <v>586</v>
      </c>
      <c r="K171" s="341">
        <f t="shared" si="87"/>
        <v>524</v>
      </c>
      <c r="L171" s="341">
        <f t="shared" si="87"/>
        <v>505</v>
      </c>
      <c r="M171" s="341">
        <f t="shared" si="87"/>
        <v>487</v>
      </c>
      <c r="N171" s="341">
        <f t="shared" si="87"/>
        <v>493</v>
      </c>
      <c r="O171" s="341">
        <f t="shared" si="87"/>
        <v>484</v>
      </c>
      <c r="P171" s="341">
        <f t="shared" si="87"/>
        <v>485</v>
      </c>
      <c r="Q171" s="341">
        <f t="shared" si="87"/>
        <v>498</v>
      </c>
      <c r="R171" s="341">
        <f t="shared" si="87"/>
        <v>556</v>
      </c>
      <c r="S171" s="341">
        <f t="shared" si="87"/>
        <v>518</v>
      </c>
      <c r="T171" s="341">
        <f t="shared" si="87"/>
        <v>512</v>
      </c>
      <c r="U171" s="341">
        <f t="shared" si="87"/>
        <v>553</v>
      </c>
      <c r="V171" s="341">
        <f t="shared" si="87"/>
        <v>606</v>
      </c>
      <c r="W171" s="341">
        <f t="shared" si="87"/>
        <v>625</v>
      </c>
      <c r="X171" s="341">
        <f t="shared" si="87"/>
        <v>529</v>
      </c>
      <c r="Y171" s="342">
        <f t="shared" si="87"/>
        <v>601</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44">
        <f t="shared" si="88"/>
        <v>217</v>
      </c>
      <c r="D172" s="344">
        <f t="shared" si="88"/>
        <v>248</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246</v>
      </c>
      <c r="G172" s="344">
        <f t="shared" si="88"/>
        <v>246</v>
      </c>
      <c r="H172" s="344">
        <f t="shared" si="88"/>
        <v>201</v>
      </c>
      <c r="I172" s="344">
        <f t="shared" si="88"/>
        <v>229</v>
      </c>
      <c r="J172" s="344">
        <f t="shared" si="88"/>
        <v>229</v>
      </c>
      <c r="K172" s="344">
        <f t="shared" si="88"/>
        <v>229</v>
      </c>
      <c r="L172" s="344">
        <f t="shared" si="88"/>
        <v>178</v>
      </c>
      <c r="M172" s="344">
        <f t="shared" si="88"/>
        <v>178</v>
      </c>
      <c r="N172" s="344">
        <f t="shared" si="88"/>
        <v>178</v>
      </c>
      <c r="O172" s="344">
        <f t="shared" si="88"/>
        <v>178</v>
      </c>
      <c r="P172" s="344">
        <f t="shared" si="88"/>
        <v>178</v>
      </c>
      <c r="Q172" s="344">
        <f t="shared" si="88"/>
        <v>178</v>
      </c>
      <c r="R172" s="344">
        <f t="shared" si="88"/>
        <v>178</v>
      </c>
      <c r="S172" s="344">
        <f t="shared" si="88"/>
        <v>178</v>
      </c>
      <c r="T172" s="344">
        <f t="shared" si="88"/>
        <v>118</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f ca="1">-INDEX(Economics!$A$34:$D$45,MATCH(B12,Economics!$A$34:$A$45,0),4)/F12</f>
        <v>17403.139952153113</v>
      </c>
      <c r="F12" s="33">
        <f>(D12*$C$6)+(C12*$C$7)</f>
        <v>2.09</v>
      </c>
      <c r="G12" s="32">
        <f ca="1">E12*F12</f>
        <v>36372.5625</v>
      </c>
      <c r="H12" s="33"/>
    </row>
    <row r="13" spans="1:8" x14ac:dyDescent="0.2">
      <c r="B13" s="237" t="s">
        <v>56</v>
      </c>
      <c r="C13" s="238">
        <v>1</v>
      </c>
      <c r="D13" s="238">
        <v>0</v>
      </c>
      <c r="E13" s="32">
        <f ca="1">-INDEX(Economics!$A$34:$D$45,MATCH(Fuel!B13,Economics!$A$34:$A$45,0),4)/Fuel!F13</f>
        <v>0</v>
      </c>
      <c r="F13" s="33">
        <f>(D13*$C$6)+(C13*$C$7)</f>
        <v>2.09</v>
      </c>
      <c r="G13" s="32">
        <f ca="1">E13*F13</f>
        <v>0</v>
      </c>
      <c r="H13" s="33"/>
    </row>
    <row r="14" spans="1:8" x14ac:dyDescent="0.2">
      <c r="B14" s="237" t="s">
        <v>55</v>
      </c>
      <c r="C14" s="238">
        <v>1</v>
      </c>
      <c r="D14" s="238">
        <v>0</v>
      </c>
      <c r="E14" s="32">
        <f ca="1">-INDEX(Economics!$A$34:$D$45,MATCH(Fuel!B14,Economics!$A$34:$A$45,0),4)/Fuel!F14</f>
        <v>0</v>
      </c>
      <c r="F14" s="33">
        <f>(D14*$C$6)+(C14*$C$7)</f>
        <v>2.09</v>
      </c>
      <c r="G14" s="32">
        <f ca="1">E14*F14</f>
        <v>0</v>
      </c>
      <c r="H14" s="33"/>
    </row>
    <row r="15" spans="1:8" x14ac:dyDescent="0.2">
      <c r="B15" s="239" t="s">
        <v>18</v>
      </c>
      <c r="E15" s="34">
        <f ca="1">SUM(E12:E14)</f>
        <v>17403.139952153113</v>
      </c>
      <c r="F15" s="35"/>
      <c r="G15" s="34">
        <f ca="1">SUM(G12:G14)</f>
        <v>36372.5625</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f ca="1">-INDEX(Economics!$A$34:$D$45,MATCH(Fuel!B22,Economics!$A$34:$A$45,0),4)/Fuel!F22</f>
        <v>28258.450255102041</v>
      </c>
      <c r="F22" s="33">
        <f>IF($I$22=1,C22*$C$8,C22*$G$7)+IF($J$22=1,D22*$C$6,D22*$G$6)</f>
        <v>1.96</v>
      </c>
      <c r="G22" s="32">
        <f t="shared" ref="G22:G29" ca="1" si="0">F22*E22</f>
        <v>55386.5625</v>
      </c>
      <c r="I22" s="246">
        <f>IF(C8&lt;G7,1,0)</f>
        <v>0</v>
      </c>
      <c r="J22" s="246">
        <f>IF(C6&lt;G6,1,0)</f>
        <v>1</v>
      </c>
      <c r="K22" s="247"/>
      <c r="L22" s="248"/>
    </row>
    <row r="23" spans="1:12" x14ac:dyDescent="0.2">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
      <c r="B24" s="237" t="s">
        <v>52</v>
      </c>
      <c r="C24" s="238">
        <v>1</v>
      </c>
      <c r="D24" s="238">
        <v>0</v>
      </c>
      <c r="E24" s="32">
        <f ca="1">-INDEX(Economics!$A$34:$D$45,MATCH(Fuel!B24,Economics!$A$34:$A$45,0),4)/Fuel!F24</f>
        <v>0</v>
      </c>
      <c r="F24" s="33">
        <f t="shared" si="1"/>
        <v>1.96</v>
      </c>
      <c r="G24" s="32">
        <f t="shared" ca="1" si="0"/>
        <v>0</v>
      </c>
      <c r="I24" s="31"/>
      <c r="J24" s="31"/>
      <c r="K24" s="31"/>
    </row>
    <row r="25" spans="1:12" x14ac:dyDescent="0.2">
      <c r="B25" s="237" t="s">
        <v>48</v>
      </c>
      <c r="C25" s="238">
        <v>1</v>
      </c>
      <c r="D25" s="238">
        <v>0</v>
      </c>
      <c r="E25" s="32">
        <f ca="1">-INDEX(Economics!$A$34:$D$45,MATCH(Fuel!B25,Economics!$A$34:$A$45,0),4)/Fuel!F25</f>
        <v>18241.314572704083</v>
      </c>
      <c r="F25" s="33">
        <f t="shared" si="1"/>
        <v>1.96</v>
      </c>
      <c r="G25" s="32">
        <f t="shared" ca="1" si="0"/>
        <v>35752.9765625</v>
      </c>
      <c r="I25" s="31"/>
      <c r="J25" s="31"/>
      <c r="K25" s="31"/>
    </row>
    <row r="26" spans="1:12" x14ac:dyDescent="0.2">
      <c r="B26" s="237" t="s">
        <v>47</v>
      </c>
      <c r="C26" s="238">
        <v>1</v>
      </c>
      <c r="D26" s="238">
        <v>0</v>
      </c>
      <c r="E26" s="32">
        <f ca="1">-INDEX(Economics!$A$34:$D$45,MATCH(Fuel!B26,Economics!$A$34:$A$45,0),4)/Fuel!F26</f>
        <v>10955.686981823979</v>
      </c>
      <c r="F26" s="33">
        <f t="shared" si="1"/>
        <v>1.96</v>
      </c>
      <c r="G26" s="32">
        <f t="shared" ca="1" si="0"/>
        <v>21473.146484375</v>
      </c>
      <c r="I26" s="31"/>
      <c r="J26" s="31"/>
      <c r="K26" s="31"/>
    </row>
    <row r="27" spans="1:12" x14ac:dyDescent="0.2">
      <c r="B27" s="249" t="s">
        <v>46</v>
      </c>
      <c r="C27" s="238">
        <v>1</v>
      </c>
      <c r="D27" s="238">
        <v>0</v>
      </c>
      <c r="E27" s="32">
        <f ca="1">-INDEX(Economics!$A$34:$D$45,MATCH(Fuel!B27,Economics!$A$34:$A$45,0),4)/Fuel!F27</f>
        <v>11513.21946747449</v>
      </c>
      <c r="F27" s="33">
        <f t="shared" si="1"/>
        <v>1.96</v>
      </c>
      <c r="G27" s="32">
        <f t="shared" ca="1" si="0"/>
        <v>22565.91015625</v>
      </c>
      <c r="I27" s="31"/>
      <c r="J27" s="31"/>
      <c r="K27" s="31"/>
    </row>
    <row r="28" spans="1:12" x14ac:dyDescent="0.2">
      <c r="B28" s="237" t="s">
        <v>49</v>
      </c>
      <c r="C28" s="238">
        <v>1</v>
      </c>
      <c r="D28" s="238">
        <v>0</v>
      </c>
      <c r="E28" s="32">
        <f ca="1">-INDEX(Economics!$A$34:$D$45,MATCH(Fuel!B28,Economics!$A$34:$A$45,0),4)/Fuel!F28</f>
        <v>1755.953917211416</v>
      </c>
      <c r="F28" s="33">
        <f t="shared" si="1"/>
        <v>1.96</v>
      </c>
      <c r="G28" s="32">
        <f t="shared" ca="1" si="0"/>
        <v>3441.669677734375</v>
      </c>
      <c r="I28" s="31"/>
      <c r="J28" s="31"/>
      <c r="K28" s="31"/>
    </row>
    <row r="29" spans="1:12" x14ac:dyDescent="0.2">
      <c r="B29" s="237" t="s">
        <v>50</v>
      </c>
      <c r="C29" s="238">
        <v>1</v>
      </c>
      <c r="D29" s="238">
        <v>0</v>
      </c>
      <c r="E29" s="32">
        <f ca="1">-INDEX(Economics!$A$34:$D$45,MATCH(Fuel!B29,Economics!$A$34:$A$45,0),4)/Fuel!F29</f>
        <v>1855.6014080436862</v>
      </c>
      <c r="F29" s="33">
        <f t="shared" si="1"/>
        <v>1.96</v>
      </c>
      <c r="G29" s="32">
        <f t="shared" ca="1" si="0"/>
        <v>3636.978759765625</v>
      </c>
      <c r="I29" s="31"/>
      <c r="J29" s="31"/>
      <c r="K29" s="31"/>
    </row>
    <row r="30" spans="1:12" x14ac:dyDescent="0.2">
      <c r="B30" s="239"/>
      <c r="C30" s="36"/>
      <c r="D30" s="36"/>
      <c r="E30" s="34">
        <f ca="1">SUM(E22:E29)</f>
        <v>72580.226602359689</v>
      </c>
      <c r="F30" s="35"/>
      <c r="G30" s="34">
        <f ca="1">SUM(G22:G29)</f>
        <v>142257.244140625</v>
      </c>
      <c r="I30" s="31"/>
      <c r="J30" s="31"/>
      <c r="K30" s="31"/>
    </row>
    <row r="31" spans="1:12" x14ac:dyDescent="0.2">
      <c r="B31" s="239"/>
      <c r="I31" s="31"/>
      <c r="J31" s="31"/>
      <c r="K31" s="31"/>
    </row>
    <row r="32" spans="1:12" ht="13.5" thickBot="1" x14ac:dyDescent="0.25">
      <c r="B32" s="239" t="s">
        <v>18</v>
      </c>
      <c r="E32" s="7">
        <f ca="1">E15+E18+E30</f>
        <v>89983.366554512802</v>
      </c>
      <c r="F32" s="8"/>
      <c r="G32" s="7">
        <f ca="1">G15+G18+G30</f>
        <v>178629.806640625</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446540.39999999997</v>
      </c>
      <c r="C3" s="117">
        <f ca="1">6.8*0.75*E3</f>
        <v>110017.2</v>
      </c>
      <c r="D3" s="117">
        <f ca="1">C3+B3</f>
        <v>556557.6</v>
      </c>
      <c r="E3" s="118">
        <f ca="1">SUM(Preschedule!B59:Y59)</f>
        <v>21572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-3400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-30503.695040000006</v>
      </c>
      <c r="C28" s="120"/>
      <c r="D28" s="120">
        <f ca="1">C28+B28</f>
        <v>-30503.695040000006</v>
      </c>
      <c r="E28" s="114">
        <f>SUM(Preschedule!B56:Y56)</f>
        <v>2333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-9430.5120000000006</v>
      </c>
      <c r="C30" s="120"/>
      <c r="D30" s="120">
        <f>C30+B30</f>
        <v>-9430.5120000000006</v>
      </c>
      <c r="E30" s="114">
        <f>SUM(Preschedule!B53:Y53)</f>
        <v>1547</v>
      </c>
      <c r="F30" s="120">
        <f>H30*I30</f>
        <v>6.0960000000000001</v>
      </c>
      <c r="G30" s="79">
        <f>-IF(E30=0,0,D30/E30)</f>
        <v>6.0960000000000001</v>
      </c>
      <c r="H30" s="134">
        <v>10.16</v>
      </c>
      <c r="I30" s="135">
        <v>0.6</v>
      </c>
    </row>
    <row r="31" spans="1:9" x14ac:dyDescent="0.2">
      <c r="A31" s="83" t="s">
        <v>44</v>
      </c>
      <c r="B31" s="120">
        <f>-F31*E31</f>
        <v>-9424.4159999999993</v>
      </c>
      <c r="C31" s="120"/>
      <c r="D31" s="120">
        <f>C31+B31</f>
        <v>-9424.4159999999993</v>
      </c>
      <c r="E31" s="114">
        <f>SUM(Preschedule!B54:Y54)</f>
        <v>1546</v>
      </c>
      <c r="F31" s="120">
        <f>H31*I31</f>
        <v>6.0960000000000001</v>
      </c>
      <c r="G31" s="79">
        <f>-IF(E31=0,0,D31/E31)</f>
        <v>6.0959999999999992</v>
      </c>
      <c r="H31" s="134">
        <v>10.16</v>
      </c>
      <c r="I31" s="135">
        <v>0.6</v>
      </c>
    </row>
    <row r="32" spans="1:9" x14ac:dyDescent="0.2">
      <c r="A32" s="83" t="s">
        <v>45</v>
      </c>
      <c r="B32" s="120">
        <f>-F32*E32</f>
        <v>-9436.6080000000002</v>
      </c>
      <c r="C32" s="120"/>
      <c r="D32" s="120">
        <f>C32+B32</f>
        <v>-9436.6080000000002</v>
      </c>
      <c r="E32" s="114">
        <f>SUM(Preschedule!B55:Y55)</f>
        <v>1548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-22565.91015625</v>
      </c>
      <c r="C34" s="120"/>
      <c r="D34" s="120">
        <f ca="1">IF(ISTEXT(B34),0,C34+B34)</f>
        <v>-22565.91015625</v>
      </c>
      <c r="E34" s="114">
        <f>SUM(Preschedule!B41:Y41)</f>
        <v>984</v>
      </c>
      <c r="F34" s="120">
        <f ca="1">-IF(OR(ISTEXT(B34),E34=0),0,B34/E34)</f>
        <v>22.932835524644307</v>
      </c>
      <c r="G34" s="79">
        <f t="shared" ref="G34:G45" ca="1" si="6">-IF(E34=0,0,D34/E34)</f>
        <v>22.932835524644307</v>
      </c>
      <c r="H34" s="136"/>
      <c r="I34" s="135">
        <f>INDEX(FuelPriceTable,MATCH(A34,FuelNames,0),5)</f>
        <v>1.96</v>
      </c>
    </row>
    <row r="35" spans="1:9" x14ac:dyDescent="0.2">
      <c r="A35" s="83" t="s">
        <v>47</v>
      </c>
      <c r="B35" s="120">
        <f ca="1">Gencost(Preschedule!B42:Y42,OFFSET(HeatRateStart,1,MATCH(A35,HeatRateNames,0)-1,250,1),I35)</f>
        <v>-21473.146484375</v>
      </c>
      <c r="C35" s="120"/>
      <c r="D35" s="120">
        <f t="shared" ref="D35:D45" ca="1" si="7">IF(ISTEXT(B35),0,C35+B35)</f>
        <v>-21473.146484375</v>
      </c>
      <c r="E35" s="114">
        <f>SUM(Preschedule!B42:Y42)</f>
        <v>1027</v>
      </c>
      <c r="F35" s="120">
        <f t="shared" ref="F35:F45" ca="1" si="8">-IF(OR(ISTEXT(B35),E35=0),0,B35/E35)</f>
        <v>20.908613908836418</v>
      </c>
      <c r="G35" s="79">
        <f t="shared" ca="1" si="6"/>
        <v>20.908613908836418</v>
      </c>
      <c r="H35" s="136"/>
      <c r="I35" s="135">
        <f t="shared" ref="I35:I45" si="9">INDEX(FuelPriceTable,MATCH(A35,FuelNames,0),5)</f>
        <v>1.96</v>
      </c>
    </row>
    <row r="36" spans="1:9" x14ac:dyDescent="0.2">
      <c r="A36" s="83" t="s">
        <v>48</v>
      </c>
      <c r="B36" s="120">
        <f ca="1">Gencost(Preschedule!B43:Y43,OFFSET(HeatRateStart,1,MATCH(A36,HeatRateNames,0)-1,250,1),I36)</f>
        <v>-35752.9765625</v>
      </c>
      <c r="C36" s="120"/>
      <c r="D36" s="120">
        <f t="shared" ca="1" si="7"/>
        <v>-35752.9765625</v>
      </c>
      <c r="E36" s="114">
        <f>SUM(Preschedule!B43:Y43)</f>
        <v>1791</v>
      </c>
      <c r="F36" s="120">
        <f t="shared" ca="1" si="8"/>
        <v>19.962577645170295</v>
      </c>
      <c r="G36" s="79">
        <f t="shared" ca="1" si="6"/>
        <v>19.962577645170295</v>
      </c>
      <c r="H36" s="136"/>
      <c r="I36" s="135">
        <f>INDEX(FuelPriceTable,MATCH(A36,FuelNames,0),5)</f>
        <v>1.96</v>
      </c>
    </row>
    <row r="37" spans="1:9" x14ac:dyDescent="0.2">
      <c r="A37" s="83" t="s">
        <v>49</v>
      </c>
      <c r="B37" s="120">
        <f ca="1">Gencost(Preschedule!B44:Y44,OFFSET(HeatRateStart,1,MATCH(A37,HeatRateNames,0)-1,250,1),I37)</f>
        <v>-3441.669677734375</v>
      </c>
      <c r="C37" s="120"/>
      <c r="D37" s="120">
        <f t="shared" ca="1" si="7"/>
        <v>-3441.669677734375</v>
      </c>
      <c r="E37" s="114">
        <f>SUM(Preschedule!B44:Y44)</f>
        <v>74</v>
      </c>
      <c r="F37" s="120">
        <f t="shared" ca="1" si="8"/>
        <v>46.509049699113177</v>
      </c>
      <c r="G37" s="79">
        <f t="shared" ca="1" si="6"/>
        <v>46.509049699113177</v>
      </c>
      <c r="H37" s="136"/>
      <c r="I37" s="135">
        <f t="shared" si="9"/>
        <v>1.96</v>
      </c>
    </row>
    <row r="38" spans="1:9" x14ac:dyDescent="0.2">
      <c r="A38" s="83" t="s">
        <v>50</v>
      </c>
      <c r="B38" s="120">
        <f ca="1">Gencost(Preschedule!B45:Y45,OFFSET(HeatRateStart,1,MATCH(A38,HeatRateNames,0)-1,250,1),I38)</f>
        <v>-3636.978759765625</v>
      </c>
      <c r="C38" s="120"/>
      <c r="D38" s="120">
        <f t="shared" ca="1" si="7"/>
        <v>-3636.978759765625</v>
      </c>
      <c r="E38" s="114">
        <f>SUM(Preschedule!B45:Y45)</f>
        <v>84</v>
      </c>
      <c r="F38" s="120">
        <f t="shared" ca="1" si="8"/>
        <v>43.297366187686009</v>
      </c>
      <c r="G38" s="79">
        <f t="shared" ca="1" si="6"/>
        <v>43.297366187686009</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-55386.5625</v>
      </c>
      <c r="C41" s="120"/>
      <c r="D41" s="120">
        <f t="shared" ca="1" si="7"/>
        <v>-55386.5625</v>
      </c>
      <c r="E41" s="114">
        <f>SUM(Preschedule!B48:Y48)</f>
        <v>2990</v>
      </c>
      <c r="F41" s="120">
        <f t="shared" ca="1" si="8"/>
        <v>18.523933946488295</v>
      </c>
      <c r="G41" s="79">
        <f t="shared" ca="1" si="6"/>
        <v>18.523933946488295</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-36372.5625</v>
      </c>
      <c r="C45" s="120"/>
      <c r="D45" s="120">
        <f t="shared" ca="1" si="7"/>
        <v>-36372.5625</v>
      </c>
      <c r="E45" s="114">
        <f>SUM(Preschedule!B52:Y52)</f>
        <v>1701</v>
      </c>
      <c r="F45" s="120">
        <f t="shared" ca="1" si="8"/>
        <v>21.383046737213405</v>
      </c>
      <c r="G45" s="79">
        <f t="shared" ca="1" si="6"/>
        <v>21.383046737213405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37286.402083333334</v>
      </c>
    </row>
    <row r="32" spans="2:2" x14ac:dyDescent="0.2">
      <c r="B32" t="s">
        <v>376</v>
      </c>
    </row>
    <row r="33" spans="2:2" x14ac:dyDescent="0.2">
      <c r="B33" t="s">
        <v>377</v>
      </c>
    </row>
    <row r="34" spans="2:2" x14ac:dyDescent="0.2">
      <c r="B34" t="s">
        <v>378</v>
      </c>
    </row>
    <row r="35" spans="2:2" x14ac:dyDescent="0.2">
      <c r="B35" t="s">
        <v>374</v>
      </c>
    </row>
    <row r="36" spans="2:2" x14ac:dyDescent="0.2">
      <c r="B36" t="s">
        <v>375</v>
      </c>
    </row>
    <row r="37" spans="2:2" x14ac:dyDescent="0.2">
      <c r="B37" t="s">
        <v>364</v>
      </c>
    </row>
    <row r="38" spans="2:2" x14ac:dyDescent="0.2">
      <c r="B38" t="s">
        <v>362</v>
      </c>
    </row>
    <row r="39" spans="2:2" x14ac:dyDescent="0.2">
      <c r="B39" t="s">
        <v>379</v>
      </c>
    </row>
    <row r="40" spans="2:2" x14ac:dyDescent="0.2">
      <c r="B40" t="s">
        <v>380</v>
      </c>
    </row>
    <row r="41" spans="2:2" x14ac:dyDescent="0.2">
      <c r="B41" t="s">
        <v>372</v>
      </c>
    </row>
    <row r="42" spans="2:2" x14ac:dyDescent="0.2">
      <c r="B42" t="s">
        <v>365</v>
      </c>
    </row>
    <row r="43" spans="2:2" x14ac:dyDescent="0.2">
      <c r="B43" t="s">
        <v>367</v>
      </c>
    </row>
    <row r="44" spans="2:2" x14ac:dyDescent="0.2">
      <c r="B44" t="s">
        <v>381</v>
      </c>
    </row>
    <row r="45" spans="2:2" x14ac:dyDescent="0.2">
      <c r="B45" t="s">
        <v>382</v>
      </c>
    </row>
    <row r="46" spans="2:2" x14ac:dyDescent="0.2">
      <c r="B46" t="s">
        <v>383</v>
      </c>
    </row>
    <row r="47" spans="2:2" x14ac:dyDescent="0.2">
      <c r="B47" t="s">
        <v>373</v>
      </c>
    </row>
    <row r="48" spans="2:2" x14ac:dyDescent="0.2">
      <c r="B48" t="s">
        <v>384</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2001-10-27T06:05:34Z</cp:lastPrinted>
  <dcterms:created xsi:type="dcterms:W3CDTF">1998-02-07T06:53:21Z</dcterms:created>
  <dcterms:modified xsi:type="dcterms:W3CDTF">2023-09-15T21:16:16Z</dcterms:modified>
</cp:coreProperties>
</file>