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8FA52B9-124A-48F2-B05A-55C40B1D5F81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Plains" sheetId="66" r:id="rId18"/>
    <sheet name="NNG" sheetId="65" r:id="rId19"/>
    <sheet name="PNM" sheetId="64" r:id="rId20"/>
    <sheet name="NGPL" sheetId="67" r:id="rId21"/>
    <sheet name="KN_Westar" sheetId="22" r:id="rId22"/>
  </sheets>
  <externalReferences>
    <externalReference r:id="rId23"/>
  </externalReferences>
  <definedNames>
    <definedName name="_800applic">#REF!</definedName>
    <definedName name="AVG">summary!$I$13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Duke!$A$2:$C$50</definedName>
    <definedName name="_xlnm.Print_Area" localSheetId="6">'El Paso'!$R$237:$AA$273</definedName>
    <definedName name="_xlnm.Print_Area" localSheetId="21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2">NW!$M$345:$R$385</definedName>
    <definedName name="_xlnm.Print_Area" localSheetId="9">Oasis!$R$2:$U$40</definedName>
    <definedName name="_xlnm.Print_Area" localSheetId="3">'PG&amp;E'!#REF!</definedName>
    <definedName name="_xlnm.Print_Area" localSheetId="5">PGETX!$A$1:$H$39</definedName>
    <definedName name="_xlnm.Print_Area" localSheetId="8">'Red C'!$A$2:$D$44</definedName>
    <definedName name="_xlnm.Print_Area" localSheetId="4">SoCal!$AM$43:$AP$82</definedName>
    <definedName name="_xlnm.Print_Area" localSheetId="0">summary!$A$1:$I$42</definedName>
    <definedName name="_xlnm.Print_Area" localSheetId="1">williams!$A$1:$J$40</definedName>
    <definedName name="REVAL">#REF!</definedName>
    <definedName name="SJ">summary!$I$12</definedName>
    <definedName name="softball">#REF!</definedName>
    <definedName name="WRITEOFFS">#REF!</definedName>
  </definedNames>
  <calcPr calcId="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3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D39" i="18"/>
  <c r="D40" i="18"/>
  <c r="D41" i="18"/>
  <c r="D43" i="18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B10" i="20"/>
  <c r="B11" i="20"/>
  <c r="B12" i="20"/>
  <c r="B14" i="20"/>
  <c r="B15" i="20"/>
  <c r="B16" i="20"/>
  <c r="B17" i="20"/>
  <c r="C17" i="20"/>
  <c r="C18" i="20"/>
  <c r="B29" i="20"/>
  <c r="B30" i="20"/>
  <c r="C30" i="20"/>
  <c r="C31" i="20"/>
  <c r="B41" i="20"/>
  <c r="B44" i="20"/>
  <c r="B45" i="20"/>
  <c r="C45" i="20"/>
  <c r="C46" i="20"/>
  <c r="C49" i="20"/>
  <c r="H5" i="11"/>
  <c r="E6" i="11"/>
  <c r="H6" i="11"/>
  <c r="E7" i="11"/>
  <c r="H7" i="11"/>
  <c r="E8" i="11"/>
  <c r="H8" i="11"/>
  <c r="AB8" i="11"/>
  <c r="AC8" i="11"/>
  <c r="AF8" i="11"/>
  <c r="AI8" i="11"/>
  <c r="AL8" i="11"/>
  <c r="AM8" i="11"/>
  <c r="AN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C16" i="11"/>
  <c r="AF16" i="11"/>
  <c r="AI16" i="11"/>
  <c r="AL16" i="11"/>
  <c r="AM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F20" i="11"/>
  <c r="AI20" i="11"/>
  <c r="AL20" i="11"/>
  <c r="AM20" i="11"/>
  <c r="AN20" i="11"/>
  <c r="AO20" i="11"/>
  <c r="AP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H37" i="11"/>
  <c r="AA37" i="11"/>
  <c r="AC37" i="11"/>
  <c r="AF37" i="11"/>
  <c r="AI37" i="11"/>
  <c r="AL37" i="11"/>
  <c r="AM37" i="11"/>
  <c r="AN37" i="11"/>
  <c r="AO37" i="11"/>
  <c r="AP37" i="11"/>
  <c r="C38" i="11"/>
  <c r="E38" i="11"/>
  <c r="H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D37" i="22"/>
  <c r="D38" i="22"/>
  <c r="D39" i="22"/>
  <c r="D41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D3" i="67"/>
  <c r="G3" i="67"/>
  <c r="D4" i="67"/>
  <c r="G4" i="67"/>
  <c r="D5" i="67"/>
  <c r="G5" i="67"/>
  <c r="D6" i="67"/>
  <c r="G6" i="67"/>
  <c r="D7" i="67"/>
  <c r="G7" i="67"/>
  <c r="D8" i="67"/>
  <c r="G8" i="67"/>
  <c r="D9" i="67"/>
  <c r="G9" i="67"/>
  <c r="D10" i="67"/>
  <c r="G10" i="67"/>
  <c r="D11" i="67"/>
  <c r="G11" i="67"/>
  <c r="D12" i="67"/>
  <c r="G12" i="67"/>
  <c r="D13" i="67"/>
  <c r="G13" i="67"/>
  <c r="D14" i="67"/>
  <c r="G14" i="67"/>
  <c r="D15" i="67"/>
  <c r="G15" i="67"/>
  <c r="D16" i="67"/>
  <c r="G16" i="67"/>
  <c r="D17" i="67"/>
  <c r="G17" i="67"/>
  <c r="D18" i="67"/>
  <c r="G18" i="67"/>
  <c r="D19" i="67"/>
  <c r="G19" i="67"/>
  <c r="D20" i="67"/>
  <c r="G20" i="67"/>
  <c r="D21" i="67"/>
  <c r="G21" i="67"/>
  <c r="D22" i="67"/>
  <c r="G22" i="67"/>
  <c r="D23" i="67"/>
  <c r="G23" i="67"/>
  <c r="D24" i="67"/>
  <c r="G24" i="67"/>
  <c r="D25" i="67"/>
  <c r="G25" i="67"/>
  <c r="D26" i="67"/>
  <c r="G26" i="67"/>
  <c r="D27" i="67"/>
  <c r="G27" i="67"/>
  <c r="D28" i="67"/>
  <c r="G28" i="67"/>
  <c r="D29" i="67"/>
  <c r="G29" i="67"/>
  <c r="D30" i="67"/>
  <c r="G30" i="67"/>
  <c r="D31" i="67"/>
  <c r="G31" i="67"/>
  <c r="D32" i="67"/>
  <c r="G32" i="67"/>
  <c r="D33" i="67"/>
  <c r="G33" i="67"/>
  <c r="D34" i="67"/>
  <c r="G34" i="67"/>
  <c r="G35" i="67"/>
  <c r="G38" i="67"/>
  <c r="D6" i="65"/>
  <c r="D7" i="65"/>
  <c r="D8" i="65"/>
  <c r="D9" i="65"/>
  <c r="D10" i="65"/>
  <c r="B11" i="65"/>
  <c r="D11" i="65"/>
  <c r="D12" i="65"/>
  <c r="D13" i="65"/>
  <c r="D14" i="65"/>
  <c r="D18" i="65"/>
  <c r="D19" i="65"/>
  <c r="D20" i="65"/>
  <c r="D24" i="65"/>
  <c r="B1" i="7"/>
  <c r="C5" i="7"/>
  <c r="F5" i="7"/>
  <c r="Z5" i="7"/>
  <c r="AD5" i="7"/>
  <c r="AF5" i="7"/>
  <c r="AG5" i="7"/>
  <c r="AH5" i="7"/>
  <c r="AI5" i="7"/>
  <c r="C6" i="7"/>
  <c r="F6" i="7"/>
  <c r="Z6" i="7"/>
  <c r="AD6" i="7"/>
  <c r="AF6" i="7"/>
  <c r="AG6" i="7"/>
  <c r="AH6" i="7"/>
  <c r="AI6" i="7"/>
  <c r="C7" i="7"/>
  <c r="F7" i="7"/>
  <c r="Z7" i="7"/>
  <c r="AD7" i="7"/>
  <c r="AF7" i="7"/>
  <c r="AG7" i="7"/>
  <c r="AH7" i="7"/>
  <c r="AI7" i="7"/>
  <c r="C8" i="7"/>
  <c r="E8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E36" i="7"/>
  <c r="F36" i="7"/>
  <c r="F41" i="7"/>
  <c r="D5" i="16"/>
  <c r="I5" i="16"/>
  <c r="M5" i="16"/>
  <c r="Q5" i="16"/>
  <c r="U5" i="16"/>
  <c r="Y5" i="16"/>
  <c r="D6" i="16"/>
  <c r="I6" i="16"/>
  <c r="M6" i="16"/>
  <c r="Q6" i="16"/>
  <c r="U6" i="16"/>
  <c r="Y6" i="16"/>
  <c r="D7" i="16"/>
  <c r="I7" i="16"/>
  <c r="M7" i="16"/>
  <c r="Q7" i="16"/>
  <c r="U7" i="16"/>
  <c r="Y7" i="16"/>
  <c r="D8" i="16"/>
  <c r="I8" i="16"/>
  <c r="M8" i="16"/>
  <c r="Q8" i="16"/>
  <c r="U8" i="16"/>
  <c r="Y8" i="16"/>
  <c r="D9" i="16"/>
  <c r="I9" i="16"/>
  <c r="M9" i="16"/>
  <c r="Q9" i="16"/>
  <c r="U9" i="16"/>
  <c r="Y9" i="16"/>
  <c r="D10" i="16"/>
  <c r="I10" i="16"/>
  <c r="M10" i="16"/>
  <c r="Q10" i="16"/>
  <c r="U10" i="16"/>
  <c r="Y10" i="16"/>
  <c r="D11" i="16"/>
  <c r="I11" i="16"/>
  <c r="M11" i="16"/>
  <c r="Q11" i="16"/>
  <c r="U11" i="16"/>
  <c r="Y11" i="16"/>
  <c r="B12" i="16"/>
  <c r="D12" i="16"/>
  <c r="I12" i="16"/>
  <c r="M12" i="16"/>
  <c r="Q12" i="16"/>
  <c r="U12" i="16"/>
  <c r="Y12" i="16"/>
  <c r="B13" i="16"/>
  <c r="D13" i="16"/>
  <c r="I13" i="16"/>
  <c r="M13" i="16"/>
  <c r="Q13" i="16"/>
  <c r="U13" i="16"/>
  <c r="Y13" i="16"/>
  <c r="D14" i="16"/>
  <c r="I14" i="16"/>
  <c r="M14" i="16"/>
  <c r="Q14" i="16"/>
  <c r="U14" i="16"/>
  <c r="Y14" i="16"/>
  <c r="D15" i="16"/>
  <c r="I15" i="16"/>
  <c r="M15" i="16"/>
  <c r="Q15" i="16"/>
  <c r="U15" i="16"/>
  <c r="Y15" i="16"/>
  <c r="D16" i="16"/>
  <c r="I16" i="16"/>
  <c r="M16" i="16"/>
  <c r="Q16" i="16"/>
  <c r="U16" i="16"/>
  <c r="Y16" i="16"/>
  <c r="D17" i="16"/>
  <c r="I17" i="16"/>
  <c r="M17" i="16"/>
  <c r="Q17" i="16"/>
  <c r="U17" i="16"/>
  <c r="Y17" i="16"/>
  <c r="D18" i="16"/>
  <c r="I18" i="16"/>
  <c r="M18" i="16"/>
  <c r="Q18" i="16"/>
  <c r="U18" i="16"/>
  <c r="Y18" i="16"/>
  <c r="D19" i="16"/>
  <c r="I19" i="16"/>
  <c r="M19" i="16"/>
  <c r="Q19" i="16"/>
  <c r="U19" i="16"/>
  <c r="Y19" i="16"/>
  <c r="B20" i="16"/>
  <c r="D20" i="16"/>
  <c r="I20" i="16"/>
  <c r="M20" i="16"/>
  <c r="Q20" i="16"/>
  <c r="U20" i="16"/>
  <c r="Y20" i="16"/>
  <c r="D21" i="16"/>
  <c r="I21" i="16"/>
  <c r="M21" i="16"/>
  <c r="Q21" i="16"/>
  <c r="U21" i="16"/>
  <c r="Y21" i="16"/>
  <c r="D22" i="16"/>
  <c r="I22" i="16"/>
  <c r="M22" i="16"/>
  <c r="Q22" i="16"/>
  <c r="U22" i="16"/>
  <c r="Y22" i="16"/>
  <c r="D23" i="16"/>
  <c r="G23" i="16"/>
  <c r="I23" i="16"/>
  <c r="M23" i="16"/>
  <c r="Q23" i="16"/>
  <c r="U23" i="16"/>
  <c r="Y23" i="16"/>
  <c r="D24" i="16"/>
  <c r="I24" i="16"/>
  <c r="M24" i="16"/>
  <c r="Q24" i="16"/>
  <c r="U24" i="16"/>
  <c r="Y24" i="16"/>
  <c r="D25" i="16"/>
  <c r="I25" i="16"/>
  <c r="M25" i="16"/>
  <c r="Q25" i="16"/>
  <c r="U25" i="16"/>
  <c r="Y25" i="16"/>
  <c r="D26" i="16"/>
  <c r="I26" i="16"/>
  <c r="M26" i="16"/>
  <c r="Q26" i="16"/>
  <c r="U26" i="16"/>
  <c r="Y26" i="16"/>
  <c r="D27" i="16"/>
  <c r="I27" i="16"/>
  <c r="M27" i="16"/>
  <c r="Q27" i="16"/>
  <c r="U27" i="16"/>
  <c r="Y27" i="16"/>
  <c r="D28" i="16"/>
  <c r="I28" i="16"/>
  <c r="M28" i="16"/>
  <c r="Q28" i="16"/>
  <c r="U28" i="16"/>
  <c r="Y28" i="16"/>
  <c r="D29" i="16"/>
  <c r="I29" i="16"/>
  <c r="M29" i="16"/>
  <c r="Q29" i="16"/>
  <c r="U29" i="16"/>
  <c r="Y29" i="16"/>
  <c r="D30" i="16"/>
  <c r="I30" i="16"/>
  <c r="M30" i="16"/>
  <c r="Q30" i="16"/>
  <c r="U30" i="16"/>
  <c r="Y30" i="16"/>
  <c r="D31" i="16"/>
  <c r="I31" i="16"/>
  <c r="M31" i="16"/>
  <c r="Q31" i="16"/>
  <c r="U31" i="16"/>
  <c r="Y31" i="16"/>
  <c r="D32" i="16"/>
  <c r="I32" i="16"/>
  <c r="M32" i="16"/>
  <c r="Q32" i="16"/>
  <c r="U32" i="16"/>
  <c r="Y32" i="16"/>
  <c r="D33" i="16"/>
  <c r="I33" i="16"/>
  <c r="M33" i="16"/>
  <c r="Q33" i="16"/>
  <c r="U33" i="16"/>
  <c r="Y33" i="16"/>
  <c r="D34" i="16"/>
  <c r="I34" i="16"/>
  <c r="M34" i="16"/>
  <c r="Q34" i="16"/>
  <c r="U34" i="16"/>
  <c r="Y34" i="16"/>
  <c r="D35" i="16"/>
  <c r="I35" i="16"/>
  <c r="M35" i="16"/>
  <c r="Q35" i="16"/>
  <c r="U35" i="16"/>
  <c r="Y35" i="16"/>
  <c r="B36" i="16"/>
  <c r="C36" i="16"/>
  <c r="D36" i="16"/>
  <c r="G36" i="16"/>
  <c r="H36" i="16"/>
  <c r="I36" i="16"/>
  <c r="K36" i="16"/>
  <c r="L36" i="16"/>
  <c r="M36" i="16"/>
  <c r="O36" i="16"/>
  <c r="P36" i="16"/>
  <c r="Q36" i="16"/>
  <c r="S36" i="16"/>
  <c r="T36" i="16"/>
  <c r="U36" i="16"/>
  <c r="W36" i="16"/>
  <c r="X36" i="16"/>
  <c r="Y36" i="16"/>
  <c r="D40" i="16"/>
  <c r="I40" i="16"/>
  <c r="M40" i="16"/>
  <c r="Q40" i="16"/>
  <c r="U40" i="16"/>
  <c r="Y40" i="16"/>
  <c r="D4" i="28"/>
  <c r="H4" i="28"/>
  <c r="D5" i="28"/>
  <c r="H5" i="28"/>
  <c r="D6" i="28"/>
  <c r="H6" i="28"/>
  <c r="D7" i="28"/>
  <c r="H7" i="28"/>
  <c r="D8" i="28"/>
  <c r="H8" i="28"/>
  <c r="D9" i="28"/>
  <c r="H9" i="28"/>
  <c r="D10" i="28"/>
  <c r="H10" i="28"/>
  <c r="D11" i="28"/>
  <c r="H11" i="28"/>
  <c r="D12" i="28"/>
  <c r="H12" i="28"/>
  <c r="D13" i="28"/>
  <c r="H13" i="28"/>
  <c r="D14" i="28"/>
  <c r="H14" i="28"/>
  <c r="D15" i="28"/>
  <c r="H15" i="28"/>
  <c r="D16" i="28"/>
  <c r="H16" i="28"/>
  <c r="D17" i="28"/>
  <c r="H17" i="28"/>
  <c r="D18" i="28"/>
  <c r="H18" i="28"/>
  <c r="D19" i="28"/>
  <c r="H19" i="28"/>
  <c r="D20" i="28"/>
  <c r="H20" i="28"/>
  <c r="D21" i="28"/>
  <c r="H21" i="28"/>
  <c r="D22" i="28"/>
  <c r="H22" i="28"/>
  <c r="D23" i="28"/>
  <c r="H23" i="28"/>
  <c r="D24" i="28"/>
  <c r="H24" i="28"/>
  <c r="D25" i="28"/>
  <c r="H25" i="28"/>
  <c r="D26" i="28"/>
  <c r="H26" i="28"/>
  <c r="D27" i="28"/>
  <c r="H27" i="28"/>
  <c r="D28" i="28"/>
  <c r="H28" i="28"/>
  <c r="B29" i="28"/>
  <c r="D29" i="28"/>
  <c r="H29" i="28"/>
  <c r="B30" i="28"/>
  <c r="D30" i="28"/>
  <c r="H30" i="28"/>
  <c r="D31" i="28"/>
  <c r="H31" i="28"/>
  <c r="D32" i="28"/>
  <c r="H32" i="28"/>
  <c r="D33" i="28"/>
  <c r="H33" i="28"/>
  <c r="D34" i="28"/>
  <c r="H34" i="28"/>
  <c r="B35" i="28"/>
  <c r="C35" i="28"/>
  <c r="D35" i="28"/>
  <c r="F35" i="28"/>
  <c r="G35" i="28"/>
  <c r="H35" i="28"/>
  <c r="C36" i="28"/>
  <c r="D40" i="28"/>
  <c r="H40" i="28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D5" i="64"/>
  <c r="D6" i="64"/>
  <c r="D7" i="64"/>
  <c r="D8" i="64"/>
  <c r="D9" i="64"/>
  <c r="C10" i="64"/>
  <c r="D10" i="64"/>
  <c r="D11" i="64"/>
  <c r="D12" i="64"/>
  <c r="D13" i="64"/>
  <c r="D17" i="64"/>
  <c r="D18" i="64"/>
  <c r="D19" i="64"/>
  <c r="D23" i="64"/>
  <c r="D8" i="15"/>
  <c r="AD8" i="15"/>
  <c r="AH8" i="15"/>
  <c r="AL8" i="15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P22" i="15"/>
  <c r="AT22" i="15"/>
  <c r="D23" i="15"/>
  <c r="AD23" i="15"/>
  <c r="AH23" i="15"/>
  <c r="AL23" i="15"/>
  <c r="AO23" i="15"/>
  <c r="AP23" i="15"/>
  <c r="AT23" i="15"/>
  <c r="D24" i="15"/>
  <c r="AD24" i="15"/>
  <c r="AH24" i="15"/>
  <c r="AL24" i="15"/>
  <c r="AO24" i="15"/>
  <c r="AP24" i="15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/>
  <c r="AT27" i="15"/>
  <c r="D28" i="15"/>
  <c r="AD28" i="15"/>
  <c r="AG28" i="15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D39" i="15"/>
  <c r="AB39" i="15"/>
  <c r="AC39" i="15"/>
  <c r="AD39" i="15"/>
  <c r="AF39" i="15"/>
  <c r="AG39" i="15"/>
  <c r="AH39" i="15"/>
  <c r="AJ39" i="15"/>
  <c r="AK39" i="15"/>
  <c r="AL39" i="15"/>
  <c r="AN39" i="15"/>
  <c r="AO39" i="15"/>
  <c r="AP39" i="15"/>
  <c r="AR39" i="15"/>
  <c r="AS39" i="15"/>
  <c r="AT39" i="15"/>
  <c r="D40" i="15"/>
  <c r="D41" i="15"/>
  <c r="D43" i="15"/>
  <c r="AD45" i="15"/>
  <c r="AH45" i="15"/>
  <c r="AL45" i="15"/>
  <c r="AP45" i="15"/>
  <c r="AP48" i="15"/>
  <c r="AP51" i="15"/>
  <c r="AF52" i="15"/>
  <c r="AF54" i="15"/>
  <c r="AF56" i="15"/>
  <c r="AF57" i="15"/>
  <c r="D86" i="15"/>
  <c r="D87" i="15"/>
  <c r="D88" i="15"/>
  <c r="D89" i="15"/>
  <c r="D90" i="15"/>
  <c r="D91" i="15"/>
  <c r="B92" i="15"/>
  <c r="D92" i="15"/>
  <c r="D93" i="15"/>
  <c r="D94" i="15"/>
  <c r="D95" i="15"/>
  <c r="D96" i="15"/>
  <c r="D97" i="15"/>
  <c r="D98" i="15"/>
  <c r="D99" i="15"/>
  <c r="C100" i="15"/>
  <c r="B101" i="15"/>
  <c r="C101" i="15"/>
  <c r="D101" i="15"/>
  <c r="B102" i="15"/>
  <c r="D102" i="15"/>
  <c r="B103" i="15"/>
  <c r="C103" i="15"/>
  <c r="D103" i="15"/>
  <c r="B105" i="15"/>
  <c r="D105" i="15"/>
  <c r="D108" i="15"/>
  <c r="D126" i="15"/>
  <c r="D127" i="15"/>
  <c r="D128" i="15"/>
  <c r="D129" i="15"/>
  <c r="D130" i="15"/>
  <c r="D131" i="15"/>
  <c r="B132" i="15"/>
  <c r="D132" i="15"/>
  <c r="B133" i="15"/>
  <c r="C133" i="15"/>
  <c r="D133" i="15"/>
  <c r="B136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C168" i="15"/>
  <c r="D169" i="15"/>
  <c r="D170" i="15"/>
  <c r="D171" i="15"/>
  <c r="D172" i="15"/>
  <c r="D173" i="15"/>
  <c r="B174" i="15"/>
  <c r="C174" i="15"/>
  <c r="C175" i="15"/>
  <c r="B176" i="15"/>
  <c r="C176" i="15"/>
  <c r="D176" i="15"/>
  <c r="B178" i="15"/>
  <c r="C178" i="15"/>
  <c r="B180" i="15"/>
  <c r="C180" i="1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D35" i="6"/>
  <c r="B36" i="6"/>
  <c r="D40" i="6"/>
  <c r="AH46" i="6"/>
  <c r="AL46" i="6"/>
  <c r="AP46" i="6"/>
  <c r="AH47" i="6"/>
  <c r="AL47" i="6"/>
  <c r="AP47" i="6"/>
  <c r="AH48" i="6"/>
  <c r="AJ48" i="6"/>
  <c r="AL48" i="6"/>
  <c r="AP48" i="6"/>
  <c r="AH49" i="6"/>
  <c r="AL49" i="6"/>
  <c r="AP49" i="6"/>
  <c r="AH50" i="6"/>
  <c r="AL50" i="6"/>
  <c r="AP50" i="6"/>
  <c r="AH51" i="6"/>
  <c r="AL51" i="6"/>
  <c r="AP51" i="6"/>
  <c r="AH52" i="6"/>
  <c r="AL52" i="6"/>
  <c r="AP52" i="6"/>
  <c r="AH53" i="6"/>
  <c r="AL53" i="6"/>
  <c r="AP53" i="6"/>
  <c r="AH54" i="6"/>
  <c r="AL54" i="6"/>
  <c r="AP54" i="6"/>
  <c r="AH55" i="6"/>
  <c r="AL55" i="6"/>
  <c r="AP55" i="6"/>
  <c r="AH56" i="6"/>
  <c r="AL56" i="6"/>
  <c r="AP56" i="6"/>
  <c r="AH57" i="6"/>
  <c r="AL57" i="6"/>
  <c r="AP57" i="6"/>
  <c r="AH58" i="6"/>
  <c r="AL58" i="6"/>
  <c r="AP58" i="6"/>
  <c r="AH59" i="6"/>
  <c r="AL59" i="6"/>
  <c r="AP59" i="6"/>
  <c r="AH60" i="6"/>
  <c r="AL60" i="6"/>
  <c r="AP60" i="6"/>
  <c r="AH61" i="6"/>
  <c r="AL61" i="6"/>
  <c r="AP61" i="6"/>
  <c r="AH62" i="6"/>
  <c r="AL62" i="6"/>
  <c r="AP62" i="6"/>
  <c r="AH63" i="6"/>
  <c r="AL63" i="6"/>
  <c r="AP63" i="6"/>
  <c r="AH64" i="6"/>
  <c r="AL64" i="6"/>
  <c r="AP64" i="6"/>
  <c r="AH65" i="6"/>
  <c r="AL65" i="6"/>
  <c r="AP65" i="6"/>
  <c r="AH66" i="6"/>
  <c r="AL66" i="6"/>
  <c r="AP66" i="6"/>
  <c r="AH67" i="6"/>
  <c r="AL67" i="6"/>
  <c r="AP67" i="6"/>
  <c r="AH68" i="6"/>
  <c r="AL68" i="6"/>
  <c r="AP68" i="6"/>
  <c r="AH69" i="6"/>
  <c r="AL69" i="6"/>
  <c r="AP69" i="6"/>
  <c r="AH70" i="6"/>
  <c r="AL70" i="6"/>
  <c r="AP70" i="6"/>
  <c r="AH71" i="6"/>
  <c r="AL71" i="6"/>
  <c r="AP71" i="6"/>
  <c r="AH72" i="6"/>
  <c r="AL72" i="6"/>
  <c r="AP72" i="6"/>
  <c r="AH73" i="6"/>
  <c r="AL73" i="6"/>
  <c r="AP73" i="6"/>
  <c r="AH74" i="6"/>
  <c r="AL74" i="6"/>
  <c r="AP74" i="6"/>
  <c r="AH75" i="6"/>
  <c r="AL75" i="6"/>
  <c r="AP75" i="6"/>
  <c r="AH76" i="6"/>
  <c r="AL76" i="6"/>
  <c r="AP76" i="6"/>
  <c r="AF77" i="6"/>
  <c r="AG77" i="6"/>
  <c r="AH77" i="6"/>
  <c r="AJ77" i="6"/>
  <c r="AK77" i="6"/>
  <c r="AL77" i="6"/>
  <c r="AN77" i="6"/>
  <c r="AO77" i="6"/>
  <c r="AP77" i="6"/>
  <c r="AH80" i="6"/>
  <c r="AL80" i="6"/>
  <c r="AP80" i="6"/>
  <c r="AH82" i="6"/>
  <c r="AL82" i="6"/>
  <c r="AP82" i="6"/>
  <c r="G88" i="6"/>
  <c r="B12" i="63"/>
  <c r="C12" i="63"/>
  <c r="D12" i="63"/>
  <c r="I12" i="63"/>
  <c r="B13" i="63"/>
  <c r="C13" i="63"/>
  <c r="D13" i="63"/>
  <c r="I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L19" i="63"/>
  <c r="M19" i="63"/>
  <c r="B20" i="63"/>
  <c r="C20" i="63"/>
  <c r="B22" i="63"/>
  <c r="C22" i="63"/>
  <c r="D22" i="63"/>
  <c r="L22" i="63"/>
  <c r="B23" i="63"/>
  <c r="C23" i="63"/>
  <c r="D23" i="63"/>
  <c r="L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D34" i="63"/>
  <c r="B35" i="63"/>
  <c r="C35" i="63"/>
  <c r="D35" i="63"/>
  <c r="B37" i="63"/>
  <c r="C37" i="63"/>
  <c r="B39" i="63"/>
  <c r="C39" i="63"/>
  <c r="B42" i="63"/>
  <c r="D8" i="19"/>
  <c r="D9" i="19"/>
  <c r="D10" i="19"/>
  <c r="D11" i="19"/>
  <c r="C12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</calcChain>
</file>

<file path=xl/sharedStrings.xml><?xml version="1.0" encoding="utf-8"?>
<sst xmlns="http://schemas.openxmlformats.org/spreadsheetml/2006/main" count="325" uniqueCount="122">
  <si>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</si>
  <si>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</si>
  <si>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</si>
  <si>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</si>
  <si>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</si>
  <si>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</si>
  <si>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</si>
  <si>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</si>
  <si>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</si>
  <si>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</si>
  <si>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 xml:space="preserve">Milgro 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</si>
  <si>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</si>
  <si>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</si>
  <si>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</si>
  <si>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</si>
  <si>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</si>
  <si>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</si>
  <si>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</si>
  <si>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</si>
  <si>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</si>
  <si>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</si>
  <si>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</si>
  <si>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</si>
  <si>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</si>
  <si>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</si>
  <si>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</si>
  <si>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</si>
  <si>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</si>
  <si>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</si>
  <si>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</si>
  <si>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</si>
  <si>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</si>
  <si>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</si>
  <si>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</si>
  <si>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</si>
  <si>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</si>
  <si>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</si>
  <si>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</si>
  <si>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</si>
  <si>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</si>
  <si>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</si>
  <si>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</si>
  <si>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</si>
  <si>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</si>
  <si>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</si>
  <si>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</si>
  <si>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</si>
  <si>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</si>
  <si>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</si>
  <si>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</si>
  <si>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</si>
  <si>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</si>
  <si>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</si>
  <si>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</si>
  <si>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</si>
  <si>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</si>
  <si>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</si>
  <si>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</si>
  <si>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</si>
  <si>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</si>
  <si>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</si>
  <si>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</si>
  <si>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</si>
  <si>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</si>
  <si>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</si>
  <si>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</si>
  <si>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</si>
  <si>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</si>
  <si>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</si>
  <si>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</si>
  <si>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</si>
  <si>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</si>
  <si>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</si>
  <si>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</si>
  <si>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</si>
  <si>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</si>
  <si>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6/99</t>
  </si>
  <si>
    <t>11/99</t>
  </si>
  <si>
    <t>12/99</t>
  </si>
  <si>
    <t>Balance at 6/30/99</t>
  </si>
  <si>
    <t>Balance at 7/31/99</t>
  </si>
  <si>
    <t>Balance at 10/31/99</t>
  </si>
  <si>
    <t>Balance at 11/30/99</t>
  </si>
  <si>
    <t>Balance at 12/31/99</t>
  </si>
  <si>
    <t>Balance at 1/31/00</t>
  </si>
  <si>
    <t>Balance at 7/14/99</t>
  </si>
  <si>
    <t>Balance at 8/16/99</t>
  </si>
  <si>
    <t>Mewbourne Oil</t>
  </si>
  <si>
    <t>Amoco Abo Rec</t>
  </si>
  <si>
    <t>TransColorado</t>
  </si>
  <si>
    <t>Duke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</si>
  <si>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</si>
  <si>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</si>
  <si>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</si>
  <si>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</si>
  <si>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</si>
  <si>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</si>
  <si>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</si>
  <si>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</si>
  <si>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Total Duke imbalances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</si>
  <si>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</si>
  <si>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</si>
  <si>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</si>
  <si>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</si>
  <si>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</si>
  <si>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</si>
  <si>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</si>
  <si>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</si>
  <si>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</si>
  <si>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</si>
  <si>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</si>
  <si>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</si>
  <si>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</si>
  <si>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</si>
  <si>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 xml:space="preserve">* Net Duke = </t>
  </si>
  <si>
    <t>Duke - Crawford*</t>
  </si>
  <si>
    <t>Duke - Pyote*</t>
  </si>
  <si>
    <t>Duke - Pecos Diamond*</t>
  </si>
  <si>
    <t>Due Operators</t>
  </si>
  <si>
    <t>Due TW</t>
  </si>
  <si>
    <t>Total Net Due / (Owed)</t>
  </si>
  <si>
    <t>Index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</si>
</sst>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86" formatCode="&quot;$&quot;#,##0.00"/>
    <numFmt numFmtId="196" formatCode="0_);\(0\)"/>
    <numFmt numFmtId="216" formatCode="mm/dd/yy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166" fontId="4" fillId="0" borderId="3" xfId="1" applyNumberFormat="1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7" fontId="9" fillId="2" borderId="3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5" fontId="14" fillId="0" borderId="0" xfId="0" applyNumberFormat="1" applyFont="1"/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166" fontId="17" fillId="0" borderId="1" xfId="1" applyNumberFormat="1" applyFont="1" applyBorder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5" fontId="25" fillId="3" borderId="1" xfId="0" applyNumberFormat="1" applyFont="1" applyFill="1" applyBorder="1"/>
    <xf numFmtId="166" fontId="25" fillId="3" borderId="1" xfId="0" applyNumberFormat="1" applyFont="1" applyFill="1" applyBorder="1"/>
    <xf numFmtId="44" fontId="22" fillId="3" borderId="0" xfId="2" applyFont="1" applyFill="1"/>
    <xf numFmtId="7" fontId="28" fillId="3" borderId="1" xfId="1" applyNumberFormat="1" applyFont="1" applyFill="1" applyBorder="1"/>
    <xf numFmtId="7" fontId="9" fillId="3" borderId="0" xfId="0" applyNumberFormat="1" applyFont="1" applyFill="1"/>
    <xf numFmtId="5" fontId="22" fillId="3" borderId="0" xfId="0" applyNumberFormat="1" applyFont="1" applyFill="1" applyAlignment="1">
      <alignment horizontal="left" indent="2"/>
    </xf>
    <xf numFmtId="5" fontId="25" fillId="3" borderId="0" xfId="1" applyNumberFormat="1" applyFont="1" applyFill="1" applyBorder="1"/>
    <xf numFmtId="166" fontId="25" fillId="3" borderId="1" xfId="1" applyNumberFormat="1" applyFont="1" applyFill="1" applyBorder="1"/>
    <xf numFmtId="5" fontId="3" fillId="3" borderId="0" xfId="0" applyNumberFormat="1" applyFont="1" applyFill="1"/>
    <xf numFmtId="7" fontId="25" fillId="3" borderId="0" xfId="0" applyNumberFormat="1" applyFont="1" applyFill="1"/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7" fontId="22" fillId="3" borderId="1" xfId="1" applyNumberFormat="1" applyFont="1" applyFill="1" applyBorder="1"/>
    <xf numFmtId="0" fontId="14" fillId="0" borderId="0" xfId="0" applyFont="1"/>
    <xf numFmtId="166" fontId="8" fillId="0" borderId="0" xfId="1" applyNumberFormat="1" applyFont="1"/>
    <xf numFmtId="37" fontId="0" fillId="0" borderId="0" xfId="1" applyNumberFormat="1" applyFont="1"/>
    <xf numFmtId="5" fontId="0" fillId="0" borderId="1" xfId="0" applyNumberFormat="1" applyBorder="1"/>
    <xf numFmtId="5" fontId="11" fillId="0" borderId="0" xfId="0" applyNumberFormat="1" applyFont="1" applyAlignment="1">
      <alignment horizontal="center"/>
    </xf>
    <xf numFmtId="37" fontId="11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5" fontId="0" fillId="0" borderId="0" xfId="0" applyNumberFormat="1" applyBorder="1"/>
    <xf numFmtId="0" fontId="14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0" xfId="2" applyFont="1" applyBorder="1"/>
    <xf numFmtId="44" fontId="0" fillId="0" borderId="1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8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008"/>
    </sheetNames>
    <sheetDataSet>
      <sheetData sheetId="0">
        <row r="39">
          <cell r="K39">
            <v>3.41</v>
          </cell>
          <cell r="M39">
            <v>3.81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tabSelected="1" topLeftCell="A16" workbookViewId="0">
      <selection activeCell="C35" sqref="C35"/>
    </sheetView>
  </sheetViews>
  <sheetFormatPr defaultRowHeight="12.75" x14ac:dyDescent="0.2"/>
  <cols>
    <col min="1" max="1" width="19.28515625" style="317" bestFit="1" customWidth="1"/>
    <col min="2" max="2" width="16.28515625" style="255" customWidth="1"/>
    <col min="3" max="3" width="11.85546875" style="319" bestFit="1" customWidth="1"/>
    <col min="4" max="4" width="10.7109375" style="7" customWidth="1"/>
    <col min="9" max="9" width="9.7109375" bestFit="1" customWidth="1"/>
  </cols>
  <sheetData>
    <row r="2" spans="1:9" ht="15.75" x14ac:dyDescent="0.25">
      <c r="A2" s="53" t="s">
        <v>112</v>
      </c>
    </row>
    <row r="3" spans="1:9" ht="15.75" x14ac:dyDescent="0.25">
      <c r="A3" s="53" t="s">
        <v>107</v>
      </c>
    </row>
    <row r="4" spans="1:9" ht="15" customHeight="1" x14ac:dyDescent="0.25">
      <c r="A4" s="53" t="s">
        <v>109</v>
      </c>
    </row>
    <row r="5" spans="1:9" ht="15" customHeight="1" x14ac:dyDescent="0.25">
      <c r="A5" s="53" t="s">
        <v>108</v>
      </c>
    </row>
    <row r="6" spans="1:9" ht="12.95" customHeight="1" x14ac:dyDescent="0.2"/>
    <row r="7" spans="1:9" ht="18" customHeight="1" x14ac:dyDescent="0.2"/>
    <row r="8" spans="1:9" ht="18" customHeight="1" x14ac:dyDescent="0.2">
      <c r="A8" s="34" t="s">
        <v>5</v>
      </c>
    </row>
    <row r="9" spans="1:9" ht="18" customHeight="1" x14ac:dyDescent="0.2">
      <c r="A9" s="34" t="s">
        <v>6</v>
      </c>
      <c r="B9" s="274"/>
    </row>
    <row r="10" spans="1:9" ht="18" customHeight="1" x14ac:dyDescent="0.2">
      <c r="B10" s="321" t="s">
        <v>19</v>
      </c>
      <c r="C10" s="322" t="s">
        <v>0</v>
      </c>
      <c r="D10" s="139" t="s">
        <v>101</v>
      </c>
    </row>
    <row r="11" spans="1:9" ht="18" customHeight="1" x14ac:dyDescent="0.2">
      <c r="H11" s="326" t="s">
        <v>121</v>
      </c>
      <c r="I11" s="327"/>
    </row>
    <row r="12" spans="1:9" ht="18" customHeight="1" x14ac:dyDescent="0.2">
      <c r="A12" s="317" t="s">
        <v>115</v>
      </c>
      <c r="B12" s="255">
        <f>+Duke!C18</f>
        <v>-522929.79</v>
      </c>
      <c r="C12" s="319">
        <f>+B12/AVG</f>
        <v>-137251.91338582677</v>
      </c>
      <c r="D12" s="323">
        <f>+Duke!A7</f>
        <v>36742</v>
      </c>
      <c r="E12" t="s">
        <v>106</v>
      </c>
      <c r="H12" s="328" t="s">
        <v>32</v>
      </c>
      <c r="I12" s="330">
        <f>+'[1]0008'!$K$39</f>
        <v>3.41</v>
      </c>
    </row>
    <row r="13" spans="1:9" ht="18" customHeight="1" x14ac:dyDescent="0.2">
      <c r="A13" s="317" t="s">
        <v>111</v>
      </c>
      <c r="B13" s="255">
        <f>+NNG!D24</f>
        <v>-372106.61</v>
      </c>
      <c r="C13" s="319">
        <f>+B13/AVG</f>
        <v>-97665.776902887141</v>
      </c>
      <c r="D13" s="323">
        <f>+NNG!A24</f>
        <v>36742</v>
      </c>
      <c r="E13" t="s">
        <v>106</v>
      </c>
      <c r="H13" s="329" t="s">
        <v>33</v>
      </c>
      <c r="I13" s="331">
        <f>+'[1]0008'!$M$39</f>
        <v>3.81</v>
      </c>
    </row>
    <row r="14" spans="1:9" ht="18" customHeight="1" x14ac:dyDescent="0.2">
      <c r="A14" s="317" t="s">
        <v>38</v>
      </c>
      <c r="B14" s="255">
        <f>+C14*AVG</f>
        <v>-306537.36</v>
      </c>
      <c r="C14" s="319">
        <f>+'El Paso'!H38</f>
        <v>-80456</v>
      </c>
      <c r="D14" s="323">
        <f>+'El Paso'!A38</f>
        <v>36743</v>
      </c>
      <c r="E14" t="s">
        <v>105</v>
      </c>
    </row>
    <row r="15" spans="1:9" ht="18" customHeight="1" x14ac:dyDescent="0.2">
      <c r="A15" s="317" t="s">
        <v>1</v>
      </c>
      <c r="B15" s="255">
        <f>+C15*SJ</f>
        <v>-102756.94</v>
      </c>
      <c r="C15" s="319">
        <f>+NW!F41</f>
        <v>-30134</v>
      </c>
      <c r="D15" s="323">
        <f>+NW!B41</f>
        <v>36742</v>
      </c>
      <c r="E15" t="s">
        <v>105</v>
      </c>
    </row>
    <row r="16" spans="1:9" ht="18" customHeight="1" x14ac:dyDescent="0.2">
      <c r="A16" s="317" t="s">
        <v>31</v>
      </c>
      <c r="B16" s="255">
        <f>+C16*SJ</f>
        <v>-93079.360000000001</v>
      </c>
      <c r="C16" s="319">
        <f>+williams!J40</f>
        <v>-27296</v>
      </c>
      <c r="D16" s="323">
        <f>+williams!A40</f>
        <v>36743</v>
      </c>
      <c r="E16" t="s">
        <v>105</v>
      </c>
    </row>
    <row r="17" spans="1:13" ht="18" customHeight="1" x14ac:dyDescent="0.2">
      <c r="A17" s="317" t="s">
        <v>36</v>
      </c>
      <c r="B17" s="255">
        <f>+C17*AVG</f>
        <v>-61241.94</v>
      </c>
      <c r="C17" s="319">
        <f>+SoCal!D40</f>
        <v>-16074</v>
      </c>
      <c r="D17" s="323">
        <f>+SoCal!A40</f>
        <v>36743</v>
      </c>
      <c r="E17" t="s">
        <v>105</v>
      </c>
      <c r="M17">
        <v>72.5</v>
      </c>
    </row>
    <row r="18" spans="1:13" ht="18" customHeight="1" x14ac:dyDescent="0.2">
      <c r="A18" s="317" t="s">
        <v>100</v>
      </c>
      <c r="B18" s="255">
        <f>+Conoco!F41</f>
        <v>-33996.820000000007</v>
      </c>
      <c r="C18" s="319">
        <f>+B18/AVG</f>
        <v>-8923.0498687664058</v>
      </c>
      <c r="D18" s="323">
        <f>+Conoco!A41</f>
        <v>36742</v>
      </c>
      <c r="E18" t="s">
        <v>106</v>
      </c>
      <c r="L18">
        <v>720</v>
      </c>
      <c r="M18">
        <v>15.25</v>
      </c>
    </row>
    <row r="19" spans="1:13" ht="18" customHeight="1" x14ac:dyDescent="0.2">
      <c r="A19" s="317" t="s">
        <v>7</v>
      </c>
      <c r="B19" s="320">
        <f>+C19*SJ</f>
        <v>-29830.68</v>
      </c>
      <c r="C19" s="319">
        <f>+Amoco!D40</f>
        <v>-8748</v>
      </c>
      <c r="D19" s="323">
        <f>+Amoco!A40</f>
        <v>36742</v>
      </c>
      <c r="E19" t="s">
        <v>105</v>
      </c>
      <c r="L19">
        <f>+M19</f>
        <v>57.25</v>
      </c>
      <c r="M19">
        <f>+M17-M18</f>
        <v>57.25</v>
      </c>
    </row>
    <row r="20" spans="1:13" ht="18" customHeight="1" x14ac:dyDescent="0.2">
      <c r="A20" s="325" t="s">
        <v>118</v>
      </c>
      <c r="B20" s="255">
        <f>SUM(B12:B19)</f>
        <v>-1522479.4999999998</v>
      </c>
      <c r="C20" s="263">
        <f>SUM(C12:C19)</f>
        <v>-406548.74015748029</v>
      </c>
      <c r="D20" s="323"/>
    </row>
    <row r="21" spans="1:13" ht="18" customHeight="1" x14ac:dyDescent="0.2">
      <c r="D21" s="323"/>
    </row>
    <row r="22" spans="1:13" ht="18" customHeight="1" x14ac:dyDescent="0.2">
      <c r="A22" s="317" t="s">
        <v>37</v>
      </c>
      <c r="B22" s="255">
        <f>+PGETX!H39</f>
        <v>9234.0400000000009</v>
      </c>
      <c r="C22" s="319">
        <f>+B22/AVG</f>
        <v>2423.6325459317586</v>
      </c>
      <c r="D22" s="323">
        <f>+PGETX!E39</f>
        <v>36742</v>
      </c>
      <c r="E22" t="s">
        <v>106</v>
      </c>
      <c r="I22" s="255"/>
      <c r="L22">
        <f>+L18*L19</f>
        <v>41220</v>
      </c>
    </row>
    <row r="23" spans="1:13" ht="18" customHeight="1" x14ac:dyDescent="0.2">
      <c r="A23" s="317" t="s">
        <v>35</v>
      </c>
      <c r="B23" s="255">
        <f>+C23*AVG</f>
        <v>85168.74</v>
      </c>
      <c r="C23" s="319">
        <f>+'PG&amp;E'!H40</f>
        <v>22354</v>
      </c>
      <c r="D23" s="323">
        <f>+'PG&amp;E'!E40</f>
        <v>36742</v>
      </c>
      <c r="E23" t="s">
        <v>105</v>
      </c>
      <c r="L23">
        <f>+L22*0.655</f>
        <v>26999.100000000002</v>
      </c>
    </row>
    <row r="24" spans="1:13" ht="18" customHeight="1" x14ac:dyDescent="0.2">
      <c r="A24" s="317" t="s">
        <v>34</v>
      </c>
      <c r="B24" s="255">
        <f>+C24*AVG</f>
        <v>109430.82</v>
      </c>
      <c r="C24" s="319">
        <f>+Lonestar!F42</f>
        <v>28722</v>
      </c>
      <c r="D24" s="323">
        <f>+Lonestar!B42</f>
        <v>36742</v>
      </c>
      <c r="E24" t="s">
        <v>105</v>
      </c>
    </row>
    <row r="25" spans="1:13" ht="18" customHeight="1" x14ac:dyDescent="0.2">
      <c r="A25" s="317" t="s">
        <v>116</v>
      </c>
      <c r="B25" s="255">
        <f>+Duke!C46</f>
        <v>116614.18000000001</v>
      </c>
      <c r="C25" s="319">
        <f>+B25/AVG</f>
        <v>30607.396325459318</v>
      </c>
      <c r="D25" s="323">
        <f>+Duke!A40</f>
        <v>36742</v>
      </c>
      <c r="E25" t="s">
        <v>106</v>
      </c>
    </row>
    <row r="26" spans="1:13" ht="18" customHeight="1" x14ac:dyDescent="0.2">
      <c r="A26" s="87" t="s">
        <v>117</v>
      </c>
      <c r="B26" s="255">
        <f>+Duke!C31</f>
        <v>121582.29000000001</v>
      </c>
      <c r="C26" s="319">
        <f>+B26/AVG</f>
        <v>31911.36220472441</v>
      </c>
      <c r="D26" s="323">
        <f>+Duke!A26</f>
        <v>36743</v>
      </c>
      <c r="E26" t="s">
        <v>106</v>
      </c>
    </row>
    <row r="27" spans="1:13" ht="18" customHeight="1" x14ac:dyDescent="0.2">
      <c r="A27" s="317" t="s">
        <v>3</v>
      </c>
      <c r="B27" s="255">
        <f>+'Amoco Abo'!D43</f>
        <v>136089.75</v>
      </c>
      <c r="C27" s="319">
        <f>+B27/AVG</f>
        <v>35719.094488188974</v>
      </c>
      <c r="D27" s="323">
        <f>+'Amoco Abo'!A43</f>
        <v>36742</v>
      </c>
      <c r="E27" t="s">
        <v>106</v>
      </c>
    </row>
    <row r="28" spans="1:13" ht="18" customHeight="1" x14ac:dyDescent="0.2">
      <c r="A28" s="317" t="s">
        <v>8</v>
      </c>
      <c r="B28" s="255">
        <f>+C28*AVG</f>
        <v>143450.31</v>
      </c>
      <c r="C28" s="319">
        <f>+Oasis!Y40</f>
        <v>37651</v>
      </c>
      <c r="D28" s="323">
        <f>+Oasis!W40</f>
        <v>36743</v>
      </c>
      <c r="E28" t="s">
        <v>105</v>
      </c>
    </row>
    <row r="29" spans="1:13" ht="18" customHeight="1" x14ac:dyDescent="0.2">
      <c r="A29" s="317" t="s">
        <v>96</v>
      </c>
      <c r="B29" s="255">
        <f>+KN_Westar!D41</f>
        <v>176560.89</v>
      </c>
      <c r="C29" s="319">
        <f>+B29/AVG</f>
        <v>46341.440944881891</v>
      </c>
      <c r="D29" s="323">
        <f>+KN_Westar!A41</f>
        <v>36742</v>
      </c>
      <c r="E29" t="s">
        <v>106</v>
      </c>
    </row>
    <row r="30" spans="1:13" ht="18" customHeight="1" x14ac:dyDescent="0.2">
      <c r="A30" s="317" t="s">
        <v>2</v>
      </c>
      <c r="B30" s="255">
        <f>+mewborne!J43</f>
        <v>221526.57</v>
      </c>
      <c r="C30" s="319">
        <f>+B30/AVG</f>
        <v>58143.456692913387</v>
      </c>
      <c r="D30" s="323">
        <f>+mewborne!A43</f>
        <v>36742</v>
      </c>
      <c r="E30" t="s">
        <v>106</v>
      </c>
    </row>
    <row r="31" spans="1:13" ht="18" customHeight="1" x14ac:dyDescent="0.2">
      <c r="A31" s="317" t="s">
        <v>89</v>
      </c>
      <c r="B31" s="269">
        <f>+transcol!D43</f>
        <v>237103.48</v>
      </c>
      <c r="C31" s="319">
        <f>+B31/AVG</f>
        <v>62231.884514435696</v>
      </c>
      <c r="D31" s="323">
        <f>+transcol!A43</f>
        <v>36743</v>
      </c>
      <c r="E31" t="s">
        <v>106</v>
      </c>
    </row>
    <row r="32" spans="1:13" ht="18" customHeight="1" x14ac:dyDescent="0.2">
      <c r="A32" s="317" t="s">
        <v>98</v>
      </c>
      <c r="B32" s="255">
        <f>+Agave!D24</f>
        <v>365510.33999999997</v>
      </c>
      <c r="C32" s="319">
        <f>+B32/AVG</f>
        <v>95934.472440944868</v>
      </c>
      <c r="D32" s="323">
        <f>+Agave!A24</f>
        <v>36743</v>
      </c>
      <c r="E32" t="s">
        <v>106</v>
      </c>
    </row>
    <row r="33" spans="1:5" ht="18" customHeight="1" x14ac:dyDescent="0.2">
      <c r="A33" s="317" t="s">
        <v>113</v>
      </c>
      <c r="B33" s="324">
        <f>+C33*AVG</f>
        <v>414040.32000000001</v>
      </c>
      <c r="C33" s="319">
        <f>+NGPL!G38</f>
        <v>108672</v>
      </c>
      <c r="D33" s="323">
        <f>+NGPL!A38</f>
        <v>36742</v>
      </c>
      <c r="E33" t="s">
        <v>105</v>
      </c>
    </row>
    <row r="34" spans="1:5" ht="18" customHeight="1" x14ac:dyDescent="0.2">
      <c r="A34" s="317" t="s">
        <v>103</v>
      </c>
      <c r="B34" s="255">
        <f>+PNM!D23</f>
        <v>669092.12</v>
      </c>
      <c r="C34" s="319">
        <f>+B34/AVG</f>
        <v>175614.72965879264</v>
      </c>
      <c r="D34" s="323">
        <f>+PNM!A23</f>
        <v>36743</v>
      </c>
      <c r="E34" t="s">
        <v>106</v>
      </c>
    </row>
    <row r="35" spans="1:5" ht="18" customHeight="1" x14ac:dyDescent="0.2">
      <c r="A35" s="317" t="s">
        <v>26</v>
      </c>
      <c r="B35" s="320">
        <f>+'Red C'!D43</f>
        <v>674146.29</v>
      </c>
      <c r="C35" s="319">
        <f>+B35/SJ</f>
        <v>197696.85923753667</v>
      </c>
      <c r="D35" s="323">
        <f>+'Red C'!B43</f>
        <v>36743</v>
      </c>
      <c r="E35" t="s">
        <v>106</v>
      </c>
    </row>
    <row r="37" spans="1:5" x14ac:dyDescent="0.2">
      <c r="A37" s="317" t="s">
        <v>119</v>
      </c>
      <c r="B37" s="255">
        <f>SUM(B22:B36)</f>
        <v>3479550.14</v>
      </c>
      <c r="C37" s="263">
        <f>SUM(C12:C36)</f>
        <v>120925.84873884908</v>
      </c>
    </row>
    <row r="39" spans="1:5" x14ac:dyDescent="0.2">
      <c r="A39" s="317" t="s">
        <v>120</v>
      </c>
      <c r="B39" s="255">
        <f>B20+B37</f>
        <v>1957070.6400000004</v>
      </c>
      <c r="C39" s="263">
        <f>C20+C37</f>
        <v>-285622.89141863119</v>
      </c>
    </row>
    <row r="42" spans="1:5" x14ac:dyDescent="0.2">
      <c r="A42" s="317" t="s">
        <v>114</v>
      </c>
      <c r="B42" s="255">
        <f>B12+B25+B26</f>
        <v>-284733.31999999995</v>
      </c>
    </row>
  </sheetData>
  <pageMargins left="0.75" right="0.75" top="1" bottom="1" header="0.5" footer="0.5"/>
  <pageSetup scale="87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2"/>
  <sheetViews>
    <sheetView topLeftCell="V25" workbookViewId="0">
      <selection activeCell="W39" sqref="W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2" spans="1:29" ht="15.75" x14ac:dyDescent="0.25">
      <c r="A2" s="191" t="s">
        <v>75</v>
      </c>
      <c r="C2" s="192" t="s">
        <v>76</v>
      </c>
      <c r="F2" s="191" t="s">
        <v>75</v>
      </c>
      <c r="G2" s="52"/>
      <c r="H2" s="192">
        <v>7.0707070707070704E-2</v>
      </c>
      <c r="I2" s="52"/>
      <c r="J2" s="191" t="s">
        <v>75</v>
      </c>
      <c r="K2" s="52"/>
      <c r="L2" s="192" t="s">
        <v>77</v>
      </c>
      <c r="M2" s="52"/>
      <c r="N2" s="191" t="s">
        <v>75</v>
      </c>
      <c r="O2" s="52"/>
      <c r="P2" s="192" t="s">
        <v>78</v>
      </c>
      <c r="Q2" s="52"/>
      <c r="R2" s="191" t="s">
        <v>75</v>
      </c>
      <c r="S2" s="52"/>
      <c r="T2" s="193">
        <v>36526</v>
      </c>
      <c r="U2" s="52"/>
      <c r="V2" s="191" t="s">
        <v>75</v>
      </c>
      <c r="W2" s="52"/>
      <c r="X2" s="193"/>
      <c r="Y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V3" s="139"/>
      <c r="W3" s="52"/>
      <c r="X3" s="52"/>
      <c r="Y3" s="112"/>
      <c r="Z3" s="139"/>
      <c r="AA3" s="52"/>
      <c r="AB3" s="52"/>
      <c r="AC3" s="112"/>
    </row>
    <row r="4" spans="1:29" x14ac:dyDescent="0.2">
      <c r="A4" s="139"/>
      <c r="B4" s="58" t="s">
        <v>23</v>
      </c>
      <c r="C4" s="58" t="s">
        <v>22</v>
      </c>
      <c r="D4" s="194" t="s">
        <v>49</v>
      </c>
      <c r="F4" s="139"/>
      <c r="G4" s="58" t="s">
        <v>23</v>
      </c>
      <c r="H4" s="58" t="s">
        <v>22</v>
      </c>
      <c r="I4" s="194" t="s">
        <v>49</v>
      </c>
      <c r="J4" s="139"/>
      <c r="K4" s="58" t="s">
        <v>23</v>
      </c>
      <c r="L4" s="58" t="s">
        <v>22</v>
      </c>
      <c r="M4" s="194" t="s">
        <v>49</v>
      </c>
      <c r="N4" s="139"/>
      <c r="O4" s="58" t="s">
        <v>23</v>
      </c>
      <c r="P4" s="58" t="s">
        <v>22</v>
      </c>
      <c r="Q4" s="194" t="s">
        <v>49</v>
      </c>
      <c r="R4" s="139"/>
      <c r="S4" s="58" t="s">
        <v>23</v>
      </c>
      <c r="T4" s="58" t="s">
        <v>22</v>
      </c>
      <c r="U4" s="194" t="s">
        <v>49</v>
      </c>
      <c r="V4" s="139"/>
      <c r="W4" s="58" t="s">
        <v>23</v>
      </c>
      <c r="X4" s="58" t="s">
        <v>22</v>
      </c>
      <c r="Y4" s="194" t="s">
        <v>49</v>
      </c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8000</v>
      </c>
      <c r="C5" s="24">
        <v>8954</v>
      </c>
      <c r="D5" s="24">
        <f>+C5-B5</f>
        <v>954</v>
      </c>
      <c r="F5" s="12">
        <v>1</v>
      </c>
      <c r="G5" s="24">
        <v>176991</v>
      </c>
      <c r="H5" s="24">
        <v>186480</v>
      </c>
      <c r="I5" s="24">
        <f>+H5-G5</f>
        <v>9489</v>
      </c>
      <c r="J5" s="12">
        <v>1</v>
      </c>
      <c r="K5" s="24">
        <v>20000</v>
      </c>
      <c r="L5" s="24">
        <v>26736</v>
      </c>
      <c r="M5" s="24">
        <f>+L5-K5</f>
        <v>6736</v>
      </c>
      <c r="N5" s="12">
        <v>1</v>
      </c>
      <c r="O5" s="24">
        <v>10000</v>
      </c>
      <c r="P5" s="24">
        <v>9952</v>
      </c>
      <c r="Q5" s="24">
        <f>+P5-O5</f>
        <v>-48</v>
      </c>
      <c r="R5" s="12">
        <v>1</v>
      </c>
      <c r="S5" s="24">
        <v>25000</v>
      </c>
      <c r="T5" s="24">
        <v>26359</v>
      </c>
      <c r="U5" s="24">
        <f>+T5-S5</f>
        <v>1359</v>
      </c>
      <c r="V5" s="12">
        <v>1</v>
      </c>
      <c r="W5" s="24">
        <v>24829</v>
      </c>
      <c r="X5" s="24">
        <v>26700</v>
      </c>
      <c r="Y5" s="24">
        <f>+X5-W5</f>
        <v>1871</v>
      </c>
      <c r="Z5" s="12"/>
      <c r="AA5" s="24"/>
      <c r="AB5" s="24"/>
      <c r="AC5" s="24"/>
    </row>
    <row r="6" spans="1:29" ht="14.1" customHeight="1" x14ac:dyDescent="0.2">
      <c r="A6" s="12">
        <v>2</v>
      </c>
      <c r="B6" s="24">
        <v>23000</v>
      </c>
      <c r="C6" s="24">
        <v>24640</v>
      </c>
      <c r="D6" s="24">
        <f t="shared" ref="D6:D36" si="0">+C6-B6</f>
        <v>1640</v>
      </c>
      <c r="F6" s="12">
        <v>2</v>
      </c>
      <c r="G6" s="24">
        <v>171330</v>
      </c>
      <c r="H6" s="24">
        <v>171466</v>
      </c>
      <c r="I6" s="24">
        <f t="shared" ref="I6:I36" si="1">+H6-G6</f>
        <v>136</v>
      </c>
      <c r="J6" s="12">
        <v>2</v>
      </c>
      <c r="K6" s="24">
        <v>6000</v>
      </c>
      <c r="L6" s="24">
        <v>271</v>
      </c>
      <c r="M6" s="24">
        <f t="shared" ref="M6:M36" si="2">+L6-K6</f>
        <v>-5729</v>
      </c>
      <c r="N6" s="12">
        <v>2</v>
      </c>
      <c r="O6" s="24">
        <v>10000</v>
      </c>
      <c r="P6" s="24">
        <v>10232</v>
      </c>
      <c r="Q6" s="24">
        <f t="shared" ref="Q6:Q36" si="3">+P6-O6</f>
        <v>232</v>
      </c>
      <c r="R6" s="12">
        <v>2</v>
      </c>
      <c r="S6" s="24">
        <v>25000</v>
      </c>
      <c r="T6" s="24">
        <v>25998</v>
      </c>
      <c r="U6" s="24">
        <f t="shared" ref="U6:U36" si="4">+T6-S6</f>
        <v>998</v>
      </c>
      <c r="V6" s="12">
        <v>2</v>
      </c>
      <c r="W6" s="51">
        <v>18866</v>
      </c>
      <c r="X6" s="51">
        <v>18783</v>
      </c>
      <c r="Y6" s="24">
        <f t="shared" ref="Y6:Y36" si="5">+X6-W6</f>
        <v>-83</v>
      </c>
      <c r="Z6" s="12"/>
      <c r="AA6" s="24"/>
      <c r="AB6" s="24"/>
      <c r="AC6" s="24"/>
    </row>
    <row r="7" spans="1:29" ht="14.1" customHeight="1" x14ac:dyDescent="0.2">
      <c r="A7" s="12">
        <v>3</v>
      </c>
      <c r="B7" s="24">
        <v>121852</v>
      </c>
      <c r="C7" s="24">
        <v>123300</v>
      </c>
      <c r="D7" s="24">
        <f t="shared" si="0"/>
        <v>1448</v>
      </c>
      <c r="F7" s="12">
        <v>3</v>
      </c>
      <c r="G7" s="24">
        <v>107175</v>
      </c>
      <c r="H7" s="24">
        <v>105776</v>
      </c>
      <c r="I7" s="24">
        <f t="shared" si="1"/>
        <v>-1399</v>
      </c>
      <c r="J7" s="12">
        <v>3</v>
      </c>
      <c r="K7" s="24">
        <v>5000</v>
      </c>
      <c r="L7" s="24">
        <v>5359</v>
      </c>
      <c r="M7" s="24">
        <f t="shared" si="2"/>
        <v>359</v>
      </c>
      <c r="N7" s="12">
        <v>3</v>
      </c>
      <c r="O7" s="24"/>
      <c r="P7" s="24"/>
      <c r="Q7" s="24">
        <f t="shared" si="3"/>
        <v>0</v>
      </c>
      <c r="R7" s="12">
        <v>3</v>
      </c>
      <c r="S7" s="24">
        <v>25000</v>
      </c>
      <c r="T7" s="24">
        <v>26279</v>
      </c>
      <c r="U7" s="24">
        <f t="shared" si="4"/>
        <v>1279</v>
      </c>
      <c r="V7" s="12">
        <v>3</v>
      </c>
      <c r="W7" s="51">
        <v>111528</v>
      </c>
      <c r="X7" s="51">
        <v>111039</v>
      </c>
      <c r="Y7" s="24">
        <f t="shared" si="5"/>
        <v>-489</v>
      </c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119558</v>
      </c>
      <c r="C8" s="24">
        <v>121905</v>
      </c>
      <c r="D8" s="24">
        <f t="shared" si="0"/>
        <v>2347</v>
      </c>
      <c r="F8" s="12">
        <v>4</v>
      </c>
      <c r="G8" s="24">
        <v>129029</v>
      </c>
      <c r="H8" s="24">
        <v>126043</v>
      </c>
      <c r="I8" s="24">
        <f t="shared" si="1"/>
        <v>-2986</v>
      </c>
      <c r="J8" s="12">
        <v>4</v>
      </c>
      <c r="K8" s="24">
        <v>15000</v>
      </c>
      <c r="L8" s="24">
        <v>15136</v>
      </c>
      <c r="M8" s="24">
        <f t="shared" si="2"/>
        <v>136</v>
      </c>
      <c r="N8" s="12">
        <v>4</v>
      </c>
      <c r="O8" s="24"/>
      <c r="P8" s="24"/>
      <c r="Q8" s="24">
        <f t="shared" si="3"/>
        <v>0</v>
      </c>
      <c r="R8" s="12">
        <v>4</v>
      </c>
      <c r="S8" s="24">
        <v>25000</v>
      </c>
      <c r="T8" s="24">
        <v>25147</v>
      </c>
      <c r="U8" s="24">
        <f t="shared" si="4"/>
        <v>147</v>
      </c>
      <c r="V8" s="12">
        <v>4</v>
      </c>
      <c r="W8" s="24">
        <v>102368</v>
      </c>
      <c r="X8" s="24">
        <v>102978</v>
      </c>
      <c r="Y8" s="24">
        <f t="shared" si="5"/>
        <v>610</v>
      </c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119426</v>
      </c>
      <c r="C9" s="24">
        <v>120287</v>
      </c>
      <c r="D9" s="24">
        <f t="shared" si="0"/>
        <v>861</v>
      </c>
      <c r="F9" s="12">
        <v>5</v>
      </c>
      <c r="G9" s="24">
        <v>107695</v>
      </c>
      <c r="H9" s="24">
        <v>107322</v>
      </c>
      <c r="I9" s="24">
        <f t="shared" si="1"/>
        <v>-373</v>
      </c>
      <c r="J9" s="12">
        <v>5</v>
      </c>
      <c r="K9" s="24">
        <v>6942</v>
      </c>
      <c r="L9" s="24">
        <v>7316</v>
      </c>
      <c r="M9" s="24">
        <f t="shared" si="2"/>
        <v>374</v>
      </c>
      <c r="N9" s="12">
        <v>5</v>
      </c>
      <c r="O9" s="24"/>
      <c r="P9" s="24"/>
      <c r="Q9" s="24">
        <f t="shared" si="3"/>
        <v>0</v>
      </c>
      <c r="R9" s="12">
        <v>5</v>
      </c>
      <c r="S9" s="24">
        <v>5000</v>
      </c>
      <c r="T9" s="24">
        <v>5245</v>
      </c>
      <c r="U9" s="24">
        <f t="shared" si="4"/>
        <v>245</v>
      </c>
      <c r="V9" s="12">
        <v>5</v>
      </c>
      <c r="W9" s="24">
        <v>121642</v>
      </c>
      <c r="X9" s="24">
        <v>121660</v>
      </c>
      <c r="Y9" s="24">
        <f t="shared" si="5"/>
        <v>18</v>
      </c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120145</v>
      </c>
      <c r="C10" s="24">
        <v>121856</v>
      </c>
      <c r="D10" s="24">
        <f t="shared" si="0"/>
        <v>1711</v>
      </c>
      <c r="F10" s="12">
        <v>6</v>
      </c>
      <c r="G10" s="24">
        <v>137087</v>
      </c>
      <c r="H10" s="24">
        <v>135920</v>
      </c>
      <c r="I10" s="24">
        <f t="shared" si="1"/>
        <v>-1167</v>
      </c>
      <c r="J10" s="12">
        <v>6</v>
      </c>
      <c r="K10" s="24">
        <v>48999</v>
      </c>
      <c r="L10" s="24">
        <v>49606</v>
      </c>
      <c r="M10" s="24">
        <f t="shared" si="2"/>
        <v>607</v>
      </c>
      <c r="N10" s="12">
        <v>6</v>
      </c>
      <c r="O10" s="24"/>
      <c r="P10" s="24"/>
      <c r="Q10" s="24">
        <f t="shared" si="3"/>
        <v>0</v>
      </c>
      <c r="R10" s="12">
        <v>6</v>
      </c>
      <c r="S10" s="24">
        <v>5000</v>
      </c>
      <c r="T10" s="24">
        <v>5386</v>
      </c>
      <c r="U10" s="24">
        <f t="shared" si="4"/>
        <v>386</v>
      </c>
      <c r="V10" s="12">
        <v>6</v>
      </c>
      <c r="W10" s="24"/>
      <c r="X10" s="24"/>
      <c r="Y10" s="24">
        <f t="shared" si="5"/>
        <v>0</v>
      </c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8000</v>
      </c>
      <c r="C11" s="24">
        <v>8685</v>
      </c>
      <c r="D11" s="24">
        <f t="shared" si="0"/>
        <v>685</v>
      </c>
      <c r="F11" s="12">
        <v>7</v>
      </c>
      <c r="G11" s="24">
        <v>146796</v>
      </c>
      <c r="H11" s="24">
        <v>143700</v>
      </c>
      <c r="I11" s="24">
        <f t="shared" si="1"/>
        <v>-3096</v>
      </c>
      <c r="J11" s="12">
        <v>7</v>
      </c>
      <c r="K11" s="24">
        <v>48999</v>
      </c>
      <c r="L11" s="24">
        <v>49184</v>
      </c>
      <c r="M11" s="24">
        <f t="shared" si="2"/>
        <v>185</v>
      </c>
      <c r="N11" s="12">
        <v>7</v>
      </c>
      <c r="O11" s="24">
        <v>11366</v>
      </c>
      <c r="P11" s="24">
        <v>11500</v>
      </c>
      <c r="Q11" s="24">
        <f t="shared" si="3"/>
        <v>134</v>
      </c>
      <c r="R11" s="12">
        <v>7</v>
      </c>
      <c r="S11" s="24">
        <v>5000</v>
      </c>
      <c r="T11" s="24">
        <v>4956</v>
      </c>
      <c r="U11" s="24">
        <f t="shared" si="4"/>
        <v>-44</v>
      </c>
      <c r="V11" s="12">
        <v>7</v>
      </c>
      <c r="W11" s="24"/>
      <c r="X11" s="24"/>
      <c r="Y11" s="24">
        <f t="shared" si="5"/>
        <v>0</v>
      </c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f>1000+18000</f>
        <v>19000</v>
      </c>
      <c r="C12" s="24">
        <v>18567</v>
      </c>
      <c r="D12" s="24">
        <f t="shared" si="0"/>
        <v>-433</v>
      </c>
      <c r="F12" s="12">
        <v>8</v>
      </c>
      <c r="G12" s="24">
        <v>147239</v>
      </c>
      <c r="H12" s="24">
        <v>144355</v>
      </c>
      <c r="I12" s="24">
        <f t="shared" si="1"/>
        <v>-2884</v>
      </c>
      <c r="J12" s="12">
        <v>8</v>
      </c>
      <c r="K12" s="24">
        <v>48999</v>
      </c>
      <c r="L12" s="24">
        <v>49270</v>
      </c>
      <c r="M12" s="24">
        <f t="shared" si="2"/>
        <v>271</v>
      </c>
      <c r="N12" s="12">
        <v>8</v>
      </c>
      <c r="O12" s="24"/>
      <c r="P12" s="24"/>
      <c r="Q12" s="24">
        <f t="shared" si="3"/>
        <v>0</v>
      </c>
      <c r="R12" s="12">
        <v>8</v>
      </c>
      <c r="S12" s="24">
        <v>22117</v>
      </c>
      <c r="T12" s="24">
        <v>21846</v>
      </c>
      <c r="U12" s="24">
        <f t="shared" si="4"/>
        <v>-271</v>
      </c>
      <c r="V12" s="12">
        <v>8</v>
      </c>
      <c r="W12" s="24"/>
      <c r="X12" s="24"/>
      <c r="Y12" s="24">
        <f t="shared" si="5"/>
        <v>0</v>
      </c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f>1000+33000</f>
        <v>34000</v>
      </c>
      <c r="C13" s="24">
        <v>32410</v>
      </c>
      <c r="D13" s="24">
        <f t="shared" si="0"/>
        <v>-1590</v>
      </c>
      <c r="F13" s="12">
        <v>9</v>
      </c>
      <c r="G13" s="24">
        <v>144335</v>
      </c>
      <c r="H13" s="24">
        <v>145867</v>
      </c>
      <c r="I13" s="24">
        <f t="shared" si="1"/>
        <v>1532</v>
      </c>
      <c r="J13" s="12">
        <v>9</v>
      </c>
      <c r="K13" s="24">
        <v>28265</v>
      </c>
      <c r="L13" s="24">
        <v>29072</v>
      </c>
      <c r="M13" s="24">
        <f t="shared" si="2"/>
        <v>807</v>
      </c>
      <c r="N13" s="12">
        <v>9</v>
      </c>
      <c r="O13" s="24"/>
      <c r="P13" s="24"/>
      <c r="Q13" s="24">
        <f t="shared" si="3"/>
        <v>0</v>
      </c>
      <c r="R13" s="12">
        <v>9</v>
      </c>
      <c r="S13" s="24">
        <v>22117</v>
      </c>
      <c r="T13" s="24">
        <v>22828</v>
      </c>
      <c r="U13" s="24">
        <f t="shared" si="4"/>
        <v>711</v>
      </c>
      <c r="V13" s="12">
        <v>9</v>
      </c>
      <c r="W13" s="24"/>
      <c r="X13" s="24"/>
      <c r="Y13" s="24">
        <f t="shared" si="5"/>
        <v>0</v>
      </c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129618</v>
      </c>
      <c r="C14" s="24">
        <v>124832</v>
      </c>
      <c r="D14" s="24">
        <f t="shared" si="0"/>
        <v>-4786</v>
      </c>
      <c r="F14" s="12">
        <v>10</v>
      </c>
      <c r="G14" s="24">
        <v>145695</v>
      </c>
      <c r="H14" s="24">
        <v>150241</v>
      </c>
      <c r="I14" s="24">
        <f t="shared" si="1"/>
        <v>4546</v>
      </c>
      <c r="J14" s="12">
        <v>10</v>
      </c>
      <c r="K14" s="24">
        <v>29999</v>
      </c>
      <c r="L14" s="24">
        <v>30070</v>
      </c>
      <c r="M14" s="24">
        <f t="shared" si="2"/>
        <v>71</v>
      </c>
      <c r="N14" s="12">
        <v>10</v>
      </c>
      <c r="O14" s="24">
        <v>10369</v>
      </c>
      <c r="P14" s="24">
        <v>9999</v>
      </c>
      <c r="Q14" s="24">
        <f t="shared" si="3"/>
        <v>-370</v>
      </c>
      <c r="R14" s="12">
        <v>10</v>
      </c>
      <c r="S14" s="24">
        <v>22117</v>
      </c>
      <c r="T14" s="24">
        <v>23035</v>
      </c>
      <c r="U14" s="24">
        <f t="shared" si="4"/>
        <v>918</v>
      </c>
      <c r="V14" s="12">
        <v>10</v>
      </c>
      <c r="W14" s="24"/>
      <c r="X14" s="24"/>
      <c r="Y14" s="24">
        <f t="shared" si="5"/>
        <v>0</v>
      </c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129649</v>
      </c>
      <c r="C15" s="24">
        <v>126014</v>
      </c>
      <c r="D15" s="24">
        <f t="shared" si="0"/>
        <v>-3635</v>
      </c>
      <c r="F15" s="12">
        <v>11</v>
      </c>
      <c r="G15" s="24">
        <v>171978</v>
      </c>
      <c r="H15" s="24">
        <v>174455</v>
      </c>
      <c r="I15" s="24">
        <f t="shared" si="1"/>
        <v>2477</v>
      </c>
      <c r="J15" s="12">
        <v>11</v>
      </c>
      <c r="K15" s="24">
        <v>43015</v>
      </c>
      <c r="L15" s="24">
        <v>43841</v>
      </c>
      <c r="M15" s="24">
        <f t="shared" si="2"/>
        <v>826</v>
      </c>
      <c r="N15" s="12">
        <v>11</v>
      </c>
      <c r="O15" s="24"/>
      <c r="P15" s="24"/>
      <c r="Q15" s="24">
        <f t="shared" si="3"/>
        <v>0</v>
      </c>
      <c r="R15" s="12">
        <v>11</v>
      </c>
      <c r="S15" s="24"/>
      <c r="T15" s="24">
        <v>26</v>
      </c>
      <c r="U15" s="24">
        <f t="shared" si="4"/>
        <v>26</v>
      </c>
      <c r="V15" s="12">
        <v>11</v>
      </c>
      <c r="W15" s="24"/>
      <c r="X15" s="24"/>
      <c r="Y15" s="24">
        <f t="shared" si="5"/>
        <v>0</v>
      </c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114436</v>
      </c>
      <c r="C16" s="24">
        <v>115562</v>
      </c>
      <c r="D16" s="24">
        <f t="shared" si="0"/>
        <v>1126</v>
      </c>
      <c r="F16" s="12">
        <v>12</v>
      </c>
      <c r="G16" s="24">
        <v>194091</v>
      </c>
      <c r="H16" s="24">
        <v>194000</v>
      </c>
      <c r="I16" s="24">
        <f t="shared" si="1"/>
        <v>-91</v>
      </c>
      <c r="J16" s="12">
        <v>12</v>
      </c>
      <c r="K16" s="24">
        <v>44997</v>
      </c>
      <c r="L16" s="24">
        <v>45194</v>
      </c>
      <c r="M16" s="24">
        <f t="shared" si="2"/>
        <v>197</v>
      </c>
      <c r="N16" s="12">
        <v>12</v>
      </c>
      <c r="O16" s="24"/>
      <c r="P16" s="24"/>
      <c r="Q16" s="24">
        <f t="shared" si="3"/>
        <v>0</v>
      </c>
      <c r="R16" s="12">
        <v>12</v>
      </c>
      <c r="S16" s="24">
        <v>5000</v>
      </c>
      <c r="T16" s="24">
        <v>5121</v>
      </c>
      <c r="U16" s="24">
        <f t="shared" si="4"/>
        <v>121</v>
      </c>
      <c r="V16" s="12">
        <v>12</v>
      </c>
      <c r="W16" s="24"/>
      <c r="X16" s="24"/>
      <c r="Y16" s="24">
        <f t="shared" si="5"/>
        <v>0</v>
      </c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18000</v>
      </c>
      <c r="C17" s="24">
        <v>25273</v>
      </c>
      <c r="D17" s="24">
        <f t="shared" si="0"/>
        <v>7273</v>
      </c>
      <c r="F17" s="12">
        <v>13</v>
      </c>
      <c r="G17" s="24">
        <v>218199</v>
      </c>
      <c r="H17" s="24">
        <v>223900</v>
      </c>
      <c r="I17" s="24">
        <f t="shared" si="1"/>
        <v>5701</v>
      </c>
      <c r="J17" s="12">
        <v>13</v>
      </c>
      <c r="K17" s="24">
        <v>39998</v>
      </c>
      <c r="L17" s="24">
        <v>40296</v>
      </c>
      <c r="M17" s="24">
        <f t="shared" si="2"/>
        <v>298</v>
      </c>
      <c r="N17" s="12">
        <v>13</v>
      </c>
      <c r="O17" s="24"/>
      <c r="P17" s="24"/>
      <c r="Q17" s="24">
        <f t="shared" si="3"/>
        <v>0</v>
      </c>
      <c r="R17" s="12">
        <v>13</v>
      </c>
      <c r="S17" s="24">
        <v>5000</v>
      </c>
      <c r="T17" s="24">
        <v>5215</v>
      </c>
      <c r="U17" s="24">
        <f t="shared" si="4"/>
        <v>215</v>
      </c>
      <c r="V17" s="12">
        <v>13</v>
      </c>
      <c r="W17" s="24"/>
      <c r="X17" s="24"/>
      <c r="Y17" s="24">
        <f t="shared" si="5"/>
        <v>0</v>
      </c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8000</v>
      </c>
      <c r="C18" s="24">
        <v>147</v>
      </c>
      <c r="D18" s="24">
        <f t="shared" si="0"/>
        <v>-7853</v>
      </c>
      <c r="F18" s="12">
        <v>14</v>
      </c>
      <c r="G18" s="24">
        <v>212776</v>
      </c>
      <c r="H18" s="24">
        <v>211700</v>
      </c>
      <c r="I18" s="24">
        <f t="shared" si="1"/>
        <v>-1076</v>
      </c>
      <c r="J18" s="12">
        <v>14</v>
      </c>
      <c r="K18" s="24">
        <v>39913</v>
      </c>
      <c r="L18" s="24">
        <v>40071</v>
      </c>
      <c r="M18" s="24">
        <f t="shared" si="2"/>
        <v>158</v>
      </c>
      <c r="N18" s="12">
        <v>14</v>
      </c>
      <c r="O18" s="24"/>
      <c r="P18" s="24"/>
      <c r="Q18" s="24">
        <f t="shared" si="3"/>
        <v>0</v>
      </c>
      <c r="R18" s="12">
        <v>14</v>
      </c>
      <c r="S18" s="24">
        <v>44940</v>
      </c>
      <c r="T18" s="24">
        <v>46375</v>
      </c>
      <c r="U18" s="24">
        <f t="shared" si="4"/>
        <v>1435</v>
      </c>
      <c r="V18" s="12">
        <v>14</v>
      </c>
      <c r="W18" s="24"/>
      <c r="X18" s="24"/>
      <c r="Y18" s="24">
        <f t="shared" si="5"/>
        <v>0</v>
      </c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29000</v>
      </c>
      <c r="C19" s="24">
        <v>27186</v>
      </c>
      <c r="D19" s="24">
        <f t="shared" si="0"/>
        <v>-1814</v>
      </c>
      <c r="F19" s="12">
        <v>15</v>
      </c>
      <c r="G19" s="24">
        <v>216865</v>
      </c>
      <c r="H19" s="24">
        <v>214727</v>
      </c>
      <c r="I19" s="24">
        <f t="shared" si="1"/>
        <v>-2138</v>
      </c>
      <c r="J19" s="12">
        <v>15</v>
      </c>
      <c r="K19" s="24">
        <v>50964</v>
      </c>
      <c r="L19" s="24">
        <v>51015</v>
      </c>
      <c r="M19" s="24">
        <f t="shared" si="2"/>
        <v>51</v>
      </c>
      <c r="N19" s="12">
        <v>15</v>
      </c>
      <c r="O19" s="24"/>
      <c r="P19" s="24"/>
      <c r="Q19" s="24">
        <f t="shared" si="3"/>
        <v>0</v>
      </c>
      <c r="R19" s="12">
        <v>15</v>
      </c>
      <c r="S19" s="24">
        <v>44940</v>
      </c>
      <c r="T19" s="24">
        <v>47333</v>
      </c>
      <c r="U19" s="24">
        <f t="shared" si="4"/>
        <v>2393</v>
      </c>
      <c r="V19" s="12">
        <v>15</v>
      </c>
      <c r="W19" s="24"/>
      <c r="X19" s="24"/>
      <c r="Y19" s="24">
        <f t="shared" si="5"/>
        <v>0</v>
      </c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f>28000+1000</f>
        <v>29000</v>
      </c>
      <c r="C20" s="24">
        <v>27303</v>
      </c>
      <c r="D20" s="24">
        <f t="shared" si="0"/>
        <v>-1697</v>
      </c>
      <c r="F20" s="12">
        <v>16</v>
      </c>
      <c r="G20" s="24">
        <v>216865</v>
      </c>
      <c r="H20" s="24">
        <v>213539</v>
      </c>
      <c r="I20" s="24">
        <f t="shared" si="1"/>
        <v>-3326</v>
      </c>
      <c r="J20" s="12">
        <v>16</v>
      </c>
      <c r="K20" s="24">
        <v>20000</v>
      </c>
      <c r="L20" s="24">
        <v>20000</v>
      </c>
      <c r="M20" s="24">
        <f t="shared" si="2"/>
        <v>0</v>
      </c>
      <c r="N20" s="12">
        <v>16</v>
      </c>
      <c r="O20" s="24"/>
      <c r="P20" s="24"/>
      <c r="Q20" s="24">
        <f t="shared" si="3"/>
        <v>0</v>
      </c>
      <c r="R20" s="12">
        <v>16</v>
      </c>
      <c r="S20" s="24">
        <v>44940</v>
      </c>
      <c r="T20" s="24">
        <v>47113</v>
      </c>
      <c r="U20" s="24">
        <f t="shared" si="4"/>
        <v>2173</v>
      </c>
      <c r="V20" s="12">
        <v>16</v>
      </c>
      <c r="W20" s="24"/>
      <c r="X20" s="24"/>
      <c r="Y20" s="24">
        <f t="shared" si="5"/>
        <v>0</v>
      </c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49991</v>
      </c>
      <c r="C21" s="24">
        <v>52106</v>
      </c>
      <c r="D21" s="24">
        <f t="shared" si="0"/>
        <v>2115</v>
      </c>
      <c r="F21" s="12">
        <v>17</v>
      </c>
      <c r="G21" s="24">
        <v>216864</v>
      </c>
      <c r="H21" s="24">
        <v>213923</v>
      </c>
      <c r="I21" s="24">
        <f t="shared" si="1"/>
        <v>-2941</v>
      </c>
      <c r="J21" s="12">
        <v>17</v>
      </c>
      <c r="K21" s="24">
        <v>20000</v>
      </c>
      <c r="L21" s="24">
        <v>20002</v>
      </c>
      <c r="M21" s="24">
        <f t="shared" si="2"/>
        <v>2</v>
      </c>
      <c r="N21" s="12">
        <v>17</v>
      </c>
      <c r="O21" s="24"/>
      <c r="P21" s="24"/>
      <c r="Q21" s="24">
        <f t="shared" si="3"/>
        <v>0</v>
      </c>
      <c r="R21" s="12">
        <v>17</v>
      </c>
      <c r="S21" s="24">
        <v>44940</v>
      </c>
      <c r="T21" s="24">
        <v>46729</v>
      </c>
      <c r="U21" s="24">
        <f t="shared" si="4"/>
        <v>1789</v>
      </c>
      <c r="V21" s="12">
        <v>17</v>
      </c>
      <c r="W21" s="24"/>
      <c r="X21" s="24"/>
      <c r="Y21" s="24">
        <f t="shared" si="5"/>
        <v>0</v>
      </c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51014</v>
      </c>
      <c r="C22" s="24">
        <v>52251</v>
      </c>
      <c r="D22" s="24">
        <f t="shared" si="0"/>
        <v>1237</v>
      </c>
      <c r="F22" s="12">
        <v>18</v>
      </c>
      <c r="G22" s="24">
        <v>168037</v>
      </c>
      <c r="H22" s="24">
        <v>165747</v>
      </c>
      <c r="I22" s="24">
        <f t="shared" si="1"/>
        <v>-2290</v>
      </c>
      <c r="J22" s="12">
        <v>18</v>
      </c>
      <c r="K22" s="24">
        <v>20000</v>
      </c>
      <c r="L22" s="24">
        <v>20038</v>
      </c>
      <c r="M22" s="24">
        <f t="shared" si="2"/>
        <v>38</v>
      </c>
      <c r="N22" s="12">
        <v>18</v>
      </c>
      <c r="O22" s="24">
        <v>19710</v>
      </c>
      <c r="P22" s="24">
        <v>20531</v>
      </c>
      <c r="Q22" s="24">
        <f t="shared" si="3"/>
        <v>821</v>
      </c>
      <c r="R22" s="12">
        <v>18</v>
      </c>
      <c r="S22" s="24">
        <v>44940</v>
      </c>
      <c r="T22" s="24">
        <v>44711</v>
      </c>
      <c r="U22" s="24">
        <f t="shared" si="4"/>
        <v>-229</v>
      </c>
      <c r="V22" s="12">
        <v>18</v>
      </c>
      <c r="W22" s="24"/>
      <c r="X22" s="24"/>
      <c r="Y22" s="24">
        <f t="shared" si="5"/>
        <v>0</v>
      </c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51121</v>
      </c>
      <c r="C23" s="24">
        <v>52306</v>
      </c>
      <c r="D23" s="24">
        <f t="shared" si="0"/>
        <v>1185</v>
      </c>
      <c r="F23" s="12">
        <v>19</v>
      </c>
      <c r="G23" s="24">
        <f>166062+2406</f>
        <v>168468</v>
      </c>
      <c r="H23" s="24">
        <v>171097</v>
      </c>
      <c r="I23" s="24">
        <f t="shared" si="1"/>
        <v>2629</v>
      </c>
      <c r="J23" s="12">
        <v>19</v>
      </c>
      <c r="K23" s="24">
        <v>25000</v>
      </c>
      <c r="L23" s="24">
        <v>24860</v>
      </c>
      <c r="M23" s="24">
        <f t="shared" si="2"/>
        <v>-140</v>
      </c>
      <c r="N23" s="12">
        <v>19</v>
      </c>
      <c r="O23" s="24"/>
      <c r="P23" s="24"/>
      <c r="Q23" s="24">
        <f t="shared" si="3"/>
        <v>0</v>
      </c>
      <c r="R23" s="12">
        <v>19</v>
      </c>
      <c r="S23" s="24">
        <v>31410</v>
      </c>
      <c r="T23" s="24">
        <v>31726</v>
      </c>
      <c r="U23" s="24">
        <f t="shared" si="4"/>
        <v>316</v>
      </c>
      <c r="V23" s="12">
        <v>19</v>
      </c>
      <c r="W23" s="24"/>
      <c r="X23" s="24"/>
      <c r="Y23" s="24">
        <f t="shared" si="5"/>
        <v>0</v>
      </c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15000</v>
      </c>
      <c r="C24" s="24">
        <v>14043</v>
      </c>
      <c r="D24" s="24">
        <f t="shared" si="0"/>
        <v>-957</v>
      </c>
      <c r="F24" s="12">
        <v>20</v>
      </c>
      <c r="G24" s="24">
        <v>172772</v>
      </c>
      <c r="H24" s="24">
        <v>170060</v>
      </c>
      <c r="I24" s="24">
        <f t="shared" si="1"/>
        <v>-2712</v>
      </c>
      <c r="J24" s="12">
        <v>20</v>
      </c>
      <c r="K24" s="24">
        <v>19974</v>
      </c>
      <c r="L24" s="24">
        <v>20152</v>
      </c>
      <c r="M24" s="24">
        <f t="shared" si="2"/>
        <v>178</v>
      </c>
      <c r="N24" s="12">
        <v>20</v>
      </c>
      <c r="O24" s="24"/>
      <c r="P24" s="24"/>
      <c r="Q24" s="24">
        <f t="shared" si="3"/>
        <v>0</v>
      </c>
      <c r="R24" s="12">
        <v>20</v>
      </c>
      <c r="S24" s="24">
        <v>51117</v>
      </c>
      <c r="T24" s="24">
        <v>51278</v>
      </c>
      <c r="U24" s="24">
        <f t="shared" si="4"/>
        <v>161</v>
      </c>
      <c r="V24" s="12">
        <v>20</v>
      </c>
      <c r="W24" s="24"/>
      <c r="X24" s="24"/>
      <c r="Y24" s="24">
        <f t="shared" si="5"/>
        <v>0</v>
      </c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31401</v>
      </c>
      <c r="C25" s="24">
        <v>31429</v>
      </c>
      <c r="D25" s="24">
        <f t="shared" si="0"/>
        <v>28</v>
      </c>
      <c r="F25" s="12">
        <v>21</v>
      </c>
      <c r="G25" s="24">
        <v>155886</v>
      </c>
      <c r="H25" s="24">
        <v>153981</v>
      </c>
      <c r="I25" s="24">
        <f t="shared" si="1"/>
        <v>-1905</v>
      </c>
      <c r="J25" s="12">
        <v>21</v>
      </c>
      <c r="K25" s="24">
        <v>15000</v>
      </c>
      <c r="L25" s="24">
        <v>15372</v>
      </c>
      <c r="M25" s="24">
        <f t="shared" si="2"/>
        <v>372</v>
      </c>
      <c r="N25" s="12">
        <v>21</v>
      </c>
      <c r="O25" s="24">
        <v>25000</v>
      </c>
      <c r="P25" s="24">
        <v>25453</v>
      </c>
      <c r="Q25" s="24">
        <f t="shared" si="3"/>
        <v>453</v>
      </c>
      <c r="R25" s="12">
        <v>21</v>
      </c>
      <c r="S25" s="24">
        <v>84325</v>
      </c>
      <c r="T25" s="24">
        <v>84034</v>
      </c>
      <c r="U25" s="24">
        <f t="shared" si="4"/>
        <v>-291</v>
      </c>
      <c r="V25" s="12">
        <v>21</v>
      </c>
      <c r="W25" s="24"/>
      <c r="X25" s="24"/>
      <c r="Y25" s="24">
        <f t="shared" si="5"/>
        <v>0</v>
      </c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31020</v>
      </c>
      <c r="C26" s="24">
        <v>31420</v>
      </c>
      <c r="D26" s="24">
        <f t="shared" si="0"/>
        <v>400</v>
      </c>
      <c r="F26" s="12">
        <v>22</v>
      </c>
      <c r="G26" s="24">
        <v>155270</v>
      </c>
      <c r="H26" s="24">
        <v>154111</v>
      </c>
      <c r="I26" s="24">
        <f t="shared" si="1"/>
        <v>-1159</v>
      </c>
      <c r="J26" s="12">
        <v>22</v>
      </c>
      <c r="K26" s="24">
        <v>15000</v>
      </c>
      <c r="L26" s="24">
        <v>14979</v>
      </c>
      <c r="M26" s="24">
        <f t="shared" si="2"/>
        <v>-21</v>
      </c>
      <c r="N26" s="12">
        <v>22</v>
      </c>
      <c r="O26" s="24">
        <v>30000</v>
      </c>
      <c r="P26" s="24">
        <v>30386</v>
      </c>
      <c r="Q26" s="24">
        <f t="shared" si="3"/>
        <v>386</v>
      </c>
      <c r="R26" s="12">
        <v>22</v>
      </c>
      <c r="S26" s="24">
        <v>82185</v>
      </c>
      <c r="T26" s="24">
        <v>85743</v>
      </c>
      <c r="U26" s="24">
        <f t="shared" si="4"/>
        <v>3558</v>
      </c>
      <c r="V26" s="12">
        <v>22</v>
      </c>
      <c r="W26" s="24"/>
      <c r="X26" s="24"/>
      <c r="Y26" s="24">
        <f t="shared" si="5"/>
        <v>0</v>
      </c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58582</v>
      </c>
      <c r="C27" s="24">
        <v>57144</v>
      </c>
      <c r="D27" s="24">
        <f t="shared" si="0"/>
        <v>-1438</v>
      </c>
      <c r="F27" s="12">
        <v>23</v>
      </c>
      <c r="G27" s="24">
        <v>155786</v>
      </c>
      <c r="H27" s="24">
        <v>154209</v>
      </c>
      <c r="I27" s="24">
        <f t="shared" si="1"/>
        <v>-1577</v>
      </c>
      <c r="J27" s="12">
        <v>23</v>
      </c>
      <c r="K27" s="24">
        <v>10000</v>
      </c>
      <c r="L27" s="24">
        <v>10106</v>
      </c>
      <c r="M27" s="24">
        <f t="shared" si="2"/>
        <v>106</v>
      </c>
      <c r="N27" s="12">
        <v>23</v>
      </c>
      <c r="O27" s="24"/>
      <c r="P27" s="24">
        <v>146</v>
      </c>
      <c r="Q27" s="24">
        <f t="shared" si="3"/>
        <v>146</v>
      </c>
      <c r="R27" s="12">
        <v>23</v>
      </c>
      <c r="S27" s="24">
        <v>85000</v>
      </c>
      <c r="T27" s="24">
        <v>85511</v>
      </c>
      <c r="U27" s="24">
        <f t="shared" si="4"/>
        <v>511</v>
      </c>
      <c r="V27" s="12">
        <v>23</v>
      </c>
      <c r="W27" s="24"/>
      <c r="X27" s="24"/>
      <c r="Y27" s="24">
        <f t="shared" si="5"/>
        <v>0</v>
      </c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145733</v>
      </c>
      <c r="C28" s="24">
        <v>129656</v>
      </c>
      <c r="D28" s="24">
        <f t="shared" si="0"/>
        <v>-16077</v>
      </c>
      <c r="F28" s="12">
        <v>24</v>
      </c>
      <c r="G28" s="24">
        <v>173757</v>
      </c>
      <c r="H28" s="24">
        <v>172100</v>
      </c>
      <c r="I28" s="24">
        <f t="shared" si="1"/>
        <v>-1657</v>
      </c>
      <c r="J28" s="12">
        <v>24</v>
      </c>
      <c r="K28" s="24"/>
      <c r="L28" s="24"/>
      <c r="M28" s="24">
        <f t="shared" si="2"/>
        <v>0</v>
      </c>
      <c r="N28" s="12">
        <v>24</v>
      </c>
      <c r="O28" s="24">
        <v>39940</v>
      </c>
      <c r="P28" s="24">
        <v>39788</v>
      </c>
      <c r="Q28" s="24">
        <f t="shared" si="3"/>
        <v>-152</v>
      </c>
      <c r="R28" s="12">
        <v>24</v>
      </c>
      <c r="S28" s="24">
        <v>75000</v>
      </c>
      <c r="T28" s="24">
        <v>75223</v>
      </c>
      <c r="U28" s="24">
        <f t="shared" si="4"/>
        <v>223</v>
      </c>
      <c r="V28" s="12">
        <v>24</v>
      </c>
      <c r="W28" s="24"/>
      <c r="X28" s="24"/>
      <c r="Y28" s="24">
        <f t="shared" si="5"/>
        <v>0</v>
      </c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145759</v>
      </c>
      <c r="C29" s="24">
        <v>144610</v>
      </c>
      <c r="D29" s="24">
        <f t="shared" si="0"/>
        <v>-1149</v>
      </c>
      <c r="F29" s="12">
        <v>25</v>
      </c>
      <c r="G29" s="24">
        <v>142863</v>
      </c>
      <c r="H29" s="24">
        <v>141190</v>
      </c>
      <c r="I29" s="24">
        <f t="shared" si="1"/>
        <v>-1673</v>
      </c>
      <c r="J29" s="12">
        <v>25</v>
      </c>
      <c r="K29" s="24">
        <v>17909</v>
      </c>
      <c r="L29" s="24">
        <v>26351</v>
      </c>
      <c r="M29" s="24">
        <f t="shared" si="2"/>
        <v>8442</v>
      </c>
      <c r="N29" s="12">
        <v>25</v>
      </c>
      <c r="O29" s="24">
        <v>39940</v>
      </c>
      <c r="P29" s="24">
        <v>40001</v>
      </c>
      <c r="Q29" s="24">
        <f t="shared" si="3"/>
        <v>61</v>
      </c>
      <c r="R29" s="12">
        <v>25</v>
      </c>
      <c r="S29" s="24">
        <v>74940</v>
      </c>
      <c r="T29" s="24">
        <v>75308</v>
      </c>
      <c r="U29" s="24">
        <f t="shared" si="4"/>
        <v>368</v>
      </c>
      <c r="V29" s="12">
        <v>25</v>
      </c>
      <c r="W29" s="24"/>
      <c r="X29" s="24"/>
      <c r="Y29" s="24">
        <f t="shared" si="5"/>
        <v>0</v>
      </c>
      <c r="Z29" s="12"/>
      <c r="AA29" s="24"/>
      <c r="AB29" s="24"/>
      <c r="AC29" s="24"/>
    </row>
    <row r="30" spans="1:29" ht="14.1" customHeight="1" x14ac:dyDescent="0.2">
      <c r="A30" s="12">
        <v>26</v>
      </c>
      <c r="B30" s="14">
        <v>146221</v>
      </c>
      <c r="C30" s="24">
        <v>144421</v>
      </c>
      <c r="D30" s="24">
        <f t="shared" si="0"/>
        <v>-1800</v>
      </c>
      <c r="F30" s="12">
        <v>26</v>
      </c>
      <c r="G30" s="24">
        <v>163478</v>
      </c>
      <c r="H30" s="24">
        <v>160567</v>
      </c>
      <c r="I30" s="24">
        <f t="shared" si="1"/>
        <v>-2911</v>
      </c>
      <c r="J30" s="12">
        <v>26</v>
      </c>
      <c r="K30" s="24">
        <v>25213</v>
      </c>
      <c r="L30" s="24">
        <v>24850</v>
      </c>
      <c r="M30" s="24">
        <f t="shared" si="2"/>
        <v>-363</v>
      </c>
      <c r="N30" s="12">
        <v>26</v>
      </c>
      <c r="O30" s="24">
        <v>39940</v>
      </c>
      <c r="P30" s="24">
        <v>40011</v>
      </c>
      <c r="Q30" s="24">
        <f t="shared" si="3"/>
        <v>71</v>
      </c>
      <c r="R30" s="12">
        <v>26</v>
      </c>
      <c r="S30" s="24">
        <v>99940</v>
      </c>
      <c r="T30" s="24">
        <v>101576</v>
      </c>
      <c r="U30" s="24">
        <f t="shared" si="4"/>
        <v>1636</v>
      </c>
      <c r="V30" s="12">
        <v>26</v>
      </c>
      <c r="W30" s="24"/>
      <c r="X30" s="24"/>
      <c r="Y30" s="24">
        <f t="shared" si="5"/>
        <v>0</v>
      </c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104000</v>
      </c>
      <c r="C31" s="24">
        <v>101555</v>
      </c>
      <c r="D31" s="24">
        <f t="shared" si="0"/>
        <v>-2445</v>
      </c>
      <c r="F31" s="12">
        <v>27</v>
      </c>
      <c r="G31" s="24">
        <v>145994</v>
      </c>
      <c r="H31" s="24">
        <v>145224</v>
      </c>
      <c r="I31" s="24">
        <f t="shared" si="1"/>
        <v>-770</v>
      </c>
      <c r="J31" s="12">
        <v>27</v>
      </c>
      <c r="K31" s="24">
        <v>15000</v>
      </c>
      <c r="L31" s="24">
        <v>15172</v>
      </c>
      <c r="M31" s="24">
        <f t="shared" si="2"/>
        <v>172</v>
      </c>
      <c r="N31" s="12">
        <v>27</v>
      </c>
      <c r="O31" s="24">
        <v>39940</v>
      </c>
      <c r="P31" s="24">
        <v>39956</v>
      </c>
      <c r="Q31" s="24">
        <f t="shared" si="3"/>
        <v>16</v>
      </c>
      <c r="R31" s="12">
        <v>27</v>
      </c>
      <c r="S31" s="24">
        <v>125000</v>
      </c>
      <c r="T31" s="24">
        <v>128093</v>
      </c>
      <c r="U31" s="24">
        <f t="shared" si="4"/>
        <v>3093</v>
      </c>
      <c r="V31" s="12">
        <v>27</v>
      </c>
      <c r="W31" s="24"/>
      <c r="X31" s="24"/>
      <c r="Y31" s="24">
        <f t="shared" si="5"/>
        <v>0</v>
      </c>
      <c r="Z31" s="12"/>
      <c r="AA31" s="24"/>
      <c r="AB31" s="24"/>
      <c r="AC31" s="24"/>
    </row>
    <row r="32" spans="1:29" ht="14.1" customHeight="1" x14ac:dyDescent="0.2">
      <c r="A32" s="12">
        <v>28</v>
      </c>
      <c r="B32" s="24">
        <v>107376</v>
      </c>
      <c r="C32" s="24">
        <v>105792</v>
      </c>
      <c r="D32" s="24">
        <f t="shared" si="0"/>
        <v>-1584</v>
      </c>
      <c r="F32" s="12">
        <v>28</v>
      </c>
      <c r="G32" s="24">
        <v>151039</v>
      </c>
      <c r="H32" s="24">
        <v>148724</v>
      </c>
      <c r="I32" s="24">
        <f t="shared" si="1"/>
        <v>-2315</v>
      </c>
      <c r="J32" s="12">
        <v>28</v>
      </c>
      <c r="K32" s="24"/>
      <c r="L32" s="24"/>
      <c r="M32" s="24">
        <f t="shared" si="2"/>
        <v>0</v>
      </c>
      <c r="N32" s="12">
        <v>28</v>
      </c>
      <c r="O32" s="24">
        <v>20000</v>
      </c>
      <c r="P32" s="24">
        <v>20224</v>
      </c>
      <c r="Q32" s="24">
        <f t="shared" si="3"/>
        <v>224</v>
      </c>
      <c r="R32" s="12">
        <v>28</v>
      </c>
      <c r="S32" s="24">
        <v>134135</v>
      </c>
      <c r="T32" s="24">
        <v>135160</v>
      </c>
      <c r="U32" s="24">
        <f t="shared" si="4"/>
        <v>1025</v>
      </c>
      <c r="V32" s="12">
        <v>28</v>
      </c>
      <c r="W32" s="24"/>
      <c r="X32" s="24"/>
      <c r="Y32" s="24">
        <f t="shared" si="5"/>
        <v>0</v>
      </c>
      <c r="Z32" s="12"/>
      <c r="AA32" s="24"/>
      <c r="AB32" s="24"/>
      <c r="AC32" s="24"/>
    </row>
    <row r="33" spans="1:29" ht="14.1" customHeight="1" x14ac:dyDescent="0.2">
      <c r="A33" s="12">
        <v>29</v>
      </c>
      <c r="B33" s="24">
        <v>96363</v>
      </c>
      <c r="C33" s="24">
        <v>98442</v>
      </c>
      <c r="D33" s="24">
        <f t="shared" si="0"/>
        <v>2079</v>
      </c>
      <c r="F33" s="12">
        <v>29</v>
      </c>
      <c r="G33" s="24">
        <v>151039</v>
      </c>
      <c r="H33" s="24">
        <v>148832</v>
      </c>
      <c r="I33" s="24">
        <f t="shared" si="1"/>
        <v>-2207</v>
      </c>
      <c r="J33" s="12">
        <v>29</v>
      </c>
      <c r="K33" s="24"/>
      <c r="L33" s="24"/>
      <c r="M33" s="24">
        <f t="shared" si="2"/>
        <v>0</v>
      </c>
      <c r="N33" s="12">
        <v>29</v>
      </c>
      <c r="O33" s="24"/>
      <c r="P33" s="24"/>
      <c r="Q33" s="24">
        <f t="shared" si="3"/>
        <v>0</v>
      </c>
      <c r="R33" s="12">
        <v>29</v>
      </c>
      <c r="S33" s="24">
        <v>121000</v>
      </c>
      <c r="T33" s="24">
        <v>119266</v>
      </c>
      <c r="U33" s="24">
        <f t="shared" si="4"/>
        <v>-1734</v>
      </c>
      <c r="V33" s="12">
        <v>29</v>
      </c>
      <c r="W33" s="24"/>
      <c r="X33" s="24"/>
      <c r="Y33" s="24">
        <f t="shared" si="5"/>
        <v>0</v>
      </c>
      <c r="Z33" s="12"/>
      <c r="AA33" s="24"/>
      <c r="AB33" s="24"/>
      <c r="AC33" s="24"/>
    </row>
    <row r="34" spans="1:29" ht="14.1" customHeight="1" x14ac:dyDescent="0.2">
      <c r="A34" s="12">
        <v>30</v>
      </c>
      <c r="B34" s="24">
        <v>115752</v>
      </c>
      <c r="C34" s="24">
        <v>119743</v>
      </c>
      <c r="D34" s="24">
        <f t="shared" si="0"/>
        <v>3991</v>
      </c>
      <c r="F34" s="12">
        <v>30</v>
      </c>
      <c r="G34" s="24"/>
      <c r="H34" s="24"/>
      <c r="I34" s="24">
        <f t="shared" si="1"/>
        <v>0</v>
      </c>
      <c r="J34" s="12">
        <v>30</v>
      </c>
      <c r="K34" s="24"/>
      <c r="L34" s="24"/>
      <c r="M34" s="24">
        <f t="shared" si="2"/>
        <v>0</v>
      </c>
      <c r="N34" s="12">
        <v>30</v>
      </c>
      <c r="O34" s="24"/>
      <c r="P34" s="24"/>
      <c r="Q34" s="24">
        <f t="shared" si="3"/>
        <v>0</v>
      </c>
      <c r="R34" s="12">
        <v>30</v>
      </c>
      <c r="S34" s="24">
        <v>121000</v>
      </c>
      <c r="T34" s="24">
        <v>118869</v>
      </c>
      <c r="U34" s="24">
        <f t="shared" si="4"/>
        <v>-2131</v>
      </c>
      <c r="V34" s="12">
        <v>30</v>
      </c>
      <c r="W34" s="24"/>
      <c r="X34" s="24"/>
      <c r="Y34" s="24">
        <f t="shared" si="5"/>
        <v>0</v>
      </c>
      <c r="Z34" s="12"/>
      <c r="AA34" s="24"/>
      <c r="AB34" s="24"/>
      <c r="AC34" s="24"/>
    </row>
    <row r="35" spans="1:29" ht="14.1" customHeight="1" x14ac:dyDescent="0.2">
      <c r="A35" s="12">
        <v>31</v>
      </c>
      <c r="B35" s="24">
        <v>154000</v>
      </c>
      <c r="C35" s="24">
        <v>151927</v>
      </c>
      <c r="D35" s="24">
        <f t="shared" si="0"/>
        <v>-2073</v>
      </c>
      <c r="F35" s="12">
        <v>31</v>
      </c>
      <c r="G35" s="24"/>
      <c r="H35" s="24"/>
      <c r="I35" s="24">
        <f t="shared" si="1"/>
        <v>0</v>
      </c>
      <c r="J35" s="12">
        <v>31</v>
      </c>
      <c r="K35" s="24"/>
      <c r="L35" s="24"/>
      <c r="M35" s="24">
        <f t="shared" si="2"/>
        <v>0</v>
      </c>
      <c r="N35" s="12">
        <v>31</v>
      </c>
      <c r="O35" s="24"/>
      <c r="P35" s="24"/>
      <c r="Q35" s="24">
        <f t="shared" si="3"/>
        <v>0</v>
      </c>
      <c r="R35" s="12">
        <v>31</v>
      </c>
      <c r="S35" s="24">
        <v>119383</v>
      </c>
      <c r="T35" s="24">
        <v>118588</v>
      </c>
      <c r="U35" s="24">
        <f t="shared" si="4"/>
        <v>-795</v>
      </c>
      <c r="V35" s="12">
        <v>31</v>
      </c>
      <c r="W35" s="24"/>
      <c r="X35" s="24"/>
      <c r="Y35" s="24">
        <f t="shared" si="5"/>
        <v>0</v>
      </c>
      <c r="Z35" s="12"/>
      <c r="AA35" s="24"/>
      <c r="AB35" s="24"/>
      <c r="AC35" s="24"/>
    </row>
    <row r="36" spans="1:29" ht="14.1" customHeight="1" x14ac:dyDescent="0.2">
      <c r="A36" s="12"/>
      <c r="B36" s="24">
        <f>SUM(B6:B35)</f>
        <v>2326017</v>
      </c>
      <c r="C36" s="24">
        <f>SUM(C5:C35)</f>
        <v>2313766</v>
      </c>
      <c r="D36" s="24">
        <f t="shared" si="0"/>
        <v>-12251</v>
      </c>
      <c r="F36" s="12"/>
      <c r="G36" s="24">
        <f>SUM(G5:G35)</f>
        <v>4765399</v>
      </c>
      <c r="H36" s="24">
        <f>SUM(H5:H35)</f>
        <v>4749256</v>
      </c>
      <c r="I36" s="24">
        <f t="shared" si="1"/>
        <v>-16143</v>
      </c>
      <c r="J36" s="12"/>
      <c r="K36" s="24">
        <f>SUM(K5:K35)</f>
        <v>680186</v>
      </c>
      <c r="L36" s="24">
        <f>SUM(L5:L35)</f>
        <v>694319</v>
      </c>
      <c r="M36" s="24">
        <f t="shared" si="2"/>
        <v>14133</v>
      </c>
      <c r="N36" s="12"/>
      <c r="O36" s="24">
        <f>SUM(O5:O35)</f>
        <v>296205</v>
      </c>
      <c r="P36" s="24">
        <f>SUM(P5:P35)</f>
        <v>298179</v>
      </c>
      <c r="Q36" s="24">
        <f t="shared" si="3"/>
        <v>1974</v>
      </c>
      <c r="R36" s="12"/>
      <c r="S36" s="24">
        <f>SUM(S5:S35)</f>
        <v>1620486</v>
      </c>
      <c r="T36" s="24">
        <f>SUM(T5:T35)</f>
        <v>1640077</v>
      </c>
      <c r="U36" s="24">
        <f t="shared" si="4"/>
        <v>19591</v>
      </c>
      <c r="V36" s="12"/>
      <c r="W36" s="24">
        <f>SUM(W5:W35)</f>
        <v>379233</v>
      </c>
      <c r="X36" s="24">
        <f>SUM(X5:X35)</f>
        <v>381160</v>
      </c>
      <c r="Y36" s="24">
        <f t="shared" si="5"/>
        <v>1927</v>
      </c>
      <c r="Z36" s="12"/>
      <c r="AA36" s="24"/>
      <c r="AB36" s="24"/>
      <c r="AC36" s="24"/>
    </row>
    <row r="37" spans="1:29" ht="14.1" customHeight="1" x14ac:dyDescent="0.2">
      <c r="A37" s="32"/>
      <c r="B37" s="14"/>
      <c r="C37" s="14"/>
      <c r="D37" s="14"/>
      <c r="F37" s="32"/>
      <c r="G37" s="14"/>
      <c r="H37" s="14"/>
      <c r="I37" s="14"/>
      <c r="J37" s="32"/>
      <c r="K37" s="14"/>
      <c r="L37" s="14"/>
      <c r="M37" s="14"/>
      <c r="N37" s="32"/>
      <c r="O37" s="14"/>
      <c r="P37" s="14"/>
      <c r="Q37" s="14"/>
      <c r="R37" s="32"/>
      <c r="S37" s="14"/>
      <c r="T37" s="14"/>
      <c r="U37" s="14"/>
      <c r="V37" s="32"/>
      <c r="W37" s="14"/>
      <c r="X37" s="14"/>
      <c r="Y37" s="14"/>
      <c r="Z37" s="32"/>
      <c r="AA37" s="14"/>
      <c r="AB37" s="14"/>
      <c r="AC37" s="14"/>
    </row>
    <row r="38" spans="1:29" x14ac:dyDescent="0.2">
      <c r="B38" s="24" t="s">
        <v>79</v>
      </c>
      <c r="C38" s="24"/>
      <c r="D38" s="155">
        <v>141010</v>
      </c>
      <c r="E38" s="2"/>
      <c r="G38" s="24" t="s">
        <v>80</v>
      </c>
      <c r="H38" s="24"/>
      <c r="I38" s="155">
        <v>119427</v>
      </c>
      <c r="K38" s="24" t="s">
        <v>81</v>
      </c>
      <c r="L38" s="24"/>
      <c r="M38" s="155">
        <v>94779</v>
      </c>
      <c r="O38" s="24" t="s">
        <v>82</v>
      </c>
      <c r="P38" s="24"/>
      <c r="Q38" s="155">
        <v>108912</v>
      </c>
      <c r="S38" s="24" t="s">
        <v>83</v>
      </c>
      <c r="T38" s="24"/>
      <c r="U38" s="155">
        <v>114479</v>
      </c>
      <c r="W38" s="258">
        <v>36738</v>
      </c>
      <c r="X38" s="24"/>
      <c r="Y38" s="308">
        <v>35724</v>
      </c>
      <c r="AA38" s="24"/>
      <c r="AB38" s="24"/>
      <c r="AC38" s="155"/>
    </row>
    <row r="39" spans="1:29" x14ac:dyDescent="0.2">
      <c r="B39" s="24"/>
      <c r="C39" s="24"/>
      <c r="D39" s="24"/>
      <c r="E39" s="2"/>
      <c r="G39" s="24"/>
      <c r="H39" s="24"/>
      <c r="I39" s="24"/>
      <c r="K39" s="24"/>
      <c r="L39" s="24"/>
      <c r="M39" s="24"/>
      <c r="O39" s="24"/>
      <c r="P39" s="24"/>
      <c r="Q39" s="24"/>
      <c r="S39" s="24"/>
      <c r="T39" s="24"/>
      <c r="U39" s="24"/>
      <c r="W39" s="258"/>
      <c r="X39" s="24"/>
      <c r="Y39" s="24"/>
      <c r="AA39" s="24"/>
      <c r="AB39" s="24"/>
      <c r="AC39" s="24"/>
    </row>
    <row r="40" spans="1:29" ht="13.5" thickBot="1" x14ac:dyDescent="0.25">
      <c r="B40" s="24" t="s">
        <v>85</v>
      </c>
      <c r="C40" s="24"/>
      <c r="D40" s="195">
        <f>+D36+D38</f>
        <v>128759</v>
      </c>
      <c r="E40" s="196"/>
      <c r="G40" s="24" t="s">
        <v>86</v>
      </c>
      <c r="H40" s="24"/>
      <c r="I40" s="195">
        <f>+I36+I38</f>
        <v>103284</v>
      </c>
      <c r="K40" s="24" t="s">
        <v>57</v>
      </c>
      <c r="L40" s="24"/>
      <c r="M40" s="195">
        <f>+M36+M38</f>
        <v>108912</v>
      </c>
      <c r="O40" s="24" t="s">
        <v>58</v>
      </c>
      <c r="P40" s="24"/>
      <c r="Q40" s="197">
        <f>+Q36+Q38</f>
        <v>110886</v>
      </c>
      <c r="S40" s="24" t="s">
        <v>84</v>
      </c>
      <c r="T40" s="24"/>
      <c r="U40" s="197">
        <f>+U36+U38</f>
        <v>134070</v>
      </c>
      <c r="W40" s="258">
        <v>36743</v>
      </c>
      <c r="X40" s="24"/>
      <c r="Y40" s="195">
        <f>+Y36+Y38</f>
        <v>37651</v>
      </c>
      <c r="AA40" s="24"/>
      <c r="AB40" s="24"/>
      <c r="AC40" s="197"/>
    </row>
    <row r="41" spans="1:29" ht="13.5" thickTop="1" x14ac:dyDescent="0.2">
      <c r="B41" s="24"/>
      <c r="C41" s="24"/>
      <c r="D41" s="24"/>
      <c r="E41" s="2"/>
      <c r="W41" s="259"/>
    </row>
    <row r="42" spans="1:29" x14ac:dyDescent="0.2">
      <c r="W42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30" workbookViewId="0">
      <selection activeCell="E37" sqref="E3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1.28515625" style="32" bestFit="1" customWidth="1"/>
    <col min="4" max="4" width="8.85546875" style="32" customWidth="1"/>
    <col min="5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52</v>
      </c>
      <c r="C2" s="206"/>
      <c r="D2" s="12" t="s">
        <v>53</v>
      </c>
      <c r="E2" s="12"/>
      <c r="F2" s="4"/>
    </row>
    <row r="3" spans="1:7" x14ac:dyDescent="0.2">
      <c r="A3" s="39" t="s">
        <v>13</v>
      </c>
      <c r="B3" s="39" t="s">
        <v>22</v>
      </c>
      <c r="C3" s="39" t="s">
        <v>23</v>
      </c>
      <c r="D3" s="39" t="s">
        <v>22</v>
      </c>
      <c r="E3" s="39" t="s">
        <v>23</v>
      </c>
      <c r="F3" s="6"/>
      <c r="G3" s="25"/>
    </row>
    <row r="4" spans="1:7" x14ac:dyDescent="0.2">
      <c r="A4" s="41">
        <v>1</v>
      </c>
      <c r="B4" s="11">
        <v>31583</v>
      </c>
      <c r="C4" s="11">
        <v>31787</v>
      </c>
      <c r="D4" s="11">
        <v>27178</v>
      </c>
      <c r="E4" s="11">
        <v>25827</v>
      </c>
      <c r="F4" s="25">
        <f>+E4+C4-D4-B4</f>
        <v>-1147</v>
      </c>
      <c r="G4" s="25"/>
    </row>
    <row r="5" spans="1:7" x14ac:dyDescent="0.2">
      <c r="A5" s="41">
        <v>2</v>
      </c>
      <c r="B5" s="11">
        <v>30117</v>
      </c>
      <c r="C5" s="11">
        <v>29103</v>
      </c>
      <c r="D5" s="11">
        <v>25574</v>
      </c>
      <c r="E5" s="11">
        <v>22929</v>
      </c>
      <c r="F5" s="25">
        <f t="shared" ref="F5:F34" si="0">+E5+C5-D5-B5</f>
        <v>-3659</v>
      </c>
      <c r="G5" s="25"/>
    </row>
    <row r="6" spans="1:7" x14ac:dyDescent="0.2">
      <c r="A6" s="41">
        <v>3</v>
      </c>
      <c r="B6" s="11">
        <v>31678</v>
      </c>
      <c r="C6" s="11">
        <v>30138</v>
      </c>
      <c r="D6" s="11">
        <v>27326</v>
      </c>
      <c r="E6" s="11">
        <v>22760</v>
      </c>
      <c r="F6" s="25">
        <f t="shared" si="0"/>
        <v>-6106</v>
      </c>
      <c r="G6" s="25"/>
    </row>
    <row r="7" spans="1:7" x14ac:dyDescent="0.2">
      <c r="A7" s="41">
        <v>4</v>
      </c>
      <c r="B7" s="11">
        <v>32547</v>
      </c>
      <c r="C7" s="11">
        <v>32189</v>
      </c>
      <c r="D7" s="11">
        <v>25899</v>
      </c>
      <c r="E7" s="11">
        <v>25359</v>
      </c>
      <c r="F7" s="25">
        <f t="shared" si="0"/>
        <v>-898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125925</v>
      </c>
      <c r="C35" s="11">
        <f>SUM(C4:C34)</f>
        <v>123217</v>
      </c>
      <c r="D35" s="11">
        <f>SUM(D4:D34)</f>
        <v>105977</v>
      </c>
      <c r="E35" s="11">
        <f>SUM(E4:E34)</f>
        <v>96875</v>
      </c>
      <c r="F35" s="11">
        <f>+E35-D35+C35-B35</f>
        <v>-11810</v>
      </c>
    </row>
    <row r="36" spans="1:7" x14ac:dyDescent="0.2">
      <c r="A36" s="45"/>
      <c r="C36" s="14">
        <f>+C35-B35</f>
        <v>-2708</v>
      </c>
      <c r="D36" s="14"/>
      <c r="E36" s="14">
        <f>+E35-D35</f>
        <v>-9102</v>
      </c>
      <c r="F36" s="47"/>
    </row>
    <row r="37" spans="1:7" x14ac:dyDescent="0.2">
      <c r="C37" s="15">
        <f>+summary!I13</f>
        <v>3.81</v>
      </c>
      <c r="D37" s="15"/>
      <c r="E37" s="15">
        <f>+C37</f>
        <v>3.81</v>
      </c>
      <c r="F37" s="24"/>
    </row>
    <row r="38" spans="1:7" x14ac:dyDescent="0.2">
      <c r="C38" s="48">
        <f>+C37*C36</f>
        <v>-10317.48</v>
      </c>
      <c r="D38" s="47"/>
      <c r="E38" s="48">
        <f>+E37*E36</f>
        <v>-34678.620000000003</v>
      </c>
      <c r="F38" s="46">
        <f>+E38+C38</f>
        <v>-44996.100000000006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36738</v>
      </c>
      <c r="C40" s="303">
        <v>398192.92</v>
      </c>
      <c r="D40" s="50"/>
      <c r="E40" s="303">
        <v>-387193.64</v>
      </c>
      <c r="F40" s="106">
        <f>+E40+C40</f>
        <v>10999.27999999997</v>
      </c>
      <c r="G40" s="25"/>
    </row>
    <row r="41" spans="1:7" x14ac:dyDescent="0.2">
      <c r="A41" s="57">
        <v>36742</v>
      </c>
      <c r="C41" s="50">
        <f>+C40+C38</f>
        <v>387875.44</v>
      </c>
      <c r="D41" s="50"/>
      <c r="E41" s="50">
        <f>+E40+E38</f>
        <v>-421872.26</v>
      </c>
      <c r="F41" s="106">
        <f>+E41+C41</f>
        <v>-33996.820000000007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5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D17" sqref="D17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72"/>
      <c r="D3" s="88"/>
    </row>
    <row r="4" spans="1:13" x14ac:dyDescent="0.2">
      <c r="A4" s="87"/>
      <c r="B4" s="267" t="s">
        <v>22</v>
      </c>
      <c r="C4" s="267" t="s">
        <v>23</v>
      </c>
      <c r="D4" s="268" t="s">
        <v>55</v>
      </c>
    </row>
    <row r="5" spans="1:13" x14ac:dyDescent="0.2">
      <c r="A5" s="87">
        <v>56339</v>
      </c>
      <c r="B5" s="90">
        <v>155872</v>
      </c>
      <c r="C5" s="90">
        <v>172298</v>
      </c>
      <c r="D5" s="90">
        <f t="shared" ref="D5:D17" si="0">+C5-B5</f>
        <v>16426</v>
      </c>
      <c r="E5" s="69"/>
      <c r="F5" s="70"/>
    </row>
    <row r="6" spans="1:13" x14ac:dyDescent="0.2">
      <c r="A6" s="87">
        <v>500232</v>
      </c>
      <c r="B6" s="90"/>
      <c r="C6" s="90"/>
      <c r="D6" s="90">
        <f t="shared" si="0"/>
        <v>0</v>
      </c>
      <c r="E6" s="69"/>
      <c r="F6" s="70"/>
      <c r="K6" s="65">
        <v>36531</v>
      </c>
      <c r="L6" t="s">
        <v>27</v>
      </c>
      <c r="M6">
        <v>0.5</v>
      </c>
    </row>
    <row r="7" spans="1:13" x14ac:dyDescent="0.2">
      <c r="A7" s="87">
        <v>500238</v>
      </c>
      <c r="B7" s="90">
        <v>114243</v>
      </c>
      <c r="C7" s="90">
        <v>119683</v>
      </c>
      <c r="D7" s="90">
        <f t="shared" si="0"/>
        <v>5440</v>
      </c>
      <c r="E7" s="69"/>
      <c r="F7" s="70"/>
      <c r="L7" t="s">
        <v>28</v>
      </c>
      <c r="M7">
        <v>7.6</v>
      </c>
    </row>
    <row r="8" spans="1:13" x14ac:dyDescent="0.2">
      <c r="A8" s="87">
        <v>500239</v>
      </c>
      <c r="B8" s="90">
        <v>106882</v>
      </c>
      <c r="C8" s="90">
        <v>93326</v>
      </c>
      <c r="D8" s="90">
        <f t="shared" si="0"/>
        <v>-13556</v>
      </c>
      <c r="E8" s="69"/>
      <c r="F8" s="70"/>
    </row>
    <row r="9" spans="1:13" x14ac:dyDescent="0.2">
      <c r="A9" s="87">
        <v>500293</v>
      </c>
      <c r="B9" s="90">
        <v>116335</v>
      </c>
      <c r="C9" s="90">
        <v>119858</v>
      </c>
      <c r="D9" s="90">
        <f t="shared" si="0"/>
        <v>3523</v>
      </c>
      <c r="E9" s="69"/>
      <c r="F9" s="70"/>
    </row>
    <row r="10" spans="1:13" x14ac:dyDescent="0.2">
      <c r="A10" s="87">
        <v>500302</v>
      </c>
      <c r="B10" s="90">
        <v>0</v>
      </c>
      <c r="C10" s="90">
        <v>1576</v>
      </c>
      <c r="D10" s="90">
        <f t="shared" si="0"/>
        <v>1576</v>
      </c>
      <c r="E10" s="69"/>
      <c r="F10" s="70"/>
    </row>
    <row r="11" spans="1:13" x14ac:dyDescent="0.2">
      <c r="A11" s="87">
        <v>500303</v>
      </c>
      <c r="B11" s="90">
        <v>47590</v>
      </c>
      <c r="C11" s="90">
        <v>48024</v>
      </c>
      <c r="D11" s="90">
        <f t="shared" si="0"/>
        <v>434</v>
      </c>
      <c r="E11" s="69"/>
      <c r="F11" s="70"/>
    </row>
    <row r="12" spans="1:13" x14ac:dyDescent="0.2">
      <c r="A12" s="91">
        <v>500305</v>
      </c>
      <c r="B12" s="90">
        <v>281283</v>
      </c>
      <c r="C12" s="90">
        <v>305598</v>
      </c>
      <c r="D12" s="90">
        <f t="shared" si="0"/>
        <v>24315</v>
      </c>
      <c r="E12" s="85"/>
      <c r="F12" s="70"/>
    </row>
    <row r="13" spans="1:13" x14ac:dyDescent="0.2">
      <c r="A13" s="87">
        <v>500307</v>
      </c>
      <c r="B13" s="90">
        <v>9152</v>
      </c>
      <c r="C13" s="90">
        <v>10948</v>
      </c>
      <c r="D13" s="90">
        <f t="shared" si="0"/>
        <v>1796</v>
      </c>
      <c r="E13" s="69"/>
      <c r="F13" s="70"/>
    </row>
    <row r="14" spans="1:13" x14ac:dyDescent="0.2">
      <c r="A14" s="87">
        <v>500313</v>
      </c>
      <c r="B14" s="90"/>
      <c r="C14" s="90">
        <v>769</v>
      </c>
      <c r="D14" s="90">
        <f t="shared" si="0"/>
        <v>769</v>
      </c>
      <c r="E14" s="69"/>
      <c r="F14" s="7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69"/>
      <c r="F15" s="70"/>
    </row>
    <row r="16" spans="1:13" x14ac:dyDescent="0.2">
      <c r="A16" s="87">
        <v>500655</v>
      </c>
      <c r="B16" s="90">
        <v>35200</v>
      </c>
      <c r="C16" s="90"/>
      <c r="D16" s="90">
        <f t="shared" si="0"/>
        <v>-35200</v>
      </c>
      <c r="E16" s="69"/>
      <c r="F16" s="70"/>
    </row>
    <row r="17" spans="1:6" x14ac:dyDescent="0.2">
      <c r="A17" s="87">
        <v>500657</v>
      </c>
      <c r="B17" s="88">
        <v>13216</v>
      </c>
      <c r="C17" s="88">
        <v>12500</v>
      </c>
      <c r="D17" s="94">
        <f t="shared" si="0"/>
        <v>-716</v>
      </c>
      <c r="E17" s="71"/>
      <c r="F17" s="72"/>
    </row>
    <row r="18" spans="1:6" x14ac:dyDescent="0.2">
      <c r="A18" s="87"/>
      <c r="B18" s="88"/>
      <c r="C18" s="88"/>
      <c r="D18" s="88">
        <f>SUM(D5:D17)</f>
        <v>4807</v>
      </c>
      <c r="E18" s="69"/>
      <c r="F18" s="70"/>
    </row>
    <row r="19" spans="1:6" x14ac:dyDescent="0.2">
      <c r="A19" s="87" t="s">
        <v>102</v>
      </c>
      <c r="B19" s="88"/>
      <c r="C19" s="88"/>
      <c r="D19" s="95">
        <f>+summary!I13</f>
        <v>3.81</v>
      </c>
      <c r="E19" s="73"/>
      <c r="F19" s="70"/>
    </row>
    <row r="20" spans="1:6" x14ac:dyDescent="0.2">
      <c r="A20" s="87"/>
      <c r="B20" s="88"/>
      <c r="C20" s="88"/>
      <c r="D20" s="96">
        <f>+D19*D18</f>
        <v>18314.670000000002</v>
      </c>
      <c r="E20" s="75"/>
      <c r="F20" s="74"/>
    </row>
    <row r="21" spans="1:6" x14ac:dyDescent="0.2">
      <c r="A21" s="87"/>
      <c r="B21" s="88"/>
      <c r="C21" s="88"/>
      <c r="D21" s="96"/>
      <c r="E21" s="75"/>
      <c r="F21" s="74"/>
    </row>
    <row r="22" spans="1:6" x14ac:dyDescent="0.2">
      <c r="A22" s="99">
        <v>36738</v>
      </c>
      <c r="B22" s="88"/>
      <c r="C22" s="88"/>
      <c r="D22" s="304">
        <v>347195.67</v>
      </c>
      <c r="E22" s="76"/>
      <c r="F22" s="66"/>
    </row>
    <row r="23" spans="1:6" x14ac:dyDescent="0.2">
      <c r="A23" s="87"/>
      <c r="B23" s="88"/>
      <c r="C23" s="88"/>
      <c r="D23" s="96"/>
      <c r="E23" s="75"/>
      <c r="F23" s="66"/>
    </row>
    <row r="24" spans="1:6" ht="13.5" thickBot="1" x14ac:dyDescent="0.25">
      <c r="A24" s="99">
        <v>36743</v>
      </c>
      <c r="B24" s="88"/>
      <c r="C24" s="88"/>
      <c r="D24" s="98">
        <f>+D22+D20</f>
        <v>365510.33999999997</v>
      </c>
      <c r="E24" s="77"/>
      <c r="F24" s="66"/>
    </row>
    <row r="25" spans="1:6" ht="13.5" thickTop="1" x14ac:dyDescent="0.2"/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6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>
        <f>+summary!B9</f>
        <v>0</v>
      </c>
      <c r="I1" s="1"/>
      <c r="K1" s="1"/>
    </row>
    <row r="2" spans="1:35" x14ac:dyDescent="0.2">
      <c r="B2" s="1" t="s">
        <v>24</v>
      </c>
      <c r="D2" s="1" t="s">
        <v>25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16</v>
      </c>
      <c r="AF3" s="9" t="s">
        <v>16</v>
      </c>
    </row>
    <row r="4" spans="1:35" x14ac:dyDescent="0.2">
      <c r="A4" s="5" t="s">
        <v>13</v>
      </c>
      <c r="B4" s="6" t="s">
        <v>22</v>
      </c>
      <c r="C4" s="6" t="s">
        <v>23</v>
      </c>
      <c r="D4" s="39" t="s">
        <v>22</v>
      </c>
      <c r="E4" s="39" t="s">
        <v>23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17</v>
      </c>
      <c r="AE4" s="12" t="s">
        <v>18</v>
      </c>
      <c r="AF4" s="9" t="s">
        <v>19</v>
      </c>
      <c r="AI4" s="13"/>
    </row>
    <row r="5" spans="1:35" x14ac:dyDescent="0.2">
      <c r="A5" s="10">
        <v>1</v>
      </c>
      <c r="B5" s="11">
        <v>90272</v>
      </c>
      <c r="C5" s="11">
        <f>160324+5887</f>
        <v>166211</v>
      </c>
      <c r="D5" s="11"/>
      <c r="E5" s="11">
        <v>77524</v>
      </c>
      <c r="F5" s="11">
        <f>+D5+C5-E5-B5</f>
        <v>-1585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130381</v>
      </c>
      <c r="C6" s="11">
        <f>187208+22639</f>
        <v>209847</v>
      </c>
      <c r="D6" s="11"/>
      <c r="E6" s="11">
        <v>52006</v>
      </c>
      <c r="F6" s="11">
        <f>+D6+C6-E6-B6</f>
        <v>27460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82832</v>
      </c>
      <c r="C7" s="11">
        <f>168326+863</f>
        <v>169189</v>
      </c>
      <c r="D7" s="11"/>
      <c r="E7" s="11">
        <v>84158</v>
      </c>
      <c r="F7" s="11">
        <f>+D7+C7-E7-B7</f>
        <v>2199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57721</v>
      </c>
      <c r="C8" s="11">
        <f>179967+662</f>
        <v>180629</v>
      </c>
      <c r="D8" s="11"/>
      <c r="E8" s="11">
        <f>120381+3307</f>
        <v>123688</v>
      </c>
      <c r="F8" s="11">
        <f t="shared" ref="F8:F35" si="5">+D8+C8-E8-B8</f>
        <v>-780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5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361206</v>
      </c>
      <c r="C36" s="11">
        <f>SUM(C5:C35)</f>
        <v>725876</v>
      </c>
      <c r="D36" s="11"/>
      <c r="E36" s="11">
        <f>SUM(E5:E35)</f>
        <v>337376</v>
      </c>
      <c r="F36" s="11">
        <f>SUM(F5:F35)</f>
        <v>27294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36738</v>
      </c>
      <c r="F39" s="302">
        <v>-57428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36742</v>
      </c>
      <c r="F41" s="286">
        <f>+F39+F36</f>
        <v>-30134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89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13</v>
      </c>
      <c r="B7" s="6" t="s">
        <v>22</v>
      </c>
      <c r="C7" s="6" t="s">
        <v>23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95814</v>
      </c>
      <c r="C8" s="11">
        <v>95151</v>
      </c>
      <c r="D8" s="11">
        <f>+C8-B8</f>
        <v>-663</v>
      </c>
      <c r="E8" s="10"/>
      <c r="F8" s="11"/>
      <c r="G8" s="11"/>
      <c r="H8" s="11"/>
    </row>
    <row r="9" spans="1:8" x14ac:dyDescent="0.2">
      <c r="A9" s="10">
        <v>2</v>
      </c>
      <c r="B9" s="11">
        <v>94672</v>
      </c>
      <c r="C9" s="11">
        <v>96664</v>
      </c>
      <c r="D9" s="11">
        <f t="shared" ref="D9:D38" si="0">+C9-B9</f>
        <v>1992</v>
      </c>
      <c r="E9" s="10"/>
      <c r="F9" s="11"/>
      <c r="G9" s="11"/>
      <c r="H9" s="11"/>
    </row>
    <row r="10" spans="1:8" x14ac:dyDescent="0.2">
      <c r="A10" s="10">
        <v>3</v>
      </c>
      <c r="B10" s="11">
        <v>115195</v>
      </c>
      <c r="C10" s="11">
        <v>122788</v>
      </c>
      <c r="D10" s="11">
        <f t="shared" si="0"/>
        <v>7593</v>
      </c>
      <c r="E10" s="10"/>
      <c r="F10" s="11"/>
      <c r="G10" s="11"/>
      <c r="H10" s="11"/>
    </row>
    <row r="11" spans="1:8" x14ac:dyDescent="0.2">
      <c r="A11" s="10">
        <v>4</v>
      </c>
      <c r="B11" s="11">
        <v>104133</v>
      </c>
      <c r="C11" s="11">
        <v>100223</v>
      </c>
      <c r="D11" s="11">
        <f t="shared" si="0"/>
        <v>-3910</v>
      </c>
      <c r="E11" s="10"/>
      <c r="F11" s="11"/>
      <c r="G11" s="11"/>
      <c r="H11" s="11"/>
    </row>
    <row r="12" spans="1:8" x14ac:dyDescent="0.2">
      <c r="A12" s="10">
        <v>5</v>
      </c>
      <c r="B12" s="11">
        <v>99932</v>
      </c>
      <c r="C12" s="11">
        <f>103681+1747</f>
        <v>105428</v>
      </c>
      <c r="D12" s="11">
        <f t="shared" si="0"/>
        <v>5496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509746</v>
      </c>
      <c r="C39" s="11">
        <f>SUM(C8:C38)</f>
        <v>520254</v>
      </c>
      <c r="D39" s="11">
        <f>SUM(D8:D38)</f>
        <v>10508</v>
      </c>
      <c r="E39" s="10"/>
      <c r="F39" s="11"/>
      <c r="G39" s="11"/>
      <c r="H39" s="11"/>
    </row>
    <row r="40" spans="1:8" x14ac:dyDescent="0.2">
      <c r="A40" s="26"/>
      <c r="D40" s="75">
        <f>+summary!I13</f>
        <v>3.81</v>
      </c>
      <c r="E40" s="26"/>
      <c r="H40" s="75"/>
    </row>
    <row r="41" spans="1:8" x14ac:dyDescent="0.2">
      <c r="D41" s="198">
        <f>+D40*D39</f>
        <v>40035.480000000003</v>
      </c>
      <c r="F41" s="255"/>
      <c r="H41" s="198"/>
    </row>
    <row r="42" spans="1:8" x14ac:dyDescent="0.2">
      <c r="A42" s="57">
        <v>36738</v>
      </c>
      <c r="D42" s="306">
        <v>197068</v>
      </c>
      <c r="E42" s="57"/>
      <c r="H42" s="198"/>
    </row>
    <row r="43" spans="1:8" x14ac:dyDescent="0.2">
      <c r="A43" s="57">
        <v>36743</v>
      </c>
      <c r="D43" s="199">
        <f>+D42+D41</f>
        <v>237103.48</v>
      </c>
      <c r="E43" s="57"/>
      <c r="H43" s="199"/>
    </row>
    <row r="44" spans="1:8" x14ac:dyDescent="0.2">
      <c r="D44" s="200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10" workbookViewId="0">
      <selection activeCell="B27" sqref="B2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90</v>
      </c>
      <c r="G2" s="32"/>
      <c r="H2" s="15"/>
      <c r="I2" s="32"/>
      <c r="J2" s="32"/>
    </row>
    <row r="3" spans="1:10" x14ac:dyDescent="0.2">
      <c r="A3" s="2" t="s">
        <v>91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3">
        <v>36738</v>
      </c>
      <c r="C5" s="305">
        <v>-441281.49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36742</v>
      </c>
      <c r="G7" s="32"/>
      <c r="H7" s="15"/>
      <c r="I7" s="32"/>
      <c r="J7" s="32"/>
    </row>
    <row r="8" spans="1:10" x14ac:dyDescent="0.2">
      <c r="A8" s="256">
        <v>60874</v>
      </c>
      <c r="B8" s="276">
        <v>374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6">
        <v>500248</v>
      </c>
      <c r="B10" s="213">
        <f>6440-3547</f>
        <v>2893</v>
      </c>
      <c r="G10" s="32"/>
      <c r="H10" s="15"/>
      <c r="I10" s="32"/>
      <c r="J10" s="32"/>
    </row>
    <row r="11" spans="1:10" x14ac:dyDescent="0.2">
      <c r="A11" s="256">
        <v>500251</v>
      </c>
      <c r="B11" s="276">
        <f>1084-4887</f>
        <v>-3803</v>
      </c>
      <c r="G11" s="32"/>
      <c r="H11" s="15"/>
      <c r="I11" s="32"/>
      <c r="J11" s="32"/>
    </row>
    <row r="12" spans="1:10" x14ac:dyDescent="0.2">
      <c r="A12" s="256">
        <v>500254</v>
      </c>
      <c r="B12" s="213">
        <f>65-366</f>
        <v>-301</v>
      </c>
      <c r="G12" s="32"/>
      <c r="H12" s="15"/>
      <c r="I12" s="32"/>
      <c r="J12" s="32"/>
    </row>
    <row r="13" spans="1:10" x14ac:dyDescent="0.2">
      <c r="A13" s="32">
        <v>500255</v>
      </c>
      <c r="B13" s="276">
        <v>-1342</v>
      </c>
      <c r="G13" s="32"/>
      <c r="H13" s="15"/>
      <c r="I13" s="32"/>
      <c r="J13" s="32"/>
    </row>
    <row r="14" spans="1:10" x14ac:dyDescent="0.2">
      <c r="A14" s="32">
        <v>500262</v>
      </c>
      <c r="B14" s="213">
        <f>682-1516</f>
        <v>-834</v>
      </c>
      <c r="G14" s="32"/>
      <c r="H14" s="15"/>
      <c r="I14" s="32"/>
      <c r="J14" s="32"/>
    </row>
    <row r="15" spans="1:10" x14ac:dyDescent="0.2">
      <c r="A15" s="311">
        <v>500267</v>
      </c>
      <c r="B15" s="277">
        <f>93598-112015</f>
        <v>-18417</v>
      </c>
      <c r="G15" s="32"/>
      <c r="H15" s="15"/>
      <c r="I15" s="32"/>
      <c r="J15" s="32"/>
    </row>
    <row r="16" spans="1:10" x14ac:dyDescent="0.2">
      <c r="B16" s="14">
        <f>SUM(B8:B15)</f>
        <v>-21430</v>
      </c>
      <c r="G16" s="32"/>
      <c r="H16" s="15"/>
      <c r="I16" s="32"/>
      <c r="J16" s="32"/>
    </row>
    <row r="17" spans="1:10" x14ac:dyDescent="0.2">
      <c r="B17" s="15">
        <f>+B30</f>
        <v>3.81</v>
      </c>
      <c r="C17" s="202">
        <f>+B17*B16</f>
        <v>-81648.3</v>
      </c>
      <c r="G17" s="32"/>
      <c r="H17" s="15"/>
      <c r="I17" s="32"/>
      <c r="J17" s="32"/>
    </row>
    <row r="18" spans="1:10" x14ac:dyDescent="0.2">
      <c r="C18" s="261">
        <f>+C17+C5</f>
        <v>-522929.79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110</v>
      </c>
      <c r="G20" s="32"/>
      <c r="H20" s="15"/>
      <c r="I20" s="32"/>
      <c r="J20" s="32"/>
    </row>
    <row r="21" spans="1:10" x14ac:dyDescent="0.2">
      <c r="A21" s="2" t="s">
        <v>92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1">
        <v>36738</v>
      </c>
      <c r="C24" s="305">
        <v>124420.74</v>
      </c>
      <c r="G24" s="32"/>
      <c r="H24" s="15"/>
      <c r="I24" s="32"/>
      <c r="J24" s="32"/>
    </row>
    <row r="25" spans="1:10" x14ac:dyDescent="0.2">
      <c r="F25" s="275"/>
      <c r="G25" s="32"/>
      <c r="H25" s="15"/>
      <c r="I25" s="32"/>
      <c r="J25" s="32"/>
    </row>
    <row r="26" spans="1:10" x14ac:dyDescent="0.2">
      <c r="A26" s="57">
        <v>36743</v>
      </c>
      <c r="G26" s="32"/>
      <c r="H26" s="15"/>
      <c r="I26" s="32"/>
      <c r="J26" s="32"/>
    </row>
    <row r="27" spans="1:10" x14ac:dyDescent="0.2">
      <c r="A27" s="32">
        <v>9164</v>
      </c>
      <c r="B27" s="213">
        <v>56680</v>
      </c>
      <c r="G27" s="32"/>
      <c r="H27" s="15"/>
      <c r="I27" s="32"/>
      <c r="J27" s="32"/>
    </row>
    <row r="28" spans="1:10" x14ac:dyDescent="0.2">
      <c r="A28" s="32">
        <v>9167</v>
      </c>
      <c r="B28" s="213">
        <v>-57425</v>
      </c>
    </row>
    <row r="29" spans="1:10" x14ac:dyDescent="0.2">
      <c r="B29" s="14">
        <f>+B28+B27</f>
        <v>-745</v>
      </c>
    </row>
    <row r="30" spans="1:10" x14ac:dyDescent="0.2">
      <c r="B30" s="15">
        <f>+summary!I13</f>
        <v>3.81</v>
      </c>
      <c r="C30" s="202">
        <f>+B30*B29</f>
        <v>-2838.45</v>
      </c>
    </row>
    <row r="31" spans="1:10" x14ac:dyDescent="0.2">
      <c r="C31" s="261">
        <f>+C30+C24</f>
        <v>121582.29000000001</v>
      </c>
      <c r="E31" s="15"/>
    </row>
    <row r="33" spans="1:6" x14ac:dyDescent="0.2">
      <c r="E33" s="15"/>
    </row>
    <row r="34" spans="1:6" x14ac:dyDescent="0.2">
      <c r="A34" s="32" t="s">
        <v>110</v>
      </c>
      <c r="E34" s="15"/>
    </row>
    <row r="35" spans="1:6" x14ac:dyDescent="0.2">
      <c r="A35" s="32" t="s">
        <v>93</v>
      </c>
      <c r="E35" s="15"/>
    </row>
    <row r="38" spans="1:6" x14ac:dyDescent="0.2">
      <c r="A38" s="49">
        <v>36738</v>
      </c>
      <c r="C38" s="305">
        <v>143695.66</v>
      </c>
      <c r="E38" s="15"/>
      <c r="F38" s="275"/>
    </row>
    <row r="40" spans="1:6" x14ac:dyDescent="0.2">
      <c r="A40" s="252">
        <v>36742</v>
      </c>
    </row>
    <row r="41" spans="1:6" x14ac:dyDescent="0.2">
      <c r="A41" s="256">
        <v>500241</v>
      </c>
      <c r="B41" s="14">
        <f>14780-23228</f>
        <v>-8448</v>
      </c>
    </row>
    <row r="42" spans="1:6" x14ac:dyDescent="0.2">
      <c r="A42" s="32">
        <v>500391</v>
      </c>
      <c r="B42" s="213">
        <v>1020</v>
      </c>
    </row>
    <row r="43" spans="1:6" x14ac:dyDescent="0.2">
      <c r="A43" s="32">
        <v>500392</v>
      </c>
      <c r="B43" s="260">
        <v>320</v>
      </c>
    </row>
    <row r="44" spans="1:6" x14ac:dyDescent="0.2">
      <c r="B44" s="14">
        <f>SUM(B41:B43)</f>
        <v>-7108</v>
      </c>
    </row>
    <row r="45" spans="1:6" x14ac:dyDescent="0.2">
      <c r="B45" s="202">
        <f>+B30</f>
        <v>3.81</v>
      </c>
      <c r="C45" s="202">
        <f>+B45*B44</f>
        <v>-27081.48</v>
      </c>
    </row>
    <row r="46" spans="1:6" x14ac:dyDescent="0.2">
      <c r="C46" s="261">
        <f>+C45+C38</f>
        <v>116614.18000000001</v>
      </c>
    </row>
    <row r="47" spans="1:6" x14ac:dyDescent="0.2">
      <c r="E47" s="202"/>
    </row>
    <row r="49" spans="1:5" ht="13.5" thickBot="1" x14ac:dyDescent="0.25">
      <c r="A49" s="32" t="s">
        <v>99</v>
      </c>
      <c r="C49" s="262">
        <f>+C46+C31+C18</f>
        <v>-284733.31999999995</v>
      </c>
      <c r="E49" s="15"/>
    </row>
    <row r="50" spans="1:5" ht="13.5" thickTop="1" x14ac:dyDescent="0.2"/>
    <row r="51" spans="1:5" x14ac:dyDescent="0.2">
      <c r="E51" s="50"/>
    </row>
    <row r="53" spans="1:5" x14ac:dyDescent="0.2">
      <c r="E53" s="1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6" workbookViewId="0">
      <selection activeCell="I37" sqref="I37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87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13</v>
      </c>
      <c r="B7" s="6" t="s">
        <v>22</v>
      </c>
      <c r="C7" s="6" t="s">
        <v>23</v>
      </c>
      <c r="D7" s="6" t="s">
        <v>22</v>
      </c>
      <c r="E7" s="6" t="s">
        <v>23</v>
      </c>
      <c r="F7" s="6" t="s">
        <v>22</v>
      </c>
      <c r="G7" s="6" t="s">
        <v>23</v>
      </c>
      <c r="H7" s="6" t="s">
        <v>22</v>
      </c>
      <c r="I7" s="6" t="s">
        <v>23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7046</v>
      </c>
      <c r="C8" s="11">
        <v>6278</v>
      </c>
      <c r="D8" s="11">
        <v>223</v>
      </c>
      <c r="E8" s="11">
        <v>215</v>
      </c>
      <c r="F8" s="11">
        <v>1389</v>
      </c>
      <c r="G8" s="11">
        <v>1720</v>
      </c>
      <c r="H8" s="11"/>
      <c r="I8" s="11">
        <v>119</v>
      </c>
      <c r="J8" s="25">
        <f>+C8-B8+E8-D8+G8-F8+I8-H8</f>
        <v>-326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7644</v>
      </c>
      <c r="C9" s="11">
        <v>6278</v>
      </c>
      <c r="D9" s="11">
        <v>230</v>
      </c>
      <c r="E9" s="11">
        <v>215</v>
      </c>
      <c r="F9" s="11">
        <v>1559</v>
      </c>
      <c r="G9" s="11">
        <v>1724</v>
      </c>
      <c r="H9" s="11"/>
      <c r="I9" s="11">
        <v>119</v>
      </c>
      <c r="J9" s="25">
        <f t="shared" ref="J9:J38" si="0">+C9-B9+E9-D9+G9-F9+I9-H9</f>
        <v>-1097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7098</v>
      </c>
      <c r="C10" s="11">
        <v>6278</v>
      </c>
      <c r="D10" s="11">
        <v>195</v>
      </c>
      <c r="E10" s="11">
        <v>215</v>
      </c>
      <c r="F10" s="11">
        <v>1557</v>
      </c>
      <c r="G10" s="11">
        <v>1724</v>
      </c>
      <c r="H10" s="11"/>
      <c r="I10" s="11">
        <v>118</v>
      </c>
      <c r="J10" s="25">
        <f t="shared" si="0"/>
        <v>-515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7159</v>
      </c>
      <c r="C11" s="11">
        <v>6278</v>
      </c>
      <c r="D11" s="11">
        <v>93</v>
      </c>
      <c r="E11" s="11">
        <v>208</v>
      </c>
      <c r="F11" s="11">
        <v>1763</v>
      </c>
      <c r="G11" s="11">
        <v>1675</v>
      </c>
      <c r="H11" s="11"/>
      <c r="I11" s="11">
        <v>89</v>
      </c>
      <c r="J11" s="25">
        <f t="shared" si="0"/>
        <v>-765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1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300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300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300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300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28947</v>
      </c>
      <c r="C39" s="11">
        <f t="shared" si="1"/>
        <v>25112</v>
      </c>
      <c r="D39" s="11">
        <f t="shared" si="1"/>
        <v>741</v>
      </c>
      <c r="E39" s="11">
        <f t="shared" si="1"/>
        <v>853</v>
      </c>
      <c r="F39" s="11">
        <f t="shared" si="1"/>
        <v>6268</v>
      </c>
      <c r="G39" s="11">
        <f t="shared" si="1"/>
        <v>6843</v>
      </c>
      <c r="H39" s="11">
        <f t="shared" si="1"/>
        <v>0</v>
      </c>
      <c r="I39" s="11">
        <f t="shared" si="1"/>
        <v>445</v>
      </c>
      <c r="J39" s="25">
        <f t="shared" si="1"/>
        <v>-2703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6">
        <f>+summary!I13</f>
        <v>3.81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-10298.43</v>
      </c>
      <c r="L41"/>
      <c r="R41" s="138"/>
      <c r="X41" s="138"/>
    </row>
    <row r="42" spans="1:24" x14ac:dyDescent="0.2">
      <c r="A42" s="57">
        <v>36738</v>
      </c>
      <c r="C42" s="15"/>
      <c r="J42" s="301">
        <v>231825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36742</v>
      </c>
      <c r="C43" s="48"/>
      <c r="J43" s="138">
        <f>+J42+J41</f>
        <v>221526.57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26" workbookViewId="0">
      <selection activeCell="C37" sqref="C37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88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13</v>
      </c>
      <c r="B7" s="6" t="s">
        <v>22</v>
      </c>
      <c r="C7" s="6" t="s">
        <v>23</v>
      </c>
      <c r="D7" s="6" t="s">
        <v>49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11993</v>
      </c>
      <c r="C8" s="11">
        <v>9607</v>
      </c>
      <c r="D8" s="25">
        <f>+C8-B8</f>
        <v>-2386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12115</v>
      </c>
      <c r="C9" s="11">
        <v>12188</v>
      </c>
      <c r="D9" s="25">
        <f>+C9-B9</f>
        <v>73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12273</v>
      </c>
      <c r="C10" s="11">
        <v>11816</v>
      </c>
      <c r="D10" s="25">
        <f t="shared" ref="D10:D38" si="0">+C10-B10</f>
        <v>-457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12309</v>
      </c>
      <c r="C11" s="11">
        <v>11954</v>
      </c>
      <c r="D11" s="25">
        <f t="shared" si="0"/>
        <v>-355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48690</v>
      </c>
      <c r="C39" s="11">
        <f>SUM(C8:C38)</f>
        <v>45565</v>
      </c>
      <c r="D39" s="11">
        <f>SUM(D8:D38)</f>
        <v>-3125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+summary!I13</f>
        <v>3.81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-11906.25</v>
      </c>
      <c r="H41" s="138"/>
      <c r="L41" s="138"/>
      <c r="P41" s="138"/>
      <c r="T41" s="138"/>
      <c r="X41" s="138"/>
    </row>
    <row r="42" spans="1:24" x14ac:dyDescent="0.2">
      <c r="A42" s="57">
        <v>36738</v>
      </c>
      <c r="C42" s="15"/>
      <c r="D42" s="309">
        <v>147996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36742</v>
      </c>
      <c r="C43" s="48"/>
      <c r="D43" s="138">
        <f>+D42+D41</f>
        <v>136089.75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"/>
  <sheetViews>
    <sheetView workbookViewId="0">
      <selection activeCell="B7" sqref="B7"/>
    </sheetView>
  </sheetViews>
  <sheetFormatPr defaultRowHeight="11.25" x14ac:dyDescent="0.2"/>
  <cols>
    <col min="1" max="3" width="9.140625" style="32"/>
    <col min="4" max="4" width="11.42578125" style="32" bestFit="1" customWidth="1"/>
    <col min="5" max="16384" width="9.140625" style="32"/>
  </cols>
  <sheetData>
    <row r="4" spans="1:4" ht="12.75" x14ac:dyDescent="0.2">
      <c r="A4" s="34" t="s">
        <v>111</v>
      </c>
      <c r="B4" s="69"/>
      <c r="C4" s="312"/>
      <c r="D4" s="69"/>
    </row>
    <row r="5" spans="1:4" x14ac:dyDescent="0.2">
      <c r="B5" s="313" t="s">
        <v>22</v>
      </c>
      <c r="C5" s="313" t="s">
        <v>23</v>
      </c>
      <c r="D5" s="314" t="s">
        <v>55</v>
      </c>
    </row>
    <row r="6" spans="1:4" x14ac:dyDescent="0.2">
      <c r="A6" s="32">
        <v>1635</v>
      </c>
      <c r="B6" s="80">
        <v>10015</v>
      </c>
      <c r="C6" s="80">
        <v>0</v>
      </c>
      <c r="D6" s="80">
        <f t="shared" ref="D6:D14" si="0">+C6-B6</f>
        <v>-10015</v>
      </c>
    </row>
    <row r="7" spans="1:4" x14ac:dyDescent="0.2">
      <c r="A7" s="32">
        <v>3531</v>
      </c>
      <c r="B7" s="80">
        <v>-135267</v>
      </c>
      <c r="C7" s="80">
        <v>-120536</v>
      </c>
      <c r="D7" s="80">
        <f t="shared" si="0"/>
        <v>14731</v>
      </c>
    </row>
    <row r="8" spans="1:4" x14ac:dyDescent="0.2">
      <c r="A8" s="32">
        <v>60667</v>
      </c>
      <c r="B8" s="80">
        <v>-7929</v>
      </c>
      <c r="C8" s="80"/>
      <c r="D8" s="80">
        <f t="shared" si="0"/>
        <v>7929</v>
      </c>
    </row>
    <row r="9" spans="1:4" x14ac:dyDescent="0.2">
      <c r="A9" s="32">
        <v>60749</v>
      </c>
      <c r="B9" s="80">
        <v>114</v>
      </c>
      <c r="C9" s="80">
        <v>-60393</v>
      </c>
      <c r="D9" s="80">
        <f t="shared" si="0"/>
        <v>-60507</v>
      </c>
    </row>
    <row r="10" spans="1:4" x14ac:dyDescent="0.2">
      <c r="A10" s="32">
        <v>61206</v>
      </c>
      <c r="B10" s="80">
        <v>-23073</v>
      </c>
      <c r="C10" s="80"/>
      <c r="D10" s="80">
        <f t="shared" si="0"/>
        <v>23073</v>
      </c>
    </row>
    <row r="11" spans="1:4" x14ac:dyDescent="0.2">
      <c r="A11" s="32">
        <v>61334</v>
      </c>
      <c r="B11" s="80">
        <f>-33341-53-18914</f>
        <v>-52308</v>
      </c>
      <c r="C11" s="80"/>
      <c r="D11" s="80">
        <f t="shared" si="0"/>
        <v>52308</v>
      </c>
    </row>
    <row r="12" spans="1:4" x14ac:dyDescent="0.2">
      <c r="A12" s="32">
        <v>62960</v>
      </c>
      <c r="B12" s="80"/>
      <c r="C12" s="80"/>
      <c r="D12" s="80">
        <f t="shared" si="0"/>
        <v>0</v>
      </c>
    </row>
    <row r="13" spans="1:4" x14ac:dyDescent="0.2">
      <c r="A13" s="315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4" x14ac:dyDescent="0.2">
      <c r="B17" s="69"/>
      <c r="C17" s="69"/>
      <c r="D17" s="71"/>
    </row>
    <row r="18" spans="1:4" x14ac:dyDescent="0.2">
      <c r="B18" s="69"/>
      <c r="C18" s="69"/>
      <c r="D18" s="69">
        <f>SUM(D6:D17)</f>
        <v>27519</v>
      </c>
    </row>
    <row r="19" spans="1:4" x14ac:dyDescent="0.2">
      <c r="A19" s="32" t="s">
        <v>102</v>
      </c>
      <c r="B19" s="69"/>
      <c r="C19" s="69"/>
      <c r="D19" s="73">
        <f>+summary!I13</f>
        <v>3.81</v>
      </c>
    </row>
    <row r="20" spans="1:4" x14ac:dyDescent="0.2">
      <c r="B20" s="69"/>
      <c r="C20" s="69"/>
      <c r="D20" s="75">
        <f>+D19*D18</f>
        <v>104847.39</v>
      </c>
    </row>
    <row r="21" spans="1:4" x14ac:dyDescent="0.2">
      <c r="B21" s="69"/>
      <c r="C21" s="69"/>
      <c r="D21" s="75"/>
    </row>
    <row r="22" spans="1:4" x14ac:dyDescent="0.2">
      <c r="A22" s="49">
        <v>36738</v>
      </c>
      <c r="B22" s="69"/>
      <c r="C22" s="69"/>
      <c r="D22" s="316">
        <v>-476954</v>
      </c>
    </row>
    <row r="23" spans="1:4" x14ac:dyDescent="0.2">
      <c r="B23" s="69"/>
      <c r="C23" s="69"/>
      <c r="D23" s="75"/>
    </row>
    <row r="24" spans="1:4" ht="12" thickBot="1" x14ac:dyDescent="0.25">
      <c r="A24" s="49">
        <v>36742</v>
      </c>
      <c r="B24" s="69"/>
      <c r="C24" s="69"/>
      <c r="D24" s="86">
        <f>+D22+D20</f>
        <v>-372106.61</v>
      </c>
    </row>
    <row r="25" spans="1:4" ht="12" thickTop="1" x14ac:dyDescent="0.2">
      <c r="B25" s="69"/>
      <c r="C25" s="69"/>
      <c r="D25" s="6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6" workbookViewId="0">
      <selection activeCell="A41" sqref="A41"/>
    </sheetView>
  </sheetViews>
  <sheetFormatPr defaultRowHeight="12.75" x14ac:dyDescent="0.2"/>
  <cols>
    <col min="4" max="5" width="9.85546875" bestFit="1" customWidth="1"/>
    <col min="8" max="8" width="9.85546875" customWidth="1"/>
  </cols>
  <sheetData>
    <row r="1" spans="1:35" x14ac:dyDescent="0.2">
      <c r="B1" s="1" t="s">
        <v>9</v>
      </c>
      <c r="D1" s="1" t="s">
        <v>10</v>
      </c>
      <c r="F1" s="1" t="s">
        <v>11</v>
      </c>
      <c r="H1" s="1" t="s">
        <v>12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13</v>
      </c>
      <c r="B3" s="6" t="s">
        <v>22</v>
      </c>
      <c r="C3" s="6" t="s">
        <v>23</v>
      </c>
      <c r="D3" s="6" t="s">
        <v>22</v>
      </c>
      <c r="E3" s="6" t="s">
        <v>23</v>
      </c>
      <c r="F3" s="6" t="s">
        <v>22</v>
      </c>
      <c r="G3" s="6" t="s">
        <v>23</v>
      </c>
      <c r="H3" s="6" t="s">
        <v>22</v>
      </c>
      <c r="I3" s="6" t="s">
        <v>23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92770</v>
      </c>
      <c r="C4" s="11">
        <v>98790</v>
      </c>
      <c r="D4" s="11">
        <v>291321</v>
      </c>
      <c r="E4" s="11">
        <v>284224</v>
      </c>
      <c r="F4" s="11">
        <v>53647</v>
      </c>
      <c r="G4" s="11">
        <v>86597</v>
      </c>
      <c r="H4" s="11">
        <v>191024</v>
      </c>
      <c r="I4" s="11">
        <v>177549</v>
      </c>
      <c r="J4" s="11">
        <f t="shared" ref="J4:J34" si="0">+C4+E4+G4+I4-H4-F4-D4-B4</f>
        <v>18398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96517</v>
      </c>
      <c r="C5" s="11">
        <v>108908</v>
      </c>
      <c r="D5" s="11">
        <v>302068</v>
      </c>
      <c r="E5" s="11">
        <v>280299</v>
      </c>
      <c r="F5" s="11">
        <v>33559</v>
      </c>
      <c r="G5" s="11">
        <v>32074</v>
      </c>
      <c r="H5" s="11">
        <v>188085</v>
      </c>
      <c r="I5" s="11">
        <v>191427</v>
      </c>
      <c r="J5" s="11">
        <f t="shared" si="0"/>
        <v>-7521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99072</v>
      </c>
      <c r="C6" s="11">
        <v>109543</v>
      </c>
      <c r="D6" s="11">
        <v>264945</v>
      </c>
      <c r="E6" s="11">
        <v>255275</v>
      </c>
      <c r="F6" s="11">
        <v>65700</v>
      </c>
      <c r="G6" s="11">
        <v>61385</v>
      </c>
      <c r="H6" s="11">
        <v>194417</v>
      </c>
      <c r="I6" s="11">
        <v>194246</v>
      </c>
      <c r="J6" s="11">
        <f t="shared" si="0"/>
        <v>-3685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93627</v>
      </c>
      <c r="C7" s="11">
        <v>97636</v>
      </c>
      <c r="D7" s="11">
        <v>292824</v>
      </c>
      <c r="E7" s="11">
        <v>307380</v>
      </c>
      <c r="F7" s="11">
        <v>64081</v>
      </c>
      <c r="G7" s="11">
        <v>53117</v>
      </c>
      <c r="H7" s="11">
        <v>206846</v>
      </c>
      <c r="I7" s="11">
        <v>210626</v>
      </c>
      <c r="J7" s="11">
        <f t="shared" si="0"/>
        <v>11381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96405</v>
      </c>
      <c r="C8" s="11">
        <v>90469</v>
      </c>
      <c r="D8" s="11">
        <v>311062</v>
      </c>
      <c r="E8" s="11">
        <v>315237</v>
      </c>
      <c r="F8" s="11">
        <v>55777</v>
      </c>
      <c r="G8" s="11">
        <v>54022</v>
      </c>
      <c r="H8" s="11">
        <v>159601</v>
      </c>
      <c r="I8" s="11">
        <v>165280</v>
      </c>
      <c r="J8" s="11">
        <f t="shared" si="0"/>
        <v>2163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 t="shared" ref="B35:J35" si="1">SUM(B4:B34)</f>
        <v>478391</v>
      </c>
      <c r="C35" s="11">
        <f t="shared" si="1"/>
        <v>505346</v>
      </c>
      <c r="D35" s="11">
        <f t="shared" si="1"/>
        <v>1462220</v>
      </c>
      <c r="E35" s="11">
        <f t="shared" si="1"/>
        <v>1442415</v>
      </c>
      <c r="F35" s="11">
        <f t="shared" si="1"/>
        <v>272764</v>
      </c>
      <c r="G35" s="11">
        <f t="shared" si="1"/>
        <v>287195</v>
      </c>
      <c r="H35" s="11">
        <f t="shared" si="1"/>
        <v>939973</v>
      </c>
      <c r="I35" s="11">
        <f t="shared" si="1"/>
        <v>939128</v>
      </c>
      <c r="J35" s="11">
        <f t="shared" si="1"/>
        <v>20736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36738</v>
      </c>
      <c r="C38" s="25"/>
      <c r="E38" s="25"/>
      <c r="G38" s="25"/>
      <c r="I38" s="25"/>
      <c r="J38" s="247">
        <v>-48032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36743</v>
      </c>
      <c r="J40" s="36">
        <f>+J38+J35</f>
        <v>-27296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1" sqref="B11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104</v>
      </c>
      <c r="B3" s="88"/>
      <c r="C3" s="272"/>
      <c r="D3" s="88"/>
    </row>
    <row r="4" spans="1:13" x14ac:dyDescent="0.2">
      <c r="A4" s="87"/>
      <c r="B4" s="267" t="s">
        <v>22</v>
      </c>
      <c r="C4" s="267" t="s">
        <v>23</v>
      </c>
      <c r="D4" s="268" t="s">
        <v>55</v>
      </c>
    </row>
    <row r="5" spans="1:13" x14ac:dyDescent="0.2">
      <c r="A5" s="87">
        <v>9236</v>
      </c>
      <c r="B5" s="90">
        <v>-14004</v>
      </c>
      <c r="C5" s="90">
        <v>-15455</v>
      </c>
      <c r="D5" s="90">
        <f t="shared" ref="D5:D13" si="0">+C5-B5</f>
        <v>-1451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6"/>
      <c r="F6" s="70"/>
      <c r="K6" s="65">
        <v>36531</v>
      </c>
      <c r="L6" t="s">
        <v>27</v>
      </c>
      <c r="M6">
        <v>0.5</v>
      </c>
    </row>
    <row r="7" spans="1:13" x14ac:dyDescent="0.2">
      <c r="A7" s="87">
        <v>56422</v>
      </c>
      <c r="B7" s="90">
        <v>-623030</v>
      </c>
      <c r="C7" s="90">
        <v>-619621</v>
      </c>
      <c r="D7" s="90">
        <f t="shared" si="0"/>
        <v>3409</v>
      </c>
      <c r="E7" s="296"/>
      <c r="F7" s="70"/>
    </row>
    <row r="8" spans="1:13" x14ac:dyDescent="0.2">
      <c r="A8" s="87">
        <v>58710</v>
      </c>
      <c r="B8" s="90">
        <v>0</v>
      </c>
      <c r="C8" s="90">
        <v>-290</v>
      </c>
      <c r="D8" s="90">
        <f t="shared" si="0"/>
        <v>-290</v>
      </c>
      <c r="E8" s="296"/>
      <c r="F8" s="70"/>
    </row>
    <row r="9" spans="1:13" x14ac:dyDescent="0.2">
      <c r="A9" s="87">
        <v>60921</v>
      </c>
      <c r="B9" s="90">
        <v>368878</v>
      </c>
      <c r="C9" s="90">
        <v>362666</v>
      </c>
      <c r="D9" s="90">
        <f t="shared" si="0"/>
        <v>-6212</v>
      </c>
      <c r="E9" s="296"/>
      <c r="F9" s="70"/>
    </row>
    <row r="10" spans="1:13" x14ac:dyDescent="0.2">
      <c r="A10" s="87">
        <v>78026</v>
      </c>
      <c r="B10" s="90">
        <v>6510</v>
      </c>
      <c r="C10" s="90">
        <f>7350+8515</f>
        <v>15865</v>
      </c>
      <c r="D10" s="90">
        <f t="shared" si="0"/>
        <v>9355</v>
      </c>
      <c r="E10" s="296"/>
      <c r="F10" s="294"/>
    </row>
    <row r="11" spans="1:13" x14ac:dyDescent="0.2">
      <c r="A11" s="87">
        <v>500084</v>
      </c>
      <c r="B11" s="90">
        <v>-2421</v>
      </c>
      <c r="C11" s="90">
        <v>-15000</v>
      </c>
      <c r="D11" s="90">
        <f t="shared" si="0"/>
        <v>-12579</v>
      </c>
      <c r="E11" s="297"/>
      <c r="F11" s="294"/>
    </row>
    <row r="12" spans="1:13" x14ac:dyDescent="0.2">
      <c r="A12" s="91">
        <v>500085</v>
      </c>
      <c r="B12" s="90"/>
      <c r="C12" s="90"/>
      <c r="D12" s="90">
        <f t="shared" si="0"/>
        <v>0</v>
      </c>
      <c r="E12" s="296"/>
      <c r="F12" s="294"/>
    </row>
    <row r="13" spans="1:13" x14ac:dyDescent="0.2">
      <c r="A13" s="87">
        <v>500097</v>
      </c>
      <c r="B13" s="90"/>
      <c r="C13" s="90"/>
      <c r="D13" s="90">
        <f t="shared" si="0"/>
        <v>0</v>
      </c>
      <c r="E13" s="296"/>
      <c r="F13" s="294"/>
    </row>
    <row r="14" spans="1:13" x14ac:dyDescent="0.2">
      <c r="A14" s="87"/>
      <c r="B14" s="90"/>
      <c r="C14" s="90"/>
      <c r="D14" s="90"/>
      <c r="E14" s="296"/>
      <c r="F14" s="294"/>
    </row>
    <row r="15" spans="1:13" x14ac:dyDescent="0.2">
      <c r="A15" s="87"/>
      <c r="B15" s="90"/>
      <c r="C15" s="90"/>
      <c r="D15" s="90"/>
      <c r="E15" s="296"/>
      <c r="F15" s="294"/>
    </row>
    <row r="16" spans="1:13" x14ac:dyDescent="0.2">
      <c r="A16" s="87"/>
      <c r="B16" s="88"/>
      <c r="C16" s="88"/>
      <c r="D16" s="94"/>
      <c r="E16" s="296"/>
      <c r="F16" s="294"/>
    </row>
    <row r="17" spans="1:7" x14ac:dyDescent="0.2">
      <c r="A17" s="87"/>
      <c r="B17" s="88"/>
      <c r="C17" s="88"/>
      <c r="D17" s="88">
        <f>SUM(D5:D16)</f>
        <v>-7768</v>
      </c>
      <c r="E17" s="296"/>
      <c r="F17" s="294"/>
    </row>
    <row r="18" spans="1:7" x14ac:dyDescent="0.2">
      <c r="A18" s="87" t="s">
        <v>102</v>
      </c>
      <c r="B18" s="88"/>
      <c r="C18" s="88"/>
      <c r="D18" s="95">
        <f>+summary!I13</f>
        <v>3.81</v>
      </c>
      <c r="E18" s="298"/>
      <c r="F18" s="294"/>
    </row>
    <row r="19" spans="1:7" x14ac:dyDescent="0.2">
      <c r="A19" s="87"/>
      <c r="B19" s="88"/>
      <c r="C19" s="88"/>
      <c r="D19" s="96">
        <f>+D18*D17</f>
        <v>-29596.080000000002</v>
      </c>
      <c r="E19" s="210"/>
      <c r="F19" s="295"/>
    </row>
    <row r="20" spans="1:7" x14ac:dyDescent="0.2">
      <c r="A20" s="87"/>
      <c r="B20" s="88"/>
      <c r="C20" s="88"/>
      <c r="D20" s="96"/>
      <c r="E20" s="210"/>
      <c r="F20" s="74"/>
    </row>
    <row r="21" spans="1:7" x14ac:dyDescent="0.2">
      <c r="A21" s="99">
        <v>36738</v>
      </c>
      <c r="B21" s="88"/>
      <c r="C21" s="88"/>
      <c r="D21" s="304">
        <v>698688.2</v>
      </c>
      <c r="E21" s="210"/>
      <c r="F21" s="66"/>
    </row>
    <row r="22" spans="1:7" x14ac:dyDescent="0.2">
      <c r="A22" s="87"/>
      <c r="B22" s="88"/>
      <c r="C22" s="88"/>
      <c r="D22" s="96"/>
      <c r="E22" s="210"/>
      <c r="F22" s="66"/>
    </row>
    <row r="23" spans="1:7" ht="13.5" thickBot="1" x14ac:dyDescent="0.25">
      <c r="A23" s="99">
        <v>36743</v>
      </c>
      <c r="B23" s="88"/>
      <c r="C23" s="88"/>
      <c r="D23" s="98">
        <f>+D21+D19</f>
        <v>669092.12</v>
      </c>
      <c r="E23" s="210"/>
      <c r="F23" s="66"/>
    </row>
    <row r="24" spans="1:7" ht="13.5" thickTop="1" x14ac:dyDescent="0.2">
      <c r="E24" s="299"/>
    </row>
    <row r="25" spans="1:7" x14ac:dyDescent="0.2">
      <c r="E25" s="299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71"/>
      <c r="E45" s="71"/>
      <c r="F45" s="72"/>
      <c r="G45" s="32"/>
    </row>
    <row r="46" spans="1:7" x14ac:dyDescent="0.2">
      <c r="A46" s="32"/>
      <c r="B46" s="69"/>
      <c r="C46" s="69"/>
      <c r="D46" s="69"/>
      <c r="E46" s="69"/>
      <c r="F46" s="70"/>
      <c r="G46" s="32"/>
    </row>
    <row r="47" spans="1:7" x14ac:dyDescent="0.2">
      <c r="A47" s="32"/>
      <c r="B47" s="69"/>
      <c r="C47" s="69"/>
      <c r="D47" s="73"/>
      <c r="E47" s="73"/>
      <c r="F47" s="70"/>
      <c r="G47" s="32"/>
    </row>
    <row r="48" spans="1:7" x14ac:dyDescent="0.2">
      <c r="B48" s="69"/>
      <c r="C48" s="69"/>
      <c r="D48" s="69"/>
      <c r="E48" s="69"/>
      <c r="F48" s="74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E50" s="63"/>
      <c r="F50" s="66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C15" sqref="C15"/>
    </sheetView>
  </sheetViews>
  <sheetFormatPr defaultRowHeight="12.75" x14ac:dyDescent="0.2"/>
  <cols>
    <col min="2" max="3" width="10" bestFit="1" customWidth="1"/>
    <col min="4" max="4" width="10.140625" style="263" bestFit="1" customWidth="1"/>
  </cols>
  <sheetData>
    <row r="1" spans="1:7" x14ac:dyDescent="0.2">
      <c r="B1">
        <v>52862</v>
      </c>
      <c r="E1">
        <v>6838</v>
      </c>
    </row>
    <row r="2" spans="1:7" x14ac:dyDescent="0.2">
      <c r="B2" s="267" t="s">
        <v>22</v>
      </c>
      <c r="C2" s="267" t="s">
        <v>23</v>
      </c>
      <c r="D2" s="268" t="s">
        <v>55</v>
      </c>
      <c r="E2" s="267" t="s">
        <v>22</v>
      </c>
      <c r="F2" s="267" t="s">
        <v>23</v>
      </c>
      <c r="G2" s="268" t="s">
        <v>55</v>
      </c>
    </row>
    <row r="3" spans="1:7" x14ac:dyDescent="0.2">
      <c r="A3">
        <v>1</v>
      </c>
      <c r="B3" s="90">
        <v>10266</v>
      </c>
      <c r="C3" s="90">
        <v>9999</v>
      </c>
      <c r="D3" s="90">
        <f>+C3-B3</f>
        <v>-267</v>
      </c>
      <c r="E3" s="90"/>
      <c r="F3" s="90"/>
      <c r="G3" s="90">
        <f>+F3-E3</f>
        <v>0</v>
      </c>
    </row>
    <row r="4" spans="1:7" x14ac:dyDescent="0.2">
      <c r="A4">
        <v>2</v>
      </c>
      <c r="B4" s="90">
        <v>3085</v>
      </c>
      <c r="C4" s="90">
        <v>2631</v>
      </c>
      <c r="D4" s="90">
        <f t="shared" ref="D4:D33" si="0">+C4-B4</f>
        <v>-454</v>
      </c>
      <c r="E4" s="90"/>
      <c r="F4" s="90"/>
      <c r="G4" s="90">
        <f t="shared" ref="G4:G33" si="1">+F4-E4</f>
        <v>0</v>
      </c>
    </row>
    <row r="5" spans="1:7" x14ac:dyDescent="0.2">
      <c r="A5">
        <v>3</v>
      </c>
      <c r="B5" s="90">
        <v>2990</v>
      </c>
      <c r="C5" s="90">
        <v>2549</v>
      </c>
      <c r="D5" s="90">
        <f t="shared" si="0"/>
        <v>-441</v>
      </c>
      <c r="E5" s="90"/>
      <c r="F5" s="90"/>
      <c r="G5" s="90">
        <f t="shared" si="1"/>
        <v>0</v>
      </c>
    </row>
    <row r="6" spans="1:7" x14ac:dyDescent="0.2">
      <c r="A6">
        <v>4</v>
      </c>
      <c r="B6" s="90">
        <v>2690</v>
      </c>
      <c r="C6" s="90">
        <v>2288</v>
      </c>
      <c r="D6" s="90">
        <f t="shared" si="0"/>
        <v>-402</v>
      </c>
      <c r="E6" s="90"/>
      <c r="F6" s="90"/>
      <c r="G6" s="90">
        <f t="shared" si="1"/>
        <v>0</v>
      </c>
    </row>
    <row r="7" spans="1:7" x14ac:dyDescent="0.2">
      <c r="A7">
        <v>5</v>
      </c>
      <c r="B7" s="90">
        <v>3051</v>
      </c>
      <c r="C7" s="90">
        <v>2526</v>
      </c>
      <c r="D7" s="90">
        <f t="shared" si="0"/>
        <v>-525</v>
      </c>
      <c r="E7" s="90"/>
      <c r="F7" s="90"/>
      <c r="G7" s="90">
        <f t="shared" si="1"/>
        <v>0</v>
      </c>
    </row>
    <row r="8" spans="1:7" x14ac:dyDescent="0.2">
      <c r="A8">
        <v>6</v>
      </c>
      <c r="B8" s="90"/>
      <c r="C8" s="90"/>
      <c r="D8" s="90">
        <f t="shared" si="0"/>
        <v>0</v>
      </c>
      <c r="E8" s="90"/>
      <c r="F8" s="90"/>
      <c r="G8" s="90">
        <f t="shared" si="1"/>
        <v>0</v>
      </c>
    </row>
    <row r="9" spans="1:7" x14ac:dyDescent="0.2">
      <c r="A9">
        <v>7</v>
      </c>
      <c r="B9" s="90"/>
      <c r="C9" s="90"/>
      <c r="D9" s="90">
        <f t="shared" si="0"/>
        <v>0</v>
      </c>
      <c r="E9" s="90"/>
      <c r="F9" s="90"/>
      <c r="G9" s="90">
        <f t="shared" si="1"/>
        <v>0</v>
      </c>
    </row>
    <row r="10" spans="1:7" x14ac:dyDescent="0.2">
      <c r="A10">
        <v>8</v>
      </c>
      <c r="B10" s="90"/>
      <c r="C10" s="90"/>
      <c r="D10" s="90">
        <f t="shared" si="0"/>
        <v>0</v>
      </c>
      <c r="E10" s="90"/>
      <c r="F10" s="90"/>
      <c r="G10" s="90">
        <f t="shared" si="1"/>
        <v>0</v>
      </c>
    </row>
    <row r="11" spans="1:7" x14ac:dyDescent="0.2">
      <c r="A11">
        <v>9</v>
      </c>
      <c r="B11" s="90"/>
      <c r="C11" s="90"/>
      <c r="D11" s="90">
        <f t="shared" si="0"/>
        <v>0</v>
      </c>
      <c r="E11" s="90"/>
      <c r="F11" s="90"/>
      <c r="G11" s="90">
        <f t="shared" si="1"/>
        <v>0</v>
      </c>
    </row>
    <row r="12" spans="1:7" x14ac:dyDescent="0.2">
      <c r="A12">
        <v>10</v>
      </c>
      <c r="B12" s="90"/>
      <c r="C12" s="90"/>
      <c r="D12" s="90">
        <f t="shared" si="0"/>
        <v>0</v>
      </c>
      <c r="E12" s="90"/>
      <c r="F12" s="90"/>
      <c r="G12" s="90">
        <f t="shared" si="1"/>
        <v>0</v>
      </c>
    </row>
    <row r="13" spans="1:7" x14ac:dyDescent="0.2">
      <c r="A13">
        <v>11</v>
      </c>
      <c r="B13" s="90"/>
      <c r="C13" s="90"/>
      <c r="D13" s="90">
        <f t="shared" si="0"/>
        <v>0</v>
      </c>
      <c r="E13" s="90"/>
      <c r="F13" s="90"/>
      <c r="G13" s="90">
        <f t="shared" si="1"/>
        <v>0</v>
      </c>
    </row>
    <row r="14" spans="1:7" x14ac:dyDescent="0.2">
      <c r="A14">
        <v>12</v>
      </c>
      <c r="B14" s="88"/>
      <c r="C14" s="88"/>
      <c r="D14" s="90">
        <f t="shared" si="0"/>
        <v>0</v>
      </c>
      <c r="E14" s="88"/>
      <c r="F14" s="88"/>
      <c r="G14" s="90">
        <f t="shared" si="1"/>
        <v>0</v>
      </c>
    </row>
    <row r="15" spans="1:7" x14ac:dyDescent="0.2">
      <c r="A15">
        <v>13</v>
      </c>
      <c r="B15" s="88"/>
      <c r="C15" s="88"/>
      <c r="D15" s="90">
        <f t="shared" si="0"/>
        <v>0</v>
      </c>
      <c r="E15" s="88"/>
      <c r="F15" s="88"/>
      <c r="G15" s="90">
        <f t="shared" si="1"/>
        <v>0</v>
      </c>
    </row>
    <row r="16" spans="1:7" x14ac:dyDescent="0.2">
      <c r="A16">
        <v>14</v>
      </c>
      <c r="B16" s="88"/>
      <c r="C16" s="88"/>
      <c r="D16" s="90">
        <f t="shared" si="0"/>
        <v>0</v>
      </c>
      <c r="E16" s="88"/>
      <c r="F16" s="88"/>
      <c r="G16" s="90">
        <f t="shared" si="1"/>
        <v>0</v>
      </c>
    </row>
    <row r="17" spans="1:7" x14ac:dyDescent="0.2">
      <c r="A17">
        <v>15</v>
      </c>
      <c r="B17" s="88"/>
      <c r="C17" s="88"/>
      <c r="D17" s="90">
        <f t="shared" si="0"/>
        <v>0</v>
      </c>
      <c r="E17" s="88"/>
      <c r="F17" s="88"/>
      <c r="G17" s="90">
        <f t="shared" si="1"/>
        <v>0</v>
      </c>
    </row>
    <row r="18" spans="1:7" x14ac:dyDescent="0.2">
      <c r="A18">
        <v>16</v>
      </c>
      <c r="B18" s="88"/>
      <c r="C18" s="88"/>
      <c r="D18" s="90">
        <f t="shared" si="0"/>
        <v>0</v>
      </c>
      <c r="E18" s="88"/>
      <c r="F18" s="88"/>
      <c r="G18" s="90">
        <f t="shared" si="1"/>
        <v>0</v>
      </c>
    </row>
    <row r="19" spans="1:7" x14ac:dyDescent="0.2">
      <c r="A19">
        <v>17</v>
      </c>
      <c r="B19" s="88"/>
      <c r="C19" s="88"/>
      <c r="D19" s="90">
        <f t="shared" si="0"/>
        <v>0</v>
      </c>
      <c r="E19" s="88"/>
      <c r="F19" s="88"/>
      <c r="G19" s="90">
        <f t="shared" si="1"/>
        <v>0</v>
      </c>
    </row>
    <row r="20" spans="1:7" x14ac:dyDescent="0.2">
      <c r="A20">
        <v>18</v>
      </c>
      <c r="B20" s="88"/>
      <c r="C20" s="88"/>
      <c r="D20" s="90">
        <f t="shared" si="0"/>
        <v>0</v>
      </c>
      <c r="E20" s="88"/>
      <c r="F20" s="88"/>
      <c r="G20" s="90">
        <f t="shared" si="1"/>
        <v>0</v>
      </c>
    </row>
    <row r="21" spans="1:7" x14ac:dyDescent="0.2">
      <c r="A21">
        <v>19</v>
      </c>
      <c r="B21" s="88"/>
      <c r="C21" s="88"/>
      <c r="D21" s="90">
        <f t="shared" si="0"/>
        <v>0</v>
      </c>
      <c r="E21" s="88"/>
      <c r="F21" s="88"/>
      <c r="G21" s="90">
        <f t="shared" si="1"/>
        <v>0</v>
      </c>
    </row>
    <row r="22" spans="1:7" x14ac:dyDescent="0.2">
      <c r="A22">
        <v>20</v>
      </c>
      <c r="D22" s="90">
        <f t="shared" si="0"/>
        <v>0</v>
      </c>
      <c r="G22" s="90">
        <f t="shared" si="1"/>
        <v>0</v>
      </c>
    </row>
    <row r="23" spans="1:7" x14ac:dyDescent="0.2">
      <c r="A23">
        <v>21</v>
      </c>
      <c r="D23" s="90">
        <f t="shared" si="0"/>
        <v>0</v>
      </c>
      <c r="G23" s="90">
        <f t="shared" si="1"/>
        <v>0</v>
      </c>
    </row>
    <row r="24" spans="1:7" x14ac:dyDescent="0.2">
      <c r="A24">
        <v>22</v>
      </c>
      <c r="D24" s="90">
        <f t="shared" si="0"/>
        <v>0</v>
      </c>
      <c r="G24" s="90">
        <f t="shared" si="1"/>
        <v>0</v>
      </c>
    </row>
    <row r="25" spans="1:7" x14ac:dyDescent="0.2">
      <c r="A25">
        <v>23</v>
      </c>
      <c r="D25" s="90">
        <f t="shared" si="0"/>
        <v>0</v>
      </c>
      <c r="G25" s="90">
        <f t="shared" si="1"/>
        <v>0</v>
      </c>
    </row>
    <row r="26" spans="1:7" x14ac:dyDescent="0.2">
      <c r="A26">
        <v>24</v>
      </c>
      <c r="D26" s="90">
        <f t="shared" si="0"/>
        <v>0</v>
      </c>
      <c r="G26" s="90">
        <f t="shared" si="1"/>
        <v>0</v>
      </c>
    </row>
    <row r="27" spans="1:7" x14ac:dyDescent="0.2">
      <c r="A27">
        <v>25</v>
      </c>
      <c r="D27" s="90">
        <f t="shared" si="0"/>
        <v>0</v>
      </c>
      <c r="G27" s="90">
        <f t="shared" si="1"/>
        <v>0</v>
      </c>
    </row>
    <row r="28" spans="1:7" x14ac:dyDescent="0.2">
      <c r="A28">
        <v>26</v>
      </c>
      <c r="D28" s="90">
        <f t="shared" si="0"/>
        <v>0</v>
      </c>
      <c r="G28" s="90">
        <f t="shared" si="1"/>
        <v>0</v>
      </c>
    </row>
    <row r="29" spans="1:7" x14ac:dyDescent="0.2">
      <c r="A29">
        <v>27</v>
      </c>
      <c r="D29" s="90">
        <f t="shared" si="0"/>
        <v>0</v>
      </c>
      <c r="G29" s="90">
        <f t="shared" si="1"/>
        <v>0</v>
      </c>
    </row>
    <row r="30" spans="1:7" x14ac:dyDescent="0.2">
      <c r="A30">
        <v>28</v>
      </c>
      <c r="D30" s="90">
        <f t="shared" si="0"/>
        <v>0</v>
      </c>
      <c r="G30" s="90">
        <f t="shared" si="1"/>
        <v>0</v>
      </c>
    </row>
    <row r="31" spans="1:7" x14ac:dyDescent="0.2">
      <c r="A31">
        <v>29</v>
      </c>
      <c r="D31" s="90">
        <f t="shared" si="0"/>
        <v>0</v>
      </c>
      <c r="G31" s="90">
        <f t="shared" si="1"/>
        <v>0</v>
      </c>
    </row>
    <row r="32" spans="1:7" x14ac:dyDescent="0.2">
      <c r="A32">
        <v>30</v>
      </c>
      <c r="D32" s="90">
        <f t="shared" si="0"/>
        <v>0</v>
      </c>
      <c r="G32" s="90">
        <f t="shared" si="1"/>
        <v>0</v>
      </c>
    </row>
    <row r="33" spans="1:7" x14ac:dyDescent="0.2">
      <c r="A33">
        <v>31</v>
      </c>
      <c r="D33" s="90">
        <f t="shared" si="0"/>
        <v>0</v>
      </c>
      <c r="G33" s="90">
        <f t="shared" si="1"/>
        <v>0</v>
      </c>
    </row>
    <row r="34" spans="1:7" x14ac:dyDescent="0.2">
      <c r="D34" s="318">
        <f>SUM(D3:D33)</f>
        <v>-2089</v>
      </c>
      <c r="G34" s="318">
        <f>SUM(G3:G33)</f>
        <v>0</v>
      </c>
    </row>
    <row r="35" spans="1:7" x14ac:dyDescent="0.2">
      <c r="G35" s="263">
        <f>+G34+D34</f>
        <v>-2089</v>
      </c>
    </row>
    <row r="36" spans="1:7" x14ac:dyDescent="0.2">
      <c r="G36" s="263"/>
    </row>
    <row r="37" spans="1:7" x14ac:dyDescent="0.2">
      <c r="A37" s="270">
        <v>36738</v>
      </c>
      <c r="B37" s="14"/>
      <c r="C37" s="14"/>
      <c r="D37" s="250"/>
      <c r="E37" s="14"/>
      <c r="F37" s="14"/>
      <c r="G37" s="250">
        <v>110761</v>
      </c>
    </row>
    <row r="38" spans="1:7" x14ac:dyDescent="0.2">
      <c r="A38" s="270">
        <v>36742</v>
      </c>
      <c r="B38" s="14"/>
      <c r="C38" s="14"/>
      <c r="D38" s="51"/>
      <c r="E38" s="14"/>
      <c r="F38" s="14"/>
      <c r="G38" s="24">
        <f>+G37+G35</f>
        <v>108672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A4" sqref="A4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4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5" bestFit="1" customWidth="1"/>
    <col min="32" max="33" width="11.140625" style="14" bestFit="1" customWidth="1"/>
    <col min="34" max="34" width="10.42578125" style="14" bestFit="1" customWidth="1"/>
    <col min="35" max="35" width="10.140625" style="206" bestFit="1" customWidth="1"/>
    <col min="36" max="36" width="12.28515625" style="32" customWidth="1"/>
    <col min="37" max="37" width="12" style="47" bestFit="1" customWidth="1"/>
    <col min="38" max="38" width="11" style="242" bestFit="1" customWidth="1"/>
    <col min="39" max="39" width="10.42578125" style="204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3"/>
      <c r="O1" s="34" t="s">
        <v>94</v>
      </c>
      <c r="AD1" s="38" t="s">
        <v>95</v>
      </c>
    </row>
    <row r="2" spans="1:36" ht="16.5" customHeight="1" x14ac:dyDescent="0.2">
      <c r="A2" s="153"/>
      <c r="B2" s="207"/>
      <c r="C2" s="208"/>
      <c r="D2" s="209"/>
      <c r="E2" s="210"/>
      <c r="F2" s="207"/>
      <c r="G2" s="207"/>
      <c r="H2" s="209"/>
      <c r="I2" s="207"/>
      <c r="J2" s="207"/>
      <c r="K2" s="207"/>
      <c r="O2" s="34"/>
      <c r="AD2" s="2"/>
    </row>
    <row r="3" spans="1:36" ht="18.75" customHeight="1" x14ac:dyDescent="0.2">
      <c r="A3" s="153"/>
      <c r="B3" s="149"/>
      <c r="C3" s="211"/>
      <c r="D3" s="209"/>
      <c r="E3" s="210"/>
      <c r="F3" s="207"/>
      <c r="G3" s="207"/>
      <c r="H3" s="209"/>
      <c r="I3" s="207"/>
      <c r="J3" s="207"/>
      <c r="K3" s="207"/>
    </row>
    <row r="4" spans="1:36" ht="17.100000000000001" customHeight="1" x14ac:dyDescent="0.2">
      <c r="A4" s="101"/>
      <c r="B4" s="238">
        <v>500168</v>
      </c>
      <c r="C4" s="24" t="s">
        <v>96</v>
      </c>
      <c r="D4" s="24"/>
      <c r="P4" s="206"/>
      <c r="S4" s="206"/>
      <c r="W4" s="32"/>
      <c r="X4" s="212"/>
    </row>
    <row r="5" spans="1:36" ht="17.100000000000001" customHeight="1" x14ac:dyDescent="0.2">
      <c r="A5" s="12"/>
      <c r="B5" s="121" t="s">
        <v>23</v>
      </c>
      <c r="C5" s="121" t="s">
        <v>22</v>
      </c>
      <c r="D5" s="24"/>
      <c r="O5" s="135"/>
      <c r="P5" s="206"/>
      <c r="R5" s="14"/>
      <c r="S5" s="206"/>
      <c r="U5" s="14"/>
      <c r="V5" s="14"/>
      <c r="W5" s="75"/>
      <c r="X5" s="15"/>
    </row>
    <row r="6" spans="1:36" ht="15" customHeight="1" x14ac:dyDescent="0.2">
      <c r="A6" s="12">
        <v>1</v>
      </c>
      <c r="B6" s="24">
        <v>36064</v>
      </c>
      <c r="C6" s="24">
        <v>33263</v>
      </c>
      <c r="D6" s="24">
        <f>+C6-B6</f>
        <v>-2801</v>
      </c>
      <c r="O6" s="135"/>
      <c r="P6" s="206"/>
      <c r="R6" s="14"/>
      <c r="S6" s="206"/>
      <c r="U6" s="14"/>
      <c r="V6" s="213"/>
      <c r="W6" s="75"/>
      <c r="X6" s="15"/>
      <c r="Y6" s="15"/>
      <c r="AD6" s="12"/>
      <c r="AE6" s="214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36793</v>
      </c>
      <c r="C7" s="24">
        <v>36301</v>
      </c>
      <c r="D7" s="24">
        <f t="shared" ref="D7:D36" si="0">+C7-B7</f>
        <v>-492</v>
      </c>
      <c r="E7" s="215"/>
      <c r="F7" s="207"/>
      <c r="G7" s="207"/>
      <c r="I7" s="135"/>
      <c r="J7" s="135"/>
      <c r="K7" s="135"/>
      <c r="L7" s="135"/>
      <c r="M7" s="135"/>
      <c r="N7" s="135"/>
      <c r="O7" s="135"/>
      <c r="P7" s="206"/>
      <c r="R7" s="14"/>
      <c r="S7" s="206"/>
      <c r="U7" s="14"/>
      <c r="V7" s="14"/>
      <c r="W7" s="75"/>
      <c r="X7" s="15"/>
      <c r="Y7" s="15"/>
      <c r="AD7" s="101"/>
      <c r="AE7" s="216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65652</v>
      </c>
      <c r="C8" s="24">
        <v>67062</v>
      </c>
      <c r="D8" s="24">
        <f t="shared" si="0"/>
        <v>1410</v>
      </c>
      <c r="E8" s="210"/>
      <c r="F8" s="207"/>
      <c r="G8" s="218"/>
      <c r="O8" s="135"/>
      <c r="P8" s="206"/>
      <c r="R8" s="14"/>
      <c r="S8" s="206"/>
      <c r="U8" s="14"/>
      <c r="V8" s="14"/>
      <c r="W8" s="75"/>
      <c r="X8" s="15"/>
      <c r="Y8" s="15"/>
      <c r="AD8" s="101"/>
      <c r="AE8" s="216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51791</v>
      </c>
      <c r="C9" s="24">
        <v>49272</v>
      </c>
      <c r="D9" s="24">
        <f t="shared" si="0"/>
        <v>-2519</v>
      </c>
      <c r="E9" s="210"/>
      <c r="F9" s="207"/>
      <c r="G9" s="218"/>
      <c r="O9" s="135"/>
      <c r="P9" s="206"/>
      <c r="R9" s="14"/>
      <c r="S9" s="206"/>
      <c r="U9" s="14"/>
      <c r="V9" s="14"/>
      <c r="W9" s="75"/>
      <c r="X9" s="15"/>
      <c r="Y9" s="15"/>
      <c r="AD9" s="101"/>
      <c r="AE9" s="216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10"/>
      <c r="F10" s="207"/>
      <c r="G10" s="219"/>
      <c r="O10" s="135"/>
      <c r="P10" s="206"/>
      <c r="R10" s="14"/>
      <c r="S10" s="206"/>
      <c r="U10" s="14"/>
      <c r="V10" s="14"/>
      <c r="W10" s="75"/>
      <c r="X10" s="15"/>
      <c r="Y10" s="15"/>
      <c r="AD10" s="101"/>
      <c r="AE10" s="216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0</v>
      </c>
      <c r="E11" s="210"/>
      <c r="F11" s="207"/>
      <c r="G11" s="219"/>
      <c r="O11" s="135"/>
      <c r="P11" s="206"/>
      <c r="R11" s="14"/>
      <c r="S11" s="206"/>
      <c r="U11" s="14"/>
      <c r="V11" s="14"/>
      <c r="W11" s="75"/>
      <c r="X11" s="15"/>
      <c r="Y11" s="15"/>
      <c r="AD11" s="101"/>
      <c r="AE11" s="216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10"/>
      <c r="F12" s="207"/>
      <c r="G12" s="219"/>
      <c r="O12" s="135"/>
      <c r="P12" s="206"/>
      <c r="R12" s="14"/>
      <c r="S12" s="206"/>
      <c r="U12" s="14"/>
      <c r="V12" s="14"/>
      <c r="W12" s="75"/>
      <c r="X12" s="15"/>
      <c r="Y12" s="15"/>
      <c r="AD12" s="101"/>
      <c r="AE12" s="216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10"/>
      <c r="F13" s="207"/>
      <c r="G13" s="219"/>
      <c r="O13" s="135"/>
      <c r="P13" s="206"/>
      <c r="R13" s="14"/>
      <c r="S13" s="206"/>
      <c r="U13" s="14"/>
      <c r="V13" s="14"/>
      <c r="W13" s="75"/>
      <c r="X13" s="15"/>
      <c r="Y13" s="15"/>
      <c r="AD13" s="101"/>
      <c r="AE13" s="216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10"/>
      <c r="F14" s="207"/>
      <c r="G14" s="219"/>
      <c r="O14" s="135"/>
      <c r="P14" s="206"/>
      <c r="R14" s="14"/>
      <c r="S14" s="206"/>
      <c r="U14" s="14"/>
      <c r="V14" s="14"/>
      <c r="W14" s="75"/>
      <c r="X14" s="15"/>
      <c r="Y14" s="15"/>
      <c r="AD14" s="101"/>
      <c r="AE14" s="216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10"/>
      <c r="F15" s="207"/>
      <c r="G15" s="219"/>
      <c r="O15" s="135"/>
      <c r="P15" s="206"/>
      <c r="R15" s="14"/>
      <c r="AD15" s="101"/>
      <c r="AE15" s="216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10"/>
      <c r="F16" s="207"/>
      <c r="G16" s="219"/>
      <c r="O16" s="135"/>
      <c r="P16" s="206"/>
      <c r="R16" s="14"/>
      <c r="S16" s="206"/>
      <c r="U16" s="14"/>
      <c r="V16" s="14"/>
      <c r="W16" s="75"/>
      <c r="X16" s="15"/>
      <c r="Y16" s="15"/>
      <c r="AD16" s="101"/>
      <c r="AE16" s="216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10"/>
      <c r="F17" s="207"/>
      <c r="G17" s="219"/>
      <c r="O17" s="135"/>
      <c r="P17" s="206"/>
      <c r="R17" s="14"/>
      <c r="S17" s="206"/>
      <c r="AD17" s="101"/>
      <c r="AE17" s="216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10"/>
      <c r="F18" s="207"/>
      <c r="G18" s="219"/>
      <c r="O18" s="135"/>
      <c r="P18" s="206"/>
      <c r="R18" s="14"/>
      <c r="S18" s="206"/>
      <c r="AD18" s="101"/>
      <c r="AE18" s="216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10"/>
      <c r="F19" s="207"/>
      <c r="G19" s="219"/>
      <c r="O19" s="135"/>
      <c r="P19" s="206"/>
      <c r="R19" s="14"/>
      <c r="S19" s="206"/>
      <c r="U19" s="14"/>
      <c r="AD19" s="101"/>
      <c r="AE19" s="216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10"/>
      <c r="F20" s="207"/>
      <c r="G20" s="219"/>
      <c r="O20" s="135"/>
      <c r="P20" s="206"/>
      <c r="R20" s="14"/>
      <c r="S20" s="206"/>
      <c r="U20" s="14"/>
      <c r="AD20" s="101"/>
      <c r="AE20" s="216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10"/>
      <c r="F21" s="207"/>
      <c r="G21" s="219"/>
      <c r="O21" s="135"/>
      <c r="P21" s="206"/>
      <c r="R21" s="14"/>
      <c r="S21" s="206"/>
      <c r="U21" s="14"/>
      <c r="AD21" s="101"/>
      <c r="AE21" s="216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10"/>
      <c r="F22" s="207"/>
      <c r="G22" s="219"/>
      <c r="O22" s="135"/>
      <c r="P22" s="206"/>
      <c r="R22" s="14"/>
      <c r="S22" s="206"/>
      <c r="U22" s="14"/>
      <c r="V22" s="14"/>
      <c r="W22" s="75"/>
      <c r="X22" s="15"/>
      <c r="Y22" s="15"/>
      <c r="AD22" s="101"/>
      <c r="AE22" s="216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10"/>
      <c r="F23" s="207"/>
      <c r="G23" s="219"/>
      <c r="O23" s="135"/>
      <c r="P23" s="206"/>
      <c r="R23" s="14"/>
      <c r="S23" s="206"/>
      <c r="U23" s="14"/>
      <c r="V23" s="14"/>
      <c r="W23" s="75"/>
      <c r="X23" s="15"/>
      <c r="Y23" s="15"/>
      <c r="AD23" s="101"/>
      <c r="AE23" s="216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10"/>
      <c r="F24" s="207"/>
      <c r="G24" s="219"/>
      <c r="O24" s="135"/>
      <c r="P24" s="206"/>
      <c r="R24" s="14"/>
      <c r="S24" s="206"/>
      <c r="U24" s="14"/>
      <c r="V24" s="14"/>
      <c r="W24" s="75"/>
      <c r="X24" s="15"/>
      <c r="Y24" s="15"/>
      <c r="AD24" s="101"/>
      <c r="AE24" s="216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10"/>
      <c r="F25" s="207"/>
      <c r="G25" s="219"/>
      <c r="O25" s="135"/>
      <c r="P25" s="206"/>
      <c r="Q25" s="220"/>
      <c r="R25" s="14"/>
      <c r="S25" s="206"/>
      <c r="U25" s="14"/>
      <c r="V25" s="14"/>
      <c r="W25" s="75"/>
      <c r="X25" s="15"/>
      <c r="Y25" s="15"/>
      <c r="AD25" s="101"/>
      <c r="AE25" s="216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10"/>
      <c r="F26" s="207"/>
      <c r="G26" s="219"/>
      <c r="O26" s="135"/>
      <c r="P26" s="206"/>
      <c r="Q26" s="135"/>
      <c r="R26" s="14"/>
      <c r="U26" s="14"/>
      <c r="V26" s="14"/>
      <c r="W26" s="75"/>
      <c r="X26" s="15"/>
      <c r="AD26" s="101"/>
      <c r="AE26" s="216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10"/>
      <c r="F27" s="207"/>
      <c r="G27" s="219"/>
      <c r="O27" s="135"/>
      <c r="P27" s="206"/>
      <c r="Q27" s="135"/>
      <c r="R27" s="14"/>
      <c r="U27" s="14"/>
      <c r="V27" s="14"/>
      <c r="W27" s="75"/>
      <c r="X27" s="202"/>
      <c r="AD27" s="101"/>
      <c r="AE27" s="216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10"/>
      <c r="F28" s="207"/>
      <c r="G28" s="219"/>
      <c r="O28" s="135"/>
      <c r="P28" s="206"/>
      <c r="Q28" s="135"/>
      <c r="R28" s="14"/>
      <c r="U28" s="14"/>
      <c r="V28" s="14"/>
      <c r="W28" s="75"/>
      <c r="X28" s="219"/>
      <c r="AD28" s="101"/>
      <c r="AE28" s="216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10"/>
      <c r="F29" s="207"/>
      <c r="G29" s="219"/>
      <c r="P29" s="206"/>
      <c r="Q29" s="135"/>
      <c r="R29" s="14"/>
      <c r="U29" s="14"/>
      <c r="V29" s="14"/>
      <c r="W29" s="75"/>
      <c r="X29" s="222"/>
      <c r="AD29" s="101"/>
      <c r="AE29" s="216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10"/>
      <c r="F30" s="207"/>
      <c r="G30" s="219"/>
      <c r="AD30" s="101"/>
      <c r="AE30" s="216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10"/>
      <c r="F31" s="207"/>
      <c r="G31" s="219"/>
      <c r="Q31" s="135"/>
      <c r="R31" s="14"/>
      <c r="S31" s="14"/>
      <c r="T31" s="14"/>
      <c r="U31" s="75"/>
      <c r="V31" s="15"/>
      <c r="AD31" s="101"/>
      <c r="AE31" s="216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10"/>
      <c r="F32" s="207"/>
      <c r="G32" s="219"/>
      <c r="Q32" s="135"/>
      <c r="R32" s="14"/>
      <c r="S32" s="14"/>
      <c r="T32" s="14"/>
      <c r="U32" s="75"/>
      <c r="V32" s="15"/>
      <c r="AD32" s="101"/>
      <c r="AE32" s="216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10"/>
      <c r="F33" s="207"/>
      <c r="G33" s="219"/>
      <c r="Q33" s="135"/>
      <c r="R33" s="14"/>
      <c r="S33" s="14"/>
      <c r="T33" s="14"/>
      <c r="U33" s="75"/>
      <c r="V33" s="15"/>
      <c r="AD33" s="101"/>
      <c r="AE33" s="216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10"/>
      <c r="F34" s="207"/>
      <c r="G34" s="219"/>
      <c r="Q34" s="135"/>
      <c r="R34" s="14"/>
      <c r="S34" s="14"/>
      <c r="T34" s="14"/>
      <c r="U34" s="75"/>
      <c r="V34" s="15"/>
      <c r="AD34" s="101"/>
      <c r="AE34" s="216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10"/>
      <c r="F35" s="207"/>
      <c r="G35" s="219"/>
      <c r="R35" s="14"/>
      <c r="S35" s="14"/>
      <c r="T35" s="14"/>
      <c r="U35" s="75"/>
      <c r="V35" s="15"/>
      <c r="AD35" s="101"/>
      <c r="AE35" s="216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10"/>
      <c r="F36" s="207"/>
      <c r="G36" s="219"/>
      <c r="R36" s="14"/>
      <c r="S36" s="14"/>
      <c r="T36" s="14"/>
      <c r="U36" s="75"/>
      <c r="V36" s="15"/>
      <c r="AD36" s="101"/>
      <c r="AE36" s="216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190300</v>
      </c>
      <c r="C37" s="24">
        <f>SUM(C6:C36)</f>
        <v>185898</v>
      </c>
      <c r="D37" s="24">
        <f>SUM(D6:D36)</f>
        <v>-4402</v>
      </c>
      <c r="E37" s="210"/>
      <c r="F37" s="207"/>
      <c r="G37" s="219"/>
      <c r="R37" s="14"/>
      <c r="S37" s="14"/>
      <c r="T37" s="14"/>
      <c r="U37" s="75"/>
      <c r="V37" s="15"/>
      <c r="AD37" s="101"/>
      <c r="AE37" s="216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97</v>
      </c>
      <c r="B38" s="14"/>
      <c r="C38" s="14"/>
      <c r="D38" s="104">
        <f>+summary!I13</f>
        <v>3.81</v>
      </c>
      <c r="E38" s="210"/>
      <c r="F38" s="207"/>
      <c r="G38" s="219"/>
      <c r="R38" s="14"/>
      <c r="S38" s="14"/>
      <c r="T38" s="14"/>
      <c r="U38" s="75"/>
      <c r="V38" s="15"/>
      <c r="AD38" s="101"/>
      <c r="AE38" s="216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-16771.62</v>
      </c>
      <c r="E39" s="223"/>
      <c r="F39" s="207"/>
      <c r="G39" s="223"/>
      <c r="R39" s="14"/>
      <c r="S39" s="14"/>
      <c r="T39" s="14"/>
      <c r="U39" s="14"/>
      <c r="AD39" s="101"/>
      <c r="AE39" s="216"/>
      <c r="AF39" s="24"/>
      <c r="AG39" s="24"/>
      <c r="AH39" s="106"/>
      <c r="AI39" s="143"/>
      <c r="AJ39" s="15"/>
    </row>
    <row r="40" spans="1:36" ht="18" customHeight="1" outlineLevel="1" x14ac:dyDescent="0.2">
      <c r="A40" s="270">
        <v>36738</v>
      </c>
      <c r="B40" s="14"/>
      <c r="C40" s="14"/>
      <c r="D40" s="310">
        <v>193332.51</v>
      </c>
      <c r="E40" s="223"/>
      <c r="F40" s="207"/>
      <c r="G40" s="223"/>
      <c r="R40" s="14"/>
      <c r="S40" s="14"/>
      <c r="T40" s="14"/>
      <c r="U40" s="14"/>
      <c r="AD40" s="101"/>
      <c r="AE40" s="216"/>
      <c r="AF40" s="24"/>
      <c r="AG40" s="24"/>
      <c r="AH40" s="106"/>
      <c r="AI40" s="143"/>
      <c r="AJ40" s="15"/>
    </row>
    <row r="41" spans="1:36" ht="18" customHeight="1" x14ac:dyDescent="0.2">
      <c r="A41" s="270">
        <v>36742</v>
      </c>
      <c r="B41" s="14"/>
      <c r="C41" s="14"/>
      <c r="D41" s="104">
        <f>+D40+D39</f>
        <v>176560.89</v>
      </c>
      <c r="E41" s="223"/>
      <c r="F41" s="207"/>
      <c r="G41" s="223"/>
      <c r="R41" s="14"/>
      <c r="S41" s="14"/>
      <c r="T41" s="14"/>
      <c r="U41" s="14"/>
      <c r="AD41" s="101"/>
      <c r="AE41" s="216"/>
      <c r="AF41" s="24"/>
      <c r="AG41" s="24"/>
      <c r="AH41" s="106"/>
      <c r="AI41" s="143"/>
      <c r="AJ41" s="15"/>
    </row>
    <row r="42" spans="1:36" ht="18" customHeight="1" x14ac:dyDescent="0.2">
      <c r="C42" s="32"/>
      <c r="D42" s="209"/>
      <c r="E42" s="210"/>
      <c r="F42" s="207"/>
      <c r="G42" s="207"/>
      <c r="R42" s="14"/>
      <c r="S42" s="14"/>
      <c r="T42" s="14"/>
      <c r="U42" s="14"/>
      <c r="AD42" s="101"/>
      <c r="AE42" s="216"/>
      <c r="AF42" s="24"/>
      <c r="AG42" s="24"/>
      <c r="AH42" s="106"/>
      <c r="AI42" s="143"/>
      <c r="AJ42" s="15"/>
    </row>
    <row r="43" spans="1:36" ht="18" customHeight="1" x14ac:dyDescent="0.2">
      <c r="C43" s="75"/>
      <c r="D43" s="221"/>
      <c r="E43" s="210"/>
      <c r="F43" s="207"/>
      <c r="G43" s="219"/>
      <c r="R43" s="14"/>
      <c r="S43" s="14"/>
      <c r="T43" s="14"/>
      <c r="U43" s="14"/>
      <c r="AD43" s="101"/>
      <c r="AE43" s="216"/>
      <c r="AF43" s="24"/>
      <c r="AG43" s="24"/>
      <c r="AH43" s="106"/>
      <c r="AI43" s="143"/>
      <c r="AJ43" s="15"/>
    </row>
    <row r="44" spans="1:36" ht="18" customHeight="1" x14ac:dyDescent="0.2">
      <c r="C44" s="75"/>
      <c r="D44" s="221"/>
      <c r="E44" s="210"/>
      <c r="F44" s="207"/>
      <c r="G44" s="219"/>
      <c r="AD44" s="101"/>
      <c r="AE44" s="216"/>
      <c r="AF44" s="24"/>
      <c r="AG44" s="24"/>
      <c r="AH44" s="106"/>
      <c r="AI44" s="143"/>
      <c r="AJ44" s="15"/>
    </row>
    <row r="45" spans="1:36" ht="18" customHeight="1" x14ac:dyDescent="0.2">
      <c r="C45" s="75"/>
      <c r="D45" s="217"/>
      <c r="E45" s="210"/>
      <c r="F45" s="207"/>
      <c r="G45" s="219"/>
      <c r="AD45" s="101"/>
      <c r="AE45" s="216"/>
      <c r="AF45" s="24"/>
      <c r="AG45" s="24"/>
      <c r="AH45" s="106"/>
      <c r="AI45" s="143"/>
      <c r="AJ45" s="15"/>
    </row>
    <row r="46" spans="1:36" ht="18" customHeight="1" x14ac:dyDescent="0.2">
      <c r="C46" s="75"/>
      <c r="D46" s="217"/>
      <c r="E46" s="210"/>
      <c r="F46" s="207"/>
      <c r="G46" s="219"/>
      <c r="AD46" s="101"/>
      <c r="AE46" s="216"/>
      <c r="AF46" s="24"/>
      <c r="AG46" s="24"/>
      <c r="AH46" s="106"/>
      <c r="AI46" s="143"/>
      <c r="AJ46" s="15"/>
    </row>
    <row r="47" spans="1:36" ht="18" customHeight="1" x14ac:dyDescent="0.2">
      <c r="C47" s="75"/>
      <c r="D47" s="217"/>
      <c r="E47" s="210"/>
      <c r="F47" s="207"/>
      <c r="G47" s="219"/>
      <c r="AD47" s="101"/>
      <c r="AE47" s="216"/>
      <c r="AF47" s="24"/>
      <c r="AG47" s="24"/>
      <c r="AH47" s="106"/>
      <c r="AI47" s="143"/>
      <c r="AJ47" s="15"/>
    </row>
    <row r="48" spans="1:36" ht="18" customHeight="1" x14ac:dyDescent="0.2">
      <c r="C48" s="75"/>
      <c r="D48" s="217"/>
      <c r="E48" s="210"/>
      <c r="F48" s="207"/>
      <c r="G48" s="219"/>
      <c r="AD48" s="101"/>
      <c r="AE48" s="216"/>
      <c r="AF48" s="24"/>
      <c r="AG48" s="24"/>
      <c r="AH48" s="106"/>
      <c r="AI48" s="143"/>
      <c r="AJ48" s="15"/>
    </row>
    <row r="49" spans="3:36" ht="18" customHeight="1" x14ac:dyDescent="0.2">
      <c r="C49" s="76"/>
      <c r="D49" s="217"/>
      <c r="E49" s="210"/>
      <c r="F49" s="207"/>
      <c r="G49" s="219"/>
      <c r="AD49" s="101"/>
      <c r="AE49" s="216"/>
      <c r="AF49" s="24"/>
      <c r="AG49" s="24"/>
      <c r="AH49" s="106"/>
      <c r="AI49" s="143"/>
      <c r="AJ49" s="15"/>
    </row>
    <row r="50" spans="3:36" ht="18" customHeight="1" x14ac:dyDescent="0.2">
      <c r="C50" s="15"/>
      <c r="D50" s="209"/>
      <c r="E50" s="210"/>
      <c r="F50" s="207"/>
      <c r="G50" s="207"/>
      <c r="AD50" s="101"/>
      <c r="AE50" s="216"/>
      <c r="AF50" s="24"/>
      <c r="AG50" s="24"/>
      <c r="AH50" s="106"/>
      <c r="AI50" s="224"/>
      <c r="AJ50" s="15"/>
    </row>
    <row r="51" spans="3:36" ht="21.95" customHeight="1" thickBot="1" x14ac:dyDescent="0.25">
      <c r="AD51" s="101"/>
      <c r="AE51" s="216"/>
      <c r="AF51" s="24"/>
      <c r="AG51" s="24"/>
      <c r="AH51" s="106"/>
      <c r="AI51" s="225"/>
    </row>
    <row r="52" spans="3:36" ht="18" customHeight="1" thickTop="1" x14ac:dyDescent="0.2">
      <c r="AD52" s="101"/>
      <c r="AE52" s="216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6"/>
    </row>
    <row r="55" spans="3:36" ht="17.100000000000001" customHeight="1" x14ac:dyDescent="0.2">
      <c r="AD55" s="226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4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4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4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4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4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4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4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4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4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4"/>
      <c r="AF68" s="24"/>
      <c r="AG68" s="24"/>
      <c r="AH68" s="24"/>
      <c r="AI68" s="143"/>
      <c r="AJ68" s="104"/>
    </row>
    <row r="69" spans="1:36" ht="18" customHeight="1" x14ac:dyDescent="0.2">
      <c r="C69" s="227"/>
      <c r="D69" s="24"/>
      <c r="R69" s="14"/>
      <c r="S69" s="14"/>
      <c r="T69" s="14"/>
      <c r="U69" s="14"/>
      <c r="AD69" s="101"/>
      <c r="AE69" s="214"/>
      <c r="AF69" s="24"/>
      <c r="AG69" s="24"/>
      <c r="AH69" s="24"/>
      <c r="AI69" s="143"/>
      <c r="AJ69" s="104"/>
    </row>
    <row r="70" spans="1:36" ht="18" customHeight="1" x14ac:dyDescent="0.2">
      <c r="B70" s="32"/>
      <c r="C70" s="203"/>
      <c r="R70" s="14"/>
      <c r="S70" s="14"/>
      <c r="T70" s="14"/>
      <c r="U70" s="14"/>
      <c r="AD70" s="101"/>
      <c r="AE70" s="214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4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4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3"/>
      <c r="R73" s="14"/>
      <c r="S73" s="14"/>
      <c r="T73" s="14"/>
      <c r="U73" s="14"/>
      <c r="AD73" s="101"/>
      <c r="AE73" s="214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3"/>
      <c r="R74" s="14"/>
      <c r="S74" s="14"/>
      <c r="T74" s="14"/>
      <c r="U74" s="14"/>
      <c r="AD74" s="101"/>
      <c r="AE74" s="214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4"/>
      <c r="AF75" s="24"/>
      <c r="AG75" s="24"/>
      <c r="AH75" s="24"/>
      <c r="AI75" s="143"/>
      <c r="AJ75" s="104"/>
    </row>
    <row r="76" spans="1:36" ht="18" customHeight="1" x14ac:dyDescent="0.2">
      <c r="C76" s="228"/>
      <c r="D76" s="24"/>
      <c r="R76" s="14"/>
      <c r="S76" s="14"/>
      <c r="T76" s="14"/>
      <c r="U76" s="14"/>
      <c r="AD76" s="101"/>
      <c r="AE76" s="214"/>
      <c r="AF76" s="24"/>
      <c r="AG76" s="24"/>
      <c r="AH76" s="24"/>
      <c r="AI76" s="143"/>
      <c r="AJ76" s="104"/>
    </row>
    <row r="77" spans="1:36" ht="18" customHeight="1" x14ac:dyDescent="0.2">
      <c r="C77" s="228"/>
      <c r="D77" s="24"/>
      <c r="R77" s="14"/>
      <c r="S77" s="14"/>
      <c r="T77" s="14"/>
      <c r="U77" s="14"/>
      <c r="AD77" s="101"/>
      <c r="AE77" s="214"/>
      <c r="AF77" s="24"/>
      <c r="AG77" s="24"/>
      <c r="AH77" s="24"/>
      <c r="AI77" s="143"/>
      <c r="AJ77" s="104"/>
    </row>
    <row r="78" spans="1:36" ht="18" customHeight="1" x14ac:dyDescent="0.2">
      <c r="C78" s="229"/>
      <c r="D78" s="24"/>
      <c r="R78" s="14"/>
      <c r="S78" s="14"/>
      <c r="T78" s="14"/>
      <c r="U78" s="14"/>
      <c r="AD78" s="101"/>
      <c r="AE78" s="214"/>
      <c r="AF78" s="24"/>
      <c r="AG78" s="24"/>
      <c r="AH78" s="24"/>
      <c r="AI78" s="143"/>
      <c r="AJ78" s="104"/>
    </row>
    <row r="79" spans="1:36" ht="18" customHeight="1" x14ac:dyDescent="0.2">
      <c r="C79" s="230"/>
      <c r="R79" s="14"/>
      <c r="S79" s="14"/>
      <c r="T79" s="14"/>
      <c r="U79" s="14"/>
      <c r="AD79" s="101"/>
      <c r="AE79" s="214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4"/>
      <c r="AF80" s="24"/>
      <c r="AG80" s="24"/>
      <c r="AH80" s="24"/>
      <c r="AI80" s="143"/>
      <c r="AJ80" s="104"/>
    </row>
    <row r="81" spans="3:36" ht="18" customHeight="1" x14ac:dyDescent="0.2">
      <c r="C81" s="227"/>
      <c r="D81" s="24"/>
      <c r="R81" s="14"/>
      <c r="S81" s="14"/>
      <c r="T81" s="14"/>
      <c r="U81" s="14"/>
      <c r="AD81" s="101"/>
      <c r="AE81" s="214"/>
      <c r="AF81" s="24"/>
      <c r="AG81" s="24"/>
      <c r="AH81" s="24"/>
      <c r="AI81" s="143"/>
      <c r="AJ81" s="104"/>
    </row>
    <row r="82" spans="3:36" ht="18" customHeight="1" x14ac:dyDescent="0.2">
      <c r="C82" s="231"/>
      <c r="D82" s="24"/>
      <c r="R82" s="14"/>
      <c r="S82" s="14"/>
      <c r="T82" s="14"/>
      <c r="U82" s="14"/>
      <c r="AD82" s="101"/>
      <c r="AE82" s="214"/>
      <c r="AF82" s="24"/>
      <c r="AG82" s="24"/>
      <c r="AH82" s="24"/>
      <c r="AI82" s="143"/>
      <c r="AJ82" s="104"/>
    </row>
    <row r="83" spans="3:36" ht="18" customHeight="1" x14ac:dyDescent="0.2">
      <c r="C83" s="231"/>
      <c r="D83" s="24"/>
      <c r="R83" s="14"/>
      <c r="S83" s="14"/>
      <c r="T83" s="14"/>
      <c r="U83" s="14"/>
      <c r="AD83" s="101"/>
      <c r="AE83" s="214"/>
      <c r="AF83" s="24"/>
      <c r="AG83" s="24"/>
      <c r="AH83" s="24"/>
      <c r="AI83" s="143"/>
      <c r="AJ83" s="162"/>
    </row>
    <row r="84" spans="3:36" ht="24.95" customHeight="1" thickBot="1" x14ac:dyDescent="0.25">
      <c r="C84" s="232"/>
      <c r="D84" s="24"/>
      <c r="R84" s="14"/>
      <c r="S84" s="14"/>
      <c r="T84" s="14"/>
      <c r="U84" s="14"/>
      <c r="AD84" s="226"/>
      <c r="AE84" s="214"/>
      <c r="AF84" s="24"/>
      <c r="AG84" s="24"/>
      <c r="AH84" s="24"/>
      <c r="AI84" s="143"/>
      <c r="AJ84" s="233"/>
    </row>
    <row r="85" spans="3:36" ht="15" customHeight="1" thickTop="1" x14ac:dyDescent="0.2">
      <c r="C85" s="230"/>
      <c r="R85" s="14"/>
      <c r="S85" s="14"/>
      <c r="T85" s="14"/>
      <c r="U85" s="14"/>
      <c r="AD85" s="101"/>
      <c r="AE85" s="216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6"/>
      <c r="AE86" s="216"/>
      <c r="AF86" s="24"/>
      <c r="AG86" s="24"/>
      <c r="AH86" s="24"/>
      <c r="AI86" s="143"/>
      <c r="AJ86" s="15"/>
    </row>
    <row r="87" spans="3:36" ht="24.95" customHeight="1" thickBot="1" x14ac:dyDescent="0.25">
      <c r="C87" s="234"/>
      <c r="R87" s="14"/>
      <c r="S87" s="14"/>
      <c r="T87" s="14"/>
      <c r="U87" s="14"/>
      <c r="AD87" s="235"/>
      <c r="AE87" s="236"/>
      <c r="AF87" s="150"/>
      <c r="AG87" s="150"/>
      <c r="AH87" s="150"/>
      <c r="AI87" s="237"/>
      <c r="AJ87" s="219"/>
    </row>
    <row r="88" spans="3:36" ht="24.95" customHeight="1" thickTop="1" x14ac:dyDescent="0.2">
      <c r="C88" s="231"/>
      <c r="D88" s="24"/>
      <c r="R88" s="14"/>
      <c r="S88" s="14"/>
      <c r="T88" s="14"/>
      <c r="U88" s="14"/>
      <c r="AD88" s="38"/>
      <c r="AJ88" s="219"/>
    </row>
    <row r="89" spans="3:36" ht="15" customHeight="1" x14ac:dyDescent="0.2">
      <c r="D89" s="128"/>
      <c r="E89" s="110"/>
      <c r="F89" s="2"/>
      <c r="G89" s="12"/>
      <c r="H89" s="238"/>
      <c r="I89" s="128"/>
      <c r="J89" s="24"/>
      <c r="K89" s="12"/>
      <c r="L89" s="238"/>
      <c r="M89" s="24"/>
      <c r="N89" s="24"/>
      <c r="O89" s="12"/>
      <c r="P89" s="238"/>
      <c r="Q89" s="24"/>
      <c r="R89" s="24"/>
      <c r="S89" s="101"/>
      <c r="T89" s="238"/>
      <c r="U89" s="24"/>
      <c r="V89" s="24"/>
      <c r="AD89" s="239"/>
      <c r="AJ89" s="219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9"/>
      <c r="AJ90" s="219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9"/>
      <c r="AJ91" s="207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9"/>
      <c r="AJ92" s="207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9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9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9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9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40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40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40"/>
      <c r="AD101" s="12"/>
      <c r="AE101" s="214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6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1"/>
      <c r="AD103" s="101"/>
      <c r="AE103" s="216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40"/>
      <c r="AD104" s="101"/>
      <c r="AE104" s="216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40"/>
      <c r="AD105" s="101"/>
      <c r="AE105" s="216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40"/>
      <c r="AD106" s="101"/>
      <c r="AE106" s="216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6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6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6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6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6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6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6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6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6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6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6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6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6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6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6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6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6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6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6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8"/>
      <c r="U126" s="24"/>
      <c r="V126" s="24"/>
      <c r="X126" s="53"/>
      <c r="AD126" s="101"/>
      <c r="AE126" s="216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6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6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6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6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40"/>
      <c r="AD131" s="101"/>
      <c r="AE131" s="216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40"/>
      <c r="AD132" s="101"/>
      <c r="AE132" s="216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6"/>
      <c r="AF133" s="24"/>
      <c r="AG133" s="24"/>
      <c r="AH133" s="24"/>
      <c r="AI133" s="143"/>
      <c r="AJ133" s="104"/>
    </row>
    <row r="134" spans="1:36" ht="21.95" customHeight="1" x14ac:dyDescent="0.25">
      <c r="C134" s="231"/>
      <c r="D134" s="243"/>
      <c r="E134" s="110"/>
      <c r="F134" s="2"/>
      <c r="G134" s="2"/>
      <c r="R134" s="14"/>
      <c r="S134" s="12"/>
      <c r="T134" s="24"/>
      <c r="U134" s="24"/>
      <c r="V134" s="24"/>
      <c r="X134" s="240"/>
      <c r="AD134" s="101"/>
      <c r="AE134" s="216"/>
      <c r="AF134" s="24"/>
      <c r="AG134" s="24"/>
      <c r="AH134" s="24"/>
      <c r="AI134" s="143"/>
      <c r="AJ134" s="104"/>
    </row>
    <row r="135" spans="1:36" ht="21.95" customHeight="1" x14ac:dyDescent="0.25">
      <c r="C135" s="244"/>
      <c r="D135" s="128"/>
      <c r="E135" s="110"/>
      <c r="F135" s="2"/>
      <c r="G135" s="2"/>
      <c r="R135" s="14"/>
      <c r="S135" s="12"/>
      <c r="T135" s="24"/>
      <c r="U135" s="24"/>
      <c r="V135" s="24"/>
      <c r="X135" s="240"/>
      <c r="AD135" s="101"/>
      <c r="AE135" s="216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6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40"/>
      <c r="AD137" s="101"/>
      <c r="AE137" s="216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6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6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40"/>
      <c r="AD140" s="101"/>
      <c r="AE140" s="216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40"/>
      <c r="AD141" s="101"/>
      <c r="AE141" s="216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6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6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6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6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6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6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6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6"/>
      <c r="AF149" s="24"/>
      <c r="AG149" s="245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6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6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6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6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6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6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6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6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6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6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6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6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6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6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6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6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6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8"/>
      <c r="T167" s="24"/>
      <c r="U167" s="24"/>
      <c r="AD167" s="101"/>
      <c r="AE167" s="216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6"/>
      <c r="AF168" s="245"/>
      <c r="AG168" s="245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6"/>
      <c r="AB169" s="87"/>
      <c r="AC169" s="87"/>
      <c r="AD169" s="101"/>
      <c r="AE169" s="216"/>
      <c r="AF169" s="245"/>
      <c r="AG169" s="245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6"/>
      <c r="AB170" s="87"/>
      <c r="AC170" s="87"/>
      <c r="AD170" s="101"/>
      <c r="AE170" s="216"/>
      <c r="AF170" s="245"/>
      <c r="AG170" s="245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6"/>
      <c r="AB171" s="87"/>
      <c r="AC171" s="87"/>
      <c r="AD171" s="101"/>
      <c r="AE171" s="216"/>
      <c r="AF171" s="245"/>
      <c r="AG171" s="245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6"/>
      <c r="AB172" s="87"/>
      <c r="AC172" s="87"/>
      <c r="AD172" s="101"/>
      <c r="AE172" s="216"/>
      <c r="AF172" s="24"/>
      <c r="AG172" s="245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6"/>
      <c r="AB173" s="87"/>
      <c r="AC173" s="87"/>
      <c r="AD173" s="101"/>
      <c r="AE173" s="216"/>
      <c r="AF173" s="245"/>
      <c r="AG173" s="245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6"/>
      <c r="AB174" s="87"/>
      <c r="AC174" s="87"/>
      <c r="AD174" s="101"/>
      <c r="AE174" s="216"/>
      <c r="AF174" s="245"/>
      <c r="AG174" s="245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6"/>
      <c r="AB175" s="87"/>
      <c r="AC175" s="87"/>
      <c r="AD175" s="101"/>
      <c r="AE175" s="216"/>
      <c r="AF175" s="24"/>
      <c r="AG175" s="245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6"/>
      <c r="AB176" s="87"/>
      <c r="AC176" s="87"/>
      <c r="AD176" s="101"/>
      <c r="AE176" s="216"/>
      <c r="AF176" s="24"/>
      <c r="AG176" s="245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6"/>
      <c r="AB177" s="87"/>
      <c r="AC177" s="87"/>
      <c r="AD177" s="101"/>
      <c r="AE177" s="216"/>
      <c r="AF177" s="24"/>
      <c r="AG177" s="245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6"/>
      <c r="AB178" s="87"/>
      <c r="AC178" s="87"/>
      <c r="AD178" s="101"/>
      <c r="AE178" s="216"/>
      <c r="AF178" s="24"/>
      <c r="AG178" s="245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6"/>
      <c r="AB179" s="87"/>
      <c r="AC179" s="87"/>
      <c r="AD179" s="101"/>
      <c r="AE179" s="216"/>
      <c r="AF179" s="24"/>
      <c r="AG179" s="245"/>
      <c r="AH179" s="24"/>
      <c r="AI179" s="143"/>
      <c r="AJ179" s="104"/>
    </row>
    <row r="180" spans="2:36" ht="15" customHeight="1" x14ac:dyDescent="0.2">
      <c r="C180" s="231"/>
      <c r="D180" s="243"/>
      <c r="E180" s="110"/>
      <c r="R180" s="12"/>
      <c r="S180" s="24"/>
      <c r="T180" s="24"/>
      <c r="U180" s="24"/>
      <c r="X180" s="87"/>
      <c r="Y180" s="87"/>
      <c r="Z180" s="87"/>
      <c r="AA180" s="246"/>
      <c r="AB180" s="87"/>
      <c r="AC180" s="87"/>
      <c r="AD180" s="101"/>
      <c r="AE180" s="216"/>
      <c r="AF180" s="24"/>
      <c r="AG180" s="245"/>
      <c r="AH180" s="24"/>
      <c r="AI180" s="143"/>
      <c r="AJ180" s="104"/>
    </row>
    <row r="181" spans="2:36" ht="15" customHeight="1" x14ac:dyDescent="0.2">
      <c r="C181" s="231"/>
      <c r="D181" s="243"/>
      <c r="E181" s="110"/>
      <c r="R181" s="12"/>
      <c r="S181" s="24"/>
      <c r="T181" s="24"/>
      <c r="U181" s="24"/>
      <c r="X181" s="87"/>
      <c r="Y181" s="87"/>
      <c r="Z181" s="87"/>
      <c r="AA181" s="246"/>
      <c r="AB181" s="87"/>
      <c r="AC181" s="87"/>
      <c r="AD181" s="101"/>
      <c r="AE181" s="216"/>
      <c r="AF181" s="24"/>
      <c r="AG181" s="245"/>
      <c r="AH181" s="24"/>
      <c r="AI181" s="143"/>
      <c r="AJ181" s="104"/>
    </row>
    <row r="182" spans="2:36" ht="15" customHeight="1" x14ac:dyDescent="0.2">
      <c r="C182" s="231"/>
      <c r="D182" s="243"/>
      <c r="E182" s="110"/>
      <c r="R182" s="12"/>
      <c r="S182" s="24"/>
      <c r="T182" s="24"/>
      <c r="U182" s="24"/>
      <c r="X182" s="87"/>
      <c r="Y182" s="87"/>
      <c r="Z182" s="87"/>
      <c r="AA182" s="246"/>
      <c r="AB182" s="87"/>
      <c r="AC182" s="87"/>
      <c r="AD182" s="101"/>
      <c r="AE182" s="216"/>
      <c r="AF182" s="24"/>
      <c r="AG182" s="245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6"/>
      <c r="AB183" s="87"/>
      <c r="AC183" s="87"/>
      <c r="AD183" s="101"/>
      <c r="AE183" s="216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6"/>
      <c r="AB184" s="87"/>
      <c r="AC184" s="87"/>
      <c r="AD184" s="101"/>
      <c r="AE184" s="216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6"/>
      <c r="AB185" s="87"/>
      <c r="AC185" s="87"/>
      <c r="AD185" s="101"/>
      <c r="AE185" s="216"/>
      <c r="AF185" s="24"/>
      <c r="AG185" s="245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6"/>
      <c r="AB186" s="87"/>
      <c r="AC186" s="87"/>
      <c r="AD186" s="101"/>
      <c r="AE186" s="216"/>
      <c r="AF186" s="24"/>
      <c r="AG186" s="245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6"/>
      <c r="AB187" s="87"/>
      <c r="AC187" s="87"/>
      <c r="AD187" s="101"/>
      <c r="AE187" s="216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6"/>
      <c r="AB188" s="87"/>
      <c r="AC188" s="87"/>
      <c r="AD188" s="101"/>
      <c r="AE188" s="216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6"/>
      <c r="AB189" s="87"/>
      <c r="AC189" s="87"/>
      <c r="AD189" s="101"/>
      <c r="AE189" s="216"/>
      <c r="AF189" s="245"/>
      <c r="AG189" s="245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6"/>
      <c r="AB190" s="87"/>
      <c r="AC190" s="87"/>
      <c r="AD190" s="101"/>
      <c r="AE190" s="216"/>
      <c r="AF190" s="245"/>
      <c r="AG190" s="245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6"/>
      <c r="AB191" s="87"/>
      <c r="AC191" s="87"/>
      <c r="AD191" s="101"/>
      <c r="AE191" s="216"/>
      <c r="AF191" s="245"/>
      <c r="AG191" s="245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6"/>
      <c r="AB192" s="87"/>
      <c r="AC192" s="87"/>
      <c r="AD192" s="101"/>
      <c r="AE192" s="216"/>
      <c r="AF192" s="245"/>
      <c r="AG192" s="245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6"/>
      <c r="AB193" s="87"/>
      <c r="AC193" s="87"/>
      <c r="AD193" s="101"/>
      <c r="AE193" s="216"/>
      <c r="AF193" s="24"/>
      <c r="AG193" s="245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6"/>
      <c r="AB194" s="87"/>
      <c r="AC194" s="87"/>
      <c r="AD194" s="101"/>
      <c r="AE194" s="216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6"/>
      <c r="AB195" s="87"/>
      <c r="AC195" s="87"/>
      <c r="AD195" s="101"/>
      <c r="AE195" s="216"/>
      <c r="AF195" s="245"/>
      <c r="AG195" s="245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6"/>
      <c r="AB196" s="87"/>
      <c r="AC196" s="87"/>
      <c r="AD196" s="101"/>
      <c r="AE196" s="216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6"/>
      <c r="AB197" s="87"/>
      <c r="AC197" s="87"/>
      <c r="AD197" s="101"/>
      <c r="AE197" s="216"/>
      <c r="AF197" s="245"/>
      <c r="AG197" s="245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6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6"/>
      <c r="AF199" s="245"/>
      <c r="AG199" s="245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6"/>
      <c r="AF200" s="24"/>
      <c r="AG200" s="245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6"/>
      <c r="AF201" s="245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6"/>
      <c r="AF202" s="245"/>
      <c r="AG202" s="245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6"/>
      <c r="AF203" s="245"/>
      <c r="AG203" s="245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6"/>
      <c r="AF204" s="245"/>
      <c r="AG204" s="245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6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6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8"/>
      <c r="T207" s="24"/>
      <c r="U207" s="24"/>
      <c r="AD207" s="101"/>
      <c r="AE207" s="216"/>
      <c r="AF207" s="245"/>
      <c r="AG207" s="245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6"/>
      <c r="AF208" s="245"/>
      <c r="AG208" s="245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6"/>
      <c r="AF209" s="245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6"/>
      <c r="AF210" s="245"/>
      <c r="AG210" s="245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6"/>
      <c r="AF211" s="245"/>
      <c r="AG211" s="245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6"/>
      <c r="AF212" s="245"/>
      <c r="AG212" s="245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6"/>
      <c r="AF213" s="245"/>
      <c r="AG213" s="245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6"/>
      <c r="AF214" s="24"/>
      <c r="AG214" s="245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6"/>
      <c r="AF215" s="24"/>
      <c r="AG215" s="243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6"/>
      <c r="AF216" s="24"/>
      <c r="AG216" s="243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6"/>
      <c r="AF217" s="243"/>
      <c r="AG217" s="243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6"/>
      <c r="AF218" s="247"/>
      <c r="AG218" s="247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6"/>
      <c r="AF219" s="247"/>
      <c r="AG219" s="247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6"/>
      <c r="AF220" s="247"/>
      <c r="AG220" s="247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6"/>
      <c r="AF221" s="24"/>
      <c r="AG221" s="247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6"/>
      <c r="AF222" s="24"/>
      <c r="AG222" s="245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6"/>
      <c r="AF223" s="24"/>
      <c r="AG223" s="245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6"/>
      <c r="AF224" s="24"/>
      <c r="AG224" s="245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6"/>
      <c r="AF225" s="243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6"/>
      <c r="AF226" s="243"/>
      <c r="AG226" s="243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6"/>
      <c r="AF227" s="243"/>
      <c r="AG227" s="243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6"/>
      <c r="AF228" s="243"/>
      <c r="AG228" s="243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6"/>
      <c r="AF229" s="243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6"/>
      <c r="AF230" s="243"/>
      <c r="AG230" s="247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6"/>
      <c r="AF231" s="243"/>
      <c r="AG231" s="247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6"/>
      <c r="AF232" s="243"/>
      <c r="AG232" s="247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6"/>
      <c r="AF233" s="24"/>
      <c r="AG233" s="245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6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6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6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6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6"/>
      <c r="AF238" s="243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6"/>
      <c r="AF239" s="243"/>
      <c r="AG239" s="248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6"/>
      <c r="AF240" s="243"/>
      <c r="AG240" s="248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6"/>
      <c r="AF241" s="243"/>
      <c r="AG241" s="248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6"/>
      <c r="AF242" s="243"/>
      <c r="AG242" s="247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6"/>
      <c r="AF243" s="243"/>
      <c r="AG243" s="248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6"/>
      <c r="AF244" s="243"/>
      <c r="AG244" s="247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6"/>
      <c r="AF245" s="243"/>
      <c r="AG245" s="247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6"/>
      <c r="AF246" s="24"/>
      <c r="AG246" s="245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6"/>
      <c r="AF247" s="249"/>
      <c r="AG247" s="250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6"/>
      <c r="AF248" s="249"/>
      <c r="AG248" s="249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6"/>
      <c r="AF249" s="251"/>
      <c r="AG249" s="248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6"/>
      <c r="AF250" s="251"/>
      <c r="AG250" s="248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6"/>
      <c r="AF251" s="249"/>
      <c r="AG251" s="249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6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6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6"/>
      <c r="AF254" s="245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6"/>
      <c r="AF255" s="249"/>
      <c r="AG255" s="247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6"/>
      <c r="AF256" s="249"/>
      <c r="AG256" s="249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6"/>
      <c r="AF257" s="251"/>
      <c r="AG257" s="248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6"/>
      <c r="AF258" s="249"/>
      <c r="AG258" s="249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6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6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6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6"/>
      <c r="AF262" s="245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6"/>
      <c r="AF263" s="251"/>
      <c r="AG263" s="250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6"/>
      <c r="AF264" s="249"/>
      <c r="AG264" s="249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6"/>
      <c r="AF265" s="249"/>
      <c r="AG265" s="249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6"/>
      <c r="AF266" s="24"/>
      <c r="AG266" s="245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6"/>
      <c r="AF267" s="24"/>
      <c r="AG267" s="245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6"/>
      <c r="AF268" s="24"/>
      <c r="AG268" s="245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6"/>
      <c r="AF269" s="24"/>
      <c r="AG269" s="245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6"/>
      <c r="AF270" s="245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6"/>
      <c r="AF271" s="251"/>
      <c r="AG271" s="247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6"/>
      <c r="AF272" s="251"/>
      <c r="AG272" s="249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6"/>
      <c r="AF273" s="249"/>
      <c r="AG273" s="249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6"/>
      <c r="AF274" s="24"/>
      <c r="AG274" s="245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6"/>
      <c r="AF275" s="24"/>
      <c r="AG275" s="245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6"/>
      <c r="AF276" s="245"/>
      <c r="AG276" s="245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6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6"/>
      <c r="AF278" s="251"/>
      <c r="AG278" s="250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6"/>
      <c r="AF279" s="251"/>
      <c r="AG279" s="248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6"/>
      <c r="AF280" s="251"/>
      <c r="AG280" s="248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6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6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6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6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6"/>
      <c r="AF285" s="24"/>
      <c r="AG285" s="245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6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6"/>
      <c r="AF287" s="24"/>
      <c r="AG287" s="245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6"/>
      <c r="AF288" s="24"/>
      <c r="AG288" s="245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6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6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6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6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6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6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6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6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6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6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6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6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6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6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6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6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6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6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6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6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6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6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6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6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6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6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6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6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6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6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6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6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6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6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6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6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6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6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6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6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6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6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6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6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6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6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6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6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6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6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6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6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6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6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6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6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6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6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6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6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6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6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6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6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6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6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6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6"/>
      <c r="AE356" s="216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6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6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6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6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6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6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6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6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6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6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6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6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6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6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6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6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6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6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6"/>
      <c r="AE375" s="216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6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6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6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6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6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6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6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6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6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6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6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6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6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6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6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6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4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4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4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4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4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4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4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4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4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4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4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4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4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4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4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4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4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4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4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4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4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4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4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4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4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4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4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4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4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4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4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4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4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4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4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4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4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4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4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4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4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4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4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4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4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4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4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4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4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4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4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4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4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4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4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4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4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4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4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4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4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4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4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4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4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4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4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4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4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4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4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4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4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4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4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4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4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4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4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4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4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4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4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4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4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4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4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4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4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4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4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4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4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4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4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4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4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4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4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4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4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4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4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4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4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4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4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4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4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4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4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4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4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4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4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4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4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4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4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4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4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4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4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4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4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4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4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4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4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4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4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4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4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4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4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4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4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4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4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4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4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4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4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4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4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4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4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4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4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4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4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4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4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4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4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4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4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4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4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4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4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4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4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4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4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4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4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4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4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4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4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4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4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4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4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4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4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4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4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4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4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4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4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4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4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4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4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4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4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4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4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4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4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4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4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4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4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4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4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4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4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4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4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4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4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4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4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4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4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4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4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4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4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4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4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4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4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4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4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4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4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4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4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4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4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4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4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4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4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4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4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4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4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4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4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4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4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4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6" workbookViewId="0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20</v>
      </c>
      <c r="C3" s="14"/>
      <c r="D3" s="38" t="s">
        <v>21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13</v>
      </c>
      <c r="B4" s="6" t="s">
        <v>22</v>
      </c>
      <c r="C4" s="40" t="s">
        <v>23</v>
      </c>
      <c r="D4" s="6" t="s">
        <v>22</v>
      </c>
      <c r="E4" s="6" t="s">
        <v>23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154</v>
      </c>
      <c r="C5" s="11">
        <v>30000</v>
      </c>
      <c r="D5" s="11">
        <v>88235</v>
      </c>
      <c r="E5" s="11">
        <v>59991</v>
      </c>
      <c r="F5" s="11">
        <f>+B5+D5-C5-E5</f>
        <v>-1602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263</v>
      </c>
      <c r="C6" s="11">
        <v>30000</v>
      </c>
      <c r="D6" s="11">
        <v>79721</v>
      </c>
      <c r="E6" s="11">
        <v>53107</v>
      </c>
      <c r="F6" s="11">
        <f t="shared" ref="F6:F35" si="0">+B6+D6-C6-E6</f>
        <v>-3123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29620</v>
      </c>
      <c r="C7" s="11"/>
      <c r="D7" s="11">
        <v>599</v>
      </c>
      <c r="E7" s="11">
        <v>30000</v>
      </c>
      <c r="F7" s="11">
        <f t="shared" si="0"/>
        <v>219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36064</v>
      </c>
      <c r="C8" s="11"/>
      <c r="D8" s="11">
        <v>0</v>
      </c>
      <c r="E8" s="11">
        <v>35395</v>
      </c>
      <c r="F8" s="11">
        <f t="shared" si="0"/>
        <v>669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66101</v>
      </c>
      <c r="C36" s="44">
        <f>SUM(C5:C35)</f>
        <v>60000</v>
      </c>
      <c r="D36" s="43">
        <f>SUM(D5:D35)</f>
        <v>168555</v>
      </c>
      <c r="E36" s="44">
        <f>SUM(E5:E35)</f>
        <v>178493</v>
      </c>
      <c r="F36" s="11">
        <f>SUM(F5:F35)</f>
        <v>-3837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6101</v>
      </c>
      <c r="D37" s="24"/>
      <c r="E37" s="24">
        <f>+D36-E36</f>
        <v>-9938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24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36738</v>
      </c>
      <c r="C41" s="14"/>
      <c r="D41" s="50"/>
      <c r="E41" s="50"/>
      <c r="F41" s="247">
        <v>32559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36742</v>
      </c>
      <c r="C42" s="14"/>
      <c r="D42" s="50"/>
      <c r="E42" s="50"/>
      <c r="F42" s="51">
        <f>+F41+F36</f>
        <v>28722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E14" workbookViewId="0">
      <selection activeCell="H38" sqref="H38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8" ht="15.75" x14ac:dyDescent="0.25">
      <c r="A1" s="53">
        <v>56698</v>
      </c>
      <c r="B1" s="54">
        <v>36557</v>
      </c>
      <c r="E1" s="53">
        <v>56698</v>
      </c>
      <c r="F1" s="55"/>
    </row>
    <row r="3" spans="1:8" x14ac:dyDescent="0.2">
      <c r="A3" s="5" t="s">
        <v>13</v>
      </c>
      <c r="B3" s="6" t="s">
        <v>14</v>
      </c>
      <c r="C3" s="6" t="s">
        <v>15</v>
      </c>
      <c r="E3" s="5" t="s">
        <v>13</v>
      </c>
      <c r="F3" s="6" t="s">
        <v>23</v>
      </c>
      <c r="G3" s="6" t="s">
        <v>22</v>
      </c>
    </row>
    <row r="4" spans="1:8" x14ac:dyDescent="0.2">
      <c r="A4" s="10">
        <v>1</v>
      </c>
      <c r="B4" s="11">
        <v>113232</v>
      </c>
      <c r="C4" s="11">
        <v>113891</v>
      </c>
      <c r="D4" s="25">
        <f>+C4-B4</f>
        <v>659</v>
      </c>
      <c r="E4" s="10">
        <v>1</v>
      </c>
      <c r="F4" s="11">
        <v>299865</v>
      </c>
      <c r="G4" s="11">
        <v>301712</v>
      </c>
      <c r="H4" s="25">
        <f>+G4-F4</f>
        <v>1847</v>
      </c>
    </row>
    <row r="5" spans="1:8" x14ac:dyDescent="0.2">
      <c r="A5" s="10">
        <v>2</v>
      </c>
      <c r="B5" s="11">
        <v>54329</v>
      </c>
      <c r="C5" s="11">
        <v>55491</v>
      </c>
      <c r="D5" s="25">
        <f t="shared" ref="D5:D34" si="0">+C5-B5</f>
        <v>1162</v>
      </c>
      <c r="E5" s="10">
        <v>2</v>
      </c>
      <c r="F5" s="11">
        <v>292627</v>
      </c>
      <c r="G5" s="11">
        <v>293529</v>
      </c>
      <c r="H5" s="25">
        <f t="shared" ref="H5:H34" si="1">+G5-F5</f>
        <v>902</v>
      </c>
    </row>
    <row r="6" spans="1:8" x14ac:dyDescent="0.2">
      <c r="A6" s="10">
        <v>3</v>
      </c>
      <c r="B6" s="11">
        <v>6989</v>
      </c>
      <c r="C6" s="11">
        <v>7522</v>
      </c>
      <c r="D6" s="25">
        <f t="shared" si="0"/>
        <v>533</v>
      </c>
      <c r="E6" s="10">
        <v>3</v>
      </c>
      <c r="F6" s="11">
        <v>299999</v>
      </c>
      <c r="G6" s="11">
        <v>300680</v>
      </c>
      <c r="H6" s="25">
        <f t="shared" si="1"/>
        <v>681</v>
      </c>
    </row>
    <row r="7" spans="1:8" x14ac:dyDescent="0.2">
      <c r="A7" s="10">
        <v>4</v>
      </c>
      <c r="B7" s="11">
        <v>9334</v>
      </c>
      <c r="C7" s="11">
        <v>10331</v>
      </c>
      <c r="D7" s="25">
        <f t="shared" si="0"/>
        <v>997</v>
      </c>
      <c r="E7" s="10">
        <v>4</v>
      </c>
      <c r="F7" s="11">
        <v>271363</v>
      </c>
      <c r="G7" s="11">
        <v>274481</v>
      </c>
      <c r="H7" s="25">
        <f t="shared" si="1"/>
        <v>3118</v>
      </c>
    </row>
    <row r="8" spans="1:8" x14ac:dyDescent="0.2">
      <c r="A8" s="10">
        <v>5</v>
      </c>
      <c r="B8" s="11">
        <v>24136</v>
      </c>
      <c r="C8" s="11">
        <v>24791</v>
      </c>
      <c r="D8" s="25">
        <f t="shared" si="0"/>
        <v>655</v>
      </c>
      <c r="E8" s="10">
        <v>5</v>
      </c>
      <c r="F8" s="11"/>
      <c r="G8" s="11"/>
      <c r="H8" s="25">
        <f t="shared" si="1"/>
        <v>0</v>
      </c>
    </row>
    <row r="9" spans="1:8" x14ac:dyDescent="0.2">
      <c r="A9" s="10">
        <v>6</v>
      </c>
      <c r="B9" s="11">
        <v>39561</v>
      </c>
      <c r="C9" s="11">
        <v>40733</v>
      </c>
      <c r="D9" s="25">
        <f t="shared" si="0"/>
        <v>1172</v>
      </c>
      <c r="E9" s="10">
        <v>6</v>
      </c>
      <c r="F9" s="11"/>
      <c r="G9" s="11"/>
      <c r="H9" s="25">
        <f t="shared" si="1"/>
        <v>0</v>
      </c>
    </row>
    <row r="10" spans="1:8" x14ac:dyDescent="0.2">
      <c r="A10" s="10">
        <v>7</v>
      </c>
      <c r="B10" s="11">
        <v>39561</v>
      </c>
      <c r="C10" s="11">
        <v>41001</v>
      </c>
      <c r="D10" s="25">
        <f t="shared" si="0"/>
        <v>1440</v>
      </c>
      <c r="E10" s="10">
        <v>7</v>
      </c>
      <c r="F10" s="11"/>
      <c r="G10" s="11"/>
      <c r="H10" s="25">
        <f t="shared" si="1"/>
        <v>0</v>
      </c>
    </row>
    <row r="11" spans="1:8" x14ac:dyDescent="0.2">
      <c r="A11" s="10">
        <v>8</v>
      </c>
      <c r="B11" s="11">
        <v>54691</v>
      </c>
      <c r="C11" s="11">
        <v>55577</v>
      </c>
      <c r="D11" s="25">
        <f t="shared" si="0"/>
        <v>886</v>
      </c>
      <c r="E11" s="10">
        <v>8</v>
      </c>
      <c r="F11" s="11"/>
      <c r="G11" s="11"/>
      <c r="H11" s="25">
        <f t="shared" si="1"/>
        <v>0</v>
      </c>
    </row>
    <row r="12" spans="1:8" x14ac:dyDescent="0.2">
      <c r="A12" s="10">
        <v>9</v>
      </c>
      <c r="B12" s="11">
        <v>99691</v>
      </c>
      <c r="C12" s="11">
        <v>100373</v>
      </c>
      <c r="D12" s="25">
        <f t="shared" si="0"/>
        <v>682</v>
      </c>
      <c r="E12" s="10">
        <v>9</v>
      </c>
      <c r="F12" s="11"/>
      <c r="G12" s="11"/>
      <c r="H12" s="25">
        <f t="shared" si="1"/>
        <v>0</v>
      </c>
    </row>
    <row r="13" spans="1:8" x14ac:dyDescent="0.2">
      <c r="A13" s="10">
        <v>10</v>
      </c>
      <c r="B13" s="11">
        <v>93620</v>
      </c>
      <c r="C13" s="11">
        <v>94879</v>
      </c>
      <c r="D13" s="25">
        <f t="shared" si="0"/>
        <v>1259</v>
      </c>
      <c r="E13" s="10">
        <v>10</v>
      </c>
      <c r="F13" s="11"/>
      <c r="G13" s="11"/>
      <c r="H13" s="25">
        <f t="shared" si="1"/>
        <v>0</v>
      </c>
    </row>
    <row r="14" spans="1:8" x14ac:dyDescent="0.2">
      <c r="A14" s="10">
        <v>11</v>
      </c>
      <c r="B14" s="11">
        <v>112910</v>
      </c>
      <c r="C14" s="11">
        <v>114097</v>
      </c>
      <c r="D14" s="25">
        <f t="shared" si="0"/>
        <v>1187</v>
      </c>
      <c r="E14" s="10">
        <v>11</v>
      </c>
      <c r="F14" s="11"/>
      <c r="G14" s="11"/>
      <c r="H14" s="25">
        <f t="shared" si="1"/>
        <v>0</v>
      </c>
    </row>
    <row r="15" spans="1:8" x14ac:dyDescent="0.2">
      <c r="A15" s="10">
        <v>12</v>
      </c>
      <c r="B15" s="11">
        <v>192825</v>
      </c>
      <c r="C15" s="11">
        <v>195053</v>
      </c>
      <c r="D15" s="25">
        <f t="shared" si="0"/>
        <v>2228</v>
      </c>
      <c r="E15" s="10">
        <v>12</v>
      </c>
      <c r="F15" s="11"/>
      <c r="G15" s="11"/>
      <c r="H15" s="25">
        <f t="shared" si="1"/>
        <v>0</v>
      </c>
    </row>
    <row r="16" spans="1:8" x14ac:dyDescent="0.2">
      <c r="A16" s="10">
        <v>13</v>
      </c>
      <c r="B16" s="11">
        <v>157480</v>
      </c>
      <c r="C16" s="11">
        <v>159292</v>
      </c>
      <c r="D16" s="25">
        <f t="shared" si="0"/>
        <v>1812</v>
      </c>
      <c r="E16" s="10">
        <v>13</v>
      </c>
      <c r="F16" s="11"/>
      <c r="G16" s="11"/>
      <c r="H16" s="25">
        <f t="shared" si="1"/>
        <v>0</v>
      </c>
    </row>
    <row r="17" spans="1:8" x14ac:dyDescent="0.2">
      <c r="A17" s="10">
        <v>14</v>
      </c>
      <c r="B17" s="11">
        <v>157482</v>
      </c>
      <c r="C17" s="11">
        <v>159527</v>
      </c>
      <c r="D17" s="25">
        <f t="shared" si="0"/>
        <v>2045</v>
      </c>
      <c r="E17" s="10">
        <v>14</v>
      </c>
      <c r="F17" s="11"/>
      <c r="G17" s="11"/>
      <c r="H17" s="25">
        <f t="shared" si="1"/>
        <v>0</v>
      </c>
    </row>
    <row r="18" spans="1:8" x14ac:dyDescent="0.2">
      <c r="A18" s="10">
        <v>15</v>
      </c>
      <c r="B18" s="11">
        <v>194922</v>
      </c>
      <c r="C18" s="11">
        <v>194811</v>
      </c>
      <c r="D18" s="25">
        <f t="shared" si="0"/>
        <v>-111</v>
      </c>
      <c r="E18" s="10">
        <v>15</v>
      </c>
      <c r="F18" s="11"/>
      <c r="G18" s="11"/>
      <c r="H18" s="25">
        <f t="shared" si="1"/>
        <v>0</v>
      </c>
    </row>
    <row r="19" spans="1:8" x14ac:dyDescent="0.2">
      <c r="A19" s="10">
        <v>16</v>
      </c>
      <c r="B19" s="11">
        <v>204562</v>
      </c>
      <c r="C19" s="11">
        <v>204757</v>
      </c>
      <c r="D19" s="25">
        <f t="shared" si="0"/>
        <v>195</v>
      </c>
      <c r="E19" s="10">
        <v>16</v>
      </c>
      <c r="F19" s="11"/>
      <c r="G19" s="11"/>
      <c r="H19" s="25">
        <f t="shared" si="1"/>
        <v>0</v>
      </c>
    </row>
    <row r="20" spans="1:8" x14ac:dyDescent="0.2">
      <c r="A20" s="10">
        <v>17</v>
      </c>
      <c r="B20" s="11">
        <v>194896</v>
      </c>
      <c r="C20" s="11">
        <v>194858</v>
      </c>
      <c r="D20" s="25">
        <f t="shared" si="0"/>
        <v>-38</v>
      </c>
      <c r="E20" s="10">
        <v>17</v>
      </c>
      <c r="F20" s="11"/>
      <c r="G20" s="11"/>
      <c r="H20" s="25">
        <f t="shared" si="1"/>
        <v>0</v>
      </c>
    </row>
    <row r="21" spans="1:8" x14ac:dyDescent="0.2">
      <c r="A21" s="10">
        <v>18</v>
      </c>
      <c r="B21" s="11">
        <v>208205</v>
      </c>
      <c r="C21" s="11">
        <v>209740</v>
      </c>
      <c r="D21" s="25">
        <f t="shared" si="0"/>
        <v>1535</v>
      </c>
      <c r="E21" s="10">
        <v>18</v>
      </c>
      <c r="F21" s="11"/>
      <c r="G21" s="11"/>
      <c r="H21" s="25">
        <f t="shared" si="1"/>
        <v>0</v>
      </c>
    </row>
    <row r="22" spans="1:8" x14ac:dyDescent="0.2">
      <c r="A22" s="10">
        <v>19</v>
      </c>
      <c r="B22" s="11">
        <v>174842</v>
      </c>
      <c r="C22" s="11">
        <v>176420</v>
      </c>
      <c r="D22" s="25">
        <f t="shared" si="0"/>
        <v>1578</v>
      </c>
      <c r="E22" s="10">
        <v>19</v>
      </c>
      <c r="F22" s="11"/>
      <c r="G22" s="11"/>
      <c r="H22" s="25">
        <f t="shared" si="1"/>
        <v>0</v>
      </c>
    </row>
    <row r="23" spans="1:8" x14ac:dyDescent="0.2">
      <c r="A23" s="10">
        <v>20</v>
      </c>
      <c r="B23" s="11">
        <v>174573</v>
      </c>
      <c r="C23" s="11">
        <v>176741</v>
      </c>
      <c r="D23" s="25">
        <f t="shared" si="0"/>
        <v>2168</v>
      </c>
      <c r="E23" s="10">
        <v>20</v>
      </c>
      <c r="F23" s="11"/>
      <c r="G23" s="11"/>
      <c r="H23" s="25">
        <f t="shared" si="1"/>
        <v>0</v>
      </c>
    </row>
    <row r="24" spans="1:8" x14ac:dyDescent="0.2">
      <c r="A24" s="10">
        <v>21</v>
      </c>
      <c r="B24" s="11">
        <v>134941</v>
      </c>
      <c r="C24" s="11">
        <v>135002</v>
      </c>
      <c r="D24" s="25">
        <f t="shared" si="0"/>
        <v>61</v>
      </c>
      <c r="E24" s="10">
        <v>21</v>
      </c>
      <c r="F24" s="11"/>
      <c r="G24" s="11"/>
      <c r="H24" s="25">
        <f t="shared" si="1"/>
        <v>0</v>
      </c>
    </row>
    <row r="25" spans="1:8" x14ac:dyDescent="0.2">
      <c r="A25" s="10">
        <v>22</v>
      </c>
      <c r="B25" s="11">
        <v>174858</v>
      </c>
      <c r="C25" s="11">
        <v>175809</v>
      </c>
      <c r="D25" s="25">
        <f t="shared" si="0"/>
        <v>951</v>
      </c>
      <c r="E25" s="10">
        <v>22</v>
      </c>
      <c r="F25" s="11"/>
      <c r="G25" s="11"/>
      <c r="H25" s="25">
        <f t="shared" si="1"/>
        <v>0</v>
      </c>
    </row>
    <row r="26" spans="1:8" x14ac:dyDescent="0.2">
      <c r="A26" s="10">
        <v>23</v>
      </c>
      <c r="B26" s="11">
        <v>131343</v>
      </c>
      <c r="C26" s="11">
        <v>131786</v>
      </c>
      <c r="D26" s="25">
        <f t="shared" si="0"/>
        <v>443</v>
      </c>
      <c r="E26" s="10">
        <v>23</v>
      </c>
      <c r="F26" s="11"/>
      <c r="G26" s="11"/>
      <c r="H26" s="25">
        <f t="shared" si="1"/>
        <v>0</v>
      </c>
    </row>
    <row r="27" spans="1:8" x14ac:dyDescent="0.2">
      <c r="A27" s="10">
        <v>24</v>
      </c>
      <c r="B27" s="11">
        <v>219718</v>
      </c>
      <c r="C27" s="11">
        <v>222201</v>
      </c>
      <c r="D27" s="25">
        <f t="shared" si="0"/>
        <v>2483</v>
      </c>
      <c r="E27" s="10">
        <v>24</v>
      </c>
      <c r="F27" s="11"/>
      <c r="G27" s="11"/>
      <c r="H27" s="25">
        <f t="shared" si="1"/>
        <v>0</v>
      </c>
    </row>
    <row r="28" spans="1:8" x14ac:dyDescent="0.2">
      <c r="A28" s="10">
        <v>25</v>
      </c>
      <c r="B28" s="11">
        <v>149718</v>
      </c>
      <c r="C28" s="11">
        <v>150989</v>
      </c>
      <c r="D28" s="25">
        <f t="shared" si="0"/>
        <v>1271</v>
      </c>
      <c r="E28" s="10">
        <v>25</v>
      </c>
      <c r="F28" s="11"/>
      <c r="G28" s="11"/>
      <c r="H28" s="25">
        <f t="shared" si="1"/>
        <v>0</v>
      </c>
    </row>
    <row r="29" spans="1:8" x14ac:dyDescent="0.2">
      <c r="A29" s="10">
        <v>26</v>
      </c>
      <c r="B29" s="11">
        <f>164686+32</f>
        <v>164718</v>
      </c>
      <c r="C29" s="11">
        <v>166836</v>
      </c>
      <c r="D29" s="25">
        <f t="shared" si="0"/>
        <v>2118</v>
      </c>
      <c r="E29" s="10">
        <v>26</v>
      </c>
      <c r="F29" s="11"/>
      <c r="G29" s="11"/>
      <c r="H29" s="25">
        <f t="shared" si="1"/>
        <v>0</v>
      </c>
    </row>
    <row r="30" spans="1:8" x14ac:dyDescent="0.2">
      <c r="A30" s="10">
        <v>27</v>
      </c>
      <c r="B30" s="11">
        <f>164686+32</f>
        <v>164718</v>
      </c>
      <c r="C30" s="11">
        <v>166836</v>
      </c>
      <c r="D30" s="25">
        <f t="shared" si="0"/>
        <v>2118</v>
      </c>
      <c r="E30" s="10">
        <v>27</v>
      </c>
      <c r="F30" s="11"/>
      <c r="G30" s="11"/>
      <c r="H30" s="25">
        <f t="shared" si="1"/>
        <v>0</v>
      </c>
    </row>
    <row r="31" spans="1:8" x14ac:dyDescent="0.2">
      <c r="A31" s="10">
        <v>28</v>
      </c>
      <c r="B31" s="11">
        <v>164718</v>
      </c>
      <c r="C31" s="11">
        <v>166500</v>
      </c>
      <c r="D31" s="25">
        <f t="shared" si="0"/>
        <v>1782</v>
      </c>
      <c r="E31" s="10">
        <v>28</v>
      </c>
      <c r="F31" s="11"/>
      <c r="G31" s="11"/>
      <c r="H31" s="25">
        <f t="shared" si="1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  <c r="E32" s="10">
        <v>29</v>
      </c>
      <c r="F32" s="11"/>
      <c r="G32" s="11"/>
      <c r="H32" s="25">
        <f t="shared" si="1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  <c r="E33" s="10">
        <v>30</v>
      </c>
      <c r="F33" s="11"/>
      <c r="G33" s="11"/>
      <c r="H33" s="25">
        <f t="shared" si="1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  <c r="E34" s="10">
        <v>31</v>
      </c>
      <c r="F34" s="11"/>
      <c r="G34" s="11"/>
      <c r="H34" s="25">
        <f t="shared" si="1"/>
        <v>0</v>
      </c>
    </row>
    <row r="35" spans="1:30" x14ac:dyDescent="0.2">
      <c r="A35" s="10"/>
      <c r="B35" s="11">
        <f>SUM(B4:B34)</f>
        <v>3612573</v>
      </c>
      <c r="C35" s="11">
        <f>SUM(C4:C34)</f>
        <v>3645844</v>
      </c>
      <c r="D35" s="11">
        <f>SUM(D4:D34)</f>
        <v>33271</v>
      </c>
      <c r="E35" s="10"/>
      <c r="F35" s="11">
        <f>SUM(F4:F34)</f>
        <v>1163854</v>
      </c>
      <c r="G35" s="11">
        <f>SUM(G4:G34)</f>
        <v>1170402</v>
      </c>
      <c r="H35" s="11">
        <f>SUM(H4:H34)</f>
        <v>6548</v>
      </c>
    </row>
    <row r="36" spans="1:30" x14ac:dyDescent="0.2">
      <c r="A36" s="26"/>
      <c r="C36" s="25">
        <f>+C35-B35</f>
        <v>33271</v>
      </c>
      <c r="D36" s="2"/>
      <c r="E36" s="26"/>
      <c r="G36" s="25"/>
      <c r="H36" s="2"/>
    </row>
    <row r="37" spans="1:30" x14ac:dyDescent="0.2">
      <c r="A37" s="12"/>
      <c r="D37" s="24"/>
      <c r="E37" s="12"/>
      <c r="H37" s="24"/>
    </row>
    <row r="38" spans="1:30" x14ac:dyDescent="0.2">
      <c r="A38" s="252">
        <v>36556</v>
      </c>
      <c r="D38" s="24">
        <v>85798</v>
      </c>
      <c r="E38" s="252">
        <v>36738</v>
      </c>
      <c r="H38" s="247">
        <v>15806</v>
      </c>
    </row>
    <row r="39" spans="1:30" x14ac:dyDescent="0.2">
      <c r="A39" s="12"/>
      <c r="D39" s="24"/>
      <c r="E39" s="12"/>
      <c r="H39" s="24"/>
    </row>
    <row r="40" spans="1:30" x14ac:dyDescent="0.2">
      <c r="A40" s="252">
        <v>36576</v>
      </c>
      <c r="D40" s="24">
        <f>+D38+D35</f>
        <v>119069</v>
      </c>
      <c r="E40" s="252">
        <v>36742</v>
      </c>
      <c r="H40" s="24">
        <f>+H38+H35</f>
        <v>22354</v>
      </c>
    </row>
    <row r="41" spans="1:30" x14ac:dyDescent="0.2">
      <c r="A41" s="12"/>
      <c r="D41" s="2"/>
    </row>
    <row r="43" spans="1:30" ht="15.75" x14ac:dyDescent="0.25">
      <c r="A43" s="53"/>
      <c r="B43" s="55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10"/>
      <c r="B47" s="11"/>
      <c r="C47" s="11"/>
      <c r="D47" s="2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8"/>
  <sheetViews>
    <sheetView topLeftCell="A26" workbookViewId="0">
      <selection activeCell="D33" sqref="D33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13</v>
      </c>
      <c r="B3" s="6" t="s">
        <v>23</v>
      </c>
      <c r="C3" s="6" t="s">
        <v>22</v>
      </c>
      <c r="F3" s="5"/>
      <c r="G3" s="6"/>
      <c r="H3" s="6"/>
    </row>
    <row r="4" spans="1:11" x14ac:dyDescent="0.2">
      <c r="A4" s="10">
        <v>1</v>
      </c>
      <c r="B4" s="11">
        <v>725267</v>
      </c>
      <c r="C4" s="11">
        <v>712903</v>
      </c>
      <c r="D4" s="25">
        <f>+C4-B4</f>
        <v>-12364</v>
      </c>
      <c r="F4" s="10"/>
      <c r="G4" s="11"/>
      <c r="H4" s="11"/>
      <c r="I4" s="25"/>
    </row>
    <row r="5" spans="1:11" x14ac:dyDescent="0.2">
      <c r="A5" s="10">
        <v>2</v>
      </c>
      <c r="B5" s="11">
        <v>723603</v>
      </c>
      <c r="C5" s="11">
        <v>692747</v>
      </c>
      <c r="D5" s="25">
        <f t="shared" ref="D5:D34" si="0">+C5-B5</f>
        <v>-30856</v>
      </c>
      <c r="F5" s="10"/>
      <c r="G5" s="11"/>
      <c r="H5" s="11"/>
      <c r="I5" s="25"/>
    </row>
    <row r="6" spans="1:11" x14ac:dyDescent="0.2">
      <c r="A6" s="10">
        <v>3</v>
      </c>
      <c r="B6" s="11">
        <v>729381</v>
      </c>
      <c r="C6" s="11">
        <v>705746</v>
      </c>
      <c r="D6" s="25">
        <f t="shared" si="0"/>
        <v>-23635</v>
      </c>
      <c r="F6" s="10"/>
      <c r="G6" s="11"/>
      <c r="H6" s="11"/>
      <c r="I6" s="25"/>
    </row>
    <row r="7" spans="1:11" x14ac:dyDescent="0.2">
      <c r="A7" s="10">
        <v>4</v>
      </c>
      <c r="B7" s="11">
        <v>713987</v>
      </c>
      <c r="C7" s="11">
        <v>718051</v>
      </c>
      <c r="D7" s="25">
        <f t="shared" si="0"/>
        <v>4064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719852</v>
      </c>
      <c r="C8" s="11">
        <v>732797</v>
      </c>
      <c r="D8" s="25">
        <f t="shared" si="0"/>
        <v>12945</v>
      </c>
      <c r="F8" s="10"/>
      <c r="G8" s="11"/>
      <c r="H8" s="11"/>
      <c r="I8" s="25"/>
    </row>
    <row r="9" spans="1:11" x14ac:dyDescent="0.2">
      <c r="A9" s="10">
        <v>6</v>
      </c>
      <c r="B9" s="11"/>
      <c r="C9" s="11"/>
      <c r="D9" s="25">
        <f t="shared" si="0"/>
        <v>0</v>
      </c>
      <c r="F9" s="10"/>
      <c r="G9" s="11"/>
      <c r="H9" s="11"/>
      <c r="I9" s="25"/>
    </row>
    <row r="10" spans="1:11" x14ac:dyDescent="0.2">
      <c r="A10" s="10">
        <v>7</v>
      </c>
      <c r="B10" s="11"/>
      <c r="C10" s="11"/>
      <c r="D10" s="25">
        <f t="shared" si="0"/>
        <v>0</v>
      </c>
      <c r="F10" s="10"/>
      <c r="G10" s="11"/>
      <c r="H10" s="11"/>
      <c r="I10" s="25"/>
    </row>
    <row r="11" spans="1:11" x14ac:dyDescent="0.2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2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2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2" x14ac:dyDescent="0.2">
      <c r="A35" s="10"/>
      <c r="B35" s="11">
        <f>SUM(B4:B34)</f>
        <v>3612090</v>
      </c>
      <c r="C35" s="11">
        <f>SUM(C4:C34)</f>
        <v>3562244</v>
      </c>
      <c r="D35" s="11">
        <f>SUM(D4:D34)</f>
        <v>-49846</v>
      </c>
      <c r="F35" s="10"/>
      <c r="G35" s="11"/>
      <c r="H35" s="11"/>
      <c r="I35" s="11"/>
      <c r="K35" s="11"/>
    </row>
    <row r="36" spans="1:42" x14ac:dyDescent="0.2">
      <c r="A36" s="26"/>
      <c r="B36" s="24">
        <f>22013749+7011</f>
        <v>22020760</v>
      </c>
      <c r="C36" s="25"/>
      <c r="D36" s="2"/>
      <c r="F36" s="26"/>
      <c r="H36" s="25"/>
      <c r="I36" s="2"/>
    </row>
    <row r="37" spans="1:42" x14ac:dyDescent="0.2">
      <c r="D37" s="24"/>
      <c r="I37" s="24"/>
    </row>
    <row r="38" spans="1:42" x14ac:dyDescent="0.2">
      <c r="A38" s="57">
        <v>36738</v>
      </c>
      <c r="D38" s="247">
        <v>33772</v>
      </c>
      <c r="I38" s="24"/>
    </row>
    <row r="39" spans="1:42" x14ac:dyDescent="0.2">
      <c r="A39" s="2"/>
      <c r="D39" s="24"/>
      <c r="I39" s="24"/>
    </row>
    <row r="40" spans="1:42" x14ac:dyDescent="0.2">
      <c r="A40" s="57">
        <v>36743</v>
      </c>
      <c r="D40" s="36">
        <f>+D38+D35</f>
        <v>-16074</v>
      </c>
      <c r="I40" s="24"/>
    </row>
    <row r="43" spans="1:42" ht="15.75" x14ac:dyDescent="0.25">
      <c r="A43" s="53"/>
      <c r="B43" s="11"/>
      <c r="C43" s="11"/>
      <c r="D43" s="25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55">
        <v>36557</v>
      </c>
      <c r="AI43" s="53">
        <v>10487</v>
      </c>
      <c r="AJ43" s="55">
        <v>36586</v>
      </c>
      <c r="AM43" s="53">
        <v>10487</v>
      </c>
      <c r="AN43" s="55">
        <v>36617</v>
      </c>
    </row>
    <row r="44" spans="1:42" x14ac:dyDescent="0.2">
      <c r="K44"/>
    </row>
    <row r="45" spans="1:42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6" t="s">
        <v>14</v>
      </c>
      <c r="AG45" s="6" t="s">
        <v>15</v>
      </c>
      <c r="AI45" s="5" t="s">
        <v>13</v>
      </c>
      <c r="AJ45" s="6" t="s">
        <v>14</v>
      </c>
      <c r="AK45" s="6" t="s">
        <v>15</v>
      </c>
      <c r="AM45" s="5" t="s">
        <v>13</v>
      </c>
      <c r="AN45" s="6" t="s">
        <v>14</v>
      </c>
      <c r="AO45" s="6" t="s">
        <v>15</v>
      </c>
    </row>
    <row r="46" spans="1:42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11">
        <v>568703</v>
      </c>
      <c r="AG46" s="11">
        <v>564798</v>
      </c>
      <c r="AH46" s="25">
        <f>+AG46-AF46</f>
        <v>-3905</v>
      </c>
      <c r="AI46" s="10">
        <v>1</v>
      </c>
      <c r="AJ46" s="11">
        <v>658450</v>
      </c>
      <c r="AK46" s="11">
        <v>652792</v>
      </c>
      <c r="AL46" s="25">
        <f>+AK46-AJ46</f>
        <v>-5658</v>
      </c>
      <c r="AM46" s="10">
        <v>1</v>
      </c>
      <c r="AN46" s="11">
        <v>650795</v>
      </c>
      <c r="AO46" s="11">
        <v>647725</v>
      </c>
      <c r="AP46" s="25">
        <f>+AO46-AN46</f>
        <v>-3070</v>
      </c>
    </row>
    <row r="47" spans="1:42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11">
        <v>626251</v>
      </c>
      <c r="AG47" s="11">
        <v>625839</v>
      </c>
      <c r="AH47" s="25">
        <f t="shared" ref="AH47:AH76" si="1">+AG47-AF47</f>
        <v>-412</v>
      </c>
      <c r="AI47" s="10">
        <v>2</v>
      </c>
      <c r="AJ47" s="11">
        <v>680017</v>
      </c>
      <c r="AK47" s="11">
        <v>665267</v>
      </c>
      <c r="AL47" s="25">
        <f t="shared" ref="AL47:AL76" si="2">+AK47-AJ47</f>
        <v>-14750</v>
      </c>
      <c r="AM47" s="10">
        <v>2</v>
      </c>
      <c r="AN47" s="11">
        <v>688785</v>
      </c>
      <c r="AO47" s="11">
        <v>691542</v>
      </c>
      <c r="AP47" s="25">
        <f t="shared" ref="AP47:AP76" si="3">+AO47-AN47</f>
        <v>2757</v>
      </c>
    </row>
    <row r="48" spans="1:42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11">
        <v>595769</v>
      </c>
      <c r="AG48" s="11">
        <v>595548</v>
      </c>
      <c r="AH48" s="25">
        <f t="shared" si="1"/>
        <v>-221</v>
      </c>
      <c r="AI48" s="10">
        <v>3</v>
      </c>
      <c r="AJ48" s="11">
        <f>620170+16000</f>
        <v>636170</v>
      </c>
      <c r="AK48" s="11">
        <v>641743</v>
      </c>
      <c r="AL48" s="25">
        <f t="shared" si="2"/>
        <v>5573</v>
      </c>
      <c r="AM48" s="10">
        <v>3</v>
      </c>
      <c r="AN48" s="11">
        <v>328018</v>
      </c>
      <c r="AO48" s="11">
        <v>387174</v>
      </c>
      <c r="AP48" s="25">
        <f t="shared" si="3"/>
        <v>59156</v>
      </c>
    </row>
    <row r="49" spans="1:42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11">
        <v>596413</v>
      </c>
      <c r="AG49" s="11">
        <v>601204</v>
      </c>
      <c r="AH49" s="25">
        <f t="shared" si="1"/>
        <v>4791</v>
      </c>
      <c r="AI49" s="10">
        <v>4</v>
      </c>
      <c r="AJ49" s="11">
        <v>704483</v>
      </c>
      <c r="AK49" s="11">
        <v>705929</v>
      </c>
      <c r="AL49" s="25">
        <f t="shared" si="2"/>
        <v>1446</v>
      </c>
      <c r="AM49" s="10">
        <v>4</v>
      </c>
      <c r="AN49" s="11">
        <v>458734</v>
      </c>
      <c r="AO49" s="11">
        <v>361814</v>
      </c>
      <c r="AP49" s="25">
        <f t="shared" si="3"/>
        <v>-96920</v>
      </c>
    </row>
    <row r="50" spans="1:42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11">
        <v>658908</v>
      </c>
      <c r="AG50" s="11">
        <v>648978</v>
      </c>
      <c r="AH50" s="25">
        <f t="shared" si="1"/>
        <v>-9930</v>
      </c>
      <c r="AI50" s="10">
        <v>5</v>
      </c>
      <c r="AJ50" s="11">
        <v>707357</v>
      </c>
      <c r="AK50" s="11">
        <v>722968</v>
      </c>
      <c r="AL50" s="25">
        <f t="shared" si="2"/>
        <v>15611</v>
      </c>
      <c r="AM50" s="10">
        <v>5</v>
      </c>
      <c r="AN50" s="11">
        <v>431273</v>
      </c>
      <c r="AO50" s="11">
        <v>436364</v>
      </c>
      <c r="AP50" s="25">
        <f t="shared" si="3"/>
        <v>5091</v>
      </c>
    </row>
    <row r="51" spans="1:42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11">
        <v>647784</v>
      </c>
      <c r="AG51" s="11">
        <v>646828</v>
      </c>
      <c r="AH51" s="25">
        <f t="shared" si="1"/>
        <v>-956</v>
      </c>
      <c r="AI51" s="10">
        <v>6</v>
      </c>
      <c r="AJ51" s="11">
        <v>708172</v>
      </c>
      <c r="AK51" s="11">
        <v>705949</v>
      </c>
      <c r="AL51" s="25">
        <f t="shared" si="2"/>
        <v>-2223</v>
      </c>
      <c r="AM51" s="10">
        <v>6</v>
      </c>
      <c r="AN51" s="11">
        <v>650351</v>
      </c>
      <c r="AO51" s="11">
        <v>465770</v>
      </c>
      <c r="AP51" s="25">
        <f t="shared" si="3"/>
        <v>-184581</v>
      </c>
    </row>
    <row r="52" spans="1:42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11">
        <v>647784</v>
      </c>
      <c r="AG52" s="11">
        <v>646914</v>
      </c>
      <c r="AH52" s="25">
        <f t="shared" si="1"/>
        <v>-870</v>
      </c>
      <c r="AI52" s="10">
        <v>7</v>
      </c>
      <c r="AJ52" s="11">
        <v>720278</v>
      </c>
      <c r="AK52" s="11">
        <v>692047</v>
      </c>
      <c r="AL52" s="25">
        <f t="shared" si="2"/>
        <v>-28231</v>
      </c>
      <c r="AM52" s="10">
        <v>7</v>
      </c>
      <c r="AN52" s="11">
        <v>659819</v>
      </c>
      <c r="AO52" s="11">
        <v>669876</v>
      </c>
      <c r="AP52" s="25">
        <f t="shared" si="3"/>
        <v>10057</v>
      </c>
    </row>
    <row r="53" spans="1:42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11">
        <v>647214</v>
      </c>
      <c r="AG53" s="11">
        <v>632537</v>
      </c>
      <c r="AH53" s="25">
        <f t="shared" si="1"/>
        <v>-14677</v>
      </c>
      <c r="AI53" s="10">
        <v>8</v>
      </c>
      <c r="AJ53" s="11">
        <v>712203</v>
      </c>
      <c r="AK53" s="11">
        <v>714501</v>
      </c>
      <c r="AL53" s="25">
        <f t="shared" si="2"/>
        <v>2298</v>
      </c>
      <c r="AM53" s="10">
        <v>8</v>
      </c>
      <c r="AN53" s="11">
        <v>667820</v>
      </c>
      <c r="AO53" s="11">
        <v>675743</v>
      </c>
      <c r="AP53" s="25">
        <f t="shared" si="3"/>
        <v>7923</v>
      </c>
    </row>
    <row r="54" spans="1:42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11">
        <v>751000</v>
      </c>
      <c r="AG54" s="11">
        <v>723860</v>
      </c>
      <c r="AH54" s="25">
        <f t="shared" si="1"/>
        <v>-27140</v>
      </c>
      <c r="AI54" s="10">
        <v>9</v>
      </c>
      <c r="AJ54" s="11">
        <v>686120</v>
      </c>
      <c r="AK54" s="11">
        <v>683993</v>
      </c>
      <c r="AL54" s="25">
        <f t="shared" si="2"/>
        <v>-2127</v>
      </c>
      <c r="AM54" s="10">
        <v>9</v>
      </c>
      <c r="AN54" s="11">
        <v>680338</v>
      </c>
      <c r="AO54" s="11">
        <v>678462</v>
      </c>
      <c r="AP54" s="25">
        <f t="shared" si="3"/>
        <v>-1876</v>
      </c>
    </row>
    <row r="55" spans="1:42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11">
        <v>750000</v>
      </c>
      <c r="AG55" s="11">
        <v>745085</v>
      </c>
      <c r="AH55" s="25">
        <f t="shared" si="1"/>
        <v>-4915</v>
      </c>
      <c r="AI55" s="10">
        <v>10</v>
      </c>
      <c r="AJ55" s="11">
        <v>721952</v>
      </c>
      <c r="AK55" s="11">
        <v>721662</v>
      </c>
      <c r="AL55" s="25">
        <f t="shared" si="2"/>
        <v>-290</v>
      </c>
      <c r="AM55" s="10">
        <v>10</v>
      </c>
      <c r="AN55" s="11"/>
      <c r="AO55" s="11"/>
      <c r="AP55" s="25">
        <f t="shared" si="3"/>
        <v>0</v>
      </c>
    </row>
    <row r="56" spans="1:42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11">
        <v>750771</v>
      </c>
      <c r="AG56" s="11">
        <v>745334</v>
      </c>
      <c r="AH56" s="25">
        <f t="shared" si="1"/>
        <v>-5437</v>
      </c>
      <c r="AI56" s="10">
        <v>11</v>
      </c>
      <c r="AJ56" s="11">
        <v>705129</v>
      </c>
      <c r="AK56" s="11">
        <v>708842</v>
      </c>
      <c r="AL56" s="25">
        <f t="shared" si="2"/>
        <v>3713</v>
      </c>
      <c r="AM56" s="10">
        <v>11</v>
      </c>
      <c r="AN56" s="11"/>
      <c r="AO56" s="11"/>
      <c r="AP56" s="25">
        <f t="shared" si="3"/>
        <v>0</v>
      </c>
    </row>
    <row r="57" spans="1:42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11">
        <v>690954</v>
      </c>
      <c r="AG57" s="11">
        <v>685434</v>
      </c>
      <c r="AH57" s="25">
        <f t="shared" si="1"/>
        <v>-5520</v>
      </c>
      <c r="AI57" s="10">
        <v>12</v>
      </c>
      <c r="AJ57" s="11">
        <v>681230</v>
      </c>
      <c r="AK57" s="11">
        <v>666532</v>
      </c>
      <c r="AL57" s="25">
        <f t="shared" si="2"/>
        <v>-14698</v>
      </c>
      <c r="AM57" s="10">
        <v>12</v>
      </c>
      <c r="AN57" s="11"/>
      <c r="AO57" s="11"/>
      <c r="AP57" s="25">
        <f t="shared" si="3"/>
        <v>0</v>
      </c>
    </row>
    <row r="58" spans="1:42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11">
        <v>711237</v>
      </c>
      <c r="AG58" s="11">
        <v>703531</v>
      </c>
      <c r="AH58" s="25">
        <f t="shared" si="1"/>
        <v>-7706</v>
      </c>
      <c r="AI58" s="10">
        <v>13</v>
      </c>
      <c r="AJ58" s="11">
        <v>715119</v>
      </c>
      <c r="AK58" s="11">
        <v>716518</v>
      </c>
      <c r="AL58" s="25">
        <f t="shared" si="2"/>
        <v>1399</v>
      </c>
      <c r="AM58" s="10">
        <v>13</v>
      </c>
      <c r="AN58" s="11"/>
      <c r="AO58" s="11"/>
      <c r="AP58" s="25">
        <f t="shared" si="3"/>
        <v>0</v>
      </c>
    </row>
    <row r="59" spans="1:42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11">
        <v>711278</v>
      </c>
      <c r="AG59" s="11">
        <v>709678</v>
      </c>
      <c r="AH59" s="25">
        <f t="shared" si="1"/>
        <v>-1600</v>
      </c>
      <c r="AI59" s="10">
        <v>14</v>
      </c>
      <c r="AJ59" s="11">
        <v>705757</v>
      </c>
      <c r="AK59" s="11">
        <v>704358</v>
      </c>
      <c r="AL59" s="25">
        <f t="shared" si="2"/>
        <v>-1399</v>
      </c>
      <c r="AM59" s="10">
        <v>14</v>
      </c>
      <c r="AN59" s="11"/>
      <c r="AO59" s="11"/>
      <c r="AP59" s="25">
        <f t="shared" si="3"/>
        <v>0</v>
      </c>
    </row>
    <row r="60" spans="1:42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11">
        <v>669974</v>
      </c>
      <c r="AG60" s="11">
        <v>670301</v>
      </c>
      <c r="AH60" s="25">
        <f t="shared" si="1"/>
        <v>327</v>
      </c>
      <c r="AI60" s="10">
        <v>15</v>
      </c>
      <c r="AJ60" s="11">
        <v>756499</v>
      </c>
      <c r="AK60" s="11">
        <v>755871</v>
      </c>
      <c r="AL60" s="25">
        <f t="shared" si="2"/>
        <v>-628</v>
      </c>
      <c r="AM60" s="10">
        <v>15</v>
      </c>
      <c r="AN60" s="11"/>
      <c r="AO60" s="11"/>
      <c r="AP60" s="25">
        <f t="shared" si="3"/>
        <v>0</v>
      </c>
    </row>
    <row r="61" spans="1:42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11">
        <v>659933</v>
      </c>
      <c r="AG61" s="11">
        <v>658593</v>
      </c>
      <c r="AH61" s="25">
        <f t="shared" si="1"/>
        <v>-1340</v>
      </c>
      <c r="AI61" s="10">
        <v>16</v>
      </c>
      <c r="AJ61" s="11">
        <v>714478</v>
      </c>
      <c r="AK61" s="11">
        <v>696202</v>
      </c>
      <c r="AL61" s="25">
        <f t="shared" si="2"/>
        <v>-18276</v>
      </c>
      <c r="AM61" s="10">
        <v>16</v>
      </c>
      <c r="AN61" s="11"/>
      <c r="AO61" s="11"/>
      <c r="AP61" s="25">
        <f t="shared" si="3"/>
        <v>0</v>
      </c>
    </row>
    <row r="62" spans="1:42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11">
        <v>643262</v>
      </c>
      <c r="AG62" s="11">
        <v>644397</v>
      </c>
      <c r="AH62" s="25">
        <f t="shared" si="1"/>
        <v>1135</v>
      </c>
      <c r="AI62" s="10">
        <v>17</v>
      </c>
      <c r="AJ62" s="11">
        <v>700043</v>
      </c>
      <c r="AK62" s="11">
        <v>715902</v>
      </c>
      <c r="AL62" s="25">
        <f t="shared" si="2"/>
        <v>15859</v>
      </c>
      <c r="AM62" s="10">
        <v>17</v>
      </c>
      <c r="AN62" s="11"/>
      <c r="AO62" s="11"/>
      <c r="AP62" s="25">
        <f t="shared" si="3"/>
        <v>0</v>
      </c>
    </row>
    <row r="63" spans="1:42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11">
        <v>646615</v>
      </c>
      <c r="AG63" s="11">
        <v>626465</v>
      </c>
      <c r="AH63" s="25">
        <f t="shared" si="1"/>
        <v>-20150</v>
      </c>
      <c r="AI63" s="10">
        <v>18</v>
      </c>
      <c r="AJ63" s="11">
        <v>595578</v>
      </c>
      <c r="AK63" s="11">
        <v>591726</v>
      </c>
      <c r="AL63" s="25">
        <f t="shared" si="2"/>
        <v>-3852</v>
      </c>
      <c r="AM63" s="10">
        <v>18</v>
      </c>
      <c r="AN63" s="11"/>
      <c r="AO63" s="11"/>
      <c r="AP63" s="25">
        <f t="shared" si="3"/>
        <v>0</v>
      </c>
    </row>
    <row r="64" spans="1:42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11">
        <v>692930</v>
      </c>
      <c r="AG64" s="11">
        <v>687089</v>
      </c>
      <c r="AH64" s="25">
        <f t="shared" si="1"/>
        <v>-5841</v>
      </c>
      <c r="AI64" s="10">
        <v>19</v>
      </c>
      <c r="AJ64" s="11">
        <v>613297</v>
      </c>
      <c r="AK64" s="11">
        <v>602671</v>
      </c>
      <c r="AL64" s="25">
        <f t="shared" si="2"/>
        <v>-10626</v>
      </c>
      <c r="AM64" s="10">
        <v>19</v>
      </c>
      <c r="AN64" s="11"/>
      <c r="AO64" s="11"/>
      <c r="AP64" s="25">
        <f t="shared" si="3"/>
        <v>0</v>
      </c>
    </row>
    <row r="65" spans="1:42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11">
        <v>687370</v>
      </c>
      <c r="AG65" s="11">
        <v>686899</v>
      </c>
      <c r="AH65" s="25">
        <f t="shared" si="1"/>
        <v>-471</v>
      </c>
      <c r="AI65" s="10">
        <v>20</v>
      </c>
      <c r="AJ65" s="11">
        <v>608084</v>
      </c>
      <c r="AK65" s="11">
        <v>615992</v>
      </c>
      <c r="AL65" s="25">
        <f t="shared" si="2"/>
        <v>7908</v>
      </c>
      <c r="AM65" s="10">
        <v>20</v>
      </c>
      <c r="AN65" s="11"/>
      <c r="AO65" s="11"/>
      <c r="AP65" s="25">
        <f t="shared" si="3"/>
        <v>0</v>
      </c>
    </row>
    <row r="66" spans="1:42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11">
        <v>708977</v>
      </c>
      <c r="AG66" s="11">
        <v>708639</v>
      </c>
      <c r="AH66" s="25">
        <f t="shared" si="1"/>
        <v>-338</v>
      </c>
      <c r="AI66" s="10">
        <v>21</v>
      </c>
      <c r="AJ66" s="11">
        <v>714046</v>
      </c>
      <c r="AK66" s="11">
        <v>703361</v>
      </c>
      <c r="AL66" s="25">
        <f t="shared" si="2"/>
        <v>-10685</v>
      </c>
      <c r="AM66" s="10">
        <v>21</v>
      </c>
      <c r="AN66" s="11"/>
      <c r="AO66" s="11"/>
      <c r="AP66" s="25">
        <f t="shared" si="3"/>
        <v>0</v>
      </c>
    </row>
    <row r="67" spans="1:42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11">
        <v>692977</v>
      </c>
      <c r="AG67" s="11">
        <v>691693</v>
      </c>
      <c r="AH67" s="25">
        <f t="shared" si="1"/>
        <v>-1284</v>
      </c>
      <c r="AI67" s="10">
        <v>22</v>
      </c>
      <c r="AJ67" s="11">
        <v>717584</v>
      </c>
      <c r="AK67" s="11">
        <v>727486</v>
      </c>
      <c r="AL67" s="25">
        <f t="shared" si="2"/>
        <v>9902</v>
      </c>
      <c r="AM67" s="10">
        <v>22</v>
      </c>
      <c r="AN67" s="11"/>
      <c r="AO67" s="11"/>
      <c r="AP67" s="25">
        <f t="shared" si="3"/>
        <v>0</v>
      </c>
    </row>
    <row r="68" spans="1:42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11">
        <v>753411</v>
      </c>
      <c r="AG68" s="11">
        <v>739869</v>
      </c>
      <c r="AH68" s="25">
        <f t="shared" si="1"/>
        <v>-13542</v>
      </c>
      <c r="AI68" s="10">
        <v>23</v>
      </c>
      <c r="AJ68" s="11">
        <v>735947</v>
      </c>
      <c r="AK68" s="11">
        <v>721229</v>
      </c>
      <c r="AL68" s="25">
        <f t="shared" si="2"/>
        <v>-14718</v>
      </c>
      <c r="AM68" s="10">
        <v>23</v>
      </c>
      <c r="AN68" s="11"/>
      <c r="AO68" s="11"/>
      <c r="AP68" s="25">
        <f t="shared" si="3"/>
        <v>0</v>
      </c>
    </row>
    <row r="69" spans="1:42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11">
        <v>688735</v>
      </c>
      <c r="AG69" s="11">
        <v>691492</v>
      </c>
      <c r="AH69" s="25">
        <f t="shared" si="1"/>
        <v>2757</v>
      </c>
      <c r="AI69" s="10">
        <v>24</v>
      </c>
      <c r="AJ69" s="11">
        <v>701423</v>
      </c>
      <c r="AK69" s="11">
        <v>708340</v>
      </c>
      <c r="AL69" s="25">
        <f t="shared" si="2"/>
        <v>6917</v>
      </c>
      <c r="AM69" s="10">
        <v>24</v>
      </c>
      <c r="AN69" s="11"/>
      <c r="AO69" s="11"/>
      <c r="AP69" s="25">
        <f t="shared" si="3"/>
        <v>0</v>
      </c>
    </row>
    <row r="70" spans="1:42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11">
        <v>748380</v>
      </c>
      <c r="AG70" s="11">
        <v>745925</v>
      </c>
      <c r="AH70" s="25">
        <f t="shared" si="1"/>
        <v>-2455</v>
      </c>
      <c r="AI70" s="10">
        <v>25</v>
      </c>
      <c r="AJ70" s="11">
        <v>694535</v>
      </c>
      <c r="AK70" s="11">
        <v>695243</v>
      </c>
      <c r="AL70" s="25">
        <f t="shared" si="2"/>
        <v>708</v>
      </c>
      <c r="AM70" s="10">
        <v>25</v>
      </c>
      <c r="AN70" s="11"/>
      <c r="AO70" s="11"/>
      <c r="AP70" s="25">
        <f t="shared" si="3"/>
        <v>0</v>
      </c>
    </row>
    <row r="71" spans="1:42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11">
        <v>710977</v>
      </c>
      <c r="AG71" s="11">
        <v>709376</v>
      </c>
      <c r="AH71" s="25">
        <f t="shared" si="1"/>
        <v>-1601</v>
      </c>
      <c r="AI71" s="10">
        <v>26</v>
      </c>
      <c r="AJ71" s="11">
        <v>703155</v>
      </c>
      <c r="AK71" s="11">
        <v>702236</v>
      </c>
      <c r="AL71" s="25">
        <f t="shared" si="2"/>
        <v>-919</v>
      </c>
      <c r="AM71" s="10">
        <v>26</v>
      </c>
      <c r="AN71" s="11"/>
      <c r="AO71" s="11"/>
      <c r="AP71" s="25">
        <f t="shared" si="3"/>
        <v>0</v>
      </c>
    </row>
    <row r="72" spans="1:42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11">
        <v>719367</v>
      </c>
      <c r="AG72" s="11">
        <v>719909</v>
      </c>
      <c r="AH72" s="25">
        <f t="shared" si="1"/>
        <v>542</v>
      </c>
      <c r="AI72" s="10">
        <v>27</v>
      </c>
      <c r="AJ72" s="11">
        <v>703438</v>
      </c>
      <c r="AK72" s="11">
        <v>704599</v>
      </c>
      <c r="AL72" s="25">
        <f t="shared" si="2"/>
        <v>1161</v>
      </c>
      <c r="AM72" s="10">
        <v>27</v>
      </c>
      <c r="AN72" s="11"/>
      <c r="AO72" s="11"/>
      <c r="AP72" s="25">
        <f t="shared" si="3"/>
        <v>0</v>
      </c>
    </row>
    <row r="73" spans="1:42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11">
        <v>740454</v>
      </c>
      <c r="AG73" s="11">
        <v>732410</v>
      </c>
      <c r="AH73" s="25">
        <f t="shared" si="1"/>
        <v>-8044</v>
      </c>
      <c r="AI73" s="10">
        <v>28</v>
      </c>
      <c r="AJ73" s="11">
        <v>693564</v>
      </c>
      <c r="AK73" s="11">
        <v>695490</v>
      </c>
      <c r="AL73" s="25">
        <f t="shared" si="2"/>
        <v>1926</v>
      </c>
      <c r="AM73" s="10">
        <v>28</v>
      </c>
      <c r="AN73" s="11"/>
      <c r="AO73" s="11"/>
      <c r="AP73" s="25">
        <f t="shared" si="3"/>
        <v>0</v>
      </c>
    </row>
    <row r="74" spans="1:42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11">
        <v>660978</v>
      </c>
      <c r="AG74" s="11">
        <v>671360</v>
      </c>
      <c r="AH74" s="25">
        <f t="shared" si="1"/>
        <v>10382</v>
      </c>
      <c r="AI74" s="10">
        <v>29</v>
      </c>
      <c r="AJ74" s="11">
        <v>698565</v>
      </c>
      <c r="AK74" s="11">
        <v>709014</v>
      </c>
      <c r="AL74" s="25">
        <f t="shared" si="2"/>
        <v>10449</v>
      </c>
      <c r="AM74" s="10">
        <v>29</v>
      </c>
      <c r="AN74" s="11"/>
      <c r="AO74" s="11"/>
      <c r="AP74" s="25">
        <f t="shared" si="3"/>
        <v>0</v>
      </c>
    </row>
    <row r="75" spans="1:42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11"/>
      <c r="AG75" s="11"/>
      <c r="AH75" s="25">
        <f t="shared" si="1"/>
        <v>0</v>
      </c>
      <c r="AI75" s="10">
        <v>30</v>
      </c>
      <c r="AJ75" s="11">
        <v>703563</v>
      </c>
      <c r="AK75" s="11">
        <v>702636</v>
      </c>
      <c r="AL75" s="25">
        <f t="shared" si="2"/>
        <v>-927</v>
      </c>
      <c r="AM75" s="10">
        <v>30</v>
      </c>
      <c r="AN75" s="11"/>
      <c r="AO75" s="11"/>
      <c r="AP75" s="25">
        <f t="shared" si="3"/>
        <v>0</v>
      </c>
    </row>
    <row r="76" spans="1:42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11"/>
      <c r="AG76" s="11"/>
      <c r="AH76" s="25">
        <f t="shared" si="1"/>
        <v>0</v>
      </c>
      <c r="AI76" s="10">
        <v>31</v>
      </c>
      <c r="AJ76" s="11">
        <v>758256</v>
      </c>
      <c r="AK76" s="11">
        <v>758712</v>
      </c>
      <c r="AL76" s="25">
        <f t="shared" si="2"/>
        <v>456</v>
      </c>
      <c r="AM76" s="10">
        <v>31</v>
      </c>
      <c r="AN76" s="11"/>
      <c r="AO76" s="11"/>
      <c r="AP76" s="25">
        <f t="shared" si="3"/>
        <v>0</v>
      </c>
    </row>
    <row r="77" spans="1:42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11">
        <f>SUM(AF46:AF76)</f>
        <v>19778406</v>
      </c>
      <c r="AG77" s="11">
        <f>SUM(AG46:AG76)</f>
        <v>19659985</v>
      </c>
      <c r="AH77" s="11">
        <f>SUM(AH46:AH76)</f>
        <v>-118421</v>
      </c>
      <c r="AI77" s="10"/>
      <c r="AJ77" s="11">
        <f>SUM(AJ46:AJ76)</f>
        <v>21554492</v>
      </c>
      <c r="AK77" s="11">
        <f>SUM(AK46:AK76)</f>
        <v>21509811</v>
      </c>
      <c r="AL77" s="11">
        <f>SUM(AL46:AL76)</f>
        <v>-44681</v>
      </c>
      <c r="AM77" s="10"/>
      <c r="AN77" s="11">
        <f>SUM(AN46:AN76)</f>
        <v>5215933</v>
      </c>
      <c r="AO77" s="11">
        <f>SUM(AO46:AO76)</f>
        <v>5014470</v>
      </c>
      <c r="AP77" s="11">
        <f>SUM(AP46:AP76)</f>
        <v>-201463</v>
      </c>
    </row>
    <row r="78" spans="1:42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G78" s="25"/>
      <c r="AH78" s="2"/>
      <c r="AI78" s="26"/>
      <c r="AK78" s="25"/>
      <c r="AL78" s="2"/>
      <c r="AM78" s="26"/>
      <c r="AO78" s="25"/>
      <c r="AP78" s="2"/>
    </row>
    <row r="79" spans="1:42" x14ac:dyDescent="0.2">
      <c r="D79" s="24"/>
      <c r="I79" s="24"/>
      <c r="K79"/>
      <c r="N79" s="24"/>
      <c r="R79" s="24"/>
      <c r="V79" s="24"/>
      <c r="Z79" s="24"/>
      <c r="AD79" s="24"/>
      <c r="AH79" s="24"/>
      <c r="AL79" s="24"/>
      <c r="AP79" s="24"/>
    </row>
    <row r="80" spans="1:42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H80" s="24">
        <f>+AD82</f>
        <v>0</v>
      </c>
      <c r="AI80" s="57">
        <v>36585</v>
      </c>
      <c r="AL80" s="24">
        <f>+AH82</f>
        <v>-118421</v>
      </c>
      <c r="AM80" s="57">
        <v>36616</v>
      </c>
      <c r="AP80" s="24">
        <f>+AL82</f>
        <v>-163102</v>
      </c>
    </row>
    <row r="81" spans="4:42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H81" s="24"/>
      <c r="AI81" s="2"/>
      <c r="AL81" s="24"/>
      <c r="AM81" s="2"/>
      <c r="AP81" s="24"/>
    </row>
    <row r="82" spans="4:42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H82" s="36">
        <f>+AH80+AH77</f>
        <v>-118421</v>
      </c>
      <c r="AI82" s="57">
        <v>36615</v>
      </c>
      <c r="AL82" s="36">
        <f>+AL80+AL77</f>
        <v>-163102</v>
      </c>
      <c r="AM82" s="57">
        <v>36625</v>
      </c>
      <c r="AP82" s="36">
        <f>+AP80+AP77</f>
        <v>-364565</v>
      </c>
    </row>
    <row r="83" spans="4:42" x14ac:dyDescent="0.2">
      <c r="AE83" s="32"/>
    </row>
    <row r="84" spans="4:42" x14ac:dyDescent="0.2">
      <c r="AE84" s="32"/>
    </row>
    <row r="86" spans="4:42" x14ac:dyDescent="0.2">
      <c r="G86">
        <v>2021652</v>
      </c>
    </row>
    <row r="87" spans="4:42" x14ac:dyDescent="0.2">
      <c r="G87">
        <v>1445944</v>
      </c>
    </row>
    <row r="88" spans="4:42" x14ac:dyDescent="0.2">
      <c r="G88">
        <f>+G87+G86</f>
        <v>3467596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30" workbookViewId="0">
      <selection activeCell="H39" sqref="H3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20</v>
      </c>
      <c r="C2" s="14"/>
      <c r="D2" s="38" t="s">
        <v>21</v>
      </c>
      <c r="E2" s="4"/>
      <c r="F2" s="38" t="s">
        <v>29</v>
      </c>
      <c r="G2" s="4"/>
      <c r="J2" s="4"/>
      <c r="K2" s="4"/>
      <c r="L2" s="38"/>
      <c r="M2" s="4"/>
    </row>
    <row r="3" spans="1:14" x14ac:dyDescent="0.2">
      <c r="A3" s="39" t="s">
        <v>13</v>
      </c>
      <c r="B3" s="6" t="s">
        <v>22</v>
      </c>
      <c r="C3" s="40" t="s">
        <v>23</v>
      </c>
      <c r="D3" s="6" t="s">
        <v>22</v>
      </c>
      <c r="E3" s="6" t="s">
        <v>23</v>
      </c>
      <c r="F3" s="6" t="s">
        <v>22</v>
      </c>
      <c r="G3" s="6" t="s">
        <v>23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88582</v>
      </c>
      <c r="C4" s="11">
        <v>61581</v>
      </c>
      <c r="D4" s="11"/>
      <c r="E4" s="11">
        <v>25072</v>
      </c>
      <c r="F4" s="11"/>
      <c r="G4" s="11"/>
      <c r="H4" s="11">
        <f>+G4-F4+D4-E4+B4-C4</f>
        <v>1929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87447</v>
      </c>
      <c r="C5" s="11">
        <v>54272</v>
      </c>
      <c r="D5" s="11"/>
      <c r="E5" s="11">
        <v>33190</v>
      </c>
      <c r="F5" s="11"/>
      <c r="G5" s="11"/>
      <c r="H5" s="11">
        <f t="shared" ref="H5:H34" si="0">+G5-F5+D5-E5+B5-C5</f>
        <v>-15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18605</v>
      </c>
      <c r="C6" s="11">
        <v>1244</v>
      </c>
      <c r="D6" s="11"/>
      <c r="E6" s="11">
        <v>17684</v>
      </c>
      <c r="F6" s="11"/>
      <c r="G6" s="11"/>
      <c r="H6" s="11">
        <f t="shared" si="0"/>
        <v>-323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70186</v>
      </c>
      <c r="C7" s="11">
        <v>29968</v>
      </c>
      <c r="D7" s="11"/>
      <c r="E7" s="11">
        <v>40025</v>
      </c>
      <c r="F7" s="11"/>
      <c r="G7" s="11"/>
      <c r="H7" s="11">
        <f t="shared" si="0"/>
        <v>193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264820</v>
      </c>
      <c r="C35" s="44">
        <f t="shared" si="1"/>
        <v>147065</v>
      </c>
      <c r="D35" s="11">
        <f t="shared" si="1"/>
        <v>0</v>
      </c>
      <c r="E35" s="44">
        <f t="shared" si="1"/>
        <v>115971</v>
      </c>
      <c r="F35" s="11">
        <f t="shared" si="1"/>
        <v>0</v>
      </c>
      <c r="G35" s="11">
        <f t="shared" si="1"/>
        <v>0</v>
      </c>
      <c r="H35" s="11">
        <f t="shared" si="1"/>
        <v>1784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+summary!I13</f>
        <v>3.81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6797.04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71">
        <v>36738</v>
      </c>
      <c r="F38" s="47"/>
      <c r="G38" s="48"/>
      <c r="H38" s="301">
        <v>2437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36742</v>
      </c>
      <c r="F39" s="47"/>
      <c r="G39" s="47"/>
      <c r="H39" s="137">
        <f>+H38+H37</f>
        <v>9234.0400000000009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E10" sqref="E10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10.140625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46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39</v>
      </c>
      <c r="D3" s="59" t="s">
        <v>47</v>
      </c>
      <c r="E3" s="4"/>
      <c r="F3" s="59" t="s">
        <v>48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41</v>
      </c>
      <c r="AB3" s="121"/>
      <c r="AC3" s="24"/>
      <c r="AD3" s="24"/>
      <c r="AE3" s="24"/>
      <c r="AF3" s="32"/>
      <c r="AG3" s="122" t="s">
        <v>42</v>
      </c>
      <c r="AH3" s="121"/>
      <c r="AM3" s="2" t="s">
        <v>43</v>
      </c>
      <c r="AN3"/>
    </row>
    <row r="4" spans="1:47" x14ac:dyDescent="0.2">
      <c r="A4" s="5" t="s">
        <v>13</v>
      </c>
      <c r="B4" s="6" t="s">
        <v>22</v>
      </c>
      <c r="C4" s="6" t="s">
        <v>23</v>
      </c>
      <c r="D4" s="6" t="s">
        <v>22</v>
      </c>
      <c r="E4" s="6" t="s">
        <v>23</v>
      </c>
      <c r="F4" s="6" t="s">
        <v>22</v>
      </c>
      <c r="G4" s="6" t="s">
        <v>23</v>
      </c>
      <c r="H4" s="115" t="s">
        <v>49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322542</v>
      </c>
      <c r="E5" s="11">
        <v>321378</v>
      </c>
      <c r="F5" s="11"/>
      <c r="G5" s="11"/>
      <c r="H5" s="24">
        <f>+G5-F5+D5-E5+C1-B1</f>
        <v>1164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39</v>
      </c>
      <c r="AB5" s="24"/>
      <c r="AC5" s="24"/>
      <c r="AD5" s="58" t="s">
        <v>40</v>
      </c>
      <c r="AE5" s="58"/>
      <c r="AF5" s="4"/>
      <c r="AG5" s="2" t="s">
        <v>39</v>
      </c>
      <c r="AJ5" s="4" t="s">
        <v>40</v>
      </c>
      <c r="AK5" s="4"/>
      <c r="AL5" s="4"/>
      <c r="AM5" s="2" t="s">
        <v>39</v>
      </c>
      <c r="AO5" s="4" t="s">
        <v>40</v>
      </c>
      <c r="AP5" s="4"/>
    </row>
    <row r="6" spans="1:47" x14ac:dyDescent="0.2">
      <c r="A6" s="10">
        <v>2</v>
      </c>
      <c r="B6" s="11"/>
      <c r="C6" s="11"/>
      <c r="D6" s="11">
        <v>335991</v>
      </c>
      <c r="E6" s="11">
        <f>330928+2636</f>
        <v>333564</v>
      </c>
      <c r="F6" s="11"/>
      <c r="G6" s="11"/>
      <c r="H6" s="24">
        <f>+G6-F6+D6-E6+C2-B2</f>
        <v>2427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44</v>
      </c>
      <c r="AA6" s="40" t="s">
        <v>14</v>
      </c>
      <c r="AB6" s="40" t="s">
        <v>15</v>
      </c>
      <c r="AC6" s="40" t="s">
        <v>45</v>
      </c>
      <c r="AD6" s="40" t="s">
        <v>14</v>
      </c>
      <c r="AE6" s="40" t="s">
        <v>15</v>
      </c>
      <c r="AF6" s="6" t="s">
        <v>45</v>
      </c>
      <c r="AG6" s="6" t="s">
        <v>14</v>
      </c>
      <c r="AH6" s="40" t="s">
        <v>15</v>
      </c>
      <c r="AI6" s="6" t="s">
        <v>45</v>
      </c>
      <c r="AJ6" s="6" t="s">
        <v>14</v>
      </c>
      <c r="AK6" s="6" t="s">
        <v>15</v>
      </c>
      <c r="AL6" s="6" t="s">
        <v>45</v>
      </c>
      <c r="AM6" s="6" t="s">
        <v>14</v>
      </c>
      <c r="AN6" s="6" t="s">
        <v>15</v>
      </c>
      <c r="AO6" s="6" t="s">
        <v>14</v>
      </c>
      <c r="AP6" s="6" t="s">
        <v>15</v>
      </c>
    </row>
    <row r="7" spans="1:47" x14ac:dyDescent="0.2">
      <c r="A7" s="10">
        <v>3</v>
      </c>
      <c r="B7" s="11"/>
      <c r="C7" s="129"/>
      <c r="D7" s="129">
        <v>308662</v>
      </c>
      <c r="E7" s="129">
        <f>306793+507</f>
        <v>307300</v>
      </c>
      <c r="F7" s="11"/>
      <c r="G7" s="11"/>
      <c r="H7" s="24">
        <f t="shared" ref="H7:H35" si="0">+C7-B7+G7-F7+D7-E7</f>
        <v>1362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347704</v>
      </c>
      <c r="E8" s="129">
        <f>348242+729</f>
        <v>348971</v>
      </c>
      <c r="F8" s="11"/>
      <c r="G8" s="11"/>
      <c r="H8" s="24">
        <f t="shared" si="0"/>
        <v>-1267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273266</v>
      </c>
      <c r="E9" s="11">
        <f>271676+8727</f>
        <v>280403</v>
      </c>
      <c r="F9" s="11"/>
      <c r="G9" s="11"/>
      <c r="H9" s="24">
        <f t="shared" si="0"/>
        <v>-7137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1588165</v>
      </c>
      <c r="E36" s="11">
        <f t="shared" si="15"/>
        <v>1591616</v>
      </c>
      <c r="F36" s="11">
        <f t="shared" si="15"/>
        <v>0</v>
      </c>
      <c r="G36" s="11">
        <f t="shared" si="15"/>
        <v>0</v>
      </c>
      <c r="H36" s="11">
        <f t="shared" si="15"/>
        <v>-3451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36738</v>
      </c>
      <c r="B37" s="2" t="s">
        <v>50</v>
      </c>
      <c r="C37" s="247">
        <v>6005</v>
      </c>
      <c r="D37" s="24"/>
      <c r="E37" s="247">
        <v>-83010</v>
      </c>
      <c r="F37" s="24"/>
      <c r="G37" s="24"/>
      <c r="H37" s="24">
        <f>+E37+C37</f>
        <v>-77005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36743</v>
      </c>
      <c r="B38" s="2" t="s">
        <v>50</v>
      </c>
      <c r="C38" s="131">
        <f>+C37+C36-B36</f>
        <v>6005</v>
      </c>
      <c r="D38" s="264"/>
      <c r="E38" s="131">
        <f>+E37+D36-E36</f>
        <v>-86461</v>
      </c>
      <c r="F38" s="264"/>
      <c r="G38" s="131"/>
      <c r="H38" s="131">
        <f>+H37+H36</f>
        <v>-80456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3"/>
      <c r="E39" s="253"/>
      <c r="F39" s="257"/>
      <c r="G39" s="253"/>
      <c r="H39" s="265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8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9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4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4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4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4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A41" sqref="A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>
        <f>+summary!B9</f>
        <v>0</v>
      </c>
      <c r="E3" s="134"/>
      <c r="I3" s="134"/>
      <c r="M3" s="134"/>
    </row>
    <row r="4" spans="1:16" x14ac:dyDescent="0.2">
      <c r="A4" s="3"/>
      <c r="B4" s="1" t="s">
        <v>51</v>
      </c>
      <c r="E4" s="3"/>
      <c r="F4" s="1"/>
      <c r="I4" s="3"/>
      <c r="J4" s="1"/>
      <c r="M4" s="3"/>
      <c r="N4" s="1"/>
    </row>
    <row r="5" spans="1:16" x14ac:dyDescent="0.2">
      <c r="A5" s="5" t="s">
        <v>13</v>
      </c>
      <c r="B5" s="6" t="s">
        <v>22</v>
      </c>
      <c r="C5" s="6" t="s">
        <v>23</v>
      </c>
      <c r="D5" s="6" t="s">
        <v>49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130767</v>
      </c>
      <c r="C6" s="11">
        <v>129723</v>
      </c>
      <c r="D6" s="25">
        <f>+C6-B6</f>
        <v>-1044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107078</v>
      </c>
      <c r="C7" s="11">
        <v>106139</v>
      </c>
      <c r="D7" s="25">
        <f>+C7-B7</f>
        <v>-939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110525</v>
      </c>
      <c r="C8" s="11">
        <v>109923</v>
      </c>
      <c r="D8" s="25">
        <f t="shared" ref="D8:D36" si="0">+C8-B8</f>
        <v>-602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122773</v>
      </c>
      <c r="C9" s="11">
        <v>127184</v>
      </c>
      <c r="D9" s="25">
        <f t="shared" si="0"/>
        <v>4411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471143</v>
      </c>
      <c r="C37" s="11">
        <f>SUM(C6:C36)</f>
        <v>472969</v>
      </c>
      <c r="D37" s="11">
        <f>SUM(D6:D36)</f>
        <v>1826</v>
      </c>
      <c r="E37" s="10"/>
      <c r="F37" s="11"/>
      <c r="G37" s="11"/>
      <c r="H37" s="129"/>
      <c r="I37" s="27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3"/>
      <c r="I38" s="279"/>
      <c r="J38" s="253"/>
      <c r="K38" s="280"/>
      <c r="L38" s="253"/>
      <c r="M38" s="26"/>
      <c r="O38" s="14"/>
    </row>
    <row r="39" spans="1:16" x14ac:dyDescent="0.2">
      <c r="A39" s="57">
        <v>36738</v>
      </c>
      <c r="C39" s="15"/>
      <c r="D39" s="247">
        <v>-10574</v>
      </c>
      <c r="E39" s="57"/>
      <c r="G39" s="15"/>
      <c r="H39" s="51"/>
      <c r="I39" s="281"/>
      <c r="J39" s="253"/>
      <c r="K39" s="282"/>
      <c r="L39" s="51"/>
      <c r="M39" s="57"/>
      <c r="O39" s="15"/>
      <c r="P39" s="24"/>
    </row>
    <row r="40" spans="1:16" x14ac:dyDescent="0.2">
      <c r="A40" s="57">
        <v>36742</v>
      </c>
      <c r="C40" s="48"/>
      <c r="D40" s="25">
        <f>+D39+D37</f>
        <v>-8748</v>
      </c>
      <c r="E40" s="57"/>
      <c r="G40" s="48"/>
      <c r="H40" s="131"/>
      <c r="I40" s="281"/>
      <c r="J40" s="253"/>
      <c r="K40" s="283"/>
      <c r="L40" s="131"/>
      <c r="M40" s="57"/>
      <c r="O40" s="48"/>
      <c r="P40" s="130"/>
    </row>
    <row r="41" spans="1:16" x14ac:dyDescent="0.2">
      <c r="C41" s="47"/>
      <c r="H41" s="253"/>
      <c r="I41" s="253"/>
      <c r="J41" s="253"/>
      <c r="K41" s="253"/>
      <c r="L41" s="253"/>
    </row>
    <row r="42" spans="1:16" x14ac:dyDescent="0.2">
      <c r="A42" s="57"/>
      <c r="C42" s="50"/>
      <c r="D42" s="25"/>
      <c r="H42" s="253"/>
      <c r="I42" s="253"/>
      <c r="J42" s="253"/>
      <c r="K42" s="253"/>
      <c r="L42" s="253"/>
    </row>
    <row r="43" spans="1:16" x14ac:dyDescent="0.2">
      <c r="A43" s="57"/>
      <c r="C43" s="50"/>
      <c r="H43" s="253"/>
      <c r="I43" s="253"/>
      <c r="J43" s="253"/>
      <c r="K43" s="253"/>
      <c r="L43" s="253"/>
    </row>
    <row r="44" spans="1:16" x14ac:dyDescent="0.2">
      <c r="H44" s="253"/>
      <c r="I44" s="253"/>
      <c r="J44" s="253"/>
      <c r="K44" s="253"/>
      <c r="L44" s="2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4" workbookViewId="0">
      <selection activeCell="D37" sqref="D3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9.8554687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54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55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55</v>
      </c>
      <c r="AD5" s="12"/>
      <c r="AE5" s="12"/>
      <c r="AF5" s="58"/>
      <c r="AG5" s="58" t="s">
        <v>55</v>
      </c>
      <c r="AH5" s="12"/>
      <c r="AI5" s="12"/>
      <c r="AJ5" s="58"/>
      <c r="AK5" s="58" t="s">
        <v>55</v>
      </c>
      <c r="AL5" s="12"/>
      <c r="AM5" s="12"/>
      <c r="AN5" s="58"/>
      <c r="AO5" s="58" t="s">
        <v>55</v>
      </c>
      <c r="AP5" s="12"/>
      <c r="AQ5" s="12"/>
      <c r="AR5" s="58"/>
      <c r="AS5" s="58" t="s">
        <v>55</v>
      </c>
      <c r="AT5" s="12"/>
    </row>
    <row r="6" spans="1:46" x14ac:dyDescent="0.2">
      <c r="B6" s="40" t="s">
        <v>22</v>
      </c>
      <c r="C6" s="40" t="s">
        <v>23</v>
      </c>
      <c r="D6" s="6" t="s">
        <v>17</v>
      </c>
      <c r="E6" s="39"/>
      <c r="F6" s="139"/>
      <c r="G6" s="291"/>
      <c r="H6" s="290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14</v>
      </c>
      <c r="AC6" s="40" t="s">
        <v>15</v>
      </c>
      <c r="AD6" s="6" t="s">
        <v>17</v>
      </c>
      <c r="AE6" s="139"/>
      <c r="AF6" s="40" t="s">
        <v>14</v>
      </c>
      <c r="AG6" s="40" t="s">
        <v>15</v>
      </c>
      <c r="AH6" s="6" t="s">
        <v>17</v>
      </c>
      <c r="AI6" s="139"/>
      <c r="AJ6" s="40" t="s">
        <v>14</v>
      </c>
      <c r="AK6" s="40" t="s">
        <v>15</v>
      </c>
      <c r="AL6" s="6" t="s">
        <v>17</v>
      </c>
      <c r="AM6" s="139"/>
      <c r="AN6" s="40" t="s">
        <v>14</v>
      </c>
      <c r="AO6" s="40" t="s">
        <v>15</v>
      </c>
      <c r="AP6" s="6" t="s">
        <v>17</v>
      </c>
      <c r="AQ6" s="139"/>
      <c r="AR6" s="40" t="s">
        <v>14</v>
      </c>
      <c r="AS6" s="40" t="s">
        <v>15</v>
      </c>
      <c r="AT6" s="6" t="s">
        <v>17</v>
      </c>
    </row>
    <row r="7" spans="1:46" x14ac:dyDescent="0.2">
      <c r="B7" s="11"/>
      <c r="C7" s="11"/>
      <c r="D7" s="11"/>
      <c r="E7" s="143"/>
      <c r="F7" s="139"/>
      <c r="G7" s="284"/>
      <c r="H7" s="289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171776</v>
      </c>
      <c r="C8" s="11">
        <v>172874</v>
      </c>
      <c r="D8" s="11">
        <f t="shared" ref="D8:D38" si="0">+C8-B8</f>
        <v>1098</v>
      </c>
      <c r="E8" s="143"/>
      <c r="F8" s="139"/>
      <c r="G8" s="284"/>
      <c r="H8" s="289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174201</v>
      </c>
      <c r="C9" s="11">
        <v>179324</v>
      </c>
      <c r="D9" s="11">
        <f t="shared" si="0"/>
        <v>5123</v>
      </c>
      <c r="E9" s="143"/>
      <c r="F9" s="139"/>
      <c r="G9" s="284"/>
      <c r="H9" s="289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176049</v>
      </c>
      <c r="C10" s="11">
        <v>163586</v>
      </c>
      <c r="D10" s="11">
        <f t="shared" si="0"/>
        <v>-12463</v>
      </c>
      <c r="E10" s="143"/>
      <c r="F10" s="139"/>
      <c r="G10" s="284"/>
      <c r="H10" s="289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175285</v>
      </c>
      <c r="C11" s="11">
        <v>176878</v>
      </c>
      <c r="D11" s="11">
        <f t="shared" si="0"/>
        <v>1593</v>
      </c>
      <c r="E11" s="143"/>
      <c r="F11" s="139"/>
      <c r="G11" s="292"/>
      <c r="H11" s="289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154934</v>
      </c>
      <c r="C12" s="11">
        <v>156352</v>
      </c>
      <c r="D12" s="11">
        <f t="shared" si="0"/>
        <v>1418</v>
      </c>
      <c r="E12" s="143"/>
      <c r="F12" s="139"/>
      <c r="G12" s="289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/>
      <c r="C13" s="11"/>
      <c r="D13" s="11">
        <f t="shared" si="0"/>
        <v>0</v>
      </c>
      <c r="E13" s="143"/>
      <c r="F13" s="139"/>
      <c r="G13" s="289"/>
      <c r="H13" s="289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/>
      <c r="C14" s="11"/>
      <c r="D14" s="11">
        <f t="shared" si="0"/>
        <v>0</v>
      </c>
      <c r="E14" s="143"/>
      <c r="F14" s="139"/>
      <c r="G14" s="289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9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9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9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7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56</v>
      </c>
      <c r="B25" s="11"/>
      <c r="C25" s="11"/>
      <c r="D25" s="11">
        <f t="shared" si="0"/>
        <v>0</v>
      </c>
      <c r="E25" s="144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56</v>
      </c>
      <c r="AF25" s="11">
        <v>90438</v>
      </c>
      <c r="AG25" s="11">
        <v>89668</v>
      </c>
      <c r="AH25" s="11">
        <f t="shared" si="2"/>
        <v>-770</v>
      </c>
      <c r="AI25" s="147" t="s">
        <v>56</v>
      </c>
      <c r="AJ25" s="11">
        <v>119514</v>
      </c>
      <c r="AK25" s="11">
        <v>120375</v>
      </c>
      <c r="AL25" s="11">
        <f t="shared" si="3"/>
        <v>861</v>
      </c>
      <c r="AM25" s="147" t="s">
        <v>56</v>
      </c>
      <c r="AN25" s="11">
        <v>175778</v>
      </c>
      <c r="AO25" s="11">
        <v>172040</v>
      </c>
      <c r="AP25" s="11">
        <f t="shared" si="4"/>
        <v>-3738</v>
      </c>
      <c r="AQ25" s="147" t="s">
        <v>56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852245</v>
      </c>
      <c r="C39" s="150">
        <f>SUM(C8:C38)</f>
        <v>849014</v>
      </c>
      <c r="D39" s="152">
        <f>SUM(D8:D38)</f>
        <v>-3231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+summary!I12</f>
        <v>3.41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4">
        <f>+D40*D39</f>
        <v>-11017.710000000001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36738</v>
      </c>
      <c r="C42" s="153"/>
      <c r="D42" s="307">
        <v>685164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36743</v>
      </c>
      <c r="C43" s="142"/>
      <c r="D43" s="254">
        <f>+D42+D41</f>
        <v>674146.29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57</v>
      </c>
      <c r="AC45" s="142"/>
      <c r="AD45" s="152">
        <f>+AD42+AD39</f>
        <v>89870</v>
      </c>
      <c r="AE45" s="144"/>
      <c r="AF45" s="153" t="s">
        <v>58</v>
      </c>
      <c r="AG45" s="142"/>
      <c r="AH45" s="152">
        <f>+AH42+AH39</f>
        <v>144671</v>
      </c>
      <c r="AI45" s="144"/>
      <c r="AJ45" s="153" t="s">
        <v>59</v>
      </c>
      <c r="AK45" s="142"/>
      <c r="AL45" s="159">
        <f>+AL42+AL39</f>
        <v>218762</v>
      </c>
      <c r="AM45" s="144"/>
      <c r="AN45" s="153" t="s">
        <v>60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142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26</v>
      </c>
      <c r="B79" s="157"/>
      <c r="C79" s="154"/>
      <c r="D79" s="142"/>
      <c r="E79" s="144"/>
      <c r="F79" s="144"/>
    </row>
    <row r="80" spans="1:21" x14ac:dyDescent="0.2">
      <c r="A80" s="161" t="s">
        <v>61</v>
      </c>
      <c r="B80" s="157"/>
      <c r="C80" s="154"/>
      <c r="D80" s="142"/>
      <c r="E80" s="144"/>
      <c r="F80" s="144"/>
    </row>
    <row r="81" spans="1:7" x14ac:dyDescent="0.2">
      <c r="A81" s="161" t="s">
        <v>62</v>
      </c>
      <c r="B81" s="157"/>
      <c r="C81" s="154"/>
      <c r="D81" s="142"/>
      <c r="E81" s="144"/>
    </row>
    <row r="84" spans="1:7" x14ac:dyDescent="0.2">
      <c r="A84" s="146"/>
      <c r="B84" s="166" t="s">
        <v>16</v>
      </c>
      <c r="C84" s="166" t="s">
        <v>63</v>
      </c>
      <c r="D84" s="146"/>
    </row>
    <row r="85" spans="1:7" x14ac:dyDescent="0.2">
      <c r="A85" s="146"/>
      <c r="B85" s="116" t="s">
        <v>55</v>
      </c>
      <c r="C85" s="116" t="s">
        <v>18</v>
      </c>
      <c r="D85" s="167" t="s">
        <v>30</v>
      </c>
    </row>
    <row r="86" spans="1:7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44"/>
      <c r="G86" s="142"/>
    </row>
    <row r="87" spans="1:7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44"/>
      <c r="G87" s="142"/>
    </row>
    <row r="88" spans="1:7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44"/>
      <c r="G88" s="142"/>
    </row>
    <row r="89" spans="1:7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44"/>
      <c r="G89" s="142"/>
    </row>
    <row r="90" spans="1:7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44"/>
      <c r="G90" s="142"/>
    </row>
    <row r="91" spans="1:7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44"/>
      <c r="G91" s="142"/>
    </row>
    <row r="92" spans="1:7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44"/>
      <c r="G92" s="142"/>
    </row>
    <row r="93" spans="1:7" x14ac:dyDescent="0.2">
      <c r="A93" s="17">
        <v>36312</v>
      </c>
      <c r="B93" s="169">
        <v>48333</v>
      </c>
      <c r="C93" s="170">
        <v>1.96</v>
      </c>
      <c r="D93" s="144">
        <f t="shared" ref="D93:D99" si="7">+C93*B93</f>
        <v>94732.68</v>
      </c>
      <c r="F93" s="144"/>
      <c r="G93" s="142"/>
    </row>
    <row r="94" spans="1:7" x14ac:dyDescent="0.2">
      <c r="A94" s="168">
        <v>36342</v>
      </c>
      <c r="B94" s="169">
        <v>-72504</v>
      </c>
      <c r="C94" s="170">
        <v>2.0099999999999998</v>
      </c>
      <c r="D94" s="144">
        <f t="shared" si="7"/>
        <v>-145733.03999999998</v>
      </c>
      <c r="F94" s="144"/>
      <c r="G94" s="142"/>
    </row>
    <row r="95" spans="1:7" x14ac:dyDescent="0.2">
      <c r="A95" s="168">
        <v>36373</v>
      </c>
      <c r="B95" s="169">
        <v>-6559</v>
      </c>
      <c r="C95" s="170">
        <v>2.35</v>
      </c>
      <c r="D95" s="144">
        <f t="shared" si="7"/>
        <v>-15413.650000000001</v>
      </c>
      <c r="F95" s="144"/>
      <c r="G95" s="142"/>
    </row>
    <row r="96" spans="1:7" x14ac:dyDescent="0.2">
      <c r="A96" s="168">
        <v>36404</v>
      </c>
      <c r="B96" s="169">
        <v>-73056</v>
      </c>
      <c r="C96" s="170">
        <v>2.29</v>
      </c>
      <c r="D96" s="144">
        <f t="shared" si="7"/>
        <v>-167298.23999999999</v>
      </c>
      <c r="F96" s="144"/>
      <c r="G96" s="142"/>
    </row>
    <row r="97" spans="1:7" x14ac:dyDescent="0.2">
      <c r="A97" s="168">
        <v>36434</v>
      </c>
      <c r="B97" s="169">
        <v>-4807</v>
      </c>
      <c r="C97" s="170">
        <v>2.59</v>
      </c>
      <c r="D97" s="144">
        <f t="shared" si="7"/>
        <v>-12450.13</v>
      </c>
      <c r="F97" s="144"/>
      <c r="G97" s="142"/>
    </row>
    <row r="98" spans="1:7" x14ac:dyDescent="0.2">
      <c r="A98" s="168">
        <v>36465</v>
      </c>
      <c r="B98" s="169">
        <v>35981</v>
      </c>
      <c r="C98" s="170">
        <v>2.14</v>
      </c>
      <c r="D98" s="144">
        <f t="shared" si="7"/>
        <v>76999.340000000011</v>
      </c>
      <c r="F98" s="144"/>
      <c r="G98" s="142"/>
    </row>
    <row r="99" spans="1:7" x14ac:dyDescent="0.2">
      <c r="A99" s="17">
        <v>36495</v>
      </c>
      <c r="B99" s="169">
        <v>64636</v>
      </c>
      <c r="C99" s="170">
        <v>2.21</v>
      </c>
      <c r="D99" s="144">
        <f t="shared" si="7"/>
        <v>142845.56</v>
      </c>
      <c r="F99" s="144"/>
      <c r="G99" s="142"/>
    </row>
    <row r="100" spans="1:7" x14ac:dyDescent="0.2">
      <c r="A100" s="168" t="s">
        <v>64</v>
      </c>
      <c r="B100" s="169">
        <v>-110000</v>
      </c>
      <c r="C100" s="170">
        <f>+D100/B100</f>
        <v>2.02</v>
      </c>
      <c r="D100" s="144">
        <v>-222200</v>
      </c>
      <c r="F100" s="144"/>
      <c r="G100" s="142"/>
    </row>
    <row r="101" spans="1:7" x14ac:dyDescent="0.2">
      <c r="A101" s="146" t="s">
        <v>65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44"/>
      <c r="G101" s="142"/>
    </row>
    <row r="102" spans="1:7" x14ac:dyDescent="0.2">
      <c r="A102" s="146" t="s">
        <v>66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44"/>
      <c r="G102" s="142"/>
    </row>
    <row r="103" spans="1:7" x14ac:dyDescent="0.2">
      <c r="A103" s="115" t="s">
        <v>67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44"/>
      <c r="G103" s="142"/>
    </row>
    <row r="104" spans="1:7" x14ac:dyDescent="0.2">
      <c r="A104" s="17"/>
      <c r="B104" s="112"/>
      <c r="C104" s="177"/>
      <c r="D104" s="3"/>
      <c r="F104" s="169"/>
      <c r="G104" s="142"/>
    </row>
    <row r="105" spans="1:7" x14ac:dyDescent="0.2">
      <c r="A105" s="168" t="s">
        <v>68</v>
      </c>
      <c r="B105" s="169">
        <f>+B103</f>
        <v>218762</v>
      </c>
      <c r="C105" s="170">
        <v>2.2000000000000002</v>
      </c>
      <c r="D105" s="144">
        <f>+C105*B105</f>
        <v>481276.4</v>
      </c>
      <c r="F105" s="169"/>
      <c r="G105" s="142"/>
    </row>
    <row r="106" spans="1:7" x14ac:dyDescent="0.2">
      <c r="A106" s="168"/>
      <c r="B106" s="169"/>
      <c r="C106" s="170"/>
      <c r="D106" s="144"/>
      <c r="E106" s="144"/>
      <c r="F106" s="169"/>
      <c r="G106" s="142"/>
    </row>
    <row r="107" spans="1:7" x14ac:dyDescent="0.2">
      <c r="A107" s="168"/>
      <c r="B107" s="169"/>
      <c r="C107" s="170"/>
      <c r="D107" s="144"/>
      <c r="E107" s="144"/>
      <c r="F107" s="169"/>
      <c r="G107" s="142"/>
    </row>
    <row r="108" spans="1:7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12"/>
    </row>
    <row r="109" spans="1:7" x14ac:dyDescent="0.2">
      <c r="A109" s="168"/>
      <c r="B109" s="169"/>
      <c r="C109" s="170"/>
      <c r="D109" s="144"/>
      <c r="E109" s="144"/>
      <c r="F109" s="112"/>
    </row>
    <row r="110" spans="1:7" x14ac:dyDescent="0.2">
      <c r="A110" s="168"/>
      <c r="B110" s="169"/>
      <c r="C110" s="170"/>
      <c r="D110" s="144"/>
      <c r="E110" s="144"/>
      <c r="F110" s="112"/>
    </row>
    <row r="111" spans="1:7" x14ac:dyDescent="0.2">
      <c r="A111" s="168"/>
      <c r="B111" s="117"/>
      <c r="C111" s="174"/>
      <c r="D111" s="175"/>
      <c r="E111" s="144"/>
      <c r="F111" s="112"/>
    </row>
    <row r="112" spans="1:7" ht="13.5" thickBot="1" x14ac:dyDescent="0.25">
      <c r="A112" s="146"/>
      <c r="B112" s="178"/>
      <c r="C112" s="179"/>
      <c r="D112" s="180"/>
      <c r="E112" s="144"/>
      <c r="F112" s="112"/>
    </row>
    <row r="113" spans="1:6" ht="13.5" thickTop="1" x14ac:dyDescent="0.2">
      <c r="F113" s="112"/>
    </row>
    <row r="114" spans="1:6" x14ac:dyDescent="0.2">
      <c r="F114" s="112"/>
    </row>
    <row r="115" spans="1:6" x14ac:dyDescent="0.2">
      <c r="F115" s="112"/>
    </row>
    <row r="116" spans="1:6" x14ac:dyDescent="0.2">
      <c r="F116" s="112"/>
    </row>
    <row r="117" spans="1:6" x14ac:dyDescent="0.2">
      <c r="F117" s="112"/>
    </row>
    <row r="118" spans="1:6" x14ac:dyDescent="0.2">
      <c r="A118" s="161" t="s">
        <v>26</v>
      </c>
      <c r="B118" s="157"/>
      <c r="C118" s="154"/>
      <c r="D118" s="142"/>
      <c r="E118" s="144"/>
      <c r="F118" s="112"/>
    </row>
    <row r="119" spans="1:6" x14ac:dyDescent="0.2">
      <c r="A119" s="161" t="s">
        <v>61</v>
      </c>
      <c r="B119" s="157"/>
      <c r="C119" s="154"/>
      <c r="D119" s="142"/>
      <c r="E119" s="144"/>
      <c r="F119" s="112"/>
    </row>
    <row r="120" spans="1:6" x14ac:dyDescent="0.2">
      <c r="A120" s="161" t="s">
        <v>62</v>
      </c>
      <c r="B120" s="157"/>
      <c r="C120" s="154"/>
      <c r="D120" s="142"/>
      <c r="E120" s="144"/>
      <c r="F120" s="112"/>
    </row>
    <row r="121" spans="1:6" x14ac:dyDescent="0.2">
      <c r="F121" s="112"/>
    </row>
    <row r="122" spans="1:6" x14ac:dyDescent="0.2">
      <c r="F122" s="112"/>
    </row>
    <row r="123" spans="1:6" x14ac:dyDescent="0.2">
      <c r="F123" s="112"/>
    </row>
    <row r="124" spans="1:6" x14ac:dyDescent="0.2">
      <c r="A124" s="145"/>
      <c r="B124" s="154" t="s">
        <v>16</v>
      </c>
      <c r="C124" s="154" t="s">
        <v>63</v>
      </c>
      <c r="D124" s="145"/>
      <c r="E124" s="144"/>
      <c r="F124" s="112"/>
    </row>
    <row r="125" spans="1:6" x14ac:dyDescent="0.2">
      <c r="A125" s="145"/>
      <c r="B125" s="181" t="s">
        <v>55</v>
      </c>
      <c r="C125" s="181" t="s">
        <v>18</v>
      </c>
      <c r="D125" s="182" t="s">
        <v>30</v>
      </c>
      <c r="E125" s="144"/>
      <c r="F125" s="112"/>
    </row>
    <row r="126" spans="1:6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6" x14ac:dyDescent="0.2">
      <c r="A127" s="168">
        <v>36130</v>
      </c>
      <c r="B127" s="169">
        <v>88047</v>
      </c>
      <c r="C127" s="170">
        <v>1.79</v>
      </c>
      <c r="D127" s="144">
        <f t="shared" ref="D127:D132" si="8">+C127*B127</f>
        <v>157604.13</v>
      </c>
      <c r="E127" s="144"/>
      <c r="F127" s="112"/>
    </row>
    <row r="128" spans="1:6" x14ac:dyDescent="0.2">
      <c r="A128" s="168">
        <v>36161</v>
      </c>
      <c r="B128" s="169">
        <v>22026</v>
      </c>
      <c r="C128" s="170">
        <v>1.7</v>
      </c>
      <c r="D128" s="144">
        <f t="shared" si="8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8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8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8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8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9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9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9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9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9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9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9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9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9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9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9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9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9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9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9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9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9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9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9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9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9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9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9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9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9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9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69</v>
      </c>
    </row>
    <row r="167" spans="1:5" x14ac:dyDescent="0.2">
      <c r="B167" s="187">
        <v>-300000</v>
      </c>
      <c r="C167" s="181">
        <v>-450000</v>
      </c>
      <c r="D167" s="34" t="s">
        <v>70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71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72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73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74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Plains</vt:lpstr>
      <vt:lpstr>NNG</vt:lpstr>
      <vt:lpstr>PNM</vt:lpstr>
      <vt:lpstr>NGPL</vt:lpstr>
      <vt:lpstr>KN_Westar</vt:lpstr>
      <vt:lpstr>AVG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KN_Westar!Print_Area</vt:lpstr>
      <vt:lpstr>Lonestar!Print_Area</vt:lpstr>
      <vt:lpstr>mewborne!Print_Area</vt:lpstr>
      <vt:lpstr>NW!Print_Area</vt:lpstr>
      <vt:lpstr>Oasis!Print_Area</vt:lpstr>
      <vt:lpstr>PGETX!Print_Area</vt:lpstr>
      <vt:lpstr>'Red C'!Print_Area</vt:lpstr>
      <vt:lpstr>SoCal!Print_Area</vt:lpstr>
      <vt:lpstr>summary!Print_Area</vt:lpstr>
      <vt:lpstr>williams!Print_Area</vt:lpstr>
      <vt:lpstr>SJ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Jan Havlíček</cp:lastModifiedBy>
  <cp:lastPrinted>2000-08-08T15:00:10Z</cp:lastPrinted>
  <dcterms:created xsi:type="dcterms:W3CDTF">2000-03-28T16:52:23Z</dcterms:created>
  <dcterms:modified xsi:type="dcterms:W3CDTF">2023-09-16T17:22:19Z</dcterms:modified>
</cp:coreProperties>
</file>