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DC9E31-A29C-47F9-BB9E-67D3BDE8DF40}" xr6:coauthVersionLast="47" xr6:coauthVersionMax="47" xr10:uidLastSave="{00000000-0000-0000-0000-000000000000}"/>
  <bookViews>
    <workbookView xWindow="-120" yWindow="-120" windowWidth="38640" windowHeight="15720" tabRatio="599"/>
    <workbookView xWindow="-120" yWindow="-120" windowWidth="38640" windowHeight="15720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burlington" sheetId="69" r:id="rId25"/>
  </sheets>
  <externalReferences>
    <externalReference r:id="rId26"/>
    <externalReference r:id="rId27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B13" i="68"/>
  <c r="D13" i="68"/>
  <c r="B14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D9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C14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D33" i="63"/>
  <c r="B34" i="63"/>
  <c r="C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B44" i="63"/>
  <c r="C44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<sst xmlns="http://schemas.openxmlformats.org/spreadsheetml/2006/main" count="355" uniqueCount="130">
  <si>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</si>
  <si>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</si>
  <si>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</si>
  <si>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</si>
  <si>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</si>
  <si>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</si>
  <si>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</si>
  <si>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</si>
  <si>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</si>
  <si>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</si>
  <si>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</si>
  <si>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</si>
  <si>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</si>
  <si>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</si>
  <si>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</si>
  <si>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</si>
  <si>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</si>
  <si>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</si>
  <si>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</si>
  <si>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</si>
  <si>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</si>
  <si>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</si>
  <si>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</si>
  <si>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</si>
  <si>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</si>
  <si>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</si>
  <si>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</si>
  <si>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</si>
  <si>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</si>
  <si>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</si>
  <si>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</si>
  <si>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</si>
  <si>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</si>
  <si>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</si>
  <si>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</si>
  <si>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</si>
  <si>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</si>
  <si>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</si>
  <si>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</si>
  <si>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</si>
  <si>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</si>
  <si>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</si>
  <si>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</si>
  <si>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</si>
  <si>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</si>
  <si>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</si>
  <si>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</si>
  <si>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</si>
  <si>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</si>
  <si>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</si>
  <si>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</si>
  <si>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</si>
  <si>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</si>
  <si>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</si>
  <si>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</si>
  <si>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</si>
  <si>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</si>
  <si>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</si>
  <si>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</si>
  <si>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</si>
  <si>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</si>
  <si>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</si>
  <si>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</si>
  <si>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</si>
  <si>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</si>
  <si>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</si>
  <si>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</si>
  <si>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</si>
  <si>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</si>
  <si>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</si>
  <si>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</si>
  <si>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</si>
  <si>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</si>
  <si>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</si>
  <si>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</si>
  <si>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</si>
  <si>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</si>
  <si>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</si>
  <si>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</si>
  <si>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</si>
  <si>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</si>
  <si>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</si>
  <si>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</si>
  <si>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</si>
  <si>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</si>
  <si>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</si>
  <si>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</si>
  <si>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</si>
  <si>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</si>
  <si>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</si>
  <si>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</si>
  <si>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</si>
  <si>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</si>
  <si>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</si>
  <si>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</si>
  <si>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</si>
  <si>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</si>
  <si>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</si>
  <si>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</si>
  <si>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</si>
  <si>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</si>
  <si>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</si>
  <si>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</si>
  <si>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</si>
  <si>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</si>
  <si>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</si>
  <si>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</si>
  <si>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</si>
  <si>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</si>
  <si>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</si>
  <si>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</si>
  <si>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</si>
  <si>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</si>
  <si>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</si>
  <si>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</si>
  <si>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</si>
  <si>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</si>
  <si>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</si>
  <si>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</si>
  <si>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</si>
  <si>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</si>
  <si>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</si>
  <si>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</si>
  <si>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</si>
  <si>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</si>
  <si>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</si>
  <si>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no payback to date</t>
  </si>
  <si>
    <t>This balance is cashed out every month $214,357 is the 11/30/00 balance</t>
  </si>
  <si>
    <t>Contintental</t>
  </si>
  <si>
    <t>Continental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</si>
</sst>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60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4" fillId="0" borderId="0" xfId="1" applyNumberFormat="1" applyFont="1" applyFill="1"/>
    <xf numFmtId="37" fontId="34" fillId="0" borderId="0" xfId="1" applyNumberFormat="1" applyFont="1"/>
    <xf numFmtId="166" fontId="35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6" fillId="0" borderId="0" xfId="1" applyNumberFormat="1" applyFont="1" applyFill="1"/>
    <xf numFmtId="7" fontId="22" fillId="0" borderId="0" xfId="0" applyNumberFormat="1" applyFont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5" fontId="14" fillId="0" borderId="1" xfId="0" applyNumberFormat="1" applyFont="1" applyBorder="1"/>
    <xf numFmtId="37" fontId="14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00"/>
    </sheetNames>
    <sheetDataSet>
      <sheetData sheetId="0">
        <row r="39">
          <cell r="K39">
            <v>7.61</v>
          </cell>
          <cell r="M39">
            <v>7.74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abSelected="1" topLeftCell="A10" workbookViewId="0">
      <selection activeCell="B15" sqref="B15"/>
    </sheetView>
    <sheetView tabSelected="1" topLeftCell="A4" workbookViewId="1">
      <selection activeCell="D38" sqref="D38"/>
    </sheetView>
  </sheetViews>
  <sheetFormatPr defaultRowHeight="12.75" x14ac:dyDescent="0.2"/>
  <cols>
    <col min="1" max="1" width="20.5703125" style="302" customWidth="1"/>
    <col min="2" max="2" width="11.85546875" style="254" customWidth="1"/>
    <col min="3" max="3" width="11.28515625" style="303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">
      <c r="A12" s="302" t="s">
        <v>37</v>
      </c>
      <c r="B12" s="320">
        <f>+C12*$P$13</f>
        <v>1827297.9000000001</v>
      </c>
      <c r="C12" s="321">
        <f>+'El Paso'!H38</f>
        <v>236085</v>
      </c>
      <c r="D12" s="65">
        <f>+'El Paso'!A38</f>
        <v>36871</v>
      </c>
      <c r="E12" t="s">
        <v>91</v>
      </c>
      <c r="F12" t="s">
        <v>113</v>
      </c>
      <c r="O12" s="314" t="s">
        <v>31</v>
      </c>
      <c r="P12" s="316">
        <f>+'[2]1200'!$K$39</f>
        <v>7.61</v>
      </c>
    </row>
    <row r="13" spans="1:16" ht="18" customHeight="1" x14ac:dyDescent="0.2">
      <c r="A13" s="302" t="s">
        <v>34</v>
      </c>
      <c r="B13" s="254">
        <f>+C13*$P$13</f>
        <v>1460925</v>
      </c>
      <c r="C13" s="303">
        <f>+'PG&amp;E'!D40</f>
        <v>188750</v>
      </c>
      <c r="D13" s="65">
        <f>+'PG&amp;E'!A40</f>
        <v>36871</v>
      </c>
      <c r="E13" t="s">
        <v>91</v>
      </c>
      <c r="F13" t="s">
        <v>117</v>
      </c>
      <c r="O13" s="315" t="s">
        <v>32</v>
      </c>
      <c r="P13" s="317">
        <f>+'[2]1200'!$M$39</f>
        <v>7.74</v>
      </c>
    </row>
    <row r="14" spans="1:16" ht="18" customHeight="1" x14ac:dyDescent="0.2">
      <c r="A14" s="302" t="s">
        <v>99</v>
      </c>
      <c r="B14" s="320">
        <f>+C14*$P$13</f>
        <v>1177284.96</v>
      </c>
      <c r="C14" s="321">
        <f>+NGPL!F38</f>
        <v>152104</v>
      </c>
      <c r="D14" s="65">
        <f>+NGPL!A38</f>
        <v>36871</v>
      </c>
      <c r="E14" t="s">
        <v>91</v>
      </c>
      <c r="F14" t="s">
        <v>114</v>
      </c>
    </row>
    <row r="15" spans="1:16" ht="18" customHeight="1" x14ac:dyDescent="0.2">
      <c r="A15" s="302" t="s">
        <v>105</v>
      </c>
      <c r="B15" s="254">
        <f>+C15*$P$13</f>
        <v>716383.44000000006</v>
      </c>
      <c r="C15" s="303">
        <f>+Mojave!D40</f>
        <v>92556</v>
      </c>
      <c r="D15" s="65">
        <f>+Mojave!A40</f>
        <v>36871</v>
      </c>
      <c r="E15" t="s">
        <v>91</v>
      </c>
      <c r="F15" t="s">
        <v>113</v>
      </c>
    </row>
    <row r="16" spans="1:16" ht="18" customHeight="1" x14ac:dyDescent="0.2">
      <c r="A16" s="302" t="s">
        <v>89</v>
      </c>
      <c r="B16" s="320">
        <f>+PNM!$D$23</f>
        <v>617844.62</v>
      </c>
      <c r="C16" s="321">
        <f>+B16/$P$13</f>
        <v>79824.886304909553</v>
      </c>
      <c r="D16" s="65">
        <f>+PNM!A23</f>
        <v>36871</v>
      </c>
      <c r="E16" t="s">
        <v>92</v>
      </c>
      <c r="F16" t="s">
        <v>113</v>
      </c>
    </row>
    <row r="17" spans="1:7" ht="18" customHeight="1" x14ac:dyDescent="0.2">
      <c r="A17" s="302" t="s">
        <v>119</v>
      </c>
      <c r="B17" s="254">
        <f>+Duke!C62</f>
        <v>556434.16</v>
      </c>
      <c r="C17" s="303">
        <f>+B17/$P$13</f>
        <v>71890.718346253227</v>
      </c>
      <c r="D17" s="65">
        <f>+Duke!A40</f>
        <v>36871</v>
      </c>
      <c r="E17" t="s">
        <v>92</v>
      </c>
      <c r="F17" t="s">
        <v>112</v>
      </c>
    </row>
    <row r="18" spans="1:7" ht="18" customHeight="1" x14ac:dyDescent="0.2">
      <c r="A18" s="302" t="s">
        <v>8</v>
      </c>
      <c r="B18" s="320">
        <f>+C18*$P$13</f>
        <v>530027.46</v>
      </c>
      <c r="C18" s="321">
        <f>+Oasis!D40</f>
        <v>68479</v>
      </c>
      <c r="D18" s="65">
        <f>+Oasis!B40</f>
        <v>36871</v>
      </c>
      <c r="E18" t="s">
        <v>91</v>
      </c>
      <c r="F18" t="s">
        <v>117</v>
      </c>
    </row>
    <row r="19" spans="1:7" ht="18" customHeight="1" x14ac:dyDescent="0.2">
      <c r="A19" s="302" t="s">
        <v>2</v>
      </c>
      <c r="B19" s="320">
        <f>+mewborne!$J$43</f>
        <v>513675.75</v>
      </c>
      <c r="C19" s="321">
        <f>+B19/$P$13</f>
        <v>66366.375968992244</v>
      </c>
      <c r="D19" s="65">
        <f>+mewborne!A43</f>
        <v>36871</v>
      </c>
      <c r="E19" t="s">
        <v>92</v>
      </c>
      <c r="F19" t="s">
        <v>114</v>
      </c>
    </row>
    <row r="20" spans="1:7" ht="18" customHeight="1" x14ac:dyDescent="0.2">
      <c r="A20" s="352" t="s">
        <v>106</v>
      </c>
      <c r="B20" s="320">
        <f>+burlington!D42</f>
        <v>416448.16000000003</v>
      </c>
      <c r="C20" s="321">
        <f>+B20/$P$12</f>
        <v>54723.80551905388</v>
      </c>
      <c r="D20" s="328">
        <f>+burlington!A42</f>
        <v>36871</v>
      </c>
      <c r="E20" s="325" t="s">
        <v>92</v>
      </c>
      <c r="F20" t="s">
        <v>114</v>
      </c>
      <c r="G20" t="s">
        <v>127</v>
      </c>
    </row>
    <row r="21" spans="1:7" ht="18" customHeight="1" x14ac:dyDescent="0.2">
      <c r="A21" s="302" t="s">
        <v>35</v>
      </c>
      <c r="B21" s="320">
        <f>+C21*$P$13</f>
        <v>398486.16000000003</v>
      </c>
      <c r="C21" s="321">
        <f>+SoCal!D40</f>
        <v>51484</v>
      </c>
      <c r="D21" s="65">
        <f>+SoCal!A40</f>
        <v>36871</v>
      </c>
      <c r="E21" t="s">
        <v>91</v>
      </c>
      <c r="F21" t="s">
        <v>113</v>
      </c>
    </row>
    <row r="22" spans="1:7" ht="18" customHeight="1" x14ac:dyDescent="0.2">
      <c r="A22" s="302" t="s">
        <v>30</v>
      </c>
      <c r="B22" s="320">
        <f>+C22*$P$12</f>
        <v>274447.04000000004</v>
      </c>
      <c r="C22" s="321">
        <f>+williams!J40</f>
        <v>36064</v>
      </c>
      <c r="D22" s="65">
        <f>+williams!A40</f>
        <v>36871</v>
      </c>
      <c r="E22" t="s">
        <v>91</v>
      </c>
      <c r="F22" t="s">
        <v>118</v>
      </c>
    </row>
    <row r="23" spans="1:7" ht="18" customHeight="1" x14ac:dyDescent="0.2">
      <c r="A23" s="302" t="s">
        <v>33</v>
      </c>
      <c r="B23" s="320">
        <f>+C23*$P$13</f>
        <v>187733.7</v>
      </c>
      <c r="C23" s="321">
        <f>+Lonestar!F42</f>
        <v>24255</v>
      </c>
      <c r="D23" s="328">
        <f>+Lonestar!B42</f>
        <v>36871</v>
      </c>
      <c r="E23" t="s">
        <v>91</v>
      </c>
      <c r="F23" t="s">
        <v>117</v>
      </c>
    </row>
    <row r="24" spans="1:7" ht="18" customHeight="1" x14ac:dyDescent="0.2">
      <c r="A24" s="302" t="s">
        <v>124</v>
      </c>
      <c r="B24" s="320">
        <f>+KN_Westar!D41</f>
        <v>173546.44</v>
      </c>
      <c r="C24" s="321">
        <f>+B24/$P$13</f>
        <v>22422.020671834623</v>
      </c>
      <c r="D24" s="65">
        <f>+KN_Westar!A41</f>
        <v>36871</v>
      </c>
      <c r="E24" t="s">
        <v>92</v>
      </c>
      <c r="F24" t="s">
        <v>115</v>
      </c>
    </row>
    <row r="25" spans="1:7" ht="18" customHeight="1" x14ac:dyDescent="0.2">
      <c r="A25" s="302" t="s">
        <v>77</v>
      </c>
      <c r="B25" s="360">
        <f>+transcol!$D$43</f>
        <v>87187.65</v>
      </c>
      <c r="C25" s="321">
        <f>+B25/$P$13</f>
        <v>11264.554263565891</v>
      </c>
      <c r="D25" s="65">
        <f>+transcol!A43</f>
        <v>36871</v>
      </c>
      <c r="E25" t="s">
        <v>92</v>
      </c>
      <c r="F25" t="s">
        <v>114</v>
      </c>
    </row>
    <row r="26" spans="1:7" ht="18" customHeight="1" x14ac:dyDescent="0.2">
      <c r="A26" s="302" t="s">
        <v>36</v>
      </c>
      <c r="B26" s="320">
        <f>+PGETX!$H$39</f>
        <v>20676.96</v>
      </c>
      <c r="C26" s="321">
        <f>+B26/$P$13</f>
        <v>2671.441860465116</v>
      </c>
      <c r="D26" s="65">
        <f>+PGETX!E39</f>
        <v>36871</v>
      </c>
      <c r="E26" t="s">
        <v>92</v>
      </c>
      <c r="F26" t="s">
        <v>117</v>
      </c>
      <c r="G26" t="s">
        <v>111</v>
      </c>
    </row>
    <row r="27" spans="1:7" ht="18" customHeight="1" x14ac:dyDescent="0.2">
      <c r="A27" s="302" t="s">
        <v>3</v>
      </c>
      <c r="B27" s="359">
        <f>+'Amoco Abo'!$D$43</f>
        <v>2294.6500000000087</v>
      </c>
      <c r="C27" s="345">
        <f>+B27/$P$13</f>
        <v>296.46640826873499</v>
      </c>
      <c r="D27" s="65">
        <f>+'Amoco Abo'!A43</f>
        <v>36871</v>
      </c>
      <c r="E27" t="s">
        <v>92</v>
      </c>
      <c r="F27" t="s">
        <v>112</v>
      </c>
    </row>
    <row r="28" spans="1:7" ht="18" customHeight="1" x14ac:dyDescent="0.2">
      <c r="A28" s="302" t="s">
        <v>107</v>
      </c>
      <c r="B28" s="254">
        <f>SUM(B12:B27)</f>
        <v>8960694.0500000026</v>
      </c>
      <c r="C28" s="303">
        <f>SUM(C12:C27)</f>
        <v>1159237.2693433433</v>
      </c>
    </row>
    <row r="29" spans="1:7" ht="18" customHeight="1" x14ac:dyDescent="0.2"/>
    <row r="30" spans="1:7" ht="18" customHeight="1" x14ac:dyDescent="0.2"/>
    <row r="31" spans="1:7" ht="18" customHeight="1" x14ac:dyDescent="0.2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">
      <c r="A32" s="302" t="s">
        <v>1</v>
      </c>
      <c r="B32" s="320">
        <f>+C32*$P$12</f>
        <v>-806416.48</v>
      </c>
      <c r="C32" s="321">
        <f>+NW!$F$41</f>
        <v>-105968</v>
      </c>
      <c r="D32" s="328">
        <f>+NW!B41</f>
        <v>36871</v>
      </c>
      <c r="E32" t="s">
        <v>91</v>
      </c>
      <c r="F32" t="s">
        <v>113</v>
      </c>
    </row>
    <row r="33" spans="1:7" ht="18" customHeight="1" x14ac:dyDescent="0.2">
      <c r="A33" s="302" t="s">
        <v>120</v>
      </c>
      <c r="B33" s="320">
        <f>+EOG!J41</f>
        <v>-657136.48</v>
      </c>
      <c r="C33" s="321">
        <f>+B33/$P$13</f>
        <v>-84901.354005167959</v>
      </c>
      <c r="D33" s="328">
        <f>+EOG!A41</f>
        <v>36871</v>
      </c>
      <c r="E33" t="s">
        <v>92</v>
      </c>
      <c r="F33" t="s">
        <v>117</v>
      </c>
    </row>
    <row r="34" spans="1:7" ht="18" customHeight="1" x14ac:dyDescent="0.2">
      <c r="A34" s="34" t="s">
        <v>125</v>
      </c>
      <c r="B34" s="320">
        <f>+[1]summary!$C$42+[1]summary!$C$43</f>
        <v>-653589.80000000005</v>
      </c>
      <c r="C34" s="321">
        <f>+B34/$P$13</f>
        <v>-84443.126614987079</v>
      </c>
      <c r="D34" s="65">
        <v>36860</v>
      </c>
      <c r="E34" t="s">
        <v>92</v>
      </c>
      <c r="F34" t="s">
        <v>112</v>
      </c>
      <c r="G34" s="34" t="s">
        <v>126</v>
      </c>
    </row>
    <row r="35" spans="1:7" ht="18" customHeight="1" x14ac:dyDescent="0.2">
      <c r="A35" s="352" t="s">
        <v>85</v>
      </c>
      <c r="B35" s="320">
        <f>+Agave!$D$24</f>
        <v>-346540.16000000003</v>
      </c>
      <c r="C35" s="321">
        <f>+B35/$P$13</f>
        <v>-44772.630490956079</v>
      </c>
      <c r="D35" s="328">
        <f>+Agave!A24</f>
        <v>36871</v>
      </c>
      <c r="E35" s="325" t="s">
        <v>92</v>
      </c>
      <c r="F35" t="s">
        <v>117</v>
      </c>
    </row>
    <row r="36" spans="1:7" ht="18" customHeight="1" x14ac:dyDescent="0.2">
      <c r="A36" s="302" t="s">
        <v>86</v>
      </c>
      <c r="B36" s="320">
        <f>+Conoco!$F$41</f>
        <v>-322738.81999999983</v>
      </c>
      <c r="C36" s="321">
        <f>+B36/$P$12</f>
        <v>-42409.831800262786</v>
      </c>
      <c r="D36" s="65">
        <f>+Conoco!A41</f>
        <v>36871</v>
      </c>
      <c r="E36" t="s">
        <v>92</v>
      </c>
      <c r="F36" t="s">
        <v>114</v>
      </c>
    </row>
    <row r="37" spans="1:7" ht="18" customHeight="1" x14ac:dyDescent="0.2">
      <c r="A37" s="302" t="s">
        <v>7</v>
      </c>
      <c r="B37" s="320">
        <f>+C37*$P$12</f>
        <v>-273998.05</v>
      </c>
      <c r="C37" s="321">
        <f>+Amoco!D40</f>
        <v>-36005</v>
      </c>
      <c r="D37" s="65">
        <f>+Amoco!A40</f>
        <v>36871</v>
      </c>
      <c r="E37" t="s">
        <v>91</v>
      </c>
      <c r="F37" t="s">
        <v>114</v>
      </c>
    </row>
    <row r="38" spans="1:7" ht="18" customHeight="1" x14ac:dyDescent="0.2">
      <c r="A38" s="302" t="s">
        <v>129</v>
      </c>
      <c r="B38" s="320">
        <f>+Continental!F43</f>
        <v>-206595.50999999998</v>
      </c>
      <c r="C38" s="321">
        <f>+B38/P12</f>
        <v>-27147.898817345595</v>
      </c>
      <c r="D38" s="65">
        <f>+Continental!A43</f>
        <v>36871</v>
      </c>
      <c r="E38" t="s">
        <v>92</v>
      </c>
      <c r="F38" t="s">
        <v>114</v>
      </c>
    </row>
    <row r="39" spans="1:7" ht="18" customHeight="1" x14ac:dyDescent="0.2">
      <c r="A39" s="302" t="s">
        <v>97</v>
      </c>
      <c r="B39" s="320">
        <f>+NNG!$D$24</f>
        <v>-200420.55</v>
      </c>
      <c r="C39" s="321">
        <f>+B39/$P$13</f>
        <v>-25894.127906976741</v>
      </c>
      <c r="D39" s="65">
        <f>+NNG!A24</f>
        <v>36871</v>
      </c>
      <c r="E39" t="s">
        <v>92</v>
      </c>
      <c r="F39" t="s">
        <v>115</v>
      </c>
      <c r="G39" s="34"/>
    </row>
    <row r="40" spans="1:7" ht="18" customHeight="1" x14ac:dyDescent="0.2">
      <c r="A40" s="302" t="s">
        <v>25</v>
      </c>
      <c r="B40" s="394">
        <f>+'Red C'!$D$43</f>
        <v>-80460.37</v>
      </c>
      <c r="C40" s="395">
        <f>+B40/$P$12</f>
        <v>-10572.978975032851</v>
      </c>
      <c r="D40" s="328">
        <f>+'Red C'!B43</f>
        <v>36871</v>
      </c>
      <c r="E40" t="s">
        <v>92</v>
      </c>
      <c r="F40" t="s">
        <v>114</v>
      </c>
    </row>
    <row r="41" spans="1:7" ht="18" customHeight="1" x14ac:dyDescent="0.2">
      <c r="A41" s="302" t="s">
        <v>108</v>
      </c>
      <c r="B41" s="320">
        <f>SUM(B32:B40)</f>
        <v>-3547896.2199999993</v>
      </c>
      <c r="C41" s="321">
        <f>SUM(C32:C40)</f>
        <v>-462114.94861072913</v>
      </c>
      <c r="D41" s="325"/>
    </row>
    <row r="42" spans="1:7" ht="18" customHeight="1" x14ac:dyDescent="0.2">
      <c r="B42" s="320"/>
      <c r="C42" s="321"/>
    </row>
    <row r="43" spans="1:7" ht="18" customHeight="1" x14ac:dyDescent="0.2"/>
    <row r="44" spans="1:7" ht="18" customHeight="1" thickBot="1" x14ac:dyDescent="0.25">
      <c r="A44" s="34" t="s">
        <v>102</v>
      </c>
      <c r="B44" s="318">
        <f>+B41+B28</f>
        <v>5412797.8300000038</v>
      </c>
      <c r="C44" s="319">
        <f>+C41+C28</f>
        <v>697122.32073261426</v>
      </c>
    </row>
    <row r="45" spans="1:7" ht="18" customHeight="1" thickTop="1" x14ac:dyDescent="0.2"/>
    <row r="46" spans="1:7" x14ac:dyDescent="0.2">
      <c r="C46" s="367"/>
    </row>
    <row r="52" spans="1:5" x14ac:dyDescent="0.2">
      <c r="C52" s="261"/>
      <c r="E52" s="364"/>
    </row>
    <row r="56" spans="1:5" x14ac:dyDescent="0.2">
      <c r="A56" s="34" t="s">
        <v>103</v>
      </c>
    </row>
    <row r="59" spans="1:5" x14ac:dyDescent="0.2">
      <c r="B59" s="322"/>
      <c r="C59" s="344"/>
    </row>
    <row r="60" spans="1:5" x14ac:dyDescent="0.2">
      <c r="B60" s="261"/>
    </row>
    <row r="61" spans="1:5" x14ac:dyDescent="0.2">
      <c r="B61" s="261"/>
    </row>
    <row r="62" spans="1:5" x14ac:dyDescent="0.2">
      <c r="B62" s="261"/>
    </row>
    <row r="63" spans="1:5" x14ac:dyDescent="0.2">
      <c r="B63" s="261"/>
      <c r="D63" s="64"/>
    </row>
    <row r="64" spans="1:5" x14ac:dyDescent="0.2">
      <c r="B64" s="261"/>
      <c r="C64" s="367"/>
    </row>
    <row r="65" spans="2:5" x14ac:dyDescent="0.2">
      <c r="B65" s="261"/>
      <c r="C65" s="367"/>
      <c r="D65" s="357"/>
      <c r="E65" s="369"/>
    </row>
    <row r="66" spans="2:5" x14ac:dyDescent="0.2">
      <c r="B66" s="261"/>
      <c r="C66" s="367"/>
      <c r="D66" s="272"/>
    </row>
    <row r="67" spans="2:5" x14ac:dyDescent="0.2">
      <c r="B67" s="261"/>
      <c r="C67" s="367"/>
      <c r="D67" s="272"/>
    </row>
    <row r="68" spans="2:5" x14ac:dyDescent="0.2">
      <c r="B68" s="261"/>
      <c r="C68" s="367"/>
      <c r="D68" s="31"/>
    </row>
    <row r="69" spans="2:5" x14ac:dyDescent="0.2">
      <c r="B69" s="261"/>
      <c r="C69" s="367"/>
      <c r="D69" s="370"/>
    </row>
    <row r="70" spans="2:5" x14ac:dyDescent="0.2">
      <c r="B70" s="358"/>
    </row>
    <row r="71" spans="2:5" x14ac:dyDescent="0.2">
      <c r="B71" s="358"/>
      <c r="D71" s="64"/>
    </row>
    <row r="72" spans="2:5" x14ac:dyDescent="0.2">
      <c r="B72" s="357"/>
      <c r="C72" s="261"/>
    </row>
    <row r="73" spans="2:5" x14ac:dyDescent="0.2">
      <c r="B73" s="357"/>
      <c r="C73" s="261"/>
    </row>
    <row r="74" spans="2:5" x14ac:dyDescent="0.2">
      <c r="B74" s="358"/>
      <c r="C74" s="261"/>
      <c r="D74" s="64"/>
    </row>
    <row r="75" spans="2:5" x14ac:dyDescent="0.2">
      <c r="B75" s="358"/>
      <c r="D75" s="64"/>
    </row>
    <row r="76" spans="2:5" x14ac:dyDescent="0.2">
      <c r="B76" s="358"/>
    </row>
    <row r="77" spans="2:5" x14ac:dyDescent="0.2">
      <c r="B77" s="322"/>
      <c r="C77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11" workbookViewId="1">
      <selection activeCell="C40" sqref="C4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">
      <c r="A36" s="12"/>
      <c r="B36" s="24">
        <f>SUM(B5:B35)</f>
        <v>160224</v>
      </c>
      <c r="C36" s="24">
        <f>SUM(C5:C35)</f>
        <v>158644</v>
      </c>
      <c r="D36" s="24">
        <f t="shared" si="0"/>
        <v>-1580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">
      <c r="B38" s="257">
        <v>36860</v>
      </c>
      <c r="C38" s="24"/>
      <c r="D38" s="377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5" thickBot="1" x14ac:dyDescent="0.25">
      <c r="B40" s="257">
        <v>36871</v>
      </c>
      <c r="C40" s="24"/>
      <c r="D40" s="195">
        <f>+D36+D38</f>
        <v>68479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5" thickTop="1" x14ac:dyDescent="0.2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workbookViewId="1">
      <selection activeCell="A41" sqref="A4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35161</v>
      </c>
      <c r="E10" s="11">
        <v>25000</v>
      </c>
      <c r="F10" s="25">
        <f t="shared" si="0"/>
        <v>-6923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36121</v>
      </c>
      <c r="E11" s="11">
        <v>32222</v>
      </c>
      <c r="F11" s="25">
        <f t="shared" si="0"/>
        <v>-3343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33579</v>
      </c>
      <c r="E12" s="11">
        <v>25000</v>
      </c>
      <c r="F12" s="25">
        <f t="shared" si="0"/>
        <v>-7981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33462</v>
      </c>
      <c r="E13" s="11">
        <v>25000</v>
      </c>
      <c r="F13" s="25">
        <f t="shared" si="0"/>
        <v>-7736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291657</v>
      </c>
      <c r="C35" s="11">
        <f>SUM(C4:C34)</f>
        <v>329682</v>
      </c>
      <c r="D35" s="11">
        <f>SUM(D4:D34)</f>
        <v>306572</v>
      </c>
      <c r="E35" s="11">
        <f>SUM(E4:E34)</f>
        <v>282215</v>
      </c>
      <c r="F35" s="11">
        <f>+E35-D35+C35-B35</f>
        <v>13668</v>
      </c>
    </row>
    <row r="36" spans="1:7" x14ac:dyDescent="0.2">
      <c r="A36" s="45"/>
      <c r="C36" s="14">
        <f>+C35-B35</f>
        <v>38025</v>
      </c>
      <c r="D36" s="14"/>
      <c r="E36" s="14">
        <f>+E35-D35</f>
        <v>-24357</v>
      </c>
      <c r="F36" s="47"/>
    </row>
    <row r="37" spans="1:7" x14ac:dyDescent="0.2">
      <c r="C37" s="15">
        <f>+summary!P13</f>
        <v>7.74</v>
      </c>
      <c r="D37" s="15"/>
      <c r="E37" s="15">
        <f>+C37</f>
        <v>7.74</v>
      </c>
      <c r="F37" s="24"/>
    </row>
    <row r="38" spans="1:7" x14ac:dyDescent="0.2">
      <c r="C38" s="48">
        <f>+C37*C36</f>
        <v>294313.5</v>
      </c>
      <c r="D38" s="47"/>
      <c r="E38" s="48">
        <f>+E37*E36</f>
        <v>-188523.18</v>
      </c>
      <c r="F38" s="46">
        <f>+E38+C38</f>
        <v>105790.32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4">
        <v>622338.78</v>
      </c>
      <c r="D40" s="347"/>
      <c r="E40" s="384">
        <v>-1050867.92</v>
      </c>
      <c r="F40" s="106">
        <f>+E40+C40</f>
        <v>-428529.1399999999</v>
      </c>
      <c r="G40" s="25"/>
    </row>
    <row r="41" spans="1:7" x14ac:dyDescent="0.2">
      <c r="A41" s="57">
        <v>36871</v>
      </c>
      <c r="C41" s="50">
        <f>+C40+C38</f>
        <v>916652.28</v>
      </c>
      <c r="D41" s="50"/>
      <c r="E41" s="50">
        <f>+E40+E38</f>
        <v>-1239391.0999999999</v>
      </c>
      <c r="F41" s="106">
        <f>+E41+C41</f>
        <v>-322738.81999999983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8" sqref="C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72">
        <v>401509</v>
      </c>
      <c r="C5" s="90">
        <v>366092</v>
      </c>
      <c r="D5" s="90">
        <f>+C5-B5</f>
        <v>-35417</v>
      </c>
      <c r="E5" s="292"/>
      <c r="F5" s="29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72">
        <f>266613+26262</f>
        <v>292875</v>
      </c>
      <c r="C7" s="90">
        <v>312601</v>
      </c>
      <c r="D7" s="90">
        <f t="shared" si="0"/>
        <v>19726</v>
      </c>
      <c r="E7" s="292"/>
      <c r="F7" s="290"/>
      <c r="L7" t="s">
        <v>27</v>
      </c>
      <c r="M7">
        <v>7.6</v>
      </c>
    </row>
    <row r="8" spans="1:13" x14ac:dyDescent="0.2">
      <c r="A8" s="87">
        <v>500239</v>
      </c>
      <c r="B8" s="372">
        <v>384540</v>
      </c>
      <c r="C8" s="90">
        <v>387604</v>
      </c>
      <c r="D8" s="90">
        <f t="shared" si="0"/>
        <v>3064</v>
      </c>
      <c r="E8" s="292"/>
      <c r="F8" s="290"/>
    </row>
    <row r="9" spans="1:13" x14ac:dyDescent="0.2">
      <c r="A9" s="87">
        <v>500293</v>
      </c>
      <c r="B9" s="372">
        <v>218532</v>
      </c>
      <c r="C9" s="90">
        <v>267836</v>
      </c>
      <c r="D9" s="90">
        <f t="shared" si="0"/>
        <v>49304</v>
      </c>
      <c r="E9" s="292"/>
      <c r="F9" s="290"/>
    </row>
    <row r="10" spans="1:13" x14ac:dyDescent="0.2">
      <c r="A10" s="87">
        <v>500302</v>
      </c>
      <c r="B10" s="90"/>
      <c r="C10" s="90">
        <v>3498</v>
      </c>
      <c r="D10" s="90">
        <f t="shared" si="0"/>
        <v>3498</v>
      </c>
      <c r="E10" s="292"/>
      <c r="F10" s="290"/>
    </row>
    <row r="11" spans="1:13" x14ac:dyDescent="0.2">
      <c r="A11" s="87">
        <v>500303</v>
      </c>
      <c r="B11" s="372">
        <v>131438</v>
      </c>
      <c r="C11" s="90">
        <v>108723</v>
      </c>
      <c r="D11" s="90">
        <f t="shared" si="0"/>
        <v>-22715</v>
      </c>
      <c r="E11" s="292"/>
      <c r="F11" s="290"/>
    </row>
    <row r="12" spans="1:13" x14ac:dyDescent="0.2">
      <c r="A12" s="91">
        <v>500305</v>
      </c>
      <c r="B12" s="372">
        <v>571942</v>
      </c>
      <c r="C12" s="90">
        <v>588391</v>
      </c>
      <c r="D12" s="90">
        <f t="shared" si="0"/>
        <v>16449</v>
      </c>
      <c r="E12" s="293"/>
      <c r="F12" s="290"/>
    </row>
    <row r="13" spans="1:13" x14ac:dyDescent="0.2">
      <c r="A13" s="87">
        <v>500307</v>
      </c>
      <c r="B13" s="90">
        <v>14878</v>
      </c>
      <c r="C13" s="90">
        <v>24321</v>
      </c>
      <c r="D13" s="90">
        <f t="shared" si="0"/>
        <v>9443</v>
      </c>
      <c r="E13" s="292"/>
      <c r="F13" s="290"/>
    </row>
    <row r="14" spans="1:13" x14ac:dyDescent="0.2">
      <c r="A14" s="87">
        <v>500313</v>
      </c>
      <c r="B14" s="90"/>
      <c r="C14" s="342">
        <v>1388</v>
      </c>
      <c r="D14" s="90">
        <f t="shared" si="0"/>
        <v>1388</v>
      </c>
      <c r="E14" s="292"/>
      <c r="F14" s="29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">
      <c r="A16" s="87">
        <v>500655</v>
      </c>
      <c r="B16" s="372">
        <v>41952</v>
      </c>
      <c r="C16" s="90"/>
      <c r="D16" s="90">
        <f t="shared" si="0"/>
        <v>-41952</v>
      </c>
      <c r="E16" s="292"/>
      <c r="F16" s="290"/>
    </row>
    <row r="17" spans="1:6" x14ac:dyDescent="0.2">
      <c r="A17" s="87">
        <v>500657</v>
      </c>
      <c r="B17" s="373">
        <v>103586</v>
      </c>
      <c r="C17" s="88">
        <v>71799</v>
      </c>
      <c r="D17" s="94">
        <f t="shared" si="0"/>
        <v>-31787</v>
      </c>
      <c r="E17" s="292"/>
      <c r="F17" s="290"/>
    </row>
    <row r="18" spans="1:6" x14ac:dyDescent="0.2">
      <c r="A18" s="87"/>
      <c r="B18" s="88"/>
      <c r="C18" s="88"/>
      <c r="D18" s="88">
        <f>SUM(D5:D17)</f>
        <v>-28999</v>
      </c>
      <c r="E18" s="292"/>
      <c r="F18" s="290"/>
    </row>
    <row r="19" spans="1:6" x14ac:dyDescent="0.2">
      <c r="A19" s="87" t="s">
        <v>88</v>
      </c>
      <c r="B19" s="88"/>
      <c r="C19" s="88"/>
      <c r="D19" s="95">
        <f>+summary!P13</f>
        <v>7.74</v>
      </c>
      <c r="E19" s="294"/>
      <c r="F19" s="290"/>
    </row>
    <row r="20" spans="1:6" x14ac:dyDescent="0.2">
      <c r="A20" s="87"/>
      <c r="B20" s="88"/>
      <c r="C20" s="88"/>
      <c r="D20" s="96">
        <f>+D19*D18</f>
        <v>-224452.26</v>
      </c>
      <c r="E20" s="209"/>
      <c r="F20" s="29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85">
        <v>-122087.9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36871</v>
      </c>
      <c r="B24" s="88"/>
      <c r="C24" s="88"/>
      <c r="D24" s="98">
        <f>+D22+D20</f>
        <v>-346540.16000000003</v>
      </c>
      <c r="E24" s="209"/>
      <c r="F24" s="66"/>
    </row>
    <row r="25" spans="1:6" ht="13.5" thickTop="1" x14ac:dyDescent="0.2">
      <c r="E25" s="295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1561569</v>
      </c>
      <c r="C36" s="11">
        <f>SUM(C5:C35)</f>
        <v>1880809</v>
      </c>
      <c r="D36" s="11"/>
      <c r="E36" s="11">
        <f>SUM(E5:E35)</f>
        <v>349776</v>
      </c>
      <c r="F36" s="11">
        <f>SUM(F5:F35)</f>
        <v>-30536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75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36871</v>
      </c>
      <c r="F41" s="282">
        <f>+F39+F36</f>
        <v>-105968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80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C19" sqref="C19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255742</v>
      </c>
      <c r="C39" s="11">
        <f>SUM(C8:C38)</f>
        <v>254650</v>
      </c>
      <c r="D39" s="11">
        <f>SUM(D8:D38)</f>
        <v>-1092</v>
      </c>
      <c r="E39" s="10"/>
      <c r="F39" s="11"/>
      <c r="G39" s="11"/>
      <c r="H39" s="11"/>
    </row>
    <row r="40" spans="1:8" x14ac:dyDescent="0.2">
      <c r="A40" s="26"/>
      <c r="D40" s="75">
        <f>+summary!P13</f>
        <v>7.74</v>
      </c>
      <c r="E40" s="26"/>
      <c r="H40" s="75"/>
    </row>
    <row r="41" spans="1:8" x14ac:dyDescent="0.2">
      <c r="D41" s="197">
        <f>+D40*D39</f>
        <v>-8452.08</v>
      </c>
      <c r="F41" s="254"/>
      <c r="H41" s="197"/>
    </row>
    <row r="42" spans="1:8" x14ac:dyDescent="0.2">
      <c r="A42" s="57">
        <v>36860</v>
      </c>
      <c r="D42" s="391">
        <v>95639.73</v>
      </c>
      <c r="E42" s="57"/>
      <c r="H42" s="197"/>
    </row>
    <row r="43" spans="1:8" x14ac:dyDescent="0.2">
      <c r="A43" s="57">
        <v>36871</v>
      </c>
      <c r="D43" s="198">
        <f>+D42+D41</f>
        <v>87187.65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topLeftCell="A31" workbookViewId="1">
      <selection activeCell="A41" sqref="A4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92">
        <v>-208801.6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36869</v>
      </c>
      <c r="G7" s="32"/>
      <c r="H7" s="15"/>
      <c r="I7" s="32"/>
      <c r="J7" s="32"/>
    </row>
    <row r="8" spans="1:10" x14ac:dyDescent="0.2">
      <c r="A8" s="255">
        <v>60874</v>
      </c>
      <c r="B8" s="355">
        <v>941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374">
        <f>12155-10751</f>
        <v>1404</v>
      </c>
      <c r="G10" s="32"/>
      <c r="H10" s="15"/>
      <c r="I10" s="32"/>
      <c r="J10" s="32"/>
    </row>
    <row r="11" spans="1:10" x14ac:dyDescent="0.2">
      <c r="A11" s="255">
        <v>500251</v>
      </c>
      <c r="B11" s="355">
        <f>4228-4837</f>
        <v>-609</v>
      </c>
      <c r="G11" s="32"/>
      <c r="H11" s="15"/>
      <c r="I11" s="32"/>
      <c r="J11" s="32"/>
    </row>
    <row r="12" spans="1:10" x14ac:dyDescent="0.2">
      <c r="A12" s="255">
        <v>500254</v>
      </c>
      <c r="B12" s="212">
        <f>761-206</f>
        <v>555</v>
      </c>
      <c r="G12" s="32"/>
      <c r="H12" s="15"/>
      <c r="I12" s="32"/>
      <c r="J12" s="32"/>
    </row>
    <row r="13" spans="1:10" x14ac:dyDescent="0.2">
      <c r="A13" s="32">
        <v>500255</v>
      </c>
      <c r="B13" s="273">
        <f>5636-10318</f>
        <v>-4682</v>
      </c>
      <c r="G13" s="32"/>
      <c r="H13" s="15"/>
      <c r="I13" s="32"/>
      <c r="J13" s="32"/>
    </row>
    <row r="14" spans="1:10" x14ac:dyDescent="0.2">
      <c r="A14" s="32">
        <v>500262</v>
      </c>
      <c r="B14" s="355">
        <f>2923-3991</f>
        <v>-1068</v>
      </c>
      <c r="G14" s="32"/>
      <c r="H14" s="15"/>
      <c r="I14" s="32"/>
      <c r="J14" s="32"/>
    </row>
    <row r="15" spans="1:10" x14ac:dyDescent="0.2">
      <c r="A15" s="297">
        <v>500267</v>
      </c>
      <c r="B15" s="356">
        <f>345698-330114</f>
        <v>15584</v>
      </c>
      <c r="G15" s="32"/>
      <c r="H15" s="15"/>
      <c r="I15" s="32"/>
      <c r="J15" s="32"/>
    </row>
    <row r="16" spans="1:10" x14ac:dyDescent="0.2">
      <c r="B16" s="14">
        <f>SUM(B8:B15)</f>
        <v>12125</v>
      </c>
      <c r="G16" s="32"/>
      <c r="H16" s="15"/>
      <c r="I16" s="32"/>
      <c r="J16" s="32"/>
    </row>
    <row r="17" spans="1:10" x14ac:dyDescent="0.2">
      <c r="B17" s="15">
        <f>+B30</f>
        <v>7.74</v>
      </c>
      <c r="C17" s="201">
        <f>+B17*B16</f>
        <v>93847.5</v>
      </c>
      <c r="G17" s="32"/>
      <c r="H17" s="15"/>
      <c r="I17" s="32"/>
      <c r="J17" s="32"/>
    </row>
    <row r="18" spans="1:10" x14ac:dyDescent="0.2">
      <c r="C18" s="260">
        <f>+C17+C5</f>
        <v>-114954.1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89">
        <v>166829.88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36871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7.74</v>
      </c>
      <c r="C30" s="201">
        <f>+B30*B29</f>
        <v>97183.44</v>
      </c>
    </row>
    <row r="31" spans="1:10" x14ac:dyDescent="0.2">
      <c r="C31" s="260">
        <f>+C30+C24</f>
        <v>264013.32</v>
      </c>
      <c r="E31" s="15"/>
    </row>
    <row r="33" spans="1:6" x14ac:dyDescent="0.2">
      <c r="E33" s="278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88">
        <v>285553.17</v>
      </c>
      <c r="E38" s="15"/>
      <c r="F38" s="272"/>
    </row>
    <row r="40" spans="1:6" x14ac:dyDescent="0.2">
      <c r="A40" s="251">
        <v>36871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2444</v>
      </c>
    </row>
    <row r="43" spans="1:6" x14ac:dyDescent="0.2">
      <c r="A43" s="32">
        <v>500392</v>
      </c>
      <c r="B43" s="259">
        <v>755</v>
      </c>
    </row>
    <row r="44" spans="1:6" x14ac:dyDescent="0.2">
      <c r="B44" s="14">
        <f>SUM(B41:B43)</f>
        <v>3199</v>
      </c>
    </row>
    <row r="45" spans="1:6" x14ac:dyDescent="0.2">
      <c r="B45" s="201">
        <f>+B30</f>
        <v>7.74</v>
      </c>
      <c r="C45" s="201">
        <f>+B45*B44</f>
        <v>24760.260000000002</v>
      </c>
    </row>
    <row r="46" spans="1:6" x14ac:dyDescent="0.2">
      <c r="C46" s="260">
        <f>+C45+C38</f>
        <v>310313.43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65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387">
        <v>73449.16</v>
      </c>
      <c r="E51" s="50"/>
    </row>
    <row r="52" spans="1:5" x14ac:dyDescent="0.2">
      <c r="A52" s="32">
        <v>22664</v>
      </c>
      <c r="C52" s="387">
        <v>23612.35</v>
      </c>
    </row>
    <row r="53" spans="1:5" x14ac:dyDescent="0.2">
      <c r="E53" s="15"/>
    </row>
    <row r="56" spans="1:5" x14ac:dyDescent="0.2">
      <c r="C56" s="15"/>
    </row>
    <row r="58" spans="1:5" x14ac:dyDescent="0.2">
      <c r="C58" s="15"/>
    </row>
    <row r="59" spans="1:5" x14ac:dyDescent="0.2">
      <c r="C59" s="15"/>
    </row>
    <row r="62" spans="1:5" x14ac:dyDescent="0.2">
      <c r="C62" s="15">
        <f>+C18+C31+C46+C51+C52</f>
        <v>556434.16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5" workbookViewId="1">
      <selection activeCell="I19" sqref="I1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75326</v>
      </c>
      <c r="C39" s="11">
        <f t="shared" si="1"/>
        <v>71775</v>
      </c>
      <c r="D39" s="11">
        <f t="shared" si="1"/>
        <v>1640</v>
      </c>
      <c r="E39" s="11">
        <f t="shared" si="1"/>
        <v>1969</v>
      </c>
      <c r="F39" s="11">
        <f t="shared" si="1"/>
        <v>11963</v>
      </c>
      <c r="G39" s="11">
        <f t="shared" si="1"/>
        <v>14553</v>
      </c>
      <c r="H39" s="11">
        <f t="shared" si="1"/>
        <v>2103</v>
      </c>
      <c r="I39" s="11">
        <f t="shared" si="1"/>
        <v>3278</v>
      </c>
      <c r="J39" s="25">
        <f t="shared" si="1"/>
        <v>543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7.74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4202.82</v>
      </c>
      <c r="L41"/>
      <c r="R41" s="138"/>
      <c r="X41" s="138"/>
    </row>
    <row r="42" spans="1:24" x14ac:dyDescent="0.2">
      <c r="A42" s="57">
        <v>36860</v>
      </c>
      <c r="C42" s="15"/>
      <c r="J42" s="379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36871</v>
      </c>
      <c r="C43" s="48"/>
      <c r="J43" s="138">
        <f>+J42+J41</f>
        <v>513675.75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B44" sqref="B44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184171</v>
      </c>
      <c r="C39" s="11">
        <f>SUM(C8:C38)</f>
        <v>192975</v>
      </c>
      <c r="D39" s="11">
        <f>SUM(D8:D38)</f>
        <v>8804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7.74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68142.960000000006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83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36871</v>
      </c>
      <c r="C43" s="48"/>
      <c r="D43" s="110">
        <f>+D42+D41</f>
        <v>2294.6500000000087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10" sqref="C10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86">
        <v>-91998</v>
      </c>
      <c r="C6" s="80"/>
      <c r="D6" s="80">
        <f t="shared" ref="D6:D14" si="0">+C6-B6</f>
        <v>91998</v>
      </c>
    </row>
    <row r="7" spans="1:8" x14ac:dyDescent="0.2">
      <c r="A7" s="32">
        <v>3531</v>
      </c>
      <c r="B7" s="386">
        <v>-330799</v>
      </c>
      <c r="C7" s="307">
        <v>-331850</v>
      </c>
      <c r="D7" s="80">
        <f t="shared" si="0"/>
        <v>-1051</v>
      </c>
    </row>
    <row r="8" spans="1:8" x14ac:dyDescent="0.2">
      <c r="A8" s="32">
        <v>60667</v>
      </c>
      <c r="B8" s="386">
        <f>-223742-19660</f>
        <v>-243402</v>
      </c>
      <c r="C8" s="307">
        <v>-292138</v>
      </c>
      <c r="D8" s="80">
        <f t="shared" si="0"/>
        <v>-48736</v>
      </c>
      <c r="H8" s="256"/>
    </row>
    <row r="9" spans="1:8" x14ac:dyDescent="0.2">
      <c r="A9" s="32">
        <v>60749</v>
      </c>
      <c r="B9" s="354">
        <v>46177</v>
      </c>
      <c r="C9" s="386">
        <v>-266798</v>
      </c>
      <c r="D9" s="80">
        <f t="shared" si="0"/>
        <v>-312975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386">
        <v>-238070</v>
      </c>
      <c r="C11" s="80"/>
      <c r="D11" s="80">
        <f t="shared" si="0"/>
        <v>238070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-32694</v>
      </c>
    </row>
    <row r="19" spans="1:5" x14ac:dyDescent="0.2">
      <c r="A19" s="32" t="s">
        <v>88</v>
      </c>
      <c r="B19" s="69"/>
      <c r="C19" s="69"/>
      <c r="D19" s="73">
        <f>+summary!P13</f>
        <v>7.74</v>
      </c>
    </row>
    <row r="20" spans="1:5" x14ac:dyDescent="0.2">
      <c r="B20" s="69"/>
      <c r="C20" s="69"/>
      <c r="D20" s="75">
        <f>+D19*D18</f>
        <v>-253051.56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8">
        <v>52631.01</v>
      </c>
      <c r="E22" s="256"/>
    </row>
    <row r="23" spans="1:5" x14ac:dyDescent="0.2">
      <c r="B23" s="69"/>
      <c r="C23" s="80"/>
      <c r="D23" s="305"/>
      <c r="E23" s="256"/>
    </row>
    <row r="24" spans="1:5" ht="12" thickBot="1" x14ac:dyDescent="0.25">
      <c r="A24" s="49">
        <v>36871</v>
      </c>
      <c r="B24" s="69"/>
      <c r="C24" s="69"/>
      <c r="D24" s="306">
        <f>+D22+D20</f>
        <v>-200420.55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B13" sqref="B13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371">
        <v>-29169</v>
      </c>
      <c r="C5" s="90">
        <v>-45305</v>
      </c>
      <c r="D5" s="90">
        <f t="shared" ref="D5:D13" si="0">+C5-B5</f>
        <v>-16136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71">
        <v>-1063894</v>
      </c>
      <c r="C7" s="90">
        <v>-1105577</v>
      </c>
      <c r="D7" s="90">
        <f t="shared" si="0"/>
        <v>-41683</v>
      </c>
      <c r="E7" s="292"/>
      <c r="F7" s="70"/>
    </row>
    <row r="8" spans="1:13" x14ac:dyDescent="0.2">
      <c r="A8" s="87">
        <v>58710</v>
      </c>
      <c r="B8" s="371">
        <v>-155139</v>
      </c>
      <c r="C8" s="353">
        <v>-78669</v>
      </c>
      <c r="D8" s="90">
        <f t="shared" si="0"/>
        <v>76470</v>
      </c>
      <c r="E8" s="292"/>
      <c r="F8" s="70"/>
    </row>
    <row r="9" spans="1:13" x14ac:dyDescent="0.2">
      <c r="A9" s="87">
        <v>60921</v>
      </c>
      <c r="B9" s="371">
        <v>-221071</v>
      </c>
      <c r="C9" s="90">
        <v>-173545</v>
      </c>
      <c r="D9" s="90">
        <f t="shared" si="0"/>
        <v>47526</v>
      </c>
      <c r="E9" s="292"/>
      <c r="F9" s="70"/>
    </row>
    <row r="10" spans="1:13" x14ac:dyDescent="0.2">
      <c r="A10" s="87">
        <v>78026</v>
      </c>
      <c r="B10" s="353">
        <v>32039</v>
      </c>
      <c r="C10" s="90"/>
      <c r="D10" s="90">
        <f t="shared" si="0"/>
        <v>-32039</v>
      </c>
      <c r="E10" s="292"/>
      <c r="F10" s="290"/>
    </row>
    <row r="11" spans="1:13" x14ac:dyDescent="0.2">
      <c r="A11" s="87">
        <v>500084</v>
      </c>
      <c r="B11" s="371">
        <v>-22075</v>
      </c>
      <c r="C11" s="90">
        <v>-33000</v>
      </c>
      <c r="D11" s="90">
        <f t="shared" si="0"/>
        <v>-10925</v>
      </c>
      <c r="E11" s="293"/>
      <c r="F11" s="290"/>
    </row>
    <row r="12" spans="1:13" x14ac:dyDescent="0.2">
      <c r="A12" s="91">
        <v>500085</v>
      </c>
      <c r="B12" s="353">
        <v>-60784</v>
      </c>
      <c r="C12" s="353">
        <v>-54461</v>
      </c>
      <c r="D12" s="90">
        <f t="shared" si="0"/>
        <v>6323</v>
      </c>
      <c r="E12" s="292"/>
      <c r="F12" s="290"/>
    </row>
    <row r="13" spans="1:13" x14ac:dyDescent="0.2">
      <c r="A13" s="87">
        <v>500097</v>
      </c>
      <c r="B13" s="90">
        <v>-2457</v>
      </c>
      <c r="C13" s="90"/>
      <c r="D13" s="90">
        <f t="shared" si="0"/>
        <v>2457</v>
      </c>
      <c r="E13" s="292"/>
      <c r="F13" s="290"/>
    </row>
    <row r="14" spans="1:13" x14ac:dyDescent="0.2">
      <c r="A14" s="87"/>
      <c r="B14" s="90"/>
      <c r="C14" s="90"/>
      <c r="D14" s="90"/>
      <c r="E14" s="292"/>
      <c r="F14" s="290"/>
    </row>
    <row r="15" spans="1:13" x14ac:dyDescent="0.2">
      <c r="A15" s="87"/>
      <c r="B15" s="90"/>
      <c r="C15" s="90"/>
      <c r="D15" s="90"/>
      <c r="E15" s="292"/>
      <c r="F15" s="290"/>
    </row>
    <row r="16" spans="1:13" x14ac:dyDescent="0.2">
      <c r="A16" s="87"/>
      <c r="B16" s="88"/>
      <c r="C16" s="88"/>
      <c r="D16" s="94"/>
      <c r="E16" s="292"/>
      <c r="F16" s="290"/>
    </row>
    <row r="17" spans="1:7" x14ac:dyDescent="0.2">
      <c r="A17" s="87"/>
      <c r="B17" s="88"/>
      <c r="C17" s="88"/>
      <c r="D17" s="88">
        <f>SUM(D5:D16)</f>
        <v>31993</v>
      </c>
      <c r="E17" s="292"/>
      <c r="F17" s="290"/>
    </row>
    <row r="18" spans="1:7" x14ac:dyDescent="0.2">
      <c r="A18" s="87" t="s">
        <v>88</v>
      </c>
      <c r="B18" s="88"/>
      <c r="C18" s="88"/>
      <c r="D18" s="95">
        <f>+summary!P13</f>
        <v>7.74</v>
      </c>
      <c r="E18" s="294"/>
      <c r="F18" s="290"/>
    </row>
    <row r="19" spans="1:7" x14ac:dyDescent="0.2">
      <c r="A19" s="87"/>
      <c r="B19" s="88"/>
      <c r="C19" s="88"/>
      <c r="D19" s="96">
        <f>+D18*D17</f>
        <v>247625.82</v>
      </c>
      <c r="E19" s="209"/>
      <c r="F19" s="291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85">
        <v>370218.8</v>
      </c>
      <c r="E21" s="209"/>
      <c r="F21" s="66"/>
    </row>
    <row r="22" spans="1:7" x14ac:dyDescent="0.2">
      <c r="A22" s="87"/>
      <c r="B22" s="88"/>
      <c r="C22" s="88"/>
      <c r="D22" s="351"/>
      <c r="E22" s="209"/>
      <c r="F22" s="66"/>
    </row>
    <row r="23" spans="1:7" ht="13.5" thickBot="1" x14ac:dyDescent="0.25">
      <c r="A23" s="99">
        <v>36871</v>
      </c>
      <c r="B23" s="88"/>
      <c r="C23" s="88"/>
      <c r="D23" s="98">
        <f>+D21+D19</f>
        <v>617844.62</v>
      </c>
      <c r="E23" s="209"/>
      <c r="F23" s="66"/>
    </row>
    <row r="24" spans="1:7" ht="13.5" thickTop="1" x14ac:dyDescent="0.2">
      <c r="E24" s="295"/>
    </row>
    <row r="25" spans="1:7" x14ac:dyDescent="0.2">
      <c r="E25" s="295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6"/>
      <c r="E36" s="69"/>
      <c r="F36" s="70"/>
      <c r="G36" s="32"/>
    </row>
    <row r="37" spans="1:7" x14ac:dyDescent="0.2">
      <c r="B37" s="69"/>
      <c r="C37" s="69"/>
      <c r="D37" s="326"/>
      <c r="E37" s="69"/>
      <c r="F37" s="70"/>
      <c r="G37" s="32"/>
    </row>
    <row r="38" spans="1:7" x14ac:dyDescent="0.2">
      <c r="B38" s="69"/>
      <c r="C38" s="69"/>
      <c r="D38" s="326"/>
      <c r="E38" s="69"/>
      <c r="F38" s="70"/>
      <c r="G38" s="32"/>
    </row>
    <row r="39" spans="1:7" x14ac:dyDescent="0.2">
      <c r="B39" s="69"/>
      <c r="C39" s="69"/>
      <c r="D39" s="326"/>
      <c r="E39" s="69"/>
      <c r="F39" s="70"/>
      <c r="G39" s="32"/>
    </row>
    <row r="40" spans="1:7" x14ac:dyDescent="0.2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">
      <c r="B45" s="69"/>
      <c r="C45" s="69"/>
      <c r="D45" s="327"/>
      <c r="E45" s="292"/>
      <c r="F45" s="290"/>
      <c r="G45" s="206"/>
    </row>
    <row r="46" spans="1:7" x14ac:dyDescent="0.2">
      <c r="A46" s="32"/>
      <c r="B46" s="69"/>
      <c r="C46" s="69"/>
      <c r="D46" s="292"/>
      <c r="E46" s="292"/>
      <c r="F46" s="290"/>
      <c r="G46" s="206"/>
    </row>
    <row r="47" spans="1:7" x14ac:dyDescent="0.2">
      <c r="A47" s="32"/>
      <c r="B47" s="69"/>
      <c r="C47" s="69"/>
      <c r="D47" s="294"/>
      <c r="E47" s="294"/>
      <c r="F47" s="290"/>
      <c r="G47" s="206"/>
    </row>
    <row r="48" spans="1:7" x14ac:dyDescent="0.2">
      <c r="B48" s="69"/>
      <c r="C48" s="69"/>
      <c r="D48" s="292"/>
      <c r="E48" s="292"/>
      <c r="F48" s="291"/>
      <c r="G48" s="206"/>
    </row>
    <row r="49" spans="1:7" x14ac:dyDescent="0.2">
      <c r="B49" s="69"/>
      <c r="C49" s="69"/>
      <c r="D49" s="292"/>
      <c r="E49" s="292"/>
      <c r="F49" s="291"/>
      <c r="G49" s="206"/>
    </row>
    <row r="50" spans="1:7" x14ac:dyDescent="0.2">
      <c r="D50" s="323"/>
      <c r="E50" s="323"/>
      <c r="F50" s="324"/>
      <c r="G50" s="325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workbookViewId="1">
      <selection activeCell="E15" sqref="E15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86575</v>
      </c>
      <c r="I10" s="11">
        <v>170091</v>
      </c>
      <c r="J10" s="11">
        <f t="shared" si="0"/>
        <v>80774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79661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3315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781662</v>
      </c>
      <c r="C35" s="11">
        <f t="shared" ref="C35:I35" si="1">SUM(C4:C34)</f>
        <v>760758</v>
      </c>
      <c r="D35" s="11">
        <f t="shared" si="1"/>
        <v>4136712</v>
      </c>
      <c r="E35" s="11">
        <f t="shared" si="1"/>
        <v>4137095</v>
      </c>
      <c r="F35" s="11">
        <f t="shared" si="1"/>
        <v>470185</v>
      </c>
      <c r="G35" s="11">
        <f t="shared" si="1"/>
        <v>526154</v>
      </c>
      <c r="H35" s="11">
        <f t="shared" si="1"/>
        <v>1634309</v>
      </c>
      <c r="I35" s="11">
        <f t="shared" si="1"/>
        <v>1669286</v>
      </c>
      <c r="J35" s="11">
        <f>SUM(J4:J34)</f>
        <v>70425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36871</v>
      </c>
      <c r="J40" s="36">
        <f>+J38+J35</f>
        <v>36064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C13" sqref="C1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4">
        <f>SUM(B3:B33)</f>
        <v>184737</v>
      </c>
      <c r="C34" s="304">
        <f>SUM(C3:C33)</f>
        <v>199452</v>
      </c>
      <c r="D34" s="14">
        <f>SUM(D3:D33)</f>
        <v>0</v>
      </c>
      <c r="E34" s="14">
        <f>SUM(E3:E33)</f>
        <v>0</v>
      </c>
      <c r="F34" s="14">
        <f>SUM(F3:F33)</f>
        <v>14715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">
      <c r="A38" s="267">
        <v>36871</v>
      </c>
      <c r="B38" s="14"/>
      <c r="C38" s="14"/>
      <c r="D38" s="14"/>
      <c r="E38" s="14"/>
      <c r="F38" s="24">
        <f>+F37+F34</f>
        <v>152104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A46" sqref="A46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501232</v>
      </c>
      <c r="C35" s="11">
        <f>SUM(C4:C34)</f>
        <v>509772</v>
      </c>
      <c r="D35" s="11">
        <f>SUM(D4:D34)</f>
        <v>8540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246">
        <v>84016</v>
      </c>
    </row>
    <row r="39" spans="1:4" x14ac:dyDescent="0.2">
      <c r="A39" s="2"/>
      <c r="D39" s="24"/>
    </row>
    <row r="40" spans="1:4" x14ac:dyDescent="0.2">
      <c r="A40" s="57">
        <v>36871</v>
      </c>
      <c r="D40" s="36">
        <f>+D38+D35</f>
        <v>92556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A17" sqref="A1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306608</v>
      </c>
      <c r="C35" s="11">
        <f t="shared" ref="C35:I35" si="1">SUM(C4:C34)</f>
        <v>298846</v>
      </c>
      <c r="D35" s="11">
        <f t="shared" si="1"/>
        <v>115429</v>
      </c>
      <c r="E35" s="11">
        <f t="shared" si="1"/>
        <v>107750</v>
      </c>
      <c r="F35" s="11">
        <f t="shared" si="1"/>
        <v>671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-16112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7.74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-124706.88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82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36871</v>
      </c>
      <c r="J41" s="366">
        <f>+J39+J37</f>
        <v>-657136.48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8" workbookViewId="1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515982</v>
      </c>
      <c r="C37" s="24">
        <f>SUM(C6:C36)+850+14+4-2000</f>
        <v>512523</v>
      </c>
      <c r="D37" s="24">
        <f>SUM(D6:D36)</f>
        <v>-2327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7.74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-18010.98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80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36871</v>
      </c>
      <c r="B41" s="14"/>
      <c r="C41" s="14"/>
      <c r="D41" s="104">
        <f>+D40+D39</f>
        <v>173546.44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6" workbookViewId="1">
      <selection activeCell="C19" sqref="C19"/>
    </sheetView>
  </sheetViews>
  <sheetFormatPr defaultRowHeight="12.75" x14ac:dyDescent="0.2"/>
  <sheetData>
    <row r="5" spans="1:6" ht="15" x14ac:dyDescent="0.25">
      <c r="A5" s="134"/>
      <c r="B5" s="34" t="s">
        <v>128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72216</v>
      </c>
      <c r="C39" s="11">
        <f>SUM(C8:C38)</f>
        <v>78046</v>
      </c>
      <c r="D39" s="11">
        <f>SUM(D8:D38)</f>
        <v>32754</v>
      </c>
      <c r="E39" s="11">
        <f>SUM(E8:E38)</f>
        <v>36758</v>
      </c>
      <c r="F39" s="25">
        <f>SUM(F8:F38)</f>
        <v>9834</v>
      </c>
    </row>
    <row r="40" spans="1:6" x14ac:dyDescent="0.2">
      <c r="A40" s="26"/>
      <c r="C40" s="14"/>
      <c r="F40" s="264">
        <f>+summary!P13</f>
        <v>7.74</v>
      </c>
    </row>
    <row r="41" spans="1:6" x14ac:dyDescent="0.2">
      <c r="F41" s="138">
        <f>+F40*F39</f>
        <v>76115.16</v>
      </c>
    </row>
    <row r="42" spans="1:6" x14ac:dyDescent="0.2">
      <c r="A42" s="57">
        <v>36860</v>
      </c>
      <c r="C42" s="15"/>
      <c r="F42" s="379">
        <v>-282710.67</v>
      </c>
    </row>
    <row r="43" spans="1:6" x14ac:dyDescent="0.2">
      <c r="A43" s="57">
        <v>36871</v>
      </c>
      <c r="C43" s="48"/>
      <c r="F43" s="138">
        <f>+F42+F41</f>
        <v>-206595.50999999998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">
      <c r="A16" s="10">
        <v>10</v>
      </c>
      <c r="B16" s="11">
        <v>195598</v>
      </c>
      <c r="C16" s="11">
        <v>203483</v>
      </c>
      <c r="D16" s="25">
        <f t="shared" si="0"/>
        <v>7885</v>
      </c>
    </row>
    <row r="17" spans="1:4" x14ac:dyDescent="0.2">
      <c r="A17" s="10">
        <v>11</v>
      </c>
      <c r="B17" s="11">
        <v>189560</v>
      </c>
      <c r="C17" s="11">
        <v>188209</v>
      </c>
      <c r="D17" s="25">
        <f t="shared" si="0"/>
        <v>-1351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2082250</v>
      </c>
      <c r="C38" s="11">
        <f>SUM(C7:C37)</f>
        <v>2108806</v>
      </c>
      <c r="D38" s="11">
        <f>SUM(D7:D37)</f>
        <v>26556</v>
      </c>
    </row>
    <row r="39" spans="1:4" x14ac:dyDescent="0.2">
      <c r="A39" s="26"/>
      <c r="C39" s="14"/>
      <c r="D39" s="106">
        <f>+summary!P12</f>
        <v>7.61</v>
      </c>
    </row>
    <row r="40" spans="1:4" x14ac:dyDescent="0.2">
      <c r="D40" s="138">
        <f>+D39*D38</f>
        <v>202091.16</v>
      </c>
    </row>
    <row r="41" spans="1:4" x14ac:dyDescent="0.2">
      <c r="A41" s="57">
        <v>36860</v>
      </c>
      <c r="C41" s="15"/>
      <c r="D41" s="362">
        <v>214357</v>
      </c>
    </row>
    <row r="42" spans="1:4" x14ac:dyDescent="0.2">
      <c r="A42" s="57">
        <v>36871</v>
      </c>
      <c r="D42" s="348">
        <f>+D41+D40</f>
        <v>416448.16000000003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59018</v>
      </c>
      <c r="C36" s="44">
        <f>SUM(C5:C35)</f>
        <v>0</v>
      </c>
      <c r="D36" s="43">
        <f>SUM(D5:D35)</f>
        <v>16956</v>
      </c>
      <c r="E36" s="44">
        <f>SUM(E5:E35)</f>
        <v>80000</v>
      </c>
      <c r="F36" s="11">
        <f>SUM(F5:F35)</f>
        <v>-4026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59018</v>
      </c>
      <c r="D37" s="24"/>
      <c r="E37" s="24">
        <f>+D36-E36</f>
        <v>-63044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36871</v>
      </c>
      <c r="C42" s="14"/>
      <c r="D42" s="50"/>
      <c r="E42" s="50"/>
      <c r="F42" s="51">
        <f>+F41+F36</f>
        <v>24255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3" workbookViewId="1">
      <selection activeCell="A41" sqref="A41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3062801</v>
      </c>
      <c r="C35" s="11">
        <f>SUM(C4:C34)</f>
        <v>3091493</v>
      </c>
      <c r="D35" s="11">
        <f>SUM(D4:D34)</f>
        <v>28692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244">
        <v>160058</v>
      </c>
    </row>
    <row r="39" spans="1:30" x14ac:dyDescent="0.2">
      <c r="A39" s="12"/>
      <c r="D39" s="24"/>
    </row>
    <row r="40" spans="1:30" x14ac:dyDescent="0.2">
      <c r="A40" s="251">
        <v>36871</v>
      </c>
      <c r="D40" s="24">
        <f>+D38+D35</f>
        <v>188750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40" sqref="C40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8255894</v>
      </c>
      <c r="C35" s="11">
        <f>SUM(C4:C34)</f>
        <v>8222064</v>
      </c>
      <c r="D35" s="11">
        <f>SUM(D4:D34)</f>
        <v>-33830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81">
        <v>85314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36871</v>
      </c>
      <c r="D40" s="36">
        <f>+D38+D35</f>
        <v>51484</v>
      </c>
      <c r="I40" s="24"/>
    </row>
    <row r="42" spans="1:45" x14ac:dyDescent="0.2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workbookViewId="1">
      <selection activeCell="E11" sqref="E1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182690</v>
      </c>
      <c r="C35" s="44">
        <f t="shared" si="1"/>
        <v>70559</v>
      </c>
      <c r="D35" s="11">
        <f t="shared" si="1"/>
        <v>5</v>
      </c>
      <c r="E35" s="44">
        <f t="shared" si="1"/>
        <v>112614</v>
      </c>
      <c r="F35" s="11">
        <f t="shared" si="1"/>
        <v>0</v>
      </c>
      <c r="G35" s="11">
        <f t="shared" si="1"/>
        <v>0</v>
      </c>
      <c r="H35" s="11">
        <f t="shared" si="1"/>
        <v>-478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7.74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-3699.7200000000003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9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36871</v>
      </c>
      <c r="F39" s="47"/>
      <c r="G39" s="47"/>
      <c r="H39" s="137">
        <f>+H38+H37</f>
        <v>20676.96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C11" sqref="C11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321780</v>
      </c>
      <c r="E7" s="368">
        <f>321777+3</f>
        <v>321780</v>
      </c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3402457</v>
      </c>
      <c r="E36" s="11">
        <f t="shared" si="15"/>
        <v>3376474</v>
      </c>
      <c r="F36" s="11">
        <f t="shared" si="15"/>
        <v>0</v>
      </c>
      <c r="G36" s="11">
        <f t="shared" si="15"/>
        <v>0</v>
      </c>
      <c r="H36" s="11">
        <f t="shared" si="15"/>
        <v>25947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6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36871</v>
      </c>
      <c r="B38" s="2" t="s">
        <v>49</v>
      </c>
      <c r="C38" s="131">
        <f>+C37+C36-B36</f>
        <v>-7121</v>
      </c>
      <c r="D38" s="262"/>
      <c r="E38" s="131">
        <f>+E37+D36-E36</f>
        <v>243206</v>
      </c>
      <c r="F38" s="262"/>
      <c r="G38" s="131"/>
      <c r="H38" s="131">
        <f>+H37+H36</f>
        <v>236085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9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C42" sqref="C42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1060556</v>
      </c>
      <c r="C37" s="11">
        <f>SUM(C6:C36)</f>
        <v>1040442</v>
      </c>
      <c r="D37" s="11">
        <f>SUM(D6:D36)</f>
        <v>-20114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">
      <c r="A40" s="57">
        <v>36871</v>
      </c>
      <c r="C40" s="48"/>
      <c r="D40" s="25">
        <f>+D39+D37</f>
        <v>-36005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workbookViewId="1">
      <selection activeCell="C19" sqref="C1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/>
      <c r="C25" s="11"/>
      <c r="D25" s="11">
        <f t="shared" si="0"/>
        <v>0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1701202</v>
      </c>
      <c r="C39" s="150">
        <f>SUM(C8:C38)</f>
        <v>1693187</v>
      </c>
      <c r="D39" s="152">
        <f>SUM(D8:D38)</f>
        <v>-8015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7.61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-60994.15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36871</v>
      </c>
      <c r="C43" s="142"/>
      <c r="D43" s="253">
        <f>+D42+D41</f>
        <v>-80460.37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90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19</vt:i4>
      </vt:variant>
    </vt:vector>
  </HeadingPairs>
  <TitlesOfParts>
    <vt:vector size="44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2000-12-11T18:09:51Z</cp:lastPrinted>
  <dcterms:created xsi:type="dcterms:W3CDTF">2000-03-28T16:52:23Z</dcterms:created>
  <dcterms:modified xsi:type="dcterms:W3CDTF">2023-09-16T17:24:12Z</dcterms:modified>
</cp:coreProperties>
</file>