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9E6D78-3F93-4831-AD8C-8FEF68CC4FE0}" xr6:coauthVersionLast="47" xr6:coauthVersionMax="47" xr10:uidLastSave="{00000000-0000-0000-0000-000000000000}"/>
  <bookViews>
    <workbookView xWindow="-120" yWindow="-120" windowWidth="38640" windowHeight="15720" tabRatio="599"/>
    <workbookView xWindow="-120" yWindow="-120" windowWidth="38640" windowHeight="15720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CIG" sheetId="72" r:id="rId25"/>
    <sheet name="GPM" sheetId="73" r:id="rId26"/>
    <sheet name="burlington" sheetId="69" r:id="rId27"/>
  </sheets>
  <externalReferences>
    <externalReference r:id="rId28"/>
    <externalReference r:id="rId29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1">EOG!$A$1:$J$41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20">Mojave!$A$1:$D$40</definedName>
    <definedName name="_xlnm.Print_Area" localSheetId="17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B7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8" i="72"/>
  <c r="D9" i="72"/>
  <c r="D10" i="72"/>
  <c r="D11" i="72"/>
  <c r="C12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E7" i="11"/>
  <c r="H7" i="11"/>
  <c r="E8" i="11"/>
  <c r="H8" i="11"/>
  <c r="AB8" i="11"/>
  <c r="AC8" i="11"/>
  <c r="AF8" i="11"/>
  <c r="AI8" i="11"/>
  <c r="AL8" i="11"/>
  <c r="AM8" i="11"/>
  <c r="AN8" i="11"/>
  <c r="AO8" i="11"/>
  <c r="AP8" i="11"/>
  <c r="E9" i="11"/>
  <c r="H9" i="11"/>
  <c r="AC9" i="11"/>
  <c r="AF9" i="11"/>
  <c r="AI9" i="11"/>
  <c r="AL9" i="11"/>
  <c r="AM9" i="11"/>
  <c r="AN9" i="11"/>
  <c r="AO9" i="11"/>
  <c r="AP9" i="11"/>
  <c r="E10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E14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E16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C39" i="73"/>
  <c r="E39" i="73"/>
  <c r="F39" i="73"/>
  <c r="C40" i="73"/>
  <c r="E40" i="73"/>
  <c r="F40" i="73"/>
  <c r="F50" i="73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B4" i="68"/>
  <c r="D4" i="68"/>
  <c r="B5" i="68"/>
  <c r="D5" i="68"/>
  <c r="D6" i="68"/>
  <c r="D7" i="68"/>
  <c r="B8" i="68"/>
  <c r="D8" i="68"/>
  <c r="B9" i="68"/>
  <c r="D9" i="68"/>
  <c r="B10" i="68"/>
  <c r="D10" i="68"/>
  <c r="B11" i="68"/>
  <c r="D11" i="68"/>
  <c r="D12" i="68"/>
  <c r="B13" i="68"/>
  <c r="D13" i="68"/>
  <c r="B14" i="68"/>
  <c r="D14" i="68"/>
  <c r="B15" i="68"/>
  <c r="D15" i="68"/>
  <c r="B16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B10" i="65"/>
  <c r="D10" i="65"/>
  <c r="D11" i="65"/>
  <c r="D12" i="65"/>
  <c r="D13" i="65"/>
  <c r="D14" i="65"/>
  <c r="D18" i="65"/>
  <c r="D19" i="65"/>
  <c r="D20" i="65"/>
  <c r="D24" i="65"/>
  <c r="C5" i="7"/>
  <c r="F5" i="7"/>
  <c r="Z5" i="7"/>
  <c r="AD5" i="7"/>
  <c r="AF5" i="7"/>
  <c r="AG5" i="7"/>
  <c r="AH5" i="7"/>
  <c r="AI5" i="7"/>
  <c r="C6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C10" i="7"/>
  <c r="F10" i="7"/>
  <c r="Z10" i="7"/>
  <c r="AD10" i="7"/>
  <c r="AF10" i="7"/>
  <c r="AG10" i="7"/>
  <c r="AH10" i="7"/>
  <c r="AI10" i="7"/>
  <c r="C11" i="7"/>
  <c r="F11" i="7"/>
  <c r="Z11" i="7"/>
  <c r="AD11" i="7"/>
  <c r="AF11" i="7"/>
  <c r="AG11" i="7"/>
  <c r="AH11" i="7"/>
  <c r="AI11" i="7"/>
  <c r="C12" i="7"/>
  <c r="F12" i="7"/>
  <c r="Z12" i="7"/>
  <c r="AD12" i="7"/>
  <c r="AF12" i="7"/>
  <c r="AG12" i="7"/>
  <c r="AH12" i="7"/>
  <c r="AI12" i="7"/>
  <c r="C13" i="7"/>
  <c r="F13" i="7"/>
  <c r="Z13" i="7"/>
  <c r="AD13" i="7"/>
  <c r="AF13" i="7"/>
  <c r="AG13" i="7"/>
  <c r="AH13" i="7"/>
  <c r="AI13" i="7"/>
  <c r="C14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C17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E40" i="64"/>
  <c r="E41" i="64"/>
  <c r="E42" i="64"/>
  <c r="C43" i="64"/>
  <c r="D43" i="64"/>
  <c r="E43" i="64"/>
  <c r="E44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B12" i="63"/>
  <c r="C12" i="63"/>
  <c r="D12" i="63"/>
  <c r="P12" i="63"/>
  <c r="B13" i="63"/>
  <c r="C13" i="63"/>
  <c r="D13" i="63"/>
  <c r="P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<sst xmlns="http://schemas.openxmlformats.org/spreadsheetml/2006/main" count="369" uniqueCount="132">
  <si>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</si>
  <si>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</si>
  <si>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</si>
  <si>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</si>
  <si>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</si>
  <si>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</si>
  <si>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</si>
  <si>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</si>
  <si>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</si>
  <si>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</si>
  <si>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</si>
  <si>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</si>
  <si>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</si>
  <si>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</si>
  <si>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</si>
  <si>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</si>
  <si>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</si>
  <si>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</si>
  <si>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</si>
  <si>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</si>
  <si>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</si>
  <si>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</si>
  <si>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</si>
  <si>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</si>
  <si>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</si>
  <si>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</si>
  <si>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</si>
  <si>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</si>
  <si>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</si>
  <si>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</si>
  <si>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</si>
  <si>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</si>
  <si>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</si>
  <si>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</si>
  <si>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</si>
  <si>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</si>
  <si>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</si>
  <si>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</si>
  <si>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</si>
  <si>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</si>
  <si>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</si>
  <si>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</si>
  <si>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</si>
  <si>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</si>
  <si>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</si>
  <si>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</si>
  <si>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</si>
  <si>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</si>
  <si>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</si>
  <si>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</si>
  <si>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</si>
  <si>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</si>
  <si>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</si>
  <si>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</si>
  <si>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</si>
  <si>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</si>
  <si>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</si>
  <si>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</si>
  <si>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</si>
  <si>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</si>
  <si>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</si>
  <si>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</si>
  <si>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</si>
  <si>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</si>
  <si>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</si>
  <si>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</si>
  <si>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</si>
  <si>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</si>
  <si>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</si>
  <si>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</si>
  <si>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</si>
  <si>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</si>
  <si>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</si>
  <si>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</si>
  <si>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</si>
  <si>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</si>
  <si>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</si>
  <si>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</si>
  <si>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</si>
  <si>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</si>
  <si>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</si>
  <si>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</si>
  <si>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</si>
  <si>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</si>
  <si>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</si>
  <si>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</si>
  <si>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</si>
  <si>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</si>
  <si>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</si>
  <si>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</si>
  <si>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</si>
  <si>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</si>
  <si>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</si>
  <si>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</si>
  <si>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</si>
  <si>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</si>
  <si>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</si>
  <si>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</si>
  <si>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</si>
  <si>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</si>
  <si>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</si>
  <si>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</si>
  <si>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</si>
  <si>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</si>
  <si>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</si>
  <si>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</si>
  <si>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</si>
  <si>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</si>
  <si>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</si>
  <si>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</si>
  <si>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</si>
  <si>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</si>
  <si>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</si>
  <si>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</si>
  <si>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</si>
  <si>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</si>
  <si>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</si>
  <si>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</si>
  <si>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</si>
  <si>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</si>
  <si>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</si>
  <si>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</si>
  <si>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</si>
  <si>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</si>
  <si>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</si>
  <si>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</si>
  <si>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Contintental</t>
  </si>
  <si>
    <t>Continental</t>
  </si>
  <si>
    <t>CIG</t>
  </si>
  <si>
    <t>Tumbleweed</t>
  </si>
  <si>
    <t>This balance is cashed out every month.</t>
  </si>
  <si>
    <t>Contract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</si>
</sst>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sz val="9"/>
      <color indexed="14"/>
      <name val="Arial"/>
      <family val="2"/>
    </font>
    <font>
      <sz val="8"/>
      <color indexed="60"/>
      <name val="Arial"/>
      <family val="2"/>
    </font>
    <font>
      <sz val="8"/>
      <color indexed="59"/>
      <name val="Arial"/>
      <family val="2"/>
    </font>
    <font>
      <sz val="8"/>
      <color indexed="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3" fillId="0" borderId="0" xfId="1" applyNumberFormat="1" applyFont="1" applyFill="1"/>
    <xf numFmtId="37" fontId="33" fillId="0" borderId="0" xfId="1" applyNumberFormat="1" applyFont="1"/>
    <xf numFmtId="166" fontId="34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5" fillId="0" borderId="0" xfId="1" applyNumberFormat="1" applyFont="1" applyFill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  <xf numFmtId="43" fontId="4" fillId="0" borderId="0" xfId="1" applyFont="1" applyAlignment="1">
      <alignment horizontal="center"/>
    </xf>
    <xf numFmtId="37" fontId="36" fillId="0" borderId="0" xfId="1" applyNumberFormat="1" applyFont="1" applyFill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22" fillId="0" borderId="0" xfId="0" applyNumberFormat="1" applyFont="1"/>
    <xf numFmtId="192" fontId="9" fillId="0" borderId="0" xfId="0" applyNumberFormat="1" applyFont="1"/>
    <xf numFmtId="5" fontId="22" fillId="0" borderId="0" xfId="0" applyNumberFormat="1" applyFont="1"/>
    <xf numFmtId="5" fontId="9" fillId="0" borderId="1" xfId="0" applyNumberFormat="1" applyFont="1" applyBorder="1"/>
    <xf numFmtId="37" fontId="14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00"/>
    </sheetNames>
    <sheetDataSet>
      <sheetData sheetId="0">
        <row r="39">
          <cell r="E39">
            <v>7.97</v>
          </cell>
          <cell r="K39">
            <v>7.6</v>
          </cell>
          <cell r="M39">
            <v>7.84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8"/>
  <sheetViews>
    <sheetView tabSelected="1" topLeftCell="A10" workbookViewId="0">
      <selection activeCell="B15" sqref="B15"/>
    </sheetView>
    <sheetView tabSelected="1" topLeftCell="A6" workbookViewId="1">
      <selection activeCell="D17" sqref="D17"/>
    </sheetView>
  </sheetViews>
  <sheetFormatPr defaultRowHeight="12.75" x14ac:dyDescent="0.2"/>
  <cols>
    <col min="1" max="1" width="20.5703125" style="302" customWidth="1"/>
    <col min="2" max="2" width="11.85546875" style="254" customWidth="1"/>
    <col min="3" max="3" width="11.28515625" style="303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98</v>
      </c>
    </row>
    <row r="3" spans="1:16" ht="15.75" x14ac:dyDescent="0.25">
      <c r="A3" s="53" t="s">
        <v>93</v>
      </c>
    </row>
    <row r="4" spans="1:16" ht="15" customHeight="1" x14ac:dyDescent="0.25">
      <c r="A4" s="53" t="s">
        <v>95</v>
      </c>
    </row>
    <row r="5" spans="1:16" ht="15" customHeight="1" x14ac:dyDescent="0.25">
      <c r="A5" s="53" t="s">
        <v>94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</row>
    <row r="10" spans="1:16" ht="18" customHeight="1" x14ac:dyDescent="0.2"/>
    <row r="11" spans="1:16" ht="18" customHeight="1" x14ac:dyDescent="0.2">
      <c r="A11" s="308" t="s">
        <v>100</v>
      </c>
      <c r="B11" s="309" t="s">
        <v>18</v>
      </c>
      <c r="C11" s="310" t="s">
        <v>0</v>
      </c>
      <c r="D11" s="311" t="s">
        <v>87</v>
      </c>
      <c r="E11" s="308" t="s">
        <v>101</v>
      </c>
      <c r="F11" s="349" t="s">
        <v>116</v>
      </c>
      <c r="G11" s="308" t="s">
        <v>109</v>
      </c>
      <c r="O11" s="312" t="s">
        <v>84</v>
      </c>
      <c r="P11" s="313"/>
    </row>
    <row r="12" spans="1:16" ht="18" customHeight="1" x14ac:dyDescent="0.2">
      <c r="A12" s="302" t="s">
        <v>37</v>
      </c>
      <c r="B12" s="320">
        <f>+C12*$P$13</f>
        <v>1921270.4</v>
      </c>
      <c r="C12" s="321">
        <f>+'El Paso'!H38</f>
        <v>245060</v>
      </c>
      <c r="D12" s="65">
        <f>+'El Paso'!A38</f>
        <v>36879</v>
      </c>
      <c r="E12" t="s">
        <v>91</v>
      </c>
      <c r="F12" t="s">
        <v>113</v>
      </c>
      <c r="O12" s="314" t="s">
        <v>31</v>
      </c>
      <c r="P12" s="316">
        <f>+'[2]1200'!$K$39</f>
        <v>7.6</v>
      </c>
    </row>
    <row r="13" spans="1:16" ht="18" customHeight="1" x14ac:dyDescent="0.2">
      <c r="A13" s="302" t="s">
        <v>34</v>
      </c>
      <c r="B13" s="254">
        <f>+C13*$P$13</f>
        <v>1402168.3200000001</v>
      </c>
      <c r="C13" s="303">
        <f>+'PG&amp;E'!D40</f>
        <v>178848</v>
      </c>
      <c r="D13" s="65">
        <f>+'PG&amp;E'!A40</f>
        <v>36879</v>
      </c>
      <c r="E13" t="s">
        <v>91</v>
      </c>
      <c r="F13" t="s">
        <v>117</v>
      </c>
      <c r="O13" s="315" t="s">
        <v>32</v>
      </c>
      <c r="P13" s="317">
        <f>+'[2]1200'!$M$39</f>
        <v>7.84</v>
      </c>
    </row>
    <row r="14" spans="1:16" ht="18" customHeight="1" x14ac:dyDescent="0.2">
      <c r="A14" s="302" t="s">
        <v>99</v>
      </c>
      <c r="B14" s="320">
        <f>+C14*$P$13</f>
        <v>1199990.3999999999</v>
      </c>
      <c r="C14" s="321">
        <f>+NGPL!F38</f>
        <v>153060</v>
      </c>
      <c r="D14" s="65">
        <f>+NGPL!A38</f>
        <v>36879</v>
      </c>
      <c r="E14" t="s">
        <v>91</v>
      </c>
      <c r="F14" t="s">
        <v>114</v>
      </c>
    </row>
    <row r="15" spans="1:16" ht="18" customHeight="1" x14ac:dyDescent="0.2">
      <c r="A15" s="302" t="s">
        <v>89</v>
      </c>
      <c r="B15" s="320">
        <f>+PNM!$D$23</f>
        <v>687997.52</v>
      </c>
      <c r="C15" s="321">
        <f>+B15/$P$13</f>
        <v>87754.785714285725</v>
      </c>
      <c r="D15" s="65">
        <f>+PNM!A23</f>
        <v>36879</v>
      </c>
      <c r="E15" t="s">
        <v>92</v>
      </c>
      <c r="F15" t="s">
        <v>113</v>
      </c>
    </row>
    <row r="16" spans="1:16" ht="18" customHeight="1" x14ac:dyDescent="0.2">
      <c r="A16" s="302" t="s">
        <v>105</v>
      </c>
      <c r="B16" s="254">
        <f>+C16*$P$13</f>
        <v>684776.95999999996</v>
      </c>
      <c r="C16" s="303">
        <f>+Mojave!D40</f>
        <v>87344</v>
      </c>
      <c r="D16" s="65">
        <f>+Mojave!A40</f>
        <v>36879</v>
      </c>
      <c r="E16" t="s">
        <v>91</v>
      </c>
      <c r="F16" t="s">
        <v>113</v>
      </c>
    </row>
    <row r="17" spans="1:7" ht="18" customHeight="1" x14ac:dyDescent="0.2">
      <c r="A17" s="302" t="s">
        <v>2</v>
      </c>
      <c r="B17" s="320">
        <f>+mewborne!$J$43</f>
        <v>577367.32999999996</v>
      </c>
      <c r="C17" s="321">
        <f>+B17/$P$13</f>
        <v>73643.792091836731</v>
      </c>
      <c r="D17" s="65">
        <f>+mewborne!A43</f>
        <v>36879</v>
      </c>
      <c r="E17" t="s">
        <v>92</v>
      </c>
      <c r="F17" t="s">
        <v>114</v>
      </c>
    </row>
    <row r="18" spans="1:7" ht="18" customHeight="1" x14ac:dyDescent="0.2">
      <c r="A18" s="302" t="s">
        <v>8</v>
      </c>
      <c r="B18" s="320">
        <f>+C18*$P$13</f>
        <v>558192.31999999995</v>
      </c>
      <c r="C18" s="321">
        <f>+Oasis!D40</f>
        <v>71198</v>
      </c>
      <c r="D18" s="65">
        <f>+Oasis!B40</f>
        <v>36879</v>
      </c>
      <c r="E18" t="s">
        <v>91</v>
      </c>
      <c r="F18" t="s">
        <v>117</v>
      </c>
    </row>
    <row r="19" spans="1:7" ht="18" customHeight="1" x14ac:dyDescent="0.2">
      <c r="A19" s="352" t="s">
        <v>106</v>
      </c>
      <c r="B19" s="320">
        <f>+burlington!D42</f>
        <v>438565.6</v>
      </c>
      <c r="C19" s="321">
        <f>+B19/$P$12</f>
        <v>57706</v>
      </c>
      <c r="D19" s="328">
        <f>+burlington!A42</f>
        <v>36879</v>
      </c>
      <c r="E19" s="325" t="s">
        <v>92</v>
      </c>
      <c r="F19" t="s">
        <v>114</v>
      </c>
      <c r="G19" t="s">
        <v>130</v>
      </c>
    </row>
    <row r="20" spans="1:7" ht="18" customHeight="1" x14ac:dyDescent="0.2">
      <c r="A20" s="302" t="s">
        <v>119</v>
      </c>
      <c r="B20" s="254">
        <f>+Duke!C62</f>
        <v>216599.56999999995</v>
      </c>
      <c r="C20" s="303">
        <f>+B20/$P$13</f>
        <v>27627.496173469382</v>
      </c>
      <c r="D20" s="65">
        <f>+Duke!A40</f>
        <v>36879</v>
      </c>
      <c r="E20" t="s">
        <v>92</v>
      </c>
      <c r="F20" t="s">
        <v>112</v>
      </c>
    </row>
    <row r="21" spans="1:7" ht="18" customHeight="1" x14ac:dyDescent="0.2">
      <c r="A21" s="302" t="s">
        <v>124</v>
      </c>
      <c r="B21" s="320">
        <f>+KN_Westar!D41</f>
        <v>205559.66</v>
      </c>
      <c r="C21" s="321">
        <f>+B21/$P$13</f>
        <v>26219.344387755104</v>
      </c>
      <c r="D21" s="65">
        <f>+KN_Westar!A41</f>
        <v>36879</v>
      </c>
      <c r="E21" t="s">
        <v>92</v>
      </c>
      <c r="F21" t="s">
        <v>115</v>
      </c>
    </row>
    <row r="22" spans="1:7" ht="18" customHeight="1" x14ac:dyDescent="0.2">
      <c r="A22" s="302" t="s">
        <v>97</v>
      </c>
      <c r="B22" s="320">
        <f>+NNG!$D$24</f>
        <v>184836.93</v>
      </c>
      <c r="C22" s="321">
        <f>+B22/$P$13</f>
        <v>23576.139030612245</v>
      </c>
      <c r="D22" s="65">
        <f>+NNG!A24</f>
        <v>36879</v>
      </c>
      <c r="E22" t="s">
        <v>92</v>
      </c>
      <c r="F22" t="s">
        <v>115</v>
      </c>
    </row>
    <row r="23" spans="1:7" ht="18" customHeight="1" x14ac:dyDescent="0.2">
      <c r="A23" s="302" t="s">
        <v>77</v>
      </c>
      <c r="B23" s="360">
        <f>+transcol!$D$43</f>
        <v>137466.13</v>
      </c>
      <c r="C23" s="321">
        <f>+B23/$P$13</f>
        <v>17533.945153061224</v>
      </c>
      <c r="D23" s="65">
        <f>+transcol!A43</f>
        <v>36879</v>
      </c>
      <c r="E23" t="s">
        <v>92</v>
      </c>
      <c r="F23" t="s">
        <v>114</v>
      </c>
    </row>
    <row r="24" spans="1:7" ht="18" customHeight="1" x14ac:dyDescent="0.2">
      <c r="A24" s="302" t="s">
        <v>35</v>
      </c>
      <c r="B24" s="320">
        <f>+C24*$P$13</f>
        <v>107219.84</v>
      </c>
      <c r="C24" s="321">
        <f>+SoCal!D40</f>
        <v>13676</v>
      </c>
      <c r="D24" s="65">
        <f>+SoCal!A40</f>
        <v>36879</v>
      </c>
      <c r="E24" t="s">
        <v>91</v>
      </c>
      <c r="F24" t="s">
        <v>113</v>
      </c>
    </row>
    <row r="25" spans="1:7" ht="18" customHeight="1" x14ac:dyDescent="0.2">
      <c r="A25" s="302" t="s">
        <v>3</v>
      </c>
      <c r="B25" s="320">
        <f>+'Amoco Abo'!$D$43</f>
        <v>51492.97</v>
      </c>
      <c r="C25" s="321">
        <f>+B25/$P$13</f>
        <v>6567.9808673469388</v>
      </c>
      <c r="D25" s="65">
        <f>+'Amoco Abo'!A43</f>
        <v>36879</v>
      </c>
      <c r="E25" t="s">
        <v>92</v>
      </c>
      <c r="F25" t="s">
        <v>112</v>
      </c>
    </row>
    <row r="26" spans="1:7" ht="18" customHeight="1" x14ac:dyDescent="0.2">
      <c r="A26" s="302" t="s">
        <v>36</v>
      </c>
      <c r="B26" s="320">
        <f>+PGETX!$H$39</f>
        <v>43827.72</v>
      </c>
      <c r="C26" s="321">
        <f>+B26/$P$13</f>
        <v>5590.2704081632655</v>
      </c>
      <c r="D26" s="65">
        <f>+PGETX!E39</f>
        <v>36879</v>
      </c>
      <c r="E26" t="s">
        <v>92</v>
      </c>
      <c r="F26" t="s">
        <v>117</v>
      </c>
      <c r="G26" t="s">
        <v>111</v>
      </c>
    </row>
    <row r="27" spans="1:7" ht="18" customHeight="1" x14ac:dyDescent="0.2">
      <c r="A27" s="302" t="s">
        <v>33</v>
      </c>
      <c r="B27" s="359">
        <f>+C27*$P$13</f>
        <v>38321.919999999998</v>
      </c>
      <c r="C27" s="345">
        <f>+Lonestar!F42</f>
        <v>4888</v>
      </c>
      <c r="D27" s="328">
        <f>+Lonestar!B42</f>
        <v>36879</v>
      </c>
      <c r="E27" t="s">
        <v>91</v>
      </c>
      <c r="F27" t="s">
        <v>117</v>
      </c>
    </row>
    <row r="28" spans="1:7" ht="18" customHeight="1" x14ac:dyDescent="0.2">
      <c r="A28" s="302" t="s">
        <v>107</v>
      </c>
      <c r="B28" s="254">
        <f>SUM(B12:B27)</f>
        <v>8455653.589999998</v>
      </c>
      <c r="C28" s="303">
        <f>SUM(C12:C27)</f>
        <v>1080293.7538265307</v>
      </c>
    </row>
    <row r="29" spans="1:7" ht="18" customHeight="1" x14ac:dyDescent="0.2"/>
    <row r="30" spans="1:7" ht="18" customHeight="1" x14ac:dyDescent="0.2"/>
    <row r="31" spans="1:7" ht="18" customHeight="1" x14ac:dyDescent="0.2">
      <c r="A31" s="308" t="s">
        <v>100</v>
      </c>
      <c r="B31" s="309" t="s">
        <v>18</v>
      </c>
      <c r="C31" s="310" t="s">
        <v>0</v>
      </c>
      <c r="D31" s="311" t="s">
        <v>87</v>
      </c>
      <c r="E31" s="308" t="s">
        <v>101</v>
      </c>
      <c r="F31" s="349" t="s">
        <v>116</v>
      </c>
      <c r="G31" s="308" t="s">
        <v>109</v>
      </c>
    </row>
    <row r="32" spans="1:7" ht="18" customHeight="1" x14ac:dyDescent="0.2">
      <c r="A32" s="302" t="s">
        <v>1</v>
      </c>
      <c r="B32" s="320">
        <f>+C32*$P$12</f>
        <v>-1000935.2</v>
      </c>
      <c r="C32" s="321">
        <f>+NW!$F$41</f>
        <v>-131702</v>
      </c>
      <c r="D32" s="328">
        <f>+NW!B41</f>
        <v>36879</v>
      </c>
      <c r="E32" t="s">
        <v>91</v>
      </c>
      <c r="F32" t="s">
        <v>113</v>
      </c>
    </row>
    <row r="33" spans="1:7" ht="18" customHeight="1" x14ac:dyDescent="0.2">
      <c r="A33" s="302" t="s">
        <v>86</v>
      </c>
      <c r="B33" s="320">
        <f>+Conoco!$F$41</f>
        <v>-525016.01999999979</v>
      </c>
      <c r="C33" s="321">
        <f>+B33/$P$12</f>
        <v>-69081.055263157876</v>
      </c>
      <c r="D33" s="65">
        <f>+Conoco!A41</f>
        <v>36879</v>
      </c>
      <c r="E33" t="s">
        <v>92</v>
      </c>
      <c r="F33" t="s">
        <v>114</v>
      </c>
    </row>
    <row r="34" spans="1:7" ht="18" customHeight="1" x14ac:dyDescent="0.2">
      <c r="A34" s="302" t="s">
        <v>120</v>
      </c>
      <c r="B34" s="320">
        <f>+EOG!J41</f>
        <v>-494060.63999999996</v>
      </c>
      <c r="C34" s="321">
        <f>+B34/$P$13</f>
        <v>-63017.9387755102</v>
      </c>
      <c r="D34" s="328">
        <f>+EOG!A41</f>
        <v>36879</v>
      </c>
      <c r="E34" t="s">
        <v>92</v>
      </c>
      <c r="F34" t="s">
        <v>117</v>
      </c>
    </row>
    <row r="35" spans="1:7" ht="18" customHeight="1" x14ac:dyDescent="0.2">
      <c r="A35" s="302" t="s">
        <v>7</v>
      </c>
      <c r="B35" s="320">
        <f>+C35*$P$12</f>
        <v>-283396.39999999997</v>
      </c>
      <c r="C35" s="321">
        <f>+Amoco!D40</f>
        <v>-37289</v>
      </c>
      <c r="D35" s="65">
        <f>+Amoco!A40</f>
        <v>36879</v>
      </c>
      <c r="E35" t="s">
        <v>91</v>
      </c>
      <c r="F35" t="s">
        <v>114</v>
      </c>
    </row>
    <row r="36" spans="1:7" ht="18" customHeight="1" x14ac:dyDescent="0.2">
      <c r="A36" s="34" t="s">
        <v>125</v>
      </c>
      <c r="B36" s="320">
        <f>+[1]summary!$C$42+[1]summary!$C$43+55549*7.66</f>
        <v>-228084.46000000002</v>
      </c>
      <c r="C36" s="321">
        <f>+B36/$P$13</f>
        <v>-29092.4056122449</v>
      </c>
      <c r="D36" s="65">
        <v>36874</v>
      </c>
      <c r="E36" t="s">
        <v>92</v>
      </c>
      <c r="F36" t="s">
        <v>112</v>
      </c>
      <c r="G36" s="34"/>
    </row>
    <row r="37" spans="1:7" ht="18" customHeight="1" x14ac:dyDescent="0.2">
      <c r="A37" s="302" t="s">
        <v>30</v>
      </c>
      <c r="B37" s="320">
        <f>+C37*$P$12</f>
        <v>-184611.6</v>
      </c>
      <c r="C37" s="321">
        <f>+williams!J40</f>
        <v>-24291</v>
      </c>
      <c r="D37" s="65">
        <f>+williams!A40</f>
        <v>36879</v>
      </c>
      <c r="E37" t="s">
        <v>91</v>
      </c>
      <c r="F37" t="s">
        <v>118</v>
      </c>
    </row>
    <row r="38" spans="1:7" ht="18" customHeight="1" x14ac:dyDescent="0.2">
      <c r="A38" s="302" t="s">
        <v>127</v>
      </c>
      <c r="B38" s="320">
        <f>+Continental!F43</f>
        <v>-173860.11</v>
      </c>
      <c r="C38" s="321">
        <f>+B38/$P$13</f>
        <v>-22176.03443877551</v>
      </c>
      <c r="D38" s="65">
        <f>+Continental!A43</f>
        <v>36879</v>
      </c>
      <c r="E38" t="s">
        <v>92</v>
      </c>
      <c r="F38" t="s">
        <v>114</v>
      </c>
    </row>
    <row r="39" spans="1:7" ht="18" customHeight="1" x14ac:dyDescent="0.2">
      <c r="A39" s="302" t="s">
        <v>128</v>
      </c>
      <c r="B39" s="320">
        <f>+CIG!D43</f>
        <v>-103491.38</v>
      </c>
      <c r="C39" s="321">
        <f>+B39/$P$13</f>
        <v>-13200.431122448981</v>
      </c>
      <c r="D39" s="65">
        <f>+CIG!A43</f>
        <v>36879</v>
      </c>
      <c r="E39" t="s">
        <v>92</v>
      </c>
      <c r="F39" t="s">
        <v>114</v>
      </c>
    </row>
    <row r="40" spans="1:7" ht="18" customHeight="1" x14ac:dyDescent="0.2">
      <c r="A40" s="302" t="s">
        <v>25</v>
      </c>
      <c r="B40" s="360">
        <f>+'Red C'!$D$43</f>
        <v>-37835.42</v>
      </c>
      <c r="C40" s="401">
        <f>+B40/$P$12</f>
        <v>-4978.3447368421057</v>
      </c>
      <c r="D40" s="328">
        <f>+'Red C'!B43</f>
        <v>36879</v>
      </c>
      <c r="E40" t="s">
        <v>92</v>
      </c>
      <c r="F40" t="s">
        <v>114</v>
      </c>
    </row>
    <row r="41" spans="1:7" ht="18" customHeight="1" x14ac:dyDescent="0.2">
      <c r="A41" s="352" t="s">
        <v>85</v>
      </c>
      <c r="B41" s="359">
        <f>+Agave!$D$24</f>
        <v>-6001.0199999999895</v>
      </c>
      <c r="C41" s="345">
        <f>+B41/$P$13</f>
        <v>-765.43622448979454</v>
      </c>
      <c r="D41" s="328">
        <f>+Agave!A24</f>
        <v>36879</v>
      </c>
      <c r="E41" s="325" t="s">
        <v>92</v>
      </c>
      <c r="F41" t="s">
        <v>117</v>
      </c>
    </row>
    <row r="42" spans="1:7" ht="18" customHeight="1" x14ac:dyDescent="0.2">
      <c r="A42" s="302" t="s">
        <v>108</v>
      </c>
      <c r="B42" s="320">
        <f>SUM(B32:B41)</f>
        <v>-3037292.2499999995</v>
      </c>
      <c r="C42" s="321">
        <f>SUM(C32:C41)</f>
        <v>-395593.64617346937</v>
      </c>
      <c r="D42" s="325"/>
    </row>
    <row r="43" spans="1:7" ht="18" customHeight="1" x14ac:dyDescent="0.2">
      <c r="B43" s="320"/>
      <c r="C43" s="321"/>
    </row>
    <row r="44" spans="1:7" ht="18" customHeight="1" x14ac:dyDescent="0.2"/>
    <row r="45" spans="1:7" ht="18" customHeight="1" thickBot="1" x14ac:dyDescent="0.25">
      <c r="A45" s="34" t="s">
        <v>102</v>
      </c>
      <c r="B45" s="318">
        <f>+B42+B28</f>
        <v>5418361.339999998</v>
      </c>
      <c r="C45" s="319">
        <f>+C42+C28</f>
        <v>684700.10765306128</v>
      </c>
    </row>
    <row r="46" spans="1:7" ht="18" customHeight="1" thickTop="1" x14ac:dyDescent="0.2"/>
    <row r="47" spans="1:7" x14ac:dyDescent="0.2">
      <c r="C47" s="367"/>
    </row>
    <row r="53" spans="1:5" x14ac:dyDescent="0.2">
      <c r="C53" s="261"/>
      <c r="E53" s="364"/>
    </row>
    <row r="57" spans="1:5" x14ac:dyDescent="0.2">
      <c r="A57" s="34" t="s">
        <v>103</v>
      </c>
    </row>
    <row r="60" spans="1:5" x14ac:dyDescent="0.2">
      <c r="B60" s="322"/>
      <c r="C60" s="344"/>
    </row>
    <row r="61" spans="1:5" x14ac:dyDescent="0.2">
      <c r="B61" s="261"/>
    </row>
    <row r="62" spans="1:5" x14ac:dyDescent="0.2">
      <c r="B62" s="261"/>
    </row>
    <row r="63" spans="1:5" x14ac:dyDescent="0.2">
      <c r="B63" s="261"/>
    </row>
    <row r="64" spans="1:5" x14ac:dyDescent="0.2">
      <c r="B64" s="261"/>
      <c r="D64" s="64"/>
    </row>
    <row r="65" spans="2:5" x14ac:dyDescent="0.2">
      <c r="B65" s="261"/>
      <c r="C65" s="367"/>
    </row>
    <row r="66" spans="2:5" x14ac:dyDescent="0.2">
      <c r="B66" s="261"/>
      <c r="C66" s="367"/>
      <c r="D66" s="357"/>
      <c r="E66" s="369"/>
    </row>
    <row r="67" spans="2:5" x14ac:dyDescent="0.2">
      <c r="B67" s="261"/>
      <c r="C67" s="367"/>
      <c r="D67" s="272"/>
    </row>
    <row r="68" spans="2:5" x14ac:dyDescent="0.2">
      <c r="B68" s="261"/>
      <c r="C68" s="367"/>
      <c r="D68" s="272"/>
    </row>
    <row r="69" spans="2:5" x14ac:dyDescent="0.2">
      <c r="B69" s="261"/>
      <c r="C69" s="367"/>
      <c r="D69" s="31"/>
    </row>
    <row r="70" spans="2:5" x14ac:dyDescent="0.2">
      <c r="B70" s="261"/>
      <c r="C70" s="367"/>
      <c r="D70" s="370"/>
    </row>
    <row r="71" spans="2:5" x14ac:dyDescent="0.2">
      <c r="B71" s="358"/>
    </row>
    <row r="72" spans="2:5" x14ac:dyDescent="0.2">
      <c r="B72" s="358"/>
      <c r="D72" s="64"/>
    </row>
    <row r="73" spans="2:5" x14ac:dyDescent="0.2">
      <c r="B73" s="357"/>
      <c r="C73" s="261"/>
    </row>
    <row r="74" spans="2:5" x14ac:dyDescent="0.2">
      <c r="B74" s="357"/>
      <c r="C74" s="261"/>
    </row>
    <row r="75" spans="2:5" x14ac:dyDescent="0.2">
      <c r="B75" s="358"/>
      <c r="C75" s="261"/>
      <c r="D75" s="64"/>
    </row>
    <row r="76" spans="2:5" x14ac:dyDescent="0.2">
      <c r="B76" s="358"/>
      <c r="D76" s="64"/>
    </row>
    <row r="77" spans="2:5" x14ac:dyDescent="0.2">
      <c r="B77" s="358"/>
    </row>
    <row r="78" spans="2:5" x14ac:dyDescent="0.2">
      <c r="B78" s="322"/>
      <c r="C78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B47" sqref="B47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16519</v>
      </c>
      <c r="C14" s="24">
        <v>16678</v>
      </c>
      <c r="D14" s="24">
        <f t="shared" si="0"/>
        <v>159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26519</v>
      </c>
      <c r="C15" s="24">
        <v>26815</v>
      </c>
      <c r="D15" s="24">
        <f t="shared" si="0"/>
        <v>296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21519</v>
      </c>
      <c r="C16" s="24">
        <v>27885</v>
      </c>
      <c r="D16" s="24">
        <f t="shared" si="0"/>
        <v>6366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39019</v>
      </c>
      <c r="C17" s="24">
        <v>35582</v>
      </c>
      <c r="D17" s="24">
        <f t="shared" si="0"/>
        <v>-3437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23120</v>
      </c>
      <c r="C18" s="24">
        <v>23869</v>
      </c>
      <c r="D18" s="24">
        <f t="shared" si="0"/>
        <v>749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25415</v>
      </c>
      <c r="C19" s="24">
        <v>25582</v>
      </c>
      <c r="D19" s="24">
        <f t="shared" si="0"/>
        <v>167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16519</v>
      </c>
      <c r="C20" s="24">
        <v>15648</v>
      </c>
      <c r="D20" s="24">
        <f t="shared" si="0"/>
        <v>-871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16519</v>
      </c>
      <c r="C21" s="24">
        <v>16732</v>
      </c>
      <c r="D21" s="24">
        <f t="shared" si="0"/>
        <v>213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16519</v>
      </c>
      <c r="C22" s="24">
        <v>16075</v>
      </c>
      <c r="D22" s="24">
        <f t="shared" si="0"/>
        <v>-444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6519</v>
      </c>
      <c r="C23" s="24">
        <v>6495</v>
      </c>
      <c r="D23" s="24">
        <f t="shared" si="0"/>
        <v>-24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5"/>
      <c r="W34" s="325"/>
      <c r="X34" s="325"/>
      <c r="Y34" s="325"/>
      <c r="Z34" s="149"/>
      <c r="AA34" s="150"/>
      <c r="AB34" s="150"/>
      <c r="AC34" s="150"/>
      <c r="AD34" s="325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  <c r="BG34" s="325"/>
      <c r="BH34" s="325"/>
      <c r="BI34" s="325"/>
      <c r="BJ34" s="325"/>
      <c r="BK34" s="325"/>
      <c r="BL34" s="325"/>
      <c r="BM34" s="325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5"/>
      <c r="W35" s="325"/>
      <c r="X35" s="325"/>
      <c r="Y35" s="325"/>
      <c r="Z35" s="149"/>
      <c r="AA35" s="150"/>
      <c r="AB35" s="150"/>
      <c r="AC35" s="150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  <c r="BH35" s="325"/>
      <c r="BI35" s="325"/>
      <c r="BJ35" s="325"/>
      <c r="BK35" s="325"/>
      <c r="BL35" s="325"/>
      <c r="BM35" s="325"/>
    </row>
    <row r="36" spans="1:65" ht="14.1" customHeight="1" x14ac:dyDescent="0.2">
      <c r="A36" s="12"/>
      <c r="B36" s="24">
        <f>SUM(B5:B35)</f>
        <v>325373</v>
      </c>
      <c r="C36" s="24">
        <f>SUM(C5:C35)</f>
        <v>326512</v>
      </c>
      <c r="D36" s="24">
        <f t="shared" si="0"/>
        <v>1139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5"/>
      <c r="W36" s="325"/>
      <c r="X36" s="325"/>
      <c r="Y36" s="325"/>
      <c r="Z36" s="149"/>
      <c r="AA36" s="150"/>
      <c r="AB36" s="150"/>
      <c r="AC36" s="150"/>
      <c r="AD36" s="325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  <c r="BL36" s="325"/>
      <c r="BM36" s="325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5"/>
      <c r="W37" s="325"/>
      <c r="X37" s="325"/>
      <c r="Y37" s="325"/>
      <c r="Z37" s="206"/>
      <c r="AA37" s="208"/>
      <c r="AB37" s="208"/>
      <c r="AC37" s="208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  <c r="BL37" s="325"/>
      <c r="BM37" s="325"/>
    </row>
    <row r="38" spans="1:65" x14ac:dyDescent="0.2">
      <c r="B38" s="257">
        <v>36860</v>
      </c>
      <c r="C38" s="24"/>
      <c r="D38" s="376">
        <v>70059</v>
      </c>
      <c r="E38" s="2"/>
      <c r="G38" s="24"/>
      <c r="H38" s="24"/>
      <c r="I38" s="150"/>
      <c r="J38" s="325"/>
      <c r="K38" s="150"/>
      <c r="L38" s="150"/>
      <c r="M38" s="150"/>
      <c r="N38" s="325"/>
      <c r="O38" s="150"/>
      <c r="P38" s="150"/>
      <c r="Q38" s="150"/>
      <c r="R38" s="325"/>
      <c r="S38" s="150"/>
      <c r="T38" s="150"/>
      <c r="U38" s="150"/>
      <c r="V38" s="325"/>
      <c r="W38" s="325"/>
      <c r="X38" s="325"/>
      <c r="Y38" s="325"/>
      <c r="Z38" s="325"/>
      <c r="AA38" s="150"/>
      <c r="AB38" s="150"/>
      <c r="AC38" s="150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  <c r="BG38" s="325"/>
      <c r="BH38" s="325"/>
      <c r="BI38" s="325"/>
      <c r="BJ38" s="325"/>
      <c r="BK38" s="325"/>
      <c r="BL38" s="325"/>
      <c r="BM38" s="325"/>
    </row>
    <row r="39" spans="1:65" x14ac:dyDescent="0.2">
      <c r="B39" s="257"/>
      <c r="C39" s="24"/>
      <c r="D39" s="24"/>
      <c r="E39" s="2"/>
      <c r="G39" s="24"/>
      <c r="H39" s="24"/>
      <c r="I39" s="150"/>
      <c r="J39" s="325"/>
      <c r="K39" s="150"/>
      <c r="L39" s="150"/>
      <c r="M39" s="150"/>
      <c r="N39" s="325"/>
      <c r="O39" s="150"/>
      <c r="P39" s="150"/>
      <c r="Q39" s="150"/>
      <c r="R39" s="325"/>
      <c r="S39" s="150"/>
      <c r="T39" s="150"/>
      <c r="U39" s="150"/>
      <c r="V39" s="325"/>
      <c r="W39" s="325"/>
      <c r="X39" s="325"/>
      <c r="Y39" s="325"/>
      <c r="Z39" s="325"/>
      <c r="AA39" s="150"/>
      <c r="AB39" s="150"/>
      <c r="AC39" s="150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  <c r="BG39" s="325"/>
      <c r="BH39" s="325"/>
      <c r="BI39" s="325"/>
      <c r="BJ39" s="325"/>
      <c r="BK39" s="325"/>
      <c r="BL39" s="325"/>
      <c r="BM39" s="325"/>
    </row>
    <row r="40" spans="1:65" ht="13.5" thickBot="1" x14ac:dyDescent="0.25">
      <c r="B40" s="257">
        <v>36879</v>
      </c>
      <c r="C40" s="24"/>
      <c r="D40" s="195">
        <f>+D36+D38</f>
        <v>71198</v>
      </c>
      <c r="E40" s="196"/>
      <c r="G40" s="24"/>
      <c r="H40" s="24"/>
      <c r="I40" s="150"/>
      <c r="J40" s="325"/>
      <c r="K40" s="150"/>
      <c r="L40" s="150"/>
      <c r="M40" s="150"/>
      <c r="N40" s="325"/>
      <c r="O40" s="150"/>
      <c r="P40" s="150"/>
      <c r="Q40" s="169"/>
      <c r="R40" s="325"/>
      <c r="S40" s="150"/>
      <c r="T40" s="150"/>
      <c r="U40" s="169"/>
      <c r="V40" s="325"/>
      <c r="W40" s="325"/>
      <c r="X40" s="325"/>
      <c r="Y40" s="325"/>
      <c r="Z40" s="325"/>
      <c r="AA40" s="150"/>
      <c r="AB40" s="150"/>
      <c r="AC40" s="169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5"/>
      <c r="BJ40" s="325"/>
      <c r="BK40" s="325"/>
      <c r="BL40" s="325"/>
      <c r="BM40" s="325"/>
    </row>
    <row r="41" spans="1:65" ht="13.5" thickTop="1" x14ac:dyDescent="0.2">
      <c r="B41" s="258"/>
      <c r="C41"/>
      <c r="D41"/>
      <c r="E41" s="2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  <c r="BL41" s="325"/>
      <c r="BM41" s="325"/>
    </row>
    <row r="42" spans="1:65" x14ac:dyDescent="0.2">
      <c r="B42" s="2"/>
      <c r="C42"/>
      <c r="D42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5"/>
      <c r="BJ42" s="325"/>
      <c r="BK42" s="325"/>
      <c r="BL42" s="325"/>
      <c r="BM42" s="325"/>
    </row>
    <row r="43" spans="1:65" x14ac:dyDescent="0.2">
      <c r="B43"/>
      <c r="C43"/>
      <c r="D43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  <c r="BG43" s="325"/>
      <c r="BH43" s="325"/>
      <c r="BI43" s="325"/>
      <c r="BJ43" s="325"/>
      <c r="BK43" s="325"/>
      <c r="BL43" s="325"/>
      <c r="BM43" s="325"/>
    </row>
    <row r="44" spans="1:65" x14ac:dyDescent="0.2">
      <c r="B44"/>
      <c r="C44"/>
      <c r="D44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  <c r="BL44" s="325"/>
      <c r="BM44" s="325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36668</v>
      </c>
      <c r="E10" s="11">
        <v>25000</v>
      </c>
      <c r="F10" s="25">
        <f t="shared" si="0"/>
        <v>-8430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37663</v>
      </c>
      <c r="E11" s="11">
        <v>32222</v>
      </c>
      <c r="F11" s="25">
        <f t="shared" si="0"/>
        <v>-4885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34971</v>
      </c>
      <c r="E12" s="11">
        <v>25000</v>
      </c>
      <c r="F12" s="25">
        <f t="shared" si="0"/>
        <v>-9373</v>
      </c>
      <c r="G12" s="25"/>
    </row>
    <row r="13" spans="1:7" x14ac:dyDescent="0.2">
      <c r="A13" s="41">
        <v>10</v>
      </c>
      <c r="B13" s="11">
        <v>29274</v>
      </c>
      <c r="C13" s="11">
        <v>30000</v>
      </c>
      <c r="D13" s="11">
        <v>33463</v>
      </c>
      <c r="E13" s="11">
        <v>25000</v>
      </c>
      <c r="F13" s="25">
        <f t="shared" si="0"/>
        <v>-7737</v>
      </c>
      <c r="G13" s="25"/>
    </row>
    <row r="14" spans="1:7" x14ac:dyDescent="0.2">
      <c r="A14" s="41">
        <v>11</v>
      </c>
      <c r="B14" s="11">
        <v>27694</v>
      </c>
      <c r="C14" s="11">
        <v>30000</v>
      </c>
      <c r="D14" s="11">
        <v>33683</v>
      </c>
      <c r="E14" s="11">
        <v>25000</v>
      </c>
      <c r="F14" s="25">
        <f t="shared" si="0"/>
        <v>-6377</v>
      </c>
      <c r="G14" s="25"/>
    </row>
    <row r="15" spans="1:7" x14ac:dyDescent="0.2">
      <c r="A15" s="41">
        <v>12</v>
      </c>
      <c r="B15" s="11">
        <v>24700</v>
      </c>
      <c r="C15" s="11">
        <v>30000</v>
      </c>
      <c r="D15" s="11">
        <v>27303</v>
      </c>
      <c r="E15" s="11">
        <v>31000</v>
      </c>
      <c r="F15" s="25">
        <f t="shared" si="0"/>
        <v>8997</v>
      </c>
      <c r="G15" s="25"/>
    </row>
    <row r="16" spans="1:7" x14ac:dyDescent="0.2">
      <c r="A16" s="41">
        <v>13</v>
      </c>
      <c r="B16" s="11">
        <v>28925</v>
      </c>
      <c r="C16" s="11">
        <v>29989</v>
      </c>
      <c r="D16" s="11">
        <v>30174</v>
      </c>
      <c r="E16" s="11">
        <v>30989</v>
      </c>
      <c r="F16" s="25">
        <f t="shared" si="0"/>
        <v>1879</v>
      </c>
      <c r="G16" s="25"/>
    </row>
    <row r="17" spans="1:7" x14ac:dyDescent="0.2">
      <c r="A17" s="41">
        <v>14</v>
      </c>
      <c r="B17" s="11">
        <v>29257</v>
      </c>
      <c r="C17" s="11">
        <v>30000</v>
      </c>
      <c r="D17" s="11">
        <v>31971</v>
      </c>
      <c r="E17" s="11">
        <v>28000</v>
      </c>
      <c r="F17" s="25">
        <f t="shared" si="0"/>
        <v>-3228</v>
      </c>
      <c r="G17" s="25"/>
    </row>
    <row r="18" spans="1:7" x14ac:dyDescent="0.2">
      <c r="A18" s="41">
        <v>15</v>
      </c>
      <c r="B18" s="11">
        <v>30136</v>
      </c>
      <c r="C18" s="11">
        <v>29981</v>
      </c>
      <c r="D18" s="11">
        <v>34927</v>
      </c>
      <c r="E18" s="11">
        <v>24984</v>
      </c>
      <c r="F18" s="25">
        <f t="shared" si="0"/>
        <v>-10098</v>
      </c>
      <c r="G18" s="25"/>
    </row>
    <row r="19" spans="1:7" x14ac:dyDescent="0.2">
      <c r="A19" s="41">
        <v>16</v>
      </c>
      <c r="B19" s="11">
        <v>29674</v>
      </c>
      <c r="C19" s="11">
        <v>30000</v>
      </c>
      <c r="D19" s="11">
        <v>34403</v>
      </c>
      <c r="E19" s="11">
        <v>28000</v>
      </c>
      <c r="F19" s="25">
        <f t="shared" si="0"/>
        <v>-6077</v>
      </c>
      <c r="G19" s="25"/>
    </row>
    <row r="20" spans="1:7" x14ac:dyDescent="0.2">
      <c r="A20" s="41">
        <v>17</v>
      </c>
      <c r="B20" s="11">
        <v>29616</v>
      </c>
      <c r="C20" s="11">
        <v>30000</v>
      </c>
      <c r="D20" s="11">
        <v>33558</v>
      </c>
      <c r="E20" s="11">
        <v>28000</v>
      </c>
      <c r="F20" s="25">
        <f t="shared" si="0"/>
        <v>-5174</v>
      </c>
      <c r="G20" s="25"/>
    </row>
    <row r="21" spans="1:7" x14ac:dyDescent="0.2">
      <c r="A21" s="41">
        <v>18</v>
      </c>
      <c r="B21" s="11">
        <v>29698</v>
      </c>
      <c r="C21" s="11">
        <v>30000</v>
      </c>
      <c r="D21" s="11">
        <v>31944</v>
      </c>
      <c r="E21" s="11">
        <v>28000</v>
      </c>
      <c r="F21" s="25">
        <f t="shared" si="0"/>
        <v>-3642</v>
      </c>
      <c r="G21" s="25"/>
    </row>
    <row r="22" spans="1:7" x14ac:dyDescent="0.2">
      <c r="A22" s="41">
        <v>19</v>
      </c>
      <c r="B22" s="11">
        <v>27720</v>
      </c>
      <c r="C22" s="11">
        <v>30000</v>
      </c>
      <c r="D22" s="11">
        <v>34470</v>
      </c>
      <c r="E22" s="11">
        <v>28000</v>
      </c>
      <c r="F22" s="25">
        <f t="shared" si="0"/>
        <v>-4190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521383</v>
      </c>
      <c r="C35" s="11">
        <f>SUM(C4:C34)</f>
        <v>569652</v>
      </c>
      <c r="D35" s="11">
        <f>SUM(D4:D34)</f>
        <v>569764</v>
      </c>
      <c r="E35" s="11">
        <f>SUM(E4:E34)</f>
        <v>509188</v>
      </c>
      <c r="F35" s="11">
        <f>+E35-D35+C35-B35</f>
        <v>-12307</v>
      </c>
    </row>
    <row r="36" spans="1:7" x14ac:dyDescent="0.2">
      <c r="A36" s="45"/>
      <c r="C36" s="14">
        <f>+C35-B35</f>
        <v>48269</v>
      </c>
      <c r="D36" s="14"/>
      <c r="E36" s="14">
        <f>+E35-D35</f>
        <v>-60576</v>
      </c>
      <c r="F36" s="47"/>
    </row>
    <row r="37" spans="1:7" x14ac:dyDescent="0.2">
      <c r="C37" s="15">
        <f>+summary!P13</f>
        <v>7.84</v>
      </c>
      <c r="D37" s="15"/>
      <c r="E37" s="15">
        <f>+C37</f>
        <v>7.84</v>
      </c>
      <c r="F37" s="24"/>
    </row>
    <row r="38" spans="1:7" x14ac:dyDescent="0.2">
      <c r="C38" s="48">
        <f>+C37*C36</f>
        <v>378428.96</v>
      </c>
      <c r="D38" s="47"/>
      <c r="E38" s="48">
        <f>+E37*E36</f>
        <v>-474915.83999999997</v>
      </c>
      <c r="F38" s="46">
        <f>+E38+C38</f>
        <v>-96486.879999999946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83">
        <v>622338.78</v>
      </c>
      <c r="D40" s="347"/>
      <c r="E40" s="383">
        <v>-1050867.92</v>
      </c>
      <c r="F40" s="106">
        <f>+E40+C40</f>
        <v>-428529.1399999999</v>
      </c>
      <c r="G40" s="25"/>
    </row>
    <row r="41" spans="1:7" x14ac:dyDescent="0.2">
      <c r="A41" s="57">
        <v>36879</v>
      </c>
      <c r="C41" s="50">
        <f>+C40+C38</f>
        <v>1000767.74</v>
      </c>
      <c r="D41" s="50"/>
      <c r="E41" s="50">
        <f>+E40+E38</f>
        <v>-1525783.7599999998</v>
      </c>
      <c r="F41" s="106">
        <f>+E41+C41</f>
        <v>-525016.01999999979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1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C24" sqref="C24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56339</v>
      </c>
      <c r="B5" s="371">
        <v>679026</v>
      </c>
      <c r="C5" s="90">
        <v>643988</v>
      </c>
      <c r="D5" s="90">
        <f>+C5-B5</f>
        <v>-35038</v>
      </c>
      <c r="E5" s="292"/>
      <c r="F5" s="29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2"/>
      <c r="F6" s="290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71">
        <f>480572+24777</f>
        <v>505349</v>
      </c>
      <c r="C7" s="90">
        <v>560273</v>
      </c>
      <c r="D7" s="90">
        <f t="shared" si="0"/>
        <v>54924</v>
      </c>
      <c r="E7" s="292"/>
      <c r="F7" s="290"/>
      <c r="L7" t="s">
        <v>27</v>
      </c>
      <c r="M7">
        <v>7.6</v>
      </c>
    </row>
    <row r="8" spans="1:13" x14ac:dyDescent="0.2">
      <c r="A8" s="87">
        <v>500239</v>
      </c>
      <c r="B8" s="371">
        <v>677301</v>
      </c>
      <c r="C8" s="90">
        <v>698016</v>
      </c>
      <c r="D8" s="90">
        <f t="shared" si="0"/>
        <v>20715</v>
      </c>
      <c r="E8" s="292"/>
      <c r="F8" s="290"/>
    </row>
    <row r="9" spans="1:13" x14ac:dyDescent="0.2">
      <c r="A9" s="87">
        <v>500293</v>
      </c>
      <c r="B9" s="371">
        <v>371425</v>
      </c>
      <c r="C9" s="90">
        <v>463716</v>
      </c>
      <c r="D9" s="90">
        <f t="shared" si="0"/>
        <v>92291</v>
      </c>
      <c r="E9" s="292"/>
      <c r="F9" s="290"/>
    </row>
    <row r="10" spans="1:13" x14ac:dyDescent="0.2">
      <c r="A10" s="87">
        <v>500302</v>
      </c>
      <c r="B10" s="90"/>
      <c r="C10" s="90">
        <v>6042</v>
      </c>
      <c r="D10" s="90">
        <f t="shared" si="0"/>
        <v>6042</v>
      </c>
      <c r="E10" s="292"/>
      <c r="F10" s="290"/>
    </row>
    <row r="11" spans="1:13" x14ac:dyDescent="0.2">
      <c r="A11" s="87">
        <v>500303</v>
      </c>
      <c r="B11" s="371">
        <v>216744</v>
      </c>
      <c r="C11" s="90">
        <v>182594</v>
      </c>
      <c r="D11" s="90">
        <f t="shared" si="0"/>
        <v>-34150</v>
      </c>
      <c r="E11" s="292"/>
      <c r="F11" s="290"/>
    </row>
    <row r="12" spans="1:13" x14ac:dyDescent="0.2">
      <c r="A12" s="91">
        <v>500305</v>
      </c>
      <c r="B12" s="371">
        <v>1049416</v>
      </c>
      <c r="C12" s="90">
        <v>1018512</v>
      </c>
      <c r="D12" s="90">
        <f t="shared" si="0"/>
        <v>-30904</v>
      </c>
      <c r="E12" s="293"/>
      <c r="F12" s="290"/>
    </row>
    <row r="13" spans="1:13" x14ac:dyDescent="0.2">
      <c r="A13" s="87">
        <v>500307</v>
      </c>
      <c r="B13" s="90">
        <v>27100</v>
      </c>
      <c r="C13" s="90">
        <v>42009</v>
      </c>
      <c r="D13" s="90">
        <f t="shared" si="0"/>
        <v>14909</v>
      </c>
      <c r="E13" s="292"/>
      <c r="F13" s="290"/>
    </row>
    <row r="14" spans="1:13" x14ac:dyDescent="0.2">
      <c r="A14" s="87">
        <v>500313</v>
      </c>
      <c r="B14" s="90"/>
      <c r="C14" s="342">
        <v>2398</v>
      </c>
      <c r="D14" s="90">
        <f t="shared" si="0"/>
        <v>2398</v>
      </c>
      <c r="E14" s="292"/>
      <c r="F14" s="29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2"/>
      <c r="F15" s="290"/>
    </row>
    <row r="16" spans="1:13" x14ac:dyDescent="0.2">
      <c r="A16" s="87">
        <v>500655</v>
      </c>
      <c r="B16" s="371">
        <v>42094</v>
      </c>
      <c r="C16" s="90"/>
      <c r="D16" s="90">
        <f t="shared" si="0"/>
        <v>-42094</v>
      </c>
      <c r="E16" s="292"/>
      <c r="F16" s="290"/>
    </row>
    <row r="17" spans="1:6" x14ac:dyDescent="0.2">
      <c r="A17" s="87">
        <v>500657</v>
      </c>
      <c r="B17" s="372">
        <v>189761</v>
      </c>
      <c r="C17" s="88">
        <v>155475</v>
      </c>
      <c r="D17" s="94">
        <f t="shared" si="0"/>
        <v>-34286</v>
      </c>
      <c r="E17" s="292"/>
      <c r="F17" s="290"/>
    </row>
    <row r="18" spans="1:6" x14ac:dyDescent="0.2">
      <c r="A18" s="87"/>
      <c r="B18" s="88"/>
      <c r="C18" s="88"/>
      <c r="D18" s="88">
        <f>SUM(D5:D17)</f>
        <v>14807</v>
      </c>
      <c r="E18" s="292"/>
      <c r="F18" s="290"/>
    </row>
    <row r="19" spans="1:6" x14ac:dyDescent="0.2">
      <c r="A19" s="87" t="s">
        <v>88</v>
      </c>
      <c r="B19" s="88"/>
      <c r="C19" s="88"/>
      <c r="D19" s="95">
        <f>+summary!P13</f>
        <v>7.84</v>
      </c>
      <c r="E19" s="294"/>
      <c r="F19" s="290"/>
    </row>
    <row r="20" spans="1:6" x14ac:dyDescent="0.2">
      <c r="A20" s="87"/>
      <c r="B20" s="88"/>
      <c r="C20" s="88"/>
      <c r="D20" s="96">
        <f>+D19*D18</f>
        <v>116086.88</v>
      </c>
      <c r="E20" s="209"/>
      <c r="F20" s="29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36860</v>
      </c>
      <c r="B22" s="88"/>
      <c r="C22" s="88"/>
      <c r="D22" s="384">
        <v>-122087.9</v>
      </c>
      <c r="E22" s="209"/>
      <c r="F22" s="66"/>
    </row>
    <row r="23" spans="1:6" x14ac:dyDescent="0.2">
      <c r="A23" s="87"/>
      <c r="B23" s="88"/>
      <c r="C23" s="88"/>
      <c r="D23" s="96"/>
      <c r="E23" s="209"/>
      <c r="F23" s="66"/>
    </row>
    <row r="24" spans="1:6" ht="13.5" thickBot="1" x14ac:dyDescent="0.25">
      <c r="A24" s="99">
        <v>36879</v>
      </c>
      <c r="B24" s="88"/>
      <c r="C24" s="88"/>
      <c r="D24" s="98">
        <f>+D22+D20</f>
        <v>-6001.0199999999895</v>
      </c>
      <c r="E24" s="209"/>
      <c r="F24" s="66"/>
    </row>
    <row r="25" spans="1:6" ht="13.5" thickTop="1" x14ac:dyDescent="0.2">
      <c r="E25" s="295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C49" sqref="C4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156409</v>
      </c>
      <c r="C14" s="11">
        <f>163271+1506</f>
        <v>164777</v>
      </c>
      <c r="D14" s="11"/>
      <c r="E14" s="11">
        <v>11318</v>
      </c>
      <c r="F14" s="11">
        <f t="shared" si="5"/>
        <v>-2950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123568</v>
      </c>
      <c r="C15" s="11">
        <v>164677</v>
      </c>
      <c r="D15" s="11"/>
      <c r="E15" s="11">
        <v>40741</v>
      </c>
      <c r="F15" s="11">
        <f t="shared" si="5"/>
        <v>368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166229</v>
      </c>
      <c r="C16" s="11">
        <v>185212</v>
      </c>
      <c r="D16" s="11"/>
      <c r="E16" s="11">
        <v>22793</v>
      </c>
      <c r="F16" s="11">
        <f t="shared" si="5"/>
        <v>-3810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156491</v>
      </c>
      <c r="C17" s="11">
        <f>177663+688</f>
        <v>178351</v>
      </c>
      <c r="D17" s="11"/>
      <c r="E17" s="11">
        <v>25001</v>
      </c>
      <c r="F17" s="11">
        <f t="shared" si="5"/>
        <v>-3141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140824</v>
      </c>
      <c r="C18" s="11">
        <v>153538</v>
      </c>
      <c r="D18" s="11"/>
      <c r="E18" s="11">
        <v>15227</v>
      </c>
      <c r="F18" s="11">
        <f t="shared" si="5"/>
        <v>-2513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159652</v>
      </c>
      <c r="C19" s="11">
        <v>176538</v>
      </c>
      <c r="D19" s="11"/>
      <c r="E19" s="11">
        <v>19424</v>
      </c>
      <c r="F19" s="11">
        <f t="shared" si="5"/>
        <v>-2538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154895</v>
      </c>
      <c r="C20" s="11">
        <v>164011</v>
      </c>
      <c r="D20" s="11"/>
      <c r="E20" s="11">
        <v>11465</v>
      </c>
      <c r="F20" s="11">
        <f t="shared" si="5"/>
        <v>-2349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>
        <v>142559</v>
      </c>
      <c r="C21" s="11">
        <v>163518</v>
      </c>
      <c r="D21" s="11"/>
      <c r="E21" s="11">
        <v>24182</v>
      </c>
      <c r="F21" s="11">
        <f t="shared" si="5"/>
        <v>-3223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>
        <v>182382</v>
      </c>
      <c r="C22" s="11">
        <v>185948</v>
      </c>
      <c r="D22" s="11"/>
      <c r="E22" s="11">
        <v>7223</v>
      </c>
      <c r="F22" s="11">
        <f t="shared" si="5"/>
        <v>-3657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148178</v>
      </c>
      <c r="C23" s="11">
        <v>156546</v>
      </c>
      <c r="D23" s="11"/>
      <c r="E23" s="11">
        <v>12871</v>
      </c>
      <c r="F23" s="11">
        <f t="shared" si="5"/>
        <v>-4503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2812779</v>
      </c>
      <c r="C36" s="11">
        <f>SUM(C5:C35)</f>
        <v>3244471</v>
      </c>
      <c r="D36" s="11"/>
      <c r="E36" s="11">
        <f>SUM(E5:E35)</f>
        <v>487962</v>
      </c>
      <c r="F36" s="11">
        <f>SUM(F5:F35)</f>
        <v>-56270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36860</v>
      </c>
      <c r="F39" s="374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36879</v>
      </c>
      <c r="F41" s="282">
        <f>+F39+F36</f>
        <v>-131702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80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1" workbookViewId="1">
      <selection activeCell="C24" sqref="C2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77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">
      <c r="A17" s="10">
        <v>10</v>
      </c>
      <c r="B17" s="11">
        <v>23318</v>
      </c>
      <c r="C17" s="11">
        <v>23150</v>
      </c>
      <c r="D17" s="11">
        <f t="shared" si="0"/>
        <v>-168</v>
      </c>
      <c r="E17" s="10"/>
      <c r="F17" s="11"/>
      <c r="G17" s="11"/>
      <c r="H17" s="11"/>
    </row>
    <row r="18" spans="1:8" x14ac:dyDescent="0.2">
      <c r="A18" s="10">
        <v>11</v>
      </c>
      <c r="B18" s="11">
        <v>23655</v>
      </c>
      <c r="C18" s="11">
        <v>23150</v>
      </c>
      <c r="D18" s="11">
        <f t="shared" si="0"/>
        <v>-505</v>
      </c>
      <c r="E18" s="10"/>
      <c r="F18" s="11"/>
      <c r="G18" s="11"/>
      <c r="H18" s="11"/>
    </row>
    <row r="19" spans="1:8" x14ac:dyDescent="0.2">
      <c r="A19" s="10">
        <v>12</v>
      </c>
      <c r="B19" s="11">
        <v>26348</v>
      </c>
      <c r="C19" s="11">
        <v>23150</v>
      </c>
      <c r="D19" s="11">
        <f t="shared" si="0"/>
        <v>-3198</v>
      </c>
      <c r="E19" s="10"/>
      <c r="F19" s="11"/>
      <c r="G19" s="11"/>
      <c r="H19" s="11"/>
    </row>
    <row r="20" spans="1:8" x14ac:dyDescent="0.2">
      <c r="A20" s="10">
        <v>13</v>
      </c>
      <c r="B20" s="11">
        <v>39174</v>
      </c>
      <c r="C20" s="11">
        <v>43466</v>
      </c>
      <c r="D20" s="11">
        <f t="shared" si="0"/>
        <v>4292</v>
      </c>
      <c r="E20" s="10"/>
      <c r="F20" s="11"/>
      <c r="G20" s="11"/>
      <c r="H20" s="11"/>
    </row>
    <row r="21" spans="1:8" x14ac:dyDescent="0.2">
      <c r="A21" s="10">
        <v>14</v>
      </c>
      <c r="B21" s="11">
        <v>22742</v>
      </c>
      <c r="C21" s="11">
        <v>23150</v>
      </c>
      <c r="D21" s="11">
        <f t="shared" si="0"/>
        <v>408</v>
      </c>
      <c r="E21" s="10"/>
      <c r="F21" s="11"/>
      <c r="G21" s="11"/>
      <c r="H21" s="11"/>
    </row>
    <row r="22" spans="1:8" x14ac:dyDescent="0.2">
      <c r="A22" s="10">
        <v>15</v>
      </c>
      <c r="B22" s="11">
        <v>22935</v>
      </c>
      <c r="C22" s="11">
        <v>23150</v>
      </c>
      <c r="D22" s="11">
        <f t="shared" si="0"/>
        <v>215</v>
      </c>
      <c r="E22" s="10"/>
      <c r="F22" s="11"/>
      <c r="G22" s="11"/>
      <c r="H22" s="11"/>
    </row>
    <row r="23" spans="1:8" x14ac:dyDescent="0.2">
      <c r="A23" s="10">
        <v>16</v>
      </c>
      <c r="B23" s="11">
        <v>23156</v>
      </c>
      <c r="C23" s="11">
        <v>23150</v>
      </c>
      <c r="D23" s="11">
        <f t="shared" si="0"/>
        <v>-6</v>
      </c>
      <c r="E23" s="10"/>
      <c r="F23" s="11"/>
      <c r="G23" s="11"/>
      <c r="H23" s="11"/>
    </row>
    <row r="24" spans="1:8" x14ac:dyDescent="0.2">
      <c r="A24" s="10">
        <v>17</v>
      </c>
      <c r="B24" s="11">
        <v>23636</v>
      </c>
      <c r="C24" s="11">
        <v>23150</v>
      </c>
      <c r="D24" s="11">
        <f t="shared" si="0"/>
        <v>-486</v>
      </c>
      <c r="E24" s="10"/>
      <c r="F24" s="11"/>
      <c r="G24" s="11"/>
      <c r="H24" s="11"/>
    </row>
    <row r="25" spans="1:8" x14ac:dyDescent="0.2">
      <c r="A25" s="10">
        <v>18</v>
      </c>
      <c r="B25" s="11">
        <v>29873</v>
      </c>
      <c r="C25" s="11">
        <v>23150</v>
      </c>
      <c r="D25" s="11">
        <f t="shared" si="0"/>
        <v>-6723</v>
      </c>
      <c r="E25" s="10"/>
      <c r="F25" s="11"/>
      <c r="G25" s="11"/>
      <c r="H25" s="11"/>
    </row>
    <row r="26" spans="1:8" x14ac:dyDescent="0.2">
      <c r="A26" s="10">
        <v>19</v>
      </c>
      <c r="B26" s="11">
        <v>20100</v>
      </c>
      <c r="C26" s="11">
        <v>32025</v>
      </c>
      <c r="D26" s="11">
        <f t="shared" si="0"/>
        <v>11925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463706</v>
      </c>
      <c r="C39" s="11">
        <f>SUM(C8:C38)</f>
        <v>469041</v>
      </c>
      <c r="D39" s="11">
        <f>SUM(D8:D38)</f>
        <v>5335</v>
      </c>
      <c r="E39" s="10"/>
      <c r="F39" s="11"/>
      <c r="G39" s="11"/>
      <c r="H39" s="11"/>
    </row>
    <row r="40" spans="1:8" x14ac:dyDescent="0.2">
      <c r="A40" s="26"/>
      <c r="D40" s="75">
        <f>+summary!P13</f>
        <v>7.84</v>
      </c>
      <c r="E40" s="26"/>
      <c r="H40" s="75"/>
    </row>
    <row r="41" spans="1:8" x14ac:dyDescent="0.2">
      <c r="D41" s="197">
        <f>+D40*D39</f>
        <v>41826.400000000001</v>
      </c>
      <c r="F41" s="254"/>
      <c r="H41" s="197"/>
    </row>
    <row r="42" spans="1:8" x14ac:dyDescent="0.2">
      <c r="A42" s="57">
        <v>36860</v>
      </c>
      <c r="D42" s="389">
        <v>95639.73</v>
      </c>
      <c r="E42" s="57"/>
      <c r="H42" s="197"/>
    </row>
    <row r="43" spans="1:8" x14ac:dyDescent="0.2">
      <c r="A43" s="57">
        <v>36879</v>
      </c>
      <c r="D43" s="198">
        <f>+D42+D41</f>
        <v>137466.13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B9" sqref="B9"/>
    </sheetView>
    <sheetView topLeftCell="A39" workbookViewId="1">
      <selection activeCell="A41" sqref="A41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9.140625" style="32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104</v>
      </c>
      <c r="G2" s="32"/>
      <c r="H2" s="15"/>
      <c r="I2" s="32"/>
      <c r="J2" s="32"/>
    </row>
    <row r="3" spans="1:10" x14ac:dyDescent="0.2">
      <c r="A3" s="2" t="s">
        <v>78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36860</v>
      </c>
      <c r="C5" s="390">
        <v>-208801.6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36879</v>
      </c>
      <c r="G7" s="32"/>
      <c r="H7" s="15"/>
      <c r="I7" s="32"/>
      <c r="J7" s="32"/>
    </row>
    <row r="8" spans="1:10" x14ac:dyDescent="0.2">
      <c r="A8" s="255">
        <v>60874</v>
      </c>
      <c r="B8" s="355">
        <v>2038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373">
        <f>20847-19319</f>
        <v>1528</v>
      </c>
      <c r="G10" s="32"/>
      <c r="H10" s="15"/>
      <c r="I10" s="32"/>
      <c r="J10" s="32"/>
    </row>
    <row r="11" spans="1:10" x14ac:dyDescent="0.2">
      <c r="A11" s="255">
        <v>500251</v>
      </c>
      <c r="B11" s="355">
        <f>8104-9421</f>
        <v>-1317</v>
      </c>
      <c r="G11" s="32"/>
      <c r="H11" s="15"/>
      <c r="I11" s="32"/>
      <c r="J11" s="32"/>
    </row>
    <row r="12" spans="1:10" x14ac:dyDescent="0.2">
      <c r="A12" s="255">
        <v>500254</v>
      </c>
      <c r="B12" s="212">
        <f>1142-621</f>
        <v>521</v>
      </c>
      <c r="G12" s="32"/>
      <c r="H12" s="15"/>
      <c r="I12" s="32"/>
      <c r="J12" s="32"/>
    </row>
    <row r="13" spans="1:10" x14ac:dyDescent="0.2">
      <c r="A13" s="32">
        <v>500255</v>
      </c>
      <c r="B13" s="273">
        <f>11893-17857</f>
        <v>-5964</v>
      </c>
      <c r="G13" s="32"/>
      <c r="H13" s="15"/>
      <c r="I13" s="32"/>
      <c r="J13" s="32"/>
    </row>
    <row r="14" spans="1:10" x14ac:dyDescent="0.2">
      <c r="A14" s="32">
        <v>500262</v>
      </c>
      <c r="B14" s="355">
        <f>6068-5350</f>
        <v>718</v>
      </c>
      <c r="G14" s="32"/>
      <c r="H14" s="15"/>
      <c r="I14" s="32"/>
      <c r="J14" s="32"/>
    </row>
    <row r="15" spans="1:10" x14ac:dyDescent="0.2">
      <c r="A15" s="297">
        <v>500267</v>
      </c>
      <c r="B15" s="356">
        <f>556829-603191</f>
        <v>-46362</v>
      </c>
      <c r="G15" s="32"/>
      <c r="H15" s="15"/>
      <c r="I15" s="32"/>
      <c r="J15" s="32"/>
    </row>
    <row r="16" spans="1:10" x14ac:dyDescent="0.2">
      <c r="B16" s="14">
        <f>SUM(B8:B15)</f>
        <v>-48838</v>
      </c>
      <c r="G16" s="32"/>
      <c r="H16" s="15"/>
      <c r="I16" s="32"/>
      <c r="J16" s="32"/>
    </row>
    <row r="17" spans="1:10" x14ac:dyDescent="0.2">
      <c r="B17" s="15">
        <f>+B30</f>
        <v>7.84</v>
      </c>
      <c r="C17" s="201">
        <f>+B17*B16</f>
        <v>-382889.92</v>
      </c>
      <c r="G17" s="32"/>
      <c r="H17" s="15"/>
      <c r="I17" s="32"/>
      <c r="J17" s="32"/>
    </row>
    <row r="18" spans="1:10" x14ac:dyDescent="0.2">
      <c r="C18" s="260">
        <f>+C17+C5</f>
        <v>-591691.52000000002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96</v>
      </c>
      <c r="G20" s="32"/>
      <c r="H20" s="15"/>
      <c r="I20" s="32"/>
      <c r="J20" s="32"/>
    </row>
    <row r="21" spans="1:10" x14ac:dyDescent="0.2">
      <c r="A21" s="2" t="s">
        <v>79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36860</v>
      </c>
      <c r="C24" s="387">
        <v>166829.88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36876</v>
      </c>
      <c r="G26" s="32"/>
      <c r="H26" s="15"/>
      <c r="I26" s="32"/>
      <c r="J26" s="32"/>
    </row>
    <row r="27" spans="1:10" x14ac:dyDescent="0.2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12556</v>
      </c>
    </row>
    <row r="30" spans="1:10" x14ac:dyDescent="0.2">
      <c r="B30" s="15">
        <f>+summary!P13</f>
        <v>7.84</v>
      </c>
      <c r="C30" s="201">
        <f>+B30*B29</f>
        <v>98439.039999999994</v>
      </c>
    </row>
    <row r="31" spans="1:10" x14ac:dyDescent="0.2">
      <c r="C31" s="260">
        <f>+C30+C24</f>
        <v>265268.92</v>
      </c>
      <c r="E31" s="15"/>
    </row>
    <row r="33" spans="1:6" x14ac:dyDescent="0.2">
      <c r="E33" s="278"/>
    </row>
    <row r="34" spans="1:6" x14ac:dyDescent="0.2">
      <c r="A34" s="32" t="s">
        <v>96</v>
      </c>
      <c r="E34" s="15"/>
    </row>
    <row r="35" spans="1:6" x14ac:dyDescent="0.2">
      <c r="A35" s="32" t="s">
        <v>80</v>
      </c>
      <c r="E35" s="15"/>
    </row>
    <row r="38" spans="1:6" x14ac:dyDescent="0.2">
      <c r="A38" s="49">
        <v>36860</v>
      </c>
      <c r="C38" s="386">
        <v>285553.17</v>
      </c>
      <c r="E38" s="15"/>
      <c r="F38" s="272"/>
    </row>
    <row r="40" spans="1:6" x14ac:dyDescent="0.2">
      <c r="A40" s="251">
        <v>36879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4555</v>
      </c>
    </row>
    <row r="43" spans="1:6" x14ac:dyDescent="0.2">
      <c r="A43" s="32">
        <v>500392</v>
      </c>
      <c r="B43" s="259">
        <v>1415</v>
      </c>
    </row>
    <row r="44" spans="1:6" x14ac:dyDescent="0.2">
      <c r="B44" s="14">
        <f>SUM(B41:B43)</f>
        <v>5970</v>
      </c>
    </row>
    <row r="45" spans="1:6" x14ac:dyDescent="0.2">
      <c r="B45" s="201">
        <f>+B30</f>
        <v>7.84</v>
      </c>
      <c r="C45" s="201">
        <f>+B45*B44</f>
        <v>46804.799999999996</v>
      </c>
    </row>
    <row r="46" spans="1:6" x14ac:dyDescent="0.2">
      <c r="C46" s="260">
        <f>+C45+C38</f>
        <v>332357.96999999997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65"/>
      <c r="E49" s="218"/>
    </row>
    <row r="50" spans="1:5" x14ac:dyDescent="0.2">
      <c r="A50" s="32" t="s">
        <v>96</v>
      </c>
    </row>
    <row r="51" spans="1:5" x14ac:dyDescent="0.2">
      <c r="A51" s="32">
        <v>21665</v>
      </c>
      <c r="C51" s="397">
        <v>73449.16</v>
      </c>
      <c r="E51" s="50"/>
    </row>
    <row r="52" spans="1:5" x14ac:dyDescent="0.2">
      <c r="A52" s="32">
        <v>22664</v>
      </c>
      <c r="C52" s="399">
        <v>23612.35</v>
      </c>
    </row>
    <row r="53" spans="1:5" x14ac:dyDescent="0.2">
      <c r="A53" s="32">
        <v>20248</v>
      </c>
      <c r="C53" s="47">
        <v>-15794</v>
      </c>
      <c r="E53" s="15"/>
    </row>
    <row r="54" spans="1:5" x14ac:dyDescent="0.2">
      <c r="A54" s="32">
        <v>25873</v>
      </c>
      <c r="C54" s="47">
        <v>-259</v>
      </c>
    </row>
    <row r="55" spans="1:5" x14ac:dyDescent="0.2">
      <c r="A55" s="32">
        <v>26758</v>
      </c>
      <c r="C55" s="47">
        <v>-596</v>
      </c>
    </row>
    <row r="56" spans="1:5" x14ac:dyDescent="0.2">
      <c r="A56" s="32">
        <v>26372</v>
      </c>
      <c r="C56" s="47">
        <v>2997.09</v>
      </c>
    </row>
    <row r="57" spans="1:5" x14ac:dyDescent="0.2">
      <c r="A57" s="32">
        <v>26700</v>
      </c>
      <c r="C57" s="47">
        <v>4077.9</v>
      </c>
    </row>
    <row r="58" spans="1:5" x14ac:dyDescent="0.2">
      <c r="A58" s="32">
        <v>26422</v>
      </c>
      <c r="C58" s="47">
        <v>8155.8</v>
      </c>
    </row>
    <row r="59" spans="1:5" x14ac:dyDescent="0.2">
      <c r="A59" s="32">
        <v>26661</v>
      </c>
      <c r="C59" s="47">
        <v>139411.09</v>
      </c>
    </row>
    <row r="60" spans="1:5" x14ac:dyDescent="0.2">
      <c r="A60" s="32">
        <v>27291</v>
      </c>
      <c r="C60" s="47">
        <v>-17965</v>
      </c>
    </row>
    <row r="61" spans="1:5" x14ac:dyDescent="0.2">
      <c r="A61" s="32">
        <v>27123</v>
      </c>
      <c r="C61" s="400">
        <v>-6425.19</v>
      </c>
    </row>
    <row r="62" spans="1:5" x14ac:dyDescent="0.2">
      <c r="C62" s="398">
        <f>+C18+C31+C46+C51+C52+C53+C54+C55+C56+C57+C58+C59+C60+C61</f>
        <v>216599.56999999995</v>
      </c>
    </row>
    <row r="63" spans="1:5" x14ac:dyDescent="0.2">
      <c r="C63" s="398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30" workbookViewId="1">
      <selection activeCell="A44" sqref="A44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75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6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6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6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6248</v>
      </c>
      <c r="C17" s="11">
        <v>6857</v>
      </c>
      <c r="D17" s="11">
        <v>192</v>
      </c>
      <c r="E17" s="11">
        <v>179</v>
      </c>
      <c r="F17" s="11">
        <v>604</v>
      </c>
      <c r="G17" s="11">
        <v>1323</v>
      </c>
      <c r="H17" s="11">
        <v>201</v>
      </c>
      <c r="I17" s="11">
        <v>298</v>
      </c>
      <c r="J17" s="25">
        <f t="shared" si="0"/>
        <v>1412</v>
      </c>
      <c r="K17" s="10"/>
      <c r="L17" s="11"/>
      <c r="M17" s="11"/>
      <c r="N17" s="11"/>
      <c r="O17" s="11"/>
      <c r="P17" s="11"/>
      <c r="Q17" s="11"/>
      <c r="R17" s="123"/>
      <c r="S17" s="296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6822</v>
      </c>
      <c r="C18" s="11">
        <v>6848</v>
      </c>
      <c r="D18" s="11">
        <v>90</v>
      </c>
      <c r="E18" s="11">
        <v>179</v>
      </c>
      <c r="F18" s="11">
        <v>1135</v>
      </c>
      <c r="G18" s="11">
        <v>1323</v>
      </c>
      <c r="H18" s="11">
        <v>82</v>
      </c>
      <c r="I18" s="11">
        <v>298</v>
      </c>
      <c r="J18" s="25">
        <f t="shared" si="0"/>
        <v>519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3692</v>
      </c>
      <c r="C19" s="11">
        <v>6899</v>
      </c>
      <c r="D19" s="11">
        <v>16</v>
      </c>
      <c r="E19" s="11">
        <v>179</v>
      </c>
      <c r="F19" s="11">
        <v>1161</v>
      </c>
      <c r="G19" s="11">
        <v>1406</v>
      </c>
      <c r="H19" s="11">
        <v>143</v>
      </c>
      <c r="I19" s="11">
        <v>298</v>
      </c>
      <c r="J19" s="25">
        <f t="shared" si="0"/>
        <v>3770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6044</v>
      </c>
      <c r="C20" s="11">
        <v>6872</v>
      </c>
      <c r="D20" s="11">
        <v>99</v>
      </c>
      <c r="E20" s="11">
        <v>179</v>
      </c>
      <c r="F20" s="11">
        <v>759</v>
      </c>
      <c r="G20" s="11">
        <v>1323</v>
      </c>
      <c r="H20" s="11">
        <v>144</v>
      </c>
      <c r="I20" s="11">
        <v>298</v>
      </c>
      <c r="J20" s="25">
        <f t="shared" si="0"/>
        <v>1626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7706</v>
      </c>
      <c r="C21" s="11">
        <v>6899</v>
      </c>
      <c r="D21" s="11">
        <v>157</v>
      </c>
      <c r="E21" s="11">
        <v>179</v>
      </c>
      <c r="F21" s="11">
        <v>653</v>
      </c>
      <c r="G21" s="11">
        <v>1423</v>
      </c>
      <c r="H21" s="11">
        <v>38</v>
      </c>
      <c r="I21" s="11">
        <v>298</v>
      </c>
      <c r="J21" s="25">
        <f t="shared" si="0"/>
        <v>245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6236</v>
      </c>
      <c r="C22" s="11">
        <v>6899</v>
      </c>
      <c r="D22" s="11">
        <v>131</v>
      </c>
      <c r="E22" s="11">
        <v>179</v>
      </c>
      <c r="F22" s="11">
        <v>1179</v>
      </c>
      <c r="G22" s="11">
        <v>1323</v>
      </c>
      <c r="H22" s="11">
        <v>92</v>
      </c>
      <c r="I22" s="11">
        <v>298</v>
      </c>
      <c r="J22" s="25">
        <f t="shared" si="0"/>
        <v>1061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6459</v>
      </c>
      <c r="C23" s="11">
        <v>6899</v>
      </c>
      <c r="D23" s="11">
        <v>187</v>
      </c>
      <c r="E23" s="11">
        <v>179</v>
      </c>
      <c r="F23" s="11">
        <v>890</v>
      </c>
      <c r="G23" s="11">
        <v>1423</v>
      </c>
      <c r="H23" s="11"/>
      <c r="I23" s="11">
        <v>298</v>
      </c>
      <c r="J23" s="25">
        <f t="shared" si="0"/>
        <v>1263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6567</v>
      </c>
      <c r="C24" s="11">
        <v>6899</v>
      </c>
      <c r="D24" s="11">
        <v>202</v>
      </c>
      <c r="E24" s="11">
        <v>179</v>
      </c>
      <c r="F24" s="11">
        <v>1063</v>
      </c>
      <c r="G24" s="11">
        <v>1423</v>
      </c>
      <c r="H24" s="11"/>
      <c r="I24" s="11">
        <v>298</v>
      </c>
      <c r="J24" s="25">
        <f t="shared" si="0"/>
        <v>967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6214</v>
      </c>
      <c r="C25" s="11">
        <v>6899</v>
      </c>
      <c r="D25" s="11">
        <v>162</v>
      </c>
      <c r="E25" s="11">
        <v>179</v>
      </c>
      <c r="F25" s="11">
        <v>1759</v>
      </c>
      <c r="G25" s="11">
        <v>1423</v>
      </c>
      <c r="H25" s="11">
        <v>1038</v>
      </c>
      <c r="I25" s="11">
        <v>298</v>
      </c>
      <c r="J25" s="25">
        <f t="shared" si="0"/>
        <v>-374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6380</v>
      </c>
      <c r="C26" s="11">
        <v>6899</v>
      </c>
      <c r="D26" s="11">
        <v>137</v>
      </c>
      <c r="E26" s="11">
        <v>179</v>
      </c>
      <c r="F26" s="11">
        <v>1806</v>
      </c>
      <c r="G26" s="11">
        <v>1423</v>
      </c>
      <c r="H26" s="11">
        <v>917</v>
      </c>
      <c r="I26" s="11">
        <v>298</v>
      </c>
      <c r="J26" s="25">
        <f t="shared" si="0"/>
        <v>-441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124624</v>
      </c>
      <c r="C39" s="11">
        <f t="shared" si="1"/>
        <v>126940</v>
      </c>
      <c r="D39" s="11">
        <f t="shared" si="1"/>
        <v>2731</v>
      </c>
      <c r="E39" s="11">
        <f t="shared" si="1"/>
        <v>3401</v>
      </c>
      <c r="F39" s="11">
        <f t="shared" si="1"/>
        <v>21233</v>
      </c>
      <c r="G39" s="11">
        <f t="shared" si="1"/>
        <v>25720</v>
      </c>
      <c r="H39" s="11">
        <f t="shared" si="1"/>
        <v>4475</v>
      </c>
      <c r="I39" s="11">
        <f t="shared" si="1"/>
        <v>5662</v>
      </c>
      <c r="J39" s="25">
        <f t="shared" si="1"/>
        <v>8660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+summary!P13</f>
        <v>7.84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67894.399999999994</v>
      </c>
      <c r="L41"/>
      <c r="R41" s="138"/>
      <c r="X41" s="138"/>
    </row>
    <row r="42" spans="1:24" x14ac:dyDescent="0.2">
      <c r="A42" s="57">
        <v>36860</v>
      </c>
      <c r="C42" s="15"/>
      <c r="J42" s="378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36879</v>
      </c>
      <c r="C43" s="48"/>
      <c r="J43" s="138">
        <f>+J42+J41</f>
        <v>577367.32999999996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8" workbookViewId="1">
      <selection activeCell="A42" sqref="A42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16385</v>
      </c>
      <c r="C13" s="11">
        <v>16988</v>
      </c>
      <c r="D13" s="25">
        <f t="shared" si="0"/>
        <v>603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>
        <v>17177</v>
      </c>
      <c r="C17" s="11">
        <v>16887</v>
      </c>
      <c r="D17" s="25">
        <f t="shared" si="0"/>
        <v>-290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>
        <v>15991</v>
      </c>
      <c r="C18" s="11">
        <v>16854</v>
      </c>
      <c r="D18" s="25">
        <f t="shared" si="0"/>
        <v>863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>
        <v>14061</v>
      </c>
      <c r="C19" s="11">
        <v>16789</v>
      </c>
      <c r="D19" s="25">
        <f t="shared" si="0"/>
        <v>2728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>
        <v>15546</v>
      </c>
      <c r="C20" s="11">
        <v>16211</v>
      </c>
      <c r="D20" s="25">
        <f t="shared" si="0"/>
        <v>665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>
        <v>16512</v>
      </c>
      <c r="C21" s="11">
        <v>16988</v>
      </c>
      <c r="D21" s="25">
        <f t="shared" si="0"/>
        <v>476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>
        <v>16723</v>
      </c>
      <c r="C22" s="11">
        <v>16365</v>
      </c>
      <c r="D22" s="25">
        <f t="shared" si="0"/>
        <v>-358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>
        <v>16042</v>
      </c>
      <c r="C23" s="11">
        <v>16835</v>
      </c>
      <c r="D23" s="25">
        <f t="shared" si="0"/>
        <v>793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>
        <v>16517</v>
      </c>
      <c r="C24" s="11">
        <v>16758</v>
      </c>
      <c r="D24" s="25">
        <f t="shared" si="0"/>
        <v>241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>
        <v>15605</v>
      </c>
      <c r="C25" s="11">
        <v>16758</v>
      </c>
      <c r="D25" s="25">
        <f t="shared" si="0"/>
        <v>1153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>
        <v>16163</v>
      </c>
      <c r="C26" s="11">
        <v>16628</v>
      </c>
      <c r="D26" s="25">
        <f t="shared" si="0"/>
        <v>465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311340</v>
      </c>
      <c r="C39" s="11">
        <f>SUM(C8:C38)</f>
        <v>326307</v>
      </c>
      <c r="D39" s="11">
        <f>SUM(D8:D38)</f>
        <v>14967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+summary!P13</f>
        <v>7.84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117341.28</v>
      </c>
      <c r="H41" s="138"/>
      <c r="L41" s="138"/>
      <c r="P41" s="138"/>
      <c r="T41" s="138"/>
      <c r="X41" s="138"/>
    </row>
    <row r="42" spans="1:24" x14ac:dyDescent="0.2">
      <c r="A42" s="57">
        <v>36860</v>
      </c>
      <c r="C42" s="15"/>
      <c r="D42" s="382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36879</v>
      </c>
      <c r="C43" s="48"/>
      <c r="D43" s="110">
        <f>+D42+D41</f>
        <v>51492.97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topLeftCell="A2" workbookViewId="1">
      <selection activeCell="A25" sqref="A25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97</v>
      </c>
      <c r="B4" s="69"/>
      <c r="C4" s="298"/>
      <c r="D4" s="69"/>
    </row>
    <row r="5" spans="1:8" x14ac:dyDescent="0.2">
      <c r="B5" s="299" t="s">
        <v>21</v>
      </c>
      <c r="C5" s="299" t="s">
        <v>22</v>
      </c>
      <c r="D5" s="300" t="s">
        <v>54</v>
      </c>
    </row>
    <row r="6" spans="1:8" x14ac:dyDescent="0.2">
      <c r="A6" s="32">
        <v>1635</v>
      </c>
      <c r="B6" s="392">
        <v>-547574</v>
      </c>
      <c r="C6" s="80"/>
      <c r="D6" s="80">
        <f t="shared" ref="D6:D14" si="0">+C6-B6</f>
        <v>547574</v>
      </c>
    </row>
    <row r="7" spans="1:8" x14ac:dyDescent="0.2">
      <c r="A7" s="32">
        <v>3531</v>
      </c>
      <c r="B7" s="392">
        <v>-568448</v>
      </c>
      <c r="C7" s="307">
        <v>-549752</v>
      </c>
      <c r="D7" s="80">
        <f t="shared" si="0"/>
        <v>18696</v>
      </c>
    </row>
    <row r="8" spans="1:8" x14ac:dyDescent="0.2">
      <c r="A8" s="32">
        <v>60667</v>
      </c>
      <c r="B8" s="385">
        <v>-330163</v>
      </c>
      <c r="C8" s="307">
        <v>-443279</v>
      </c>
      <c r="D8" s="80">
        <f t="shared" si="0"/>
        <v>-113116</v>
      </c>
      <c r="H8" s="256"/>
    </row>
    <row r="9" spans="1:8" x14ac:dyDescent="0.2">
      <c r="A9" s="32">
        <v>60749</v>
      </c>
      <c r="B9" s="392">
        <v>430645</v>
      </c>
      <c r="C9" s="385">
        <v>-336446</v>
      </c>
      <c r="D9" s="80">
        <f t="shared" si="0"/>
        <v>-767091</v>
      </c>
      <c r="H9" s="256"/>
    </row>
    <row r="10" spans="1:8" x14ac:dyDescent="0.2">
      <c r="A10" s="32">
        <v>61206</v>
      </c>
      <c r="B10" s="80">
        <f>-497-19650-78-97</f>
        <v>-20322</v>
      </c>
      <c r="C10" s="80"/>
      <c r="D10" s="80">
        <f t="shared" si="0"/>
        <v>20322</v>
      </c>
      <c r="H10" s="256"/>
    </row>
    <row r="11" spans="1:8" x14ac:dyDescent="0.2">
      <c r="A11" s="32">
        <v>61334</v>
      </c>
      <c r="B11" s="385">
        <v>-310478</v>
      </c>
      <c r="C11" s="80"/>
      <c r="D11" s="80">
        <f t="shared" si="0"/>
        <v>310478</v>
      </c>
      <c r="H11" s="256"/>
    </row>
    <row r="12" spans="1:8" x14ac:dyDescent="0.2">
      <c r="A12" s="32">
        <v>62960</v>
      </c>
      <c r="B12" s="354"/>
      <c r="C12" s="80"/>
      <c r="D12" s="80">
        <f t="shared" si="0"/>
        <v>0</v>
      </c>
      <c r="H12" s="256"/>
    </row>
    <row r="13" spans="1:8" x14ac:dyDescent="0.2">
      <c r="A13" s="301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16863</v>
      </c>
    </row>
    <row r="19" spans="1:5" x14ac:dyDescent="0.2">
      <c r="A19" s="32" t="s">
        <v>88</v>
      </c>
      <c r="B19" s="69"/>
      <c r="C19" s="69"/>
      <c r="D19" s="73">
        <f>+summary!P13</f>
        <v>7.84</v>
      </c>
    </row>
    <row r="20" spans="1:5" x14ac:dyDescent="0.2">
      <c r="B20" s="69"/>
      <c r="C20" s="69"/>
      <c r="D20" s="75">
        <f>+D19*D18</f>
        <v>132205.91999999998</v>
      </c>
    </row>
    <row r="21" spans="1:5" x14ac:dyDescent="0.2">
      <c r="B21" s="69"/>
      <c r="C21" s="80"/>
      <c r="D21" s="305"/>
      <c r="E21" s="256"/>
    </row>
    <row r="22" spans="1:5" x14ac:dyDescent="0.2">
      <c r="A22" s="49">
        <v>36860</v>
      </c>
      <c r="B22" s="69"/>
      <c r="C22" s="80"/>
      <c r="D22" s="377">
        <v>52631.01</v>
      </c>
      <c r="E22" s="256"/>
    </row>
    <row r="23" spans="1:5" x14ac:dyDescent="0.2">
      <c r="B23" s="69"/>
      <c r="C23" s="80"/>
      <c r="D23" s="305"/>
      <c r="E23" s="256"/>
    </row>
    <row r="24" spans="1:5" ht="12" thickBot="1" x14ac:dyDescent="0.25">
      <c r="A24" s="49">
        <v>36879</v>
      </c>
      <c r="B24" s="69"/>
      <c r="C24" s="69"/>
      <c r="D24" s="306">
        <f>+D22+D20</f>
        <v>184836.93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C9" sqref="C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90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9236</v>
      </c>
      <c r="B5" s="90">
        <v>-47774</v>
      </c>
      <c r="C5" s="90">
        <v>-77022</v>
      </c>
      <c r="D5" s="90">
        <f t="shared" ref="D5:D13" si="0">+C5-B5</f>
        <v>-29248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92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90">
        <v>-1900764</v>
      </c>
      <c r="C7" s="90">
        <v>-1967904</v>
      </c>
      <c r="D7" s="90">
        <f t="shared" si="0"/>
        <v>-67140</v>
      </c>
      <c r="E7" s="292"/>
      <c r="F7" s="70"/>
    </row>
    <row r="8" spans="1:13" x14ac:dyDescent="0.2">
      <c r="A8" s="87">
        <v>58710</v>
      </c>
      <c r="B8" s="90">
        <v>-258435</v>
      </c>
      <c r="C8" s="353">
        <v>-128302</v>
      </c>
      <c r="D8" s="90">
        <f t="shared" si="0"/>
        <v>130133</v>
      </c>
      <c r="E8" s="292"/>
      <c r="F8" s="70"/>
    </row>
    <row r="9" spans="1:13" x14ac:dyDescent="0.2">
      <c r="A9" s="87">
        <v>60921</v>
      </c>
      <c r="B9" s="90">
        <v>-491935</v>
      </c>
      <c r="C9" s="90">
        <v>-480892</v>
      </c>
      <c r="D9" s="90">
        <f t="shared" si="0"/>
        <v>11043</v>
      </c>
      <c r="E9" s="292"/>
      <c r="F9" s="70"/>
    </row>
    <row r="10" spans="1:13" x14ac:dyDescent="0.2">
      <c r="A10" s="87">
        <v>78026</v>
      </c>
      <c r="B10" s="342">
        <v>42844</v>
      </c>
      <c r="C10" s="90"/>
      <c r="D10" s="90">
        <f t="shared" si="0"/>
        <v>-42844</v>
      </c>
      <c r="E10" s="292"/>
      <c r="F10" s="290"/>
    </row>
    <row r="11" spans="1:13" x14ac:dyDescent="0.2">
      <c r="A11" s="87">
        <v>500084</v>
      </c>
      <c r="B11" s="90">
        <v>-41233</v>
      </c>
      <c r="C11" s="90">
        <v>-57000</v>
      </c>
      <c r="D11" s="90">
        <f t="shared" si="0"/>
        <v>-15767</v>
      </c>
      <c r="E11" s="293"/>
      <c r="F11" s="290"/>
    </row>
    <row r="12" spans="1:13" x14ac:dyDescent="0.2">
      <c r="A12" s="91">
        <v>500085</v>
      </c>
      <c r="B12" s="90">
        <v>-136148</v>
      </c>
      <c r="C12" s="353">
        <v>-94069</v>
      </c>
      <c r="D12" s="90">
        <f t="shared" si="0"/>
        <v>42079</v>
      </c>
      <c r="E12" s="292"/>
      <c r="F12" s="290"/>
    </row>
    <row r="13" spans="1:13" x14ac:dyDescent="0.2">
      <c r="A13" s="87">
        <v>500097</v>
      </c>
      <c r="B13" s="90">
        <v>-12277</v>
      </c>
      <c r="C13" s="90"/>
      <c r="D13" s="90">
        <f t="shared" si="0"/>
        <v>12277</v>
      </c>
      <c r="E13" s="292"/>
      <c r="F13" s="290"/>
    </row>
    <row r="14" spans="1:13" x14ac:dyDescent="0.2">
      <c r="A14" s="87"/>
      <c r="B14" s="90"/>
      <c r="C14" s="90"/>
      <c r="D14" s="90"/>
      <c r="E14" s="292"/>
      <c r="F14" s="290"/>
    </row>
    <row r="15" spans="1:13" x14ac:dyDescent="0.2">
      <c r="A15" s="87"/>
      <c r="B15" s="90"/>
      <c r="C15" s="90"/>
      <c r="D15" s="90"/>
      <c r="E15" s="292"/>
      <c r="F15" s="290"/>
    </row>
    <row r="16" spans="1:13" x14ac:dyDescent="0.2">
      <c r="A16" s="87"/>
      <c r="B16" s="88"/>
      <c r="C16" s="88"/>
      <c r="D16" s="94"/>
      <c r="E16" s="292"/>
      <c r="F16" s="290"/>
    </row>
    <row r="17" spans="1:7" x14ac:dyDescent="0.2">
      <c r="A17" s="87"/>
      <c r="B17" s="88"/>
      <c r="C17" s="88"/>
      <c r="D17" s="88">
        <f>SUM(D5:D16)</f>
        <v>40533</v>
      </c>
      <c r="E17" s="292"/>
      <c r="F17" s="290"/>
    </row>
    <row r="18" spans="1:7" x14ac:dyDescent="0.2">
      <c r="A18" s="87" t="s">
        <v>88</v>
      </c>
      <c r="B18" s="88"/>
      <c r="C18" s="88"/>
      <c r="D18" s="95">
        <f>+summary!P13</f>
        <v>7.84</v>
      </c>
      <c r="E18" s="294"/>
      <c r="F18" s="290"/>
    </row>
    <row r="19" spans="1:7" x14ac:dyDescent="0.2">
      <c r="A19" s="87"/>
      <c r="B19" s="88"/>
      <c r="C19" s="88"/>
      <c r="D19" s="96">
        <f>+D18*D17</f>
        <v>317778.71999999997</v>
      </c>
      <c r="E19" s="209"/>
      <c r="F19" s="291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36860</v>
      </c>
      <c r="B21" s="88"/>
      <c r="C21" s="88"/>
      <c r="D21" s="384">
        <v>370218.8</v>
      </c>
      <c r="E21" s="209"/>
      <c r="F21" s="66"/>
    </row>
    <row r="22" spans="1:7" x14ac:dyDescent="0.2">
      <c r="A22" s="87"/>
      <c r="B22" s="88"/>
      <c r="C22" s="88"/>
      <c r="D22" s="351"/>
      <c r="E22" s="209"/>
      <c r="F22" s="66"/>
    </row>
    <row r="23" spans="1:7" ht="13.5" thickBot="1" x14ac:dyDescent="0.25">
      <c r="A23" s="99">
        <v>36879</v>
      </c>
      <c r="B23" s="88"/>
      <c r="C23" s="88"/>
      <c r="D23" s="98">
        <f>+D21+D19</f>
        <v>687997.52</v>
      </c>
      <c r="E23" s="209"/>
      <c r="F23" s="66"/>
    </row>
    <row r="24" spans="1:7" ht="13.5" thickTop="1" x14ac:dyDescent="0.2">
      <c r="E24" s="295"/>
    </row>
    <row r="25" spans="1:7" x14ac:dyDescent="0.2">
      <c r="E25" s="295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6"/>
      <c r="E36" s="69"/>
      <c r="F36" s="70"/>
      <c r="G36" s="32"/>
    </row>
    <row r="37" spans="1:7" x14ac:dyDescent="0.2">
      <c r="B37" s="69"/>
      <c r="C37" s="69"/>
      <c r="D37" s="326"/>
      <c r="E37" s="69"/>
      <c r="F37" s="70"/>
      <c r="G37" s="32"/>
    </row>
    <row r="38" spans="1:7" x14ac:dyDescent="0.2">
      <c r="B38" s="69"/>
      <c r="C38" s="69"/>
      <c r="D38" s="326"/>
      <c r="E38" s="69"/>
      <c r="F38" s="70"/>
      <c r="G38" s="32"/>
    </row>
    <row r="39" spans="1:7" x14ac:dyDescent="0.2">
      <c r="B39" s="69"/>
      <c r="C39" s="69"/>
      <c r="D39" s="326"/>
      <c r="E39" s="69"/>
      <c r="F39" s="70"/>
      <c r="G39" s="32"/>
    </row>
    <row r="40" spans="1:7" x14ac:dyDescent="0.2">
      <c r="B40" s="69"/>
      <c r="C40" s="69">
        <v>300</v>
      </c>
      <c r="D40" s="326">
        <v>7.75</v>
      </c>
      <c r="E40" s="69">
        <f>+D40*C40</f>
        <v>2325</v>
      </c>
      <c r="F40" s="70"/>
      <c r="G40" s="32"/>
    </row>
    <row r="41" spans="1:7" x14ac:dyDescent="0.2">
      <c r="B41" s="69"/>
      <c r="C41" s="69">
        <v>300</v>
      </c>
      <c r="D41" s="326">
        <v>6.375</v>
      </c>
      <c r="E41" s="69">
        <f>+D41*C41</f>
        <v>1912.5</v>
      </c>
      <c r="F41" s="70"/>
      <c r="G41" s="32"/>
    </row>
    <row r="42" spans="1:7" x14ac:dyDescent="0.2">
      <c r="B42" s="69"/>
      <c r="C42" s="69">
        <v>400</v>
      </c>
      <c r="D42" s="326">
        <v>5</v>
      </c>
      <c r="E42" s="69">
        <f>+D42*C42</f>
        <v>2000</v>
      </c>
      <c r="F42" s="70"/>
      <c r="G42" s="32"/>
    </row>
    <row r="43" spans="1:7" x14ac:dyDescent="0.2">
      <c r="B43" s="69"/>
      <c r="C43" s="69">
        <f>SUM(C40:C42)</f>
        <v>1000</v>
      </c>
      <c r="D43" s="326">
        <f>+E43/C43</f>
        <v>6.2374999999999998</v>
      </c>
      <c r="E43" s="69">
        <f>SUM(E40:E42)</f>
        <v>6237.5</v>
      </c>
      <c r="F43" s="70"/>
      <c r="G43" s="32"/>
    </row>
    <row r="44" spans="1:7" x14ac:dyDescent="0.2">
      <c r="B44" s="69"/>
      <c r="C44" s="69">
        <v>1000</v>
      </c>
      <c r="D44" s="327"/>
      <c r="E44" s="292">
        <f>+D44*C44</f>
        <v>0</v>
      </c>
      <c r="F44" s="290"/>
      <c r="G44" s="206"/>
    </row>
    <row r="45" spans="1:7" x14ac:dyDescent="0.2">
      <c r="B45" s="69"/>
      <c r="C45" s="69"/>
      <c r="D45" s="327"/>
      <c r="E45" s="292"/>
      <c r="F45" s="290"/>
      <c r="G45" s="206"/>
    </row>
    <row r="46" spans="1:7" x14ac:dyDescent="0.2">
      <c r="A46" s="32"/>
      <c r="B46" s="69"/>
      <c r="C46" s="69"/>
      <c r="D46" s="292"/>
      <c r="E46" s="292"/>
      <c r="F46" s="290"/>
      <c r="G46" s="206"/>
    </row>
    <row r="47" spans="1:7" x14ac:dyDescent="0.2">
      <c r="A47" s="32"/>
      <c r="B47" s="69"/>
      <c r="C47" s="69"/>
      <c r="D47" s="294"/>
      <c r="E47" s="294"/>
      <c r="F47" s="290"/>
      <c r="G47" s="206"/>
    </row>
    <row r="48" spans="1:7" x14ac:dyDescent="0.2">
      <c r="B48" s="69"/>
      <c r="C48" s="69"/>
      <c r="D48" s="292"/>
      <c r="E48" s="292"/>
      <c r="F48" s="291"/>
      <c r="G48" s="206"/>
    </row>
    <row r="49" spans="1:7" x14ac:dyDescent="0.2">
      <c r="B49" s="69"/>
      <c r="C49" s="69"/>
      <c r="D49" s="292"/>
      <c r="E49" s="292"/>
      <c r="F49" s="291"/>
      <c r="G49" s="206"/>
    </row>
    <row r="50" spans="1:7" x14ac:dyDescent="0.2">
      <c r="D50" s="323"/>
      <c r="E50" s="323"/>
      <c r="F50" s="324"/>
      <c r="G50" s="325"/>
    </row>
    <row r="51" spans="1:7" x14ac:dyDescent="0.2">
      <c r="A51" s="32"/>
      <c r="D51" s="67"/>
      <c r="E51" s="67"/>
      <c r="F51" s="66"/>
    </row>
    <row r="52" spans="1:7" x14ac:dyDescent="0.2">
      <c r="A52" s="32"/>
      <c r="E52" s="63"/>
      <c r="F52" s="66"/>
    </row>
    <row r="53" spans="1:7" x14ac:dyDescent="0.2">
      <c r="A53" s="32"/>
      <c r="E53" s="63"/>
      <c r="F53" s="66"/>
    </row>
    <row r="54" spans="1:7" ht="13.5" thickBot="1" x14ac:dyDescent="0.25">
      <c r="A54" s="32"/>
      <c r="D54" s="68"/>
      <c r="E54" s="68"/>
      <c r="F54" s="66"/>
    </row>
    <row r="55" spans="1:7" ht="13.5" thickTop="1" x14ac:dyDescent="0.2">
      <c r="A55" s="32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6" workbookViewId="1">
      <selection activeCell="A39" sqref="A39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171241</v>
      </c>
      <c r="I10" s="11">
        <v>170091</v>
      </c>
      <c r="J10" s="11">
        <f t="shared" si="0"/>
        <v>-3892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79661</v>
      </c>
      <c r="C13" s="11">
        <v>78888</v>
      </c>
      <c r="D13" s="11">
        <v>370941</v>
      </c>
      <c r="E13" s="11">
        <v>370727</v>
      </c>
      <c r="F13" s="11">
        <v>46256</v>
      </c>
      <c r="G13" s="11">
        <v>49634</v>
      </c>
      <c r="H13" s="11">
        <v>140105</v>
      </c>
      <c r="I13" s="11">
        <v>141029</v>
      </c>
      <c r="J13" s="11">
        <f t="shared" si="0"/>
        <v>3315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74009</v>
      </c>
      <c r="C14" s="11">
        <v>63470</v>
      </c>
      <c r="D14" s="11">
        <v>379203</v>
      </c>
      <c r="E14" s="11">
        <v>384429</v>
      </c>
      <c r="F14" s="11">
        <v>47147</v>
      </c>
      <c r="G14" s="11">
        <v>49634</v>
      </c>
      <c r="H14" s="11">
        <v>157262</v>
      </c>
      <c r="I14" s="11">
        <v>167982</v>
      </c>
      <c r="J14" s="11">
        <f t="shared" si="0"/>
        <v>7894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74887</v>
      </c>
      <c r="C15" s="11">
        <v>63118</v>
      </c>
      <c r="D15" s="11">
        <v>371023</v>
      </c>
      <c r="E15" s="11">
        <v>380378</v>
      </c>
      <c r="F15" s="11">
        <v>16894</v>
      </c>
      <c r="G15" s="11">
        <v>49634</v>
      </c>
      <c r="H15" s="11">
        <v>148358</v>
      </c>
      <c r="I15" s="11">
        <v>144322</v>
      </c>
      <c r="J15" s="11">
        <f t="shared" si="0"/>
        <v>26290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46233</v>
      </c>
      <c r="C16" s="11">
        <v>57685</v>
      </c>
      <c r="D16" s="11">
        <v>369488</v>
      </c>
      <c r="E16" s="11">
        <v>352026</v>
      </c>
      <c r="F16" s="11">
        <v>48965</v>
      </c>
      <c r="G16" s="11">
        <v>46503</v>
      </c>
      <c r="H16" s="11">
        <v>149509</v>
      </c>
      <c r="I16" s="11">
        <v>152847</v>
      </c>
      <c r="J16" s="11">
        <f t="shared" si="0"/>
        <v>-5134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35761</v>
      </c>
      <c r="C17" s="11">
        <v>48937</v>
      </c>
      <c r="D17" s="11">
        <v>363620</v>
      </c>
      <c r="E17" s="11">
        <v>357197</v>
      </c>
      <c r="F17" s="11">
        <v>57692</v>
      </c>
      <c r="G17" s="11">
        <v>49017</v>
      </c>
      <c r="H17" s="11">
        <v>140228</v>
      </c>
      <c r="I17" s="11">
        <v>141399</v>
      </c>
      <c r="J17" s="11">
        <f t="shared" si="0"/>
        <v>-751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50850</v>
      </c>
      <c r="C18" s="11">
        <v>50899</v>
      </c>
      <c r="D18" s="11">
        <v>393572</v>
      </c>
      <c r="E18" s="11">
        <v>393441</v>
      </c>
      <c r="F18" s="11">
        <v>51801</v>
      </c>
      <c r="G18" s="11">
        <v>49378</v>
      </c>
      <c r="H18" s="11">
        <v>153273</v>
      </c>
      <c r="I18" s="11">
        <v>153529</v>
      </c>
      <c r="J18" s="11">
        <f t="shared" si="0"/>
        <v>-2249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64953</v>
      </c>
      <c r="C19" s="11">
        <v>63754</v>
      </c>
      <c r="D19" s="11">
        <v>360765</v>
      </c>
      <c r="E19" s="11">
        <v>355443</v>
      </c>
      <c r="F19" s="11">
        <v>70118</v>
      </c>
      <c r="G19" s="11">
        <v>72130</v>
      </c>
      <c r="H19" s="11">
        <v>119699</v>
      </c>
      <c r="I19" s="11">
        <v>120351</v>
      </c>
      <c r="J19" s="11">
        <f t="shared" si="0"/>
        <v>-3857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65022</v>
      </c>
      <c r="C20" s="11">
        <v>58374</v>
      </c>
      <c r="D20" s="11">
        <v>353354</v>
      </c>
      <c r="E20" s="11">
        <v>355446</v>
      </c>
      <c r="F20" s="11">
        <v>72391</v>
      </c>
      <c r="G20" s="11">
        <v>72130</v>
      </c>
      <c r="H20" s="11">
        <v>112811</v>
      </c>
      <c r="I20" s="11">
        <v>123153</v>
      </c>
      <c r="J20" s="11">
        <f t="shared" si="0"/>
        <v>5525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59652</v>
      </c>
      <c r="C21" s="11">
        <v>63384</v>
      </c>
      <c r="D21" s="11">
        <v>378732</v>
      </c>
      <c r="E21" s="11">
        <v>366403</v>
      </c>
      <c r="F21" s="11">
        <v>62349</v>
      </c>
      <c r="G21" s="11">
        <v>66537</v>
      </c>
      <c r="H21" s="11">
        <v>150054</v>
      </c>
      <c r="I21" s="11">
        <v>150008</v>
      </c>
      <c r="J21" s="11">
        <f t="shared" si="0"/>
        <v>-4455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42249</v>
      </c>
      <c r="C22" s="11">
        <v>57651</v>
      </c>
      <c r="D22" s="11">
        <v>356474</v>
      </c>
      <c r="E22" s="11">
        <v>355569</v>
      </c>
      <c r="F22" s="11">
        <v>67835</v>
      </c>
      <c r="G22" s="11">
        <v>66616</v>
      </c>
      <c r="H22" s="11">
        <v>162327</v>
      </c>
      <c r="I22" s="11">
        <v>157991</v>
      </c>
      <c r="J22" s="11">
        <f t="shared" si="0"/>
        <v>8942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1221269</v>
      </c>
      <c r="C35" s="11">
        <f t="shared" ref="C35:I35" si="1">SUM(C4:C34)</f>
        <v>1224560</v>
      </c>
      <c r="D35" s="11">
        <f t="shared" si="1"/>
        <v>7083740</v>
      </c>
      <c r="E35" s="11">
        <f t="shared" si="1"/>
        <v>7052998</v>
      </c>
      <c r="F35" s="11">
        <f t="shared" si="1"/>
        <v>918230</v>
      </c>
      <c r="G35" s="11">
        <f t="shared" si="1"/>
        <v>998099</v>
      </c>
      <c r="H35" s="11">
        <f t="shared" si="1"/>
        <v>2855234</v>
      </c>
      <c r="I35" s="11">
        <f t="shared" si="1"/>
        <v>2812886</v>
      </c>
      <c r="J35" s="11">
        <f>SUM(J4:J34)</f>
        <v>10070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36879</v>
      </c>
      <c r="J40" s="36">
        <f>+J38+J35</f>
        <v>-24291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C47" sqref="C4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">
      <c r="A12">
        <v>10</v>
      </c>
      <c r="B12" s="90">
        <v>16858</v>
      </c>
      <c r="C12" s="90">
        <v>15000</v>
      </c>
      <c r="D12" s="90"/>
      <c r="E12" s="90"/>
      <c r="F12" s="90">
        <f t="shared" si="0"/>
        <v>-1858</v>
      </c>
    </row>
    <row r="13" spans="1:6" x14ac:dyDescent="0.2">
      <c r="A13">
        <v>11</v>
      </c>
      <c r="B13" s="90">
        <v>15119</v>
      </c>
      <c r="C13" s="90">
        <v>15000</v>
      </c>
      <c r="D13" s="90"/>
      <c r="E13" s="90"/>
      <c r="F13" s="90">
        <f t="shared" si="0"/>
        <v>-119</v>
      </c>
    </row>
    <row r="14" spans="1:6" x14ac:dyDescent="0.2">
      <c r="A14">
        <v>12</v>
      </c>
      <c r="B14" s="88">
        <v>19811</v>
      </c>
      <c r="C14" s="88">
        <v>20000</v>
      </c>
      <c r="D14" s="88"/>
      <c r="E14" s="88"/>
      <c r="F14" s="90">
        <f t="shared" si="0"/>
        <v>189</v>
      </c>
    </row>
    <row r="15" spans="1:6" x14ac:dyDescent="0.2">
      <c r="A15">
        <v>13</v>
      </c>
      <c r="B15" s="88">
        <v>37674</v>
      </c>
      <c r="C15" s="88">
        <v>37896</v>
      </c>
      <c r="D15" s="88"/>
      <c r="E15" s="88"/>
      <c r="F15" s="90">
        <f t="shared" si="0"/>
        <v>222</v>
      </c>
    </row>
    <row r="16" spans="1:6" x14ac:dyDescent="0.2">
      <c r="A16">
        <v>14</v>
      </c>
      <c r="B16" s="88">
        <v>19735</v>
      </c>
      <c r="C16" s="88">
        <v>20000</v>
      </c>
      <c r="D16" s="88"/>
      <c r="E16" s="88"/>
      <c r="F16" s="90">
        <f t="shared" si="0"/>
        <v>265</v>
      </c>
    </row>
    <row r="17" spans="1:6" x14ac:dyDescent="0.2">
      <c r="A17">
        <v>15</v>
      </c>
      <c r="B17" s="88">
        <v>19935</v>
      </c>
      <c r="C17" s="88">
        <v>20000</v>
      </c>
      <c r="D17" s="14"/>
      <c r="E17" s="14"/>
      <c r="F17" s="90">
        <f t="shared" si="0"/>
        <v>65</v>
      </c>
    </row>
    <row r="18" spans="1:6" x14ac:dyDescent="0.2">
      <c r="A18">
        <v>16</v>
      </c>
      <c r="B18" s="88">
        <v>19941</v>
      </c>
      <c r="C18" s="88">
        <v>20000</v>
      </c>
      <c r="D18" s="14"/>
      <c r="E18" s="14"/>
      <c r="F18" s="90">
        <f t="shared" si="0"/>
        <v>59</v>
      </c>
    </row>
    <row r="19" spans="1:6" x14ac:dyDescent="0.2">
      <c r="A19">
        <v>17</v>
      </c>
      <c r="B19" s="88">
        <v>19931</v>
      </c>
      <c r="C19" s="14">
        <v>20000</v>
      </c>
      <c r="D19" s="14"/>
      <c r="E19" s="14"/>
      <c r="F19" s="90">
        <f t="shared" si="0"/>
        <v>69</v>
      </c>
    </row>
    <row r="20" spans="1:6" x14ac:dyDescent="0.2">
      <c r="A20">
        <v>18</v>
      </c>
      <c r="B20" s="14">
        <v>19947</v>
      </c>
      <c r="C20" s="14">
        <v>20000</v>
      </c>
      <c r="D20" s="14"/>
      <c r="E20" s="14"/>
      <c r="F20" s="90">
        <f t="shared" si="0"/>
        <v>53</v>
      </c>
    </row>
    <row r="21" spans="1:6" x14ac:dyDescent="0.2">
      <c r="A21">
        <v>19</v>
      </c>
      <c r="B21" s="14">
        <v>19966</v>
      </c>
      <c r="C21" s="14">
        <v>20000</v>
      </c>
      <c r="D21" s="14"/>
      <c r="E21" s="14"/>
      <c r="F21" s="90">
        <f t="shared" si="0"/>
        <v>34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4">
        <f>SUM(B3:B33)</f>
        <v>361677</v>
      </c>
      <c r="C34" s="304">
        <f>SUM(C3:C33)</f>
        <v>377348</v>
      </c>
      <c r="D34" s="14">
        <f>SUM(D3:D33)</f>
        <v>0</v>
      </c>
      <c r="E34" s="14">
        <f>SUM(E3:E33)</f>
        <v>0</v>
      </c>
      <c r="F34" s="14">
        <f>SUM(F3:F33)</f>
        <v>15671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">
      <c r="A38" s="267">
        <v>36879</v>
      </c>
      <c r="B38" s="14"/>
      <c r="C38" s="14"/>
      <c r="D38" s="14"/>
      <c r="E38" s="14"/>
      <c r="F38" s="24">
        <f>+F37+F34</f>
        <v>153060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B43" sqref="B43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">
      <c r="A13" s="10">
        <v>10</v>
      </c>
      <c r="B13" s="11">
        <f>24013+854</f>
        <v>24867</v>
      </c>
      <c r="C13" s="11">
        <v>25525</v>
      </c>
      <c r="D13" s="25">
        <f t="shared" si="0"/>
        <v>658</v>
      </c>
    </row>
    <row r="14" spans="1:4" x14ac:dyDescent="0.2">
      <c r="A14" s="10">
        <v>11</v>
      </c>
      <c r="B14" s="11">
        <f>22940+1007</f>
        <v>23947</v>
      </c>
      <c r="C14" s="11">
        <v>24667</v>
      </c>
      <c r="D14" s="25">
        <f t="shared" si="0"/>
        <v>720</v>
      </c>
    </row>
    <row r="15" spans="1:4" x14ac:dyDescent="0.2">
      <c r="A15" s="10">
        <v>12</v>
      </c>
      <c r="B15" s="11">
        <f>35089+2355</f>
        <v>37444</v>
      </c>
      <c r="C15" s="11">
        <v>38096</v>
      </c>
      <c r="D15" s="25">
        <f t="shared" si="0"/>
        <v>652</v>
      </c>
    </row>
    <row r="16" spans="1:4" x14ac:dyDescent="0.2">
      <c r="A16" s="10">
        <v>13</v>
      </c>
      <c r="B16" s="11">
        <f>18725+103</f>
        <v>18828</v>
      </c>
      <c r="C16" s="11">
        <v>18761</v>
      </c>
      <c r="D16" s="25">
        <f t="shared" si="0"/>
        <v>-67</v>
      </c>
    </row>
    <row r="17" spans="1:4" x14ac:dyDescent="0.2">
      <c r="A17" s="10">
        <v>14</v>
      </c>
      <c r="B17" s="11">
        <v>22897</v>
      </c>
      <c r="C17" s="11">
        <v>23514</v>
      </c>
      <c r="D17" s="25">
        <f t="shared" si="0"/>
        <v>617</v>
      </c>
    </row>
    <row r="18" spans="1:4" x14ac:dyDescent="0.2">
      <c r="A18" s="10">
        <v>15</v>
      </c>
      <c r="B18" s="11">
        <v>24866</v>
      </c>
      <c r="C18" s="11">
        <v>24876</v>
      </c>
      <c r="D18" s="25">
        <f t="shared" si="0"/>
        <v>10</v>
      </c>
    </row>
    <row r="19" spans="1:4" x14ac:dyDescent="0.2">
      <c r="A19" s="10">
        <v>16</v>
      </c>
      <c r="B19" s="11">
        <v>33771</v>
      </c>
      <c r="C19" s="11">
        <v>32400</v>
      </c>
      <c r="D19" s="25">
        <f t="shared" si="0"/>
        <v>-1371</v>
      </c>
    </row>
    <row r="20" spans="1:4" x14ac:dyDescent="0.2">
      <c r="A20" s="10">
        <v>17</v>
      </c>
      <c r="B20" s="11">
        <v>34751</v>
      </c>
      <c r="C20" s="11">
        <v>34803</v>
      </c>
      <c r="D20" s="25">
        <f t="shared" si="0"/>
        <v>52</v>
      </c>
    </row>
    <row r="21" spans="1:4" x14ac:dyDescent="0.2">
      <c r="A21" s="10">
        <v>18</v>
      </c>
      <c r="B21" s="11">
        <v>34751</v>
      </c>
      <c r="C21" s="11">
        <v>31227</v>
      </c>
      <c r="D21" s="25">
        <f t="shared" si="0"/>
        <v>-3524</v>
      </c>
    </row>
    <row r="22" spans="1:4" x14ac:dyDescent="0.2">
      <c r="A22" s="10">
        <v>19</v>
      </c>
      <c r="B22" s="11">
        <v>24612</v>
      </c>
      <c r="C22" s="11">
        <v>23031</v>
      </c>
      <c r="D22" s="25">
        <f t="shared" si="0"/>
        <v>-1581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733152</v>
      </c>
      <c r="C35" s="11">
        <f>SUM(C4:C34)</f>
        <v>736480</v>
      </c>
      <c r="D35" s="11">
        <f>SUM(D4:D34)</f>
        <v>3328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36860</v>
      </c>
      <c r="D38" s="246">
        <v>84016</v>
      </c>
    </row>
    <row r="39" spans="1:4" x14ac:dyDescent="0.2">
      <c r="A39" s="2"/>
      <c r="D39" s="24"/>
    </row>
    <row r="40" spans="1:4" x14ac:dyDescent="0.2">
      <c r="A40" s="57">
        <v>36879</v>
      </c>
      <c r="D40" s="36">
        <f>+D38+D35</f>
        <v>87344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31492</v>
      </c>
      <c r="C13" s="11">
        <v>30632</v>
      </c>
      <c r="D13" s="11">
        <v>11398</v>
      </c>
      <c r="E13" s="11">
        <v>8750</v>
      </c>
      <c r="F13" s="11">
        <v>671</v>
      </c>
      <c r="G13" s="11"/>
      <c r="H13" s="11"/>
      <c r="I13" s="11"/>
      <c r="J13" s="11">
        <f t="shared" si="0"/>
        <v>-4179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31398</v>
      </c>
      <c r="C14" s="11">
        <v>30267</v>
      </c>
      <c r="D14" s="11">
        <v>11008</v>
      </c>
      <c r="E14" s="11">
        <v>8750</v>
      </c>
      <c r="F14" s="11"/>
      <c r="G14" s="11"/>
      <c r="H14" s="11"/>
      <c r="I14" s="11"/>
      <c r="J14" s="11">
        <f t="shared" si="0"/>
        <v>-3389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31349</v>
      </c>
      <c r="C15" s="11">
        <v>32989</v>
      </c>
      <c r="D15" s="11">
        <v>10713</v>
      </c>
      <c r="E15" s="11">
        <v>11802</v>
      </c>
      <c r="F15" s="11">
        <v>1</v>
      </c>
      <c r="G15" s="11"/>
      <c r="H15" s="11"/>
      <c r="I15" s="11"/>
      <c r="J15" s="11">
        <f t="shared" si="0"/>
        <v>2728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31276</v>
      </c>
      <c r="C16" s="11">
        <v>33000</v>
      </c>
      <c r="D16" s="11">
        <v>9316</v>
      </c>
      <c r="E16" s="11">
        <v>11783</v>
      </c>
      <c r="F16" s="11">
        <v>69</v>
      </c>
      <c r="G16" s="11"/>
      <c r="H16" s="11"/>
      <c r="I16" s="11"/>
      <c r="J16" s="11">
        <f t="shared" si="0"/>
        <v>4122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31176</v>
      </c>
      <c r="C17" s="11">
        <v>33688</v>
      </c>
      <c r="D17" s="11">
        <v>10651</v>
      </c>
      <c r="E17" s="11">
        <v>12500</v>
      </c>
      <c r="F17" s="11"/>
      <c r="G17" s="11"/>
      <c r="H17" s="11"/>
      <c r="I17" s="11"/>
      <c r="J17" s="11">
        <f t="shared" si="0"/>
        <v>4361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31266</v>
      </c>
      <c r="C18" s="11">
        <v>33750</v>
      </c>
      <c r="D18" s="11">
        <v>9937</v>
      </c>
      <c r="E18" s="11">
        <v>12500</v>
      </c>
      <c r="F18" s="11"/>
      <c r="G18" s="11"/>
      <c r="H18" s="11"/>
      <c r="I18" s="11"/>
      <c r="J18" s="11">
        <f t="shared" si="0"/>
        <v>5047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31180</v>
      </c>
      <c r="C19" s="11">
        <v>33750</v>
      </c>
      <c r="D19" s="11">
        <v>8772</v>
      </c>
      <c r="E19" s="11">
        <v>11000</v>
      </c>
      <c r="F19" s="11"/>
      <c r="G19" s="11"/>
      <c r="H19" s="11"/>
      <c r="I19" s="11"/>
      <c r="J19" s="11">
        <f t="shared" si="0"/>
        <v>4798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31204</v>
      </c>
      <c r="C20" s="11">
        <v>33750</v>
      </c>
      <c r="D20" s="11">
        <v>10588</v>
      </c>
      <c r="E20" s="11">
        <v>11000</v>
      </c>
      <c r="F20" s="11"/>
      <c r="G20" s="11"/>
      <c r="H20" s="11"/>
      <c r="I20" s="11"/>
      <c r="J20" s="11">
        <f t="shared" si="0"/>
        <v>2958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31116</v>
      </c>
      <c r="C21" s="11">
        <v>33750</v>
      </c>
      <c r="D21" s="11">
        <v>10759</v>
      </c>
      <c r="E21" s="11">
        <v>11000</v>
      </c>
      <c r="F21" s="11"/>
      <c r="G21" s="11"/>
      <c r="H21" s="11"/>
      <c r="I21" s="11"/>
      <c r="J21" s="11">
        <f t="shared" si="0"/>
        <v>2875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31031</v>
      </c>
      <c r="C22" s="11">
        <v>27160</v>
      </c>
      <c r="D22" s="11">
        <v>10512</v>
      </c>
      <c r="E22" s="11">
        <v>8500</v>
      </c>
      <c r="F22" s="11"/>
      <c r="G22" s="11"/>
      <c r="H22" s="11"/>
      <c r="I22" s="11"/>
      <c r="J22" s="11">
        <f t="shared" si="0"/>
        <v>-5883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556206</v>
      </c>
      <c r="C35" s="11">
        <f t="shared" ref="C35:I35" si="1">SUM(C4:C34)</f>
        <v>560683</v>
      </c>
      <c r="D35" s="11">
        <f t="shared" si="1"/>
        <v>196677</v>
      </c>
      <c r="E35" s="11">
        <f t="shared" si="1"/>
        <v>197835</v>
      </c>
      <c r="F35" s="11">
        <f t="shared" si="1"/>
        <v>741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4894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+summary!P13</f>
        <v>7.84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38368.959999999999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36860</v>
      </c>
      <c r="C39" s="25"/>
      <c r="E39" s="25"/>
      <c r="G39" s="25"/>
      <c r="I39" s="25"/>
      <c r="J39" s="381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137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36879</v>
      </c>
      <c r="J41" s="366">
        <f>+J39+J37</f>
        <v>-494060.63999999996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18" workbookViewId="1">
      <selection activeCell="C25" sqref="C25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46328</v>
      </c>
      <c r="D8" s="24">
        <f t="shared" si="0"/>
        <v>16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60404</v>
      </c>
      <c r="D9" s="24">
        <f t="shared" si="0"/>
        <v>-1354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35500</v>
      </c>
      <c r="C14" s="24">
        <v>35835</v>
      </c>
      <c r="D14" s="24">
        <f t="shared" si="0"/>
        <v>335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35500</v>
      </c>
      <c r="C15" s="24">
        <v>35962</v>
      </c>
      <c r="D15" s="24">
        <f t="shared" si="0"/>
        <v>462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20500</v>
      </c>
      <c r="C16" s="24">
        <v>23884</v>
      </c>
      <c r="D16" s="24">
        <f t="shared" si="0"/>
        <v>3384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49007</v>
      </c>
      <c r="C17" s="24">
        <v>48263</v>
      </c>
      <c r="D17" s="24">
        <f t="shared" si="0"/>
        <v>-744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41552</v>
      </c>
      <c r="C18" s="24">
        <v>41466</v>
      </c>
      <c r="D18" s="24">
        <f t="shared" si="0"/>
        <v>-86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40500</v>
      </c>
      <c r="C19" s="24">
        <v>40429</v>
      </c>
      <c r="D19" s="24">
        <f t="shared" si="0"/>
        <v>-71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40500</v>
      </c>
      <c r="C20" s="24">
        <v>39475</v>
      </c>
      <c r="D20" s="24">
        <f t="shared" si="0"/>
        <v>-1025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50500</v>
      </c>
      <c r="C21" s="24">
        <v>50444</v>
      </c>
      <c r="D21" s="24">
        <f t="shared" si="0"/>
        <v>-56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50500</v>
      </c>
      <c r="C22" s="24">
        <v>50422</v>
      </c>
      <c r="D22" s="24">
        <f t="shared" si="0"/>
        <v>-78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19910</v>
      </c>
      <c r="C23" s="24">
        <v>24369</v>
      </c>
      <c r="D23" s="24">
        <f t="shared" si="0"/>
        <v>4459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6537</v>
      </c>
      <c r="C24" s="24">
        <v>8251</v>
      </c>
      <c r="D24" s="24">
        <f t="shared" si="0"/>
        <v>1714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814988</v>
      </c>
      <c r="C37" s="24">
        <f>SUM(C6:C36)</f>
        <v>816774</v>
      </c>
      <c r="D37" s="24">
        <f>SUM(D6:D36)</f>
        <v>1786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7.84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14002.24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79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36879</v>
      </c>
      <c r="B41" s="14"/>
      <c r="C41" s="14"/>
      <c r="D41" s="104">
        <f>+D40+D39</f>
        <v>205559.66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4" workbookViewId="1">
      <selection activeCell="C27" sqref="C27"/>
    </sheetView>
  </sheetViews>
  <sheetFormatPr defaultRowHeight="12.75" x14ac:dyDescent="0.2"/>
  <sheetData>
    <row r="5" spans="1:6" ht="15" x14ac:dyDescent="0.25">
      <c r="A5" s="134"/>
      <c r="B5" s="34" t="s">
        <v>126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6188</v>
      </c>
      <c r="C8" s="11">
        <v>6546</v>
      </c>
      <c r="D8" s="11">
        <v>3125</v>
      </c>
      <c r="E8" s="11">
        <v>2754</v>
      </c>
      <c r="F8" s="25">
        <f>+E8+C8-D8-B8</f>
        <v>-13</v>
      </c>
    </row>
    <row r="9" spans="1:6" x14ac:dyDescent="0.2">
      <c r="A9" s="10">
        <v>2</v>
      </c>
      <c r="B9" s="11">
        <v>6334</v>
      </c>
      <c r="C9" s="11">
        <v>6546</v>
      </c>
      <c r="D9" s="11">
        <v>1812</v>
      </c>
      <c r="E9" s="11">
        <v>2733</v>
      </c>
      <c r="F9" s="25">
        <f t="shared" ref="F9:F38" si="0">+E9+C9-D9-B9</f>
        <v>1133</v>
      </c>
    </row>
    <row r="10" spans="1:6" x14ac:dyDescent="0.2">
      <c r="A10" s="10">
        <v>3</v>
      </c>
      <c r="B10" s="11">
        <v>6939</v>
      </c>
      <c r="C10" s="11">
        <v>6546</v>
      </c>
      <c r="D10" s="11">
        <v>2006</v>
      </c>
      <c r="E10" s="11">
        <v>2738</v>
      </c>
      <c r="F10" s="25">
        <f t="shared" si="0"/>
        <v>339</v>
      </c>
    </row>
    <row r="11" spans="1:6" x14ac:dyDescent="0.2">
      <c r="A11" s="10">
        <v>4</v>
      </c>
      <c r="B11" s="11">
        <v>6807</v>
      </c>
      <c r="C11" s="11">
        <v>6295</v>
      </c>
      <c r="D11" s="11">
        <v>2497</v>
      </c>
      <c r="E11" s="11">
        <v>3004</v>
      </c>
      <c r="F11" s="25">
        <f t="shared" si="0"/>
        <v>-5</v>
      </c>
    </row>
    <row r="12" spans="1:6" x14ac:dyDescent="0.2">
      <c r="A12" s="10">
        <v>5</v>
      </c>
      <c r="B12" s="11">
        <v>6573</v>
      </c>
      <c r="C12" s="11">
        <v>7471</v>
      </c>
      <c r="D12" s="11">
        <v>903</v>
      </c>
      <c r="E12" s="11">
        <v>3647</v>
      </c>
      <c r="F12" s="25">
        <f t="shared" si="0"/>
        <v>3642</v>
      </c>
    </row>
    <row r="13" spans="1:6" x14ac:dyDescent="0.2">
      <c r="A13" s="10">
        <v>6</v>
      </c>
      <c r="B13" s="11">
        <v>6768</v>
      </c>
      <c r="C13" s="11">
        <v>7471</v>
      </c>
      <c r="D13" s="11">
        <v>4368</v>
      </c>
      <c r="E13" s="11">
        <v>3647</v>
      </c>
      <c r="F13" s="25">
        <f t="shared" si="0"/>
        <v>-18</v>
      </c>
    </row>
    <row r="14" spans="1:6" x14ac:dyDescent="0.2">
      <c r="A14" s="10">
        <v>7</v>
      </c>
      <c r="B14" s="11">
        <v>6935</v>
      </c>
      <c r="C14" s="11">
        <v>7471</v>
      </c>
      <c r="D14" s="11">
        <v>4015</v>
      </c>
      <c r="E14" s="11">
        <v>3647</v>
      </c>
      <c r="F14" s="25">
        <f t="shared" si="0"/>
        <v>168</v>
      </c>
    </row>
    <row r="15" spans="1:6" x14ac:dyDescent="0.2">
      <c r="A15" s="10">
        <v>8</v>
      </c>
      <c r="B15" s="11">
        <v>5156</v>
      </c>
      <c r="C15" s="11">
        <v>7471</v>
      </c>
      <c r="D15" s="11">
        <v>2736</v>
      </c>
      <c r="E15" s="11">
        <v>3647</v>
      </c>
      <c r="F15" s="25">
        <f t="shared" si="0"/>
        <v>3226</v>
      </c>
    </row>
    <row r="16" spans="1:6" x14ac:dyDescent="0.2">
      <c r="A16" s="10">
        <v>9</v>
      </c>
      <c r="B16" s="11">
        <v>6608</v>
      </c>
      <c r="C16" s="11">
        <v>7437</v>
      </c>
      <c r="D16" s="11">
        <v>4783</v>
      </c>
      <c r="E16" s="11">
        <v>3647</v>
      </c>
      <c r="F16" s="25">
        <f t="shared" si="0"/>
        <v>-307</v>
      </c>
    </row>
    <row r="17" spans="1:6" x14ac:dyDescent="0.2">
      <c r="A17" s="10">
        <v>10</v>
      </c>
      <c r="B17" s="11">
        <v>7241</v>
      </c>
      <c r="C17" s="11">
        <v>7403</v>
      </c>
      <c r="D17" s="11">
        <v>3618</v>
      </c>
      <c r="E17" s="11">
        <v>3647</v>
      </c>
      <c r="F17" s="25">
        <f t="shared" si="0"/>
        <v>191</v>
      </c>
    </row>
    <row r="18" spans="1:6" x14ac:dyDescent="0.2">
      <c r="A18" s="10">
        <v>11</v>
      </c>
      <c r="B18" s="11">
        <v>6667</v>
      </c>
      <c r="C18" s="11">
        <v>7389</v>
      </c>
      <c r="D18" s="11">
        <v>2891</v>
      </c>
      <c r="E18" s="11">
        <v>3647</v>
      </c>
      <c r="F18" s="25">
        <f t="shared" si="0"/>
        <v>1478</v>
      </c>
    </row>
    <row r="19" spans="1:6" x14ac:dyDescent="0.2">
      <c r="A19" s="10">
        <v>12</v>
      </c>
      <c r="B19" s="11">
        <v>12863</v>
      </c>
      <c r="C19" s="11">
        <v>7471</v>
      </c>
      <c r="D19" s="11">
        <v>2671</v>
      </c>
      <c r="E19" s="11">
        <v>3647</v>
      </c>
      <c r="F19" s="25">
        <f t="shared" si="0"/>
        <v>-4416</v>
      </c>
    </row>
    <row r="20" spans="1:6" x14ac:dyDescent="0.2">
      <c r="A20" s="10">
        <v>13</v>
      </c>
      <c r="B20" s="11">
        <v>8057</v>
      </c>
      <c r="C20" s="11">
        <v>7457</v>
      </c>
      <c r="D20" s="11">
        <v>2295</v>
      </c>
      <c r="E20" s="11">
        <v>3647</v>
      </c>
      <c r="F20" s="25">
        <f t="shared" si="0"/>
        <v>752</v>
      </c>
    </row>
    <row r="21" spans="1:6" x14ac:dyDescent="0.2">
      <c r="A21" s="10">
        <v>14</v>
      </c>
      <c r="B21" s="11">
        <v>5798</v>
      </c>
      <c r="C21" s="11">
        <v>7471</v>
      </c>
      <c r="D21" s="11">
        <v>2648</v>
      </c>
      <c r="E21" s="11">
        <v>3647</v>
      </c>
      <c r="F21" s="25">
        <f t="shared" si="0"/>
        <v>2672</v>
      </c>
    </row>
    <row r="22" spans="1:6" x14ac:dyDescent="0.2">
      <c r="A22" s="10">
        <v>15</v>
      </c>
      <c r="B22" s="11">
        <v>6590</v>
      </c>
      <c r="C22" s="11">
        <v>7471</v>
      </c>
      <c r="D22" s="11">
        <v>3194</v>
      </c>
      <c r="E22" s="11">
        <v>3647</v>
      </c>
      <c r="F22" s="25">
        <f t="shared" si="0"/>
        <v>1334</v>
      </c>
    </row>
    <row r="23" spans="1:6" x14ac:dyDescent="0.2">
      <c r="A23" s="10">
        <v>16</v>
      </c>
      <c r="B23" s="11">
        <v>6633</v>
      </c>
      <c r="C23" s="11">
        <v>7471</v>
      </c>
      <c r="D23" s="11">
        <v>3458</v>
      </c>
      <c r="E23" s="11">
        <v>3647</v>
      </c>
      <c r="F23" s="25">
        <f t="shared" si="0"/>
        <v>1027</v>
      </c>
    </row>
    <row r="24" spans="1:6" x14ac:dyDescent="0.2">
      <c r="A24" s="10">
        <v>17</v>
      </c>
      <c r="B24" s="11">
        <v>6718</v>
      </c>
      <c r="C24" s="11">
        <v>7471</v>
      </c>
      <c r="D24" s="11">
        <v>3506</v>
      </c>
      <c r="E24" s="11">
        <v>3647</v>
      </c>
      <c r="F24" s="25">
        <f t="shared" si="0"/>
        <v>894</v>
      </c>
    </row>
    <row r="25" spans="1:6" x14ac:dyDescent="0.2">
      <c r="A25" s="10">
        <v>18</v>
      </c>
      <c r="B25" s="11">
        <v>6666</v>
      </c>
      <c r="C25" s="11">
        <v>7471</v>
      </c>
      <c r="D25" s="11">
        <v>3730</v>
      </c>
      <c r="E25" s="11">
        <v>3647</v>
      </c>
      <c r="F25" s="25">
        <f t="shared" si="0"/>
        <v>722</v>
      </c>
    </row>
    <row r="26" spans="1:6" x14ac:dyDescent="0.2">
      <c r="A26" s="10">
        <v>19</v>
      </c>
      <c r="B26" s="11">
        <v>6379</v>
      </c>
      <c r="C26" s="11">
        <v>7471</v>
      </c>
      <c r="D26" s="11">
        <v>3674</v>
      </c>
      <c r="E26" s="11">
        <v>3647</v>
      </c>
      <c r="F26" s="25">
        <f t="shared" si="0"/>
        <v>1065</v>
      </c>
    </row>
    <row r="27" spans="1:6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131920</v>
      </c>
      <c r="C39" s="11">
        <f>SUM(C8:C38)</f>
        <v>137800</v>
      </c>
      <c r="D39" s="11">
        <f>SUM(D8:D38)</f>
        <v>57930</v>
      </c>
      <c r="E39" s="11">
        <f>SUM(E8:E38)</f>
        <v>65934</v>
      </c>
      <c r="F39" s="25">
        <f>SUM(F8:F38)</f>
        <v>13884</v>
      </c>
    </row>
    <row r="40" spans="1:6" x14ac:dyDescent="0.2">
      <c r="A40" s="26"/>
      <c r="C40" s="14"/>
      <c r="F40" s="264">
        <f>+summary!P13</f>
        <v>7.84</v>
      </c>
    </row>
    <row r="41" spans="1:6" x14ac:dyDescent="0.2">
      <c r="F41" s="138">
        <f>+F40*F39</f>
        <v>108850.56</v>
      </c>
    </row>
    <row r="42" spans="1:6" x14ac:dyDescent="0.2">
      <c r="A42" s="57">
        <v>36860</v>
      </c>
      <c r="C42" s="15"/>
      <c r="F42" s="378">
        <v>-282710.67</v>
      </c>
    </row>
    <row r="43" spans="1:6" x14ac:dyDescent="0.2">
      <c r="A43" s="57">
        <v>36879</v>
      </c>
      <c r="C43" s="48"/>
      <c r="F43" s="138">
        <f>+F42+F41</f>
        <v>-173860.11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3" workbookViewId="1">
      <selection activeCell="C27" sqref="C27"/>
    </sheetView>
  </sheetViews>
  <sheetFormatPr defaultRowHeight="12.75" x14ac:dyDescent="0.2"/>
  <sheetData>
    <row r="5" spans="1:4" ht="15" x14ac:dyDescent="0.25">
      <c r="A5" s="134"/>
      <c r="B5" s="34" t="s">
        <v>129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17996</v>
      </c>
      <c r="C8" s="11">
        <v>25998</v>
      </c>
      <c r="D8" s="25">
        <f>+C8-B8</f>
        <v>8002</v>
      </c>
    </row>
    <row r="9" spans="1:4" x14ac:dyDescent="0.2">
      <c r="A9" s="10">
        <v>2</v>
      </c>
      <c r="B9" s="11">
        <v>27242</v>
      </c>
      <c r="C9" s="11">
        <v>40000</v>
      </c>
      <c r="D9" s="25">
        <f t="shared" ref="D9:D38" si="0">+C9-B9</f>
        <v>12758</v>
      </c>
    </row>
    <row r="10" spans="1:4" x14ac:dyDescent="0.2">
      <c r="A10" s="10">
        <v>3</v>
      </c>
      <c r="B10" s="11">
        <v>30344</v>
      </c>
      <c r="C10" s="11">
        <v>39999</v>
      </c>
      <c r="D10" s="25">
        <f t="shared" si="0"/>
        <v>9655</v>
      </c>
    </row>
    <row r="11" spans="1:4" x14ac:dyDescent="0.2">
      <c r="A11" s="10">
        <v>4</v>
      </c>
      <c r="B11" s="11">
        <v>29336</v>
      </c>
      <c r="C11" s="11">
        <v>38306</v>
      </c>
      <c r="D11" s="25">
        <f t="shared" si="0"/>
        <v>8970</v>
      </c>
    </row>
    <row r="12" spans="1:4" x14ac:dyDescent="0.2">
      <c r="A12" s="10">
        <v>5</v>
      </c>
      <c r="B12" s="11">
        <v>23080</v>
      </c>
      <c r="C12" s="11">
        <f>23233+1123</f>
        <v>24356</v>
      </c>
      <c r="D12" s="25">
        <f t="shared" si="0"/>
        <v>1276</v>
      </c>
    </row>
    <row r="13" spans="1:4" x14ac:dyDescent="0.2">
      <c r="A13" s="10">
        <v>6</v>
      </c>
      <c r="B13" s="11">
        <v>31559</v>
      </c>
      <c r="C13" s="11">
        <v>38450</v>
      </c>
      <c r="D13" s="25">
        <f t="shared" si="0"/>
        <v>6891</v>
      </c>
    </row>
    <row r="14" spans="1:4" x14ac:dyDescent="0.2">
      <c r="A14" s="10">
        <v>7</v>
      </c>
      <c r="B14" s="11">
        <v>30721</v>
      </c>
      <c r="C14" s="11">
        <v>31076</v>
      </c>
      <c r="D14" s="25">
        <f t="shared" si="0"/>
        <v>355</v>
      </c>
    </row>
    <row r="15" spans="1:4" x14ac:dyDescent="0.2">
      <c r="A15" s="10">
        <v>8</v>
      </c>
      <c r="B15" s="11">
        <v>25834</v>
      </c>
      <c r="C15" s="11">
        <v>26000</v>
      </c>
      <c r="D15" s="25">
        <f t="shared" si="0"/>
        <v>166</v>
      </c>
    </row>
    <row r="16" spans="1:4" x14ac:dyDescent="0.2">
      <c r="A16" s="10">
        <v>9</v>
      </c>
      <c r="B16" s="11">
        <v>26005</v>
      </c>
      <c r="C16" s="11">
        <v>26000</v>
      </c>
      <c r="D16" s="25">
        <f t="shared" si="0"/>
        <v>-5</v>
      </c>
    </row>
    <row r="17" spans="1:4" x14ac:dyDescent="0.2">
      <c r="A17" s="10">
        <v>10</v>
      </c>
      <c r="B17" s="11">
        <v>25879</v>
      </c>
      <c r="C17" s="11">
        <v>26000</v>
      </c>
      <c r="D17" s="25">
        <f t="shared" si="0"/>
        <v>121</v>
      </c>
    </row>
    <row r="18" spans="1:4" x14ac:dyDescent="0.2">
      <c r="A18" s="10">
        <v>11</v>
      </c>
      <c r="B18" s="11">
        <v>27732</v>
      </c>
      <c r="C18" s="11">
        <v>26000</v>
      </c>
      <c r="D18" s="25">
        <f t="shared" si="0"/>
        <v>-1732</v>
      </c>
    </row>
    <row r="19" spans="1:4" x14ac:dyDescent="0.2">
      <c r="A19" s="10">
        <v>12</v>
      </c>
      <c r="B19" s="11">
        <v>33840</v>
      </c>
      <c r="C19" s="11">
        <v>26000</v>
      </c>
      <c r="D19" s="25">
        <f t="shared" si="0"/>
        <v>-7840</v>
      </c>
    </row>
    <row r="20" spans="1:4" x14ac:dyDescent="0.2">
      <c r="A20" s="10">
        <v>13</v>
      </c>
      <c r="B20" s="11">
        <v>28685</v>
      </c>
      <c r="C20" s="11">
        <v>29986</v>
      </c>
      <c r="D20" s="25">
        <f t="shared" si="0"/>
        <v>1301</v>
      </c>
    </row>
    <row r="21" spans="1:4" x14ac:dyDescent="0.2">
      <c r="A21" s="10">
        <v>14</v>
      </c>
      <c r="B21" s="11">
        <v>30565</v>
      </c>
      <c r="C21" s="11">
        <v>35963</v>
      </c>
      <c r="D21" s="25">
        <f t="shared" si="0"/>
        <v>5398</v>
      </c>
    </row>
    <row r="22" spans="1:4" x14ac:dyDescent="0.2">
      <c r="A22" s="10">
        <v>15</v>
      </c>
      <c r="B22" s="11">
        <v>24896</v>
      </c>
      <c r="C22" s="11">
        <v>25999</v>
      </c>
      <c r="D22" s="25">
        <f t="shared" si="0"/>
        <v>1103</v>
      </c>
    </row>
    <row r="23" spans="1:4" x14ac:dyDescent="0.2">
      <c r="A23" s="10">
        <v>16</v>
      </c>
      <c r="B23" s="11">
        <v>24310</v>
      </c>
      <c r="C23" s="11">
        <v>26000</v>
      </c>
      <c r="D23" s="25">
        <f t="shared" si="0"/>
        <v>1690</v>
      </c>
    </row>
    <row r="24" spans="1:4" x14ac:dyDescent="0.2">
      <c r="A24" s="10">
        <v>17</v>
      </c>
      <c r="B24" s="11">
        <v>24306</v>
      </c>
      <c r="C24" s="11">
        <v>26000</v>
      </c>
      <c r="D24" s="25">
        <f t="shared" si="0"/>
        <v>1694</v>
      </c>
    </row>
    <row r="25" spans="1:4" x14ac:dyDescent="0.2">
      <c r="A25" s="10">
        <v>18</v>
      </c>
      <c r="B25" s="11">
        <v>24583</v>
      </c>
      <c r="C25" s="11">
        <v>26000</v>
      </c>
      <c r="D25" s="25">
        <f t="shared" si="0"/>
        <v>1417</v>
      </c>
    </row>
    <row r="26" spans="1:4" x14ac:dyDescent="0.2">
      <c r="A26" s="10">
        <v>19</v>
      </c>
      <c r="B26" s="11">
        <v>24273</v>
      </c>
      <c r="C26" s="11">
        <v>31000</v>
      </c>
      <c r="D26" s="25">
        <f t="shared" si="0"/>
        <v>6727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511186</v>
      </c>
      <c r="C39" s="11">
        <f>SUM(C8:C38)</f>
        <v>569133</v>
      </c>
      <c r="D39" s="25">
        <f>SUM(D8:D38)</f>
        <v>57947</v>
      </c>
    </row>
    <row r="40" spans="1:4" x14ac:dyDescent="0.2">
      <c r="A40" s="26"/>
      <c r="C40" s="14"/>
      <c r="D40" s="264">
        <f>+summary!P13</f>
        <v>7.84</v>
      </c>
    </row>
    <row r="41" spans="1:4" x14ac:dyDescent="0.2">
      <c r="D41" s="138">
        <f>+D40*D39</f>
        <v>454304.48</v>
      </c>
    </row>
    <row r="42" spans="1:4" x14ac:dyDescent="0.2">
      <c r="A42" s="57">
        <v>36860</v>
      </c>
      <c r="C42" s="15"/>
      <c r="D42" s="378">
        <v>-557795.86</v>
      </c>
    </row>
    <row r="43" spans="1:4" x14ac:dyDescent="0.2">
      <c r="A43" s="57">
        <v>36879</v>
      </c>
      <c r="C43" s="48"/>
      <c r="D43" s="138">
        <f>+D42+D41</f>
        <v>-103491.38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  <sheetView topLeftCell="A35" workbookViewId="1">
      <selection activeCell="F55" sqref="F55"/>
    </sheetView>
  </sheetViews>
  <sheetFormatPr defaultRowHeight="12.75" x14ac:dyDescent="0.2"/>
  <cols>
    <col min="3" max="3" width="9.28515625" bestFit="1" customWidth="1"/>
    <col min="6" max="6" width="11.28515625" bestFit="1" customWidth="1"/>
  </cols>
  <sheetData>
    <row r="1" spans="1:8" x14ac:dyDescent="0.2">
      <c r="A1" s="54"/>
      <c r="B1" s="394">
        <v>23995</v>
      </c>
      <c r="C1" s="237"/>
      <c r="D1" s="393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28264</v>
      </c>
      <c r="C4" s="11">
        <v>25000</v>
      </c>
      <c r="D4" s="11">
        <v>31781</v>
      </c>
      <c r="E4" s="11">
        <v>23797</v>
      </c>
      <c r="F4" s="11">
        <f>+E4+C4-D4-B4</f>
        <v>-11248</v>
      </c>
      <c r="G4" s="11"/>
      <c r="H4" s="24"/>
    </row>
    <row r="5" spans="1:8" x14ac:dyDescent="0.2">
      <c r="A5" s="10">
        <v>2</v>
      </c>
      <c r="B5" s="11">
        <v>29161</v>
      </c>
      <c r="C5" s="11">
        <v>25000</v>
      </c>
      <c r="D5" s="11">
        <v>29371</v>
      </c>
      <c r="E5" s="11">
        <v>24000</v>
      </c>
      <c r="F5" s="11">
        <f t="shared" ref="F5:F34" si="0">+E5+C5-D5-B5</f>
        <v>-9532</v>
      </c>
      <c r="G5" s="11"/>
      <c r="H5" s="24"/>
    </row>
    <row r="6" spans="1:8" x14ac:dyDescent="0.2">
      <c r="A6" s="10">
        <v>3</v>
      </c>
      <c r="B6" s="11">
        <v>30146</v>
      </c>
      <c r="C6" s="129">
        <v>25000</v>
      </c>
      <c r="D6" s="129">
        <v>29555</v>
      </c>
      <c r="E6" s="368">
        <v>24000</v>
      </c>
      <c r="F6" s="11">
        <f t="shared" si="0"/>
        <v>-10701</v>
      </c>
      <c r="G6" s="11"/>
      <c r="H6" s="24"/>
    </row>
    <row r="7" spans="1:8" x14ac:dyDescent="0.2">
      <c r="A7" s="10">
        <v>4</v>
      </c>
      <c r="B7" s="11">
        <v>30908</v>
      </c>
      <c r="C7" s="129">
        <v>25000</v>
      </c>
      <c r="D7" s="129">
        <v>24416</v>
      </c>
      <c r="E7" s="129">
        <v>24000</v>
      </c>
      <c r="F7" s="11">
        <f t="shared" si="0"/>
        <v>-6324</v>
      </c>
      <c r="G7" s="11"/>
      <c r="H7" s="24"/>
    </row>
    <row r="8" spans="1:8" x14ac:dyDescent="0.2">
      <c r="A8" s="10">
        <v>5</v>
      </c>
      <c r="B8" s="11">
        <v>31508</v>
      </c>
      <c r="C8" s="11">
        <v>28000</v>
      </c>
      <c r="D8" s="11">
        <v>23106</v>
      </c>
      <c r="E8" s="11">
        <v>24000</v>
      </c>
      <c r="F8" s="11">
        <f t="shared" si="0"/>
        <v>-2614</v>
      </c>
      <c r="G8" s="11"/>
      <c r="H8" s="24"/>
    </row>
    <row r="9" spans="1:8" x14ac:dyDescent="0.2">
      <c r="A9" s="10">
        <v>6</v>
      </c>
      <c r="B9" s="11">
        <v>30317</v>
      </c>
      <c r="C9" s="11">
        <v>25000</v>
      </c>
      <c r="D9" s="11">
        <v>24595</v>
      </c>
      <c r="E9" s="11">
        <v>24000</v>
      </c>
      <c r="F9" s="11">
        <f t="shared" si="0"/>
        <v>-5912</v>
      </c>
      <c r="G9" s="11"/>
      <c r="H9" s="24"/>
    </row>
    <row r="10" spans="1:8" x14ac:dyDescent="0.2">
      <c r="A10" s="10">
        <v>7</v>
      </c>
      <c r="B10" s="11">
        <v>29575</v>
      </c>
      <c r="C10" s="11">
        <v>30000</v>
      </c>
      <c r="D10" s="11">
        <v>25649</v>
      </c>
      <c r="E10" s="11">
        <v>24000</v>
      </c>
      <c r="F10" s="11">
        <f t="shared" si="0"/>
        <v>-1224</v>
      </c>
      <c r="G10" s="11"/>
      <c r="H10" s="24"/>
    </row>
    <row r="11" spans="1:8" x14ac:dyDescent="0.2">
      <c r="A11" s="10">
        <v>8</v>
      </c>
      <c r="B11" s="11">
        <v>29617</v>
      </c>
      <c r="C11" s="11">
        <v>30000</v>
      </c>
      <c r="D11" s="11">
        <v>25060</v>
      </c>
      <c r="E11" s="11">
        <v>25501</v>
      </c>
      <c r="F11" s="11">
        <f t="shared" si="0"/>
        <v>824</v>
      </c>
      <c r="G11" s="11"/>
      <c r="H11" s="24"/>
    </row>
    <row r="12" spans="1:8" x14ac:dyDescent="0.2">
      <c r="A12" s="10">
        <v>9</v>
      </c>
      <c r="B12" s="11">
        <v>30362</v>
      </c>
      <c r="C12" s="11">
        <v>30000</v>
      </c>
      <c r="D12" s="11">
        <v>26626</v>
      </c>
      <c r="E12" s="11">
        <v>27000</v>
      </c>
      <c r="F12" s="11">
        <f t="shared" si="0"/>
        <v>12</v>
      </c>
      <c r="G12" s="11"/>
      <c r="H12" s="24"/>
    </row>
    <row r="13" spans="1:8" x14ac:dyDescent="0.2">
      <c r="A13" s="10">
        <v>10</v>
      </c>
      <c r="B13" s="11">
        <v>35274</v>
      </c>
      <c r="C13" s="11">
        <v>30000</v>
      </c>
      <c r="D13" s="11">
        <v>25597</v>
      </c>
      <c r="E13" s="11">
        <v>27000</v>
      </c>
      <c r="F13" s="11">
        <f t="shared" si="0"/>
        <v>-3871</v>
      </c>
      <c r="G13" s="11"/>
      <c r="H13" s="24"/>
    </row>
    <row r="14" spans="1:8" x14ac:dyDescent="0.2">
      <c r="A14" s="10">
        <v>11</v>
      </c>
      <c r="B14" s="11">
        <v>35915</v>
      </c>
      <c r="C14" s="11">
        <v>30000</v>
      </c>
      <c r="D14" s="11">
        <v>24828</v>
      </c>
      <c r="E14" s="11">
        <v>27000</v>
      </c>
      <c r="F14" s="11">
        <f t="shared" si="0"/>
        <v>-3743</v>
      </c>
      <c r="G14" s="11"/>
      <c r="H14" s="24"/>
    </row>
    <row r="15" spans="1:8" x14ac:dyDescent="0.2">
      <c r="A15" s="10">
        <v>12</v>
      </c>
      <c r="B15" s="11">
        <v>29963</v>
      </c>
      <c r="C15" s="11">
        <v>30000</v>
      </c>
      <c r="D15" s="11">
        <v>25769</v>
      </c>
      <c r="E15" s="11">
        <v>27000</v>
      </c>
      <c r="F15" s="11">
        <f t="shared" si="0"/>
        <v>1268</v>
      </c>
      <c r="G15" s="11"/>
      <c r="H15" s="24"/>
    </row>
    <row r="16" spans="1:8" x14ac:dyDescent="0.2">
      <c r="A16" s="10">
        <v>13</v>
      </c>
      <c r="B16" s="11">
        <v>1184</v>
      </c>
      <c r="C16" s="11">
        <v>5000</v>
      </c>
      <c r="D16" s="11">
        <v>25774</v>
      </c>
      <c r="E16" s="11">
        <v>27000</v>
      </c>
      <c r="F16" s="11">
        <f t="shared" si="0"/>
        <v>5042</v>
      </c>
      <c r="G16" s="11"/>
      <c r="H16" s="24"/>
    </row>
    <row r="17" spans="1:8" x14ac:dyDescent="0.2">
      <c r="A17" s="10">
        <v>14</v>
      </c>
      <c r="B17" s="11"/>
      <c r="C17" s="11"/>
      <c r="D17" s="11">
        <v>25865</v>
      </c>
      <c r="E17" s="11">
        <v>26000</v>
      </c>
      <c r="F17" s="11">
        <f t="shared" si="0"/>
        <v>135</v>
      </c>
      <c r="G17" s="11"/>
      <c r="H17" s="24"/>
    </row>
    <row r="18" spans="1:8" x14ac:dyDescent="0.2">
      <c r="A18" s="10">
        <v>15</v>
      </c>
      <c r="B18" s="11"/>
      <c r="C18" s="11"/>
      <c r="D18" s="11">
        <v>25976</v>
      </c>
      <c r="E18" s="11">
        <v>26000</v>
      </c>
      <c r="F18" s="11">
        <f t="shared" si="0"/>
        <v>24</v>
      </c>
      <c r="G18" s="11"/>
      <c r="H18" s="24"/>
    </row>
    <row r="19" spans="1:8" x14ac:dyDescent="0.2">
      <c r="A19" s="10">
        <v>16</v>
      </c>
      <c r="B19" s="11">
        <v>29610</v>
      </c>
      <c r="C19" s="11">
        <v>30000</v>
      </c>
      <c r="D19" s="11">
        <v>25974</v>
      </c>
      <c r="E19" s="11">
        <v>24000</v>
      </c>
      <c r="F19" s="11">
        <f t="shared" si="0"/>
        <v>-1584</v>
      </c>
      <c r="G19" s="11"/>
      <c r="H19" s="24"/>
    </row>
    <row r="20" spans="1:8" x14ac:dyDescent="0.2">
      <c r="A20" s="10">
        <v>17</v>
      </c>
      <c r="B20" s="11">
        <v>28821</v>
      </c>
      <c r="C20" s="11">
        <v>30000</v>
      </c>
      <c r="D20" s="11">
        <v>19551</v>
      </c>
      <c r="E20" s="11">
        <v>24000</v>
      </c>
      <c r="F20" s="11">
        <f t="shared" si="0"/>
        <v>5628</v>
      </c>
      <c r="G20" s="11"/>
      <c r="H20" s="24"/>
    </row>
    <row r="21" spans="1:8" x14ac:dyDescent="0.2">
      <c r="A21" s="10">
        <v>18</v>
      </c>
      <c r="B21" s="129">
        <v>30239</v>
      </c>
      <c r="C21" s="11">
        <v>30000</v>
      </c>
      <c r="D21" s="11">
        <v>23507</v>
      </c>
      <c r="E21" s="11">
        <v>24000</v>
      </c>
      <c r="F21" s="11">
        <f t="shared" si="0"/>
        <v>254</v>
      </c>
      <c r="G21" s="11"/>
      <c r="H21" s="24"/>
    </row>
    <row r="22" spans="1:8" x14ac:dyDescent="0.2">
      <c r="A22" s="10">
        <v>19</v>
      </c>
      <c r="B22" s="11">
        <v>25557</v>
      </c>
      <c r="C22" s="11">
        <v>25000</v>
      </c>
      <c r="D22" s="11">
        <v>25532</v>
      </c>
      <c r="E22" s="11">
        <v>24000</v>
      </c>
      <c r="F22" s="11">
        <f t="shared" si="0"/>
        <v>-2089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486421</v>
      </c>
      <c r="C35" s="11">
        <f>SUM(C4:C34)</f>
        <v>453000</v>
      </c>
      <c r="D35" s="11">
        <f>SUM(D4:D34)</f>
        <v>488532</v>
      </c>
      <c r="E35" s="11">
        <f>SUM(E4:E34)</f>
        <v>476298</v>
      </c>
      <c r="F35" s="11">
        <f>SUM(F4:F34)</f>
        <v>-45655</v>
      </c>
      <c r="G35" s="11"/>
      <c r="H35" s="11"/>
    </row>
    <row r="36" spans="1:8" x14ac:dyDescent="0.2">
      <c r="C36" s="25">
        <f>+C35-B35</f>
        <v>-33421</v>
      </c>
      <c r="E36" s="25">
        <f>+E35-D35</f>
        <v>-12234</v>
      </c>
      <c r="F36" s="25">
        <f>+E36+C36</f>
        <v>-45655</v>
      </c>
    </row>
    <row r="37" spans="1:8" x14ac:dyDescent="0.2">
      <c r="C37" s="395">
        <f>+'[2]1200'!$E$39</f>
        <v>7.97</v>
      </c>
      <c r="E37" s="395">
        <f>+'[2]1200'!$E$39</f>
        <v>7.97</v>
      </c>
      <c r="F37" s="395">
        <f>+E37</f>
        <v>7.97</v>
      </c>
    </row>
    <row r="38" spans="1:8" x14ac:dyDescent="0.2">
      <c r="C38" s="138">
        <f>+C37*C36</f>
        <v>-266365.37</v>
      </c>
      <c r="E38" s="138">
        <f>+E37*E36</f>
        <v>-97504.98</v>
      </c>
      <c r="F38" s="138">
        <f>+F37*F36</f>
        <v>-363870.35</v>
      </c>
    </row>
    <row r="39" spans="1:8" x14ac:dyDescent="0.2">
      <c r="A39" s="57">
        <v>36860</v>
      </c>
      <c r="B39" s="2" t="s">
        <v>49</v>
      </c>
      <c r="C39" s="381">
        <f>-710525.41+93633.52</f>
        <v>-616891.89</v>
      </c>
      <c r="D39" s="361"/>
      <c r="E39" s="381">
        <f>218280.53+163648.84</f>
        <v>381929.37</v>
      </c>
      <c r="F39" s="137">
        <f>+E39+C39</f>
        <v>-234962.52000000002</v>
      </c>
      <c r="G39" s="24"/>
      <c r="H39" s="24"/>
    </row>
    <row r="40" spans="1:8" x14ac:dyDescent="0.2">
      <c r="A40" s="57">
        <v>36877</v>
      </c>
      <c r="B40" s="2" t="s">
        <v>49</v>
      </c>
      <c r="C40" s="396">
        <f>+C39+C38</f>
        <v>-883257.26</v>
      </c>
      <c r="D40" s="262"/>
      <c r="E40" s="396">
        <f>+E39+E38</f>
        <v>284424.39</v>
      </c>
      <c r="F40" s="396">
        <f>+F39+F38</f>
        <v>-598832.87</v>
      </c>
      <c r="G40" s="131"/>
      <c r="H40" s="131"/>
    </row>
    <row r="41" spans="1:8" x14ac:dyDescent="0.2">
      <c r="C41" s="254"/>
    </row>
    <row r="42" spans="1:8" x14ac:dyDescent="0.2">
      <c r="F42" s="15"/>
    </row>
    <row r="43" spans="1:8" x14ac:dyDescent="0.2">
      <c r="B43" s="12" t="s">
        <v>131</v>
      </c>
      <c r="F43" s="15"/>
    </row>
    <row r="44" spans="1:8" x14ac:dyDescent="0.2">
      <c r="B44" s="12">
        <v>22864</v>
      </c>
      <c r="F44" s="104">
        <v>-58339.66</v>
      </c>
    </row>
    <row r="45" spans="1:8" x14ac:dyDescent="0.2">
      <c r="B45" s="12">
        <v>20379</v>
      </c>
      <c r="F45" s="104">
        <v>-51695.87</v>
      </c>
    </row>
    <row r="46" spans="1:8" x14ac:dyDescent="0.2">
      <c r="B46" s="12">
        <v>21459</v>
      </c>
      <c r="F46" s="104">
        <v>10570.56</v>
      </c>
    </row>
    <row r="47" spans="1:8" x14ac:dyDescent="0.2">
      <c r="B47" s="12">
        <v>26357</v>
      </c>
      <c r="F47" s="104">
        <v>44144.84</v>
      </c>
    </row>
    <row r="48" spans="1:8" x14ac:dyDescent="0.2">
      <c r="B48" s="12">
        <v>21544</v>
      </c>
      <c r="F48" s="104">
        <v>61340.160000000003</v>
      </c>
    </row>
    <row r="49" spans="2:6" x14ac:dyDescent="0.2">
      <c r="B49" s="12">
        <v>24532</v>
      </c>
      <c r="F49" s="138">
        <v>1048039.53</v>
      </c>
    </row>
    <row r="50" spans="2:6" x14ac:dyDescent="0.2">
      <c r="F50" s="104">
        <f>SUM(F40:F49)</f>
        <v>455226.69000000006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8" workbookViewId="1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">
      <c r="A9" s="10">
        <v>3</v>
      </c>
      <c r="B9" s="11">
        <v>173559</v>
      </c>
      <c r="C9" s="11">
        <v>172558</v>
      </c>
      <c r="D9" s="25">
        <f t="shared" ref="D9:D37" si="0">+C9-B9</f>
        <v>-1001</v>
      </c>
    </row>
    <row r="10" spans="1:4" x14ac:dyDescent="0.2">
      <c r="A10" s="10">
        <v>4</v>
      </c>
      <c r="B10" s="11">
        <v>188978</v>
      </c>
      <c r="C10" s="11">
        <v>195274</v>
      </c>
      <c r="D10" s="25">
        <f t="shared" si="0"/>
        <v>6296</v>
      </c>
    </row>
    <row r="11" spans="1:4" x14ac:dyDescent="0.2">
      <c r="A11" s="10">
        <v>5</v>
      </c>
      <c r="B11" s="11">
        <v>184605</v>
      </c>
      <c r="C11" s="11">
        <v>181847</v>
      </c>
      <c r="D11" s="25">
        <f t="shared" si="0"/>
        <v>-2758</v>
      </c>
    </row>
    <row r="12" spans="1:4" x14ac:dyDescent="0.2">
      <c r="A12" s="10">
        <v>6</v>
      </c>
      <c r="B12" s="11">
        <v>191169</v>
      </c>
      <c r="C12" s="11">
        <v>192336</v>
      </c>
      <c r="D12" s="25">
        <f t="shared" si="0"/>
        <v>1167</v>
      </c>
    </row>
    <row r="13" spans="1:4" x14ac:dyDescent="0.2">
      <c r="A13" s="10">
        <v>7</v>
      </c>
      <c r="B13" s="11">
        <v>213637</v>
      </c>
      <c r="C13" s="11">
        <v>217025</v>
      </c>
      <c r="D13" s="25">
        <f t="shared" si="0"/>
        <v>3388</v>
      </c>
    </row>
    <row r="14" spans="1:4" x14ac:dyDescent="0.2">
      <c r="A14" s="10">
        <v>8</v>
      </c>
      <c r="B14" s="11">
        <v>195649</v>
      </c>
      <c r="C14" s="11">
        <v>195210</v>
      </c>
      <c r="D14" s="25">
        <f t="shared" si="0"/>
        <v>-439</v>
      </c>
    </row>
    <row r="15" spans="1:4" x14ac:dyDescent="0.2">
      <c r="A15" s="10">
        <v>9</v>
      </c>
      <c r="B15" s="11">
        <v>198999</v>
      </c>
      <c r="C15" s="11">
        <v>197970</v>
      </c>
      <c r="D15" s="25">
        <f t="shared" si="0"/>
        <v>-1029</v>
      </c>
    </row>
    <row r="16" spans="1:4" x14ac:dyDescent="0.2">
      <c r="A16" s="10">
        <v>10</v>
      </c>
      <c r="B16" s="11">
        <v>195598</v>
      </c>
      <c r="C16" s="11">
        <v>203483</v>
      </c>
      <c r="D16" s="25">
        <f t="shared" si="0"/>
        <v>7885</v>
      </c>
    </row>
    <row r="17" spans="1:4" x14ac:dyDescent="0.2">
      <c r="A17" s="10">
        <v>11</v>
      </c>
      <c r="B17" s="11">
        <v>189560</v>
      </c>
      <c r="C17" s="11">
        <v>188209</v>
      </c>
      <c r="D17" s="25">
        <f t="shared" si="0"/>
        <v>-1351</v>
      </c>
    </row>
    <row r="18" spans="1:4" x14ac:dyDescent="0.2">
      <c r="A18" s="10">
        <v>12</v>
      </c>
      <c r="B18" s="11">
        <v>197789</v>
      </c>
      <c r="C18" s="11">
        <v>206944</v>
      </c>
      <c r="D18" s="25">
        <f t="shared" si="0"/>
        <v>9155</v>
      </c>
    </row>
    <row r="19" spans="1:4" x14ac:dyDescent="0.2">
      <c r="A19" s="10">
        <v>13</v>
      </c>
      <c r="B19" s="11">
        <v>207921</v>
      </c>
      <c r="C19" s="11">
        <v>206540</v>
      </c>
      <c r="D19" s="25">
        <f t="shared" si="0"/>
        <v>-1381</v>
      </c>
    </row>
    <row r="20" spans="1:4" x14ac:dyDescent="0.2">
      <c r="A20" s="10">
        <v>14</v>
      </c>
      <c r="B20" s="11">
        <v>227933</v>
      </c>
      <c r="C20" s="11">
        <v>227895</v>
      </c>
      <c r="D20" s="25">
        <f t="shared" si="0"/>
        <v>-38</v>
      </c>
    </row>
    <row r="21" spans="1:4" x14ac:dyDescent="0.2">
      <c r="A21" s="10">
        <v>15</v>
      </c>
      <c r="B21" s="11">
        <v>200491</v>
      </c>
      <c r="C21" s="11">
        <v>215379</v>
      </c>
      <c r="D21" s="25">
        <f t="shared" si="0"/>
        <v>14888</v>
      </c>
    </row>
    <row r="22" spans="1:4" x14ac:dyDescent="0.2">
      <c r="A22" s="10">
        <v>16</v>
      </c>
      <c r="B22" s="11">
        <v>201563</v>
      </c>
      <c r="C22" s="11">
        <v>211642</v>
      </c>
      <c r="D22" s="25">
        <f t="shared" si="0"/>
        <v>10079</v>
      </c>
    </row>
    <row r="23" spans="1:4" x14ac:dyDescent="0.2">
      <c r="A23" s="10">
        <v>17</v>
      </c>
      <c r="B23" s="11">
        <v>204380</v>
      </c>
      <c r="C23" s="11">
        <v>221578</v>
      </c>
      <c r="D23" s="25">
        <f t="shared" si="0"/>
        <v>17198</v>
      </c>
    </row>
    <row r="24" spans="1:4" x14ac:dyDescent="0.2">
      <c r="A24" s="10">
        <v>18</v>
      </c>
      <c r="B24" s="11">
        <v>175953</v>
      </c>
      <c r="C24" s="11">
        <v>170000</v>
      </c>
      <c r="D24" s="25">
        <f t="shared" si="0"/>
        <v>-5953</v>
      </c>
    </row>
    <row r="25" spans="1:4" x14ac:dyDescent="0.2">
      <c r="A25" s="10">
        <v>19</v>
      </c>
      <c r="B25" s="11">
        <v>187798</v>
      </c>
      <c r="C25" s="11">
        <v>175000</v>
      </c>
      <c r="D25" s="25">
        <f t="shared" si="0"/>
        <v>-12798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3686078</v>
      </c>
      <c r="C38" s="11">
        <f>SUM(C7:C37)</f>
        <v>3743784</v>
      </c>
      <c r="D38" s="11">
        <f>SUM(D7:D37)</f>
        <v>57706</v>
      </c>
    </row>
    <row r="39" spans="1:4" x14ac:dyDescent="0.2">
      <c r="A39" s="26"/>
      <c r="C39" s="14"/>
      <c r="D39" s="106">
        <f>+summary!P12</f>
        <v>7.6</v>
      </c>
    </row>
    <row r="40" spans="1:4" x14ac:dyDescent="0.2">
      <c r="D40" s="138">
        <f>+D39*D38</f>
        <v>438565.6</v>
      </c>
    </row>
    <row r="41" spans="1:4" x14ac:dyDescent="0.2">
      <c r="A41" s="57">
        <v>36860</v>
      </c>
      <c r="C41" s="15"/>
      <c r="D41" s="362">
        <v>0</v>
      </c>
    </row>
    <row r="42" spans="1:4" x14ac:dyDescent="0.2">
      <c r="A42" s="57">
        <v>36879</v>
      </c>
      <c r="D42" s="348">
        <f>+D41+D40</f>
        <v>438565.6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D45" sqref="D45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>
        <v>5258</v>
      </c>
      <c r="E14" s="11">
        <v>5000</v>
      </c>
      <c r="F14" s="11">
        <f t="shared" si="0"/>
        <v>258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15176</v>
      </c>
      <c r="C15" s="11"/>
      <c r="D15" s="11"/>
      <c r="E15" s="11">
        <v>15000</v>
      </c>
      <c r="F15" s="11">
        <f t="shared" si="0"/>
        <v>176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27288</v>
      </c>
      <c r="C16" s="11"/>
      <c r="D16" s="11"/>
      <c r="E16" s="11">
        <v>27053</v>
      </c>
      <c r="F16" s="11">
        <f t="shared" si="0"/>
        <v>235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16236</v>
      </c>
      <c r="C17" s="11"/>
      <c r="D17" s="11"/>
      <c r="E17" s="11">
        <v>16666</v>
      </c>
      <c r="F17" s="11">
        <f t="shared" si="0"/>
        <v>-430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>
        <v>5000</v>
      </c>
      <c r="F18" s="11">
        <f t="shared" si="0"/>
        <v>-5000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>
        <v>5000</v>
      </c>
      <c r="F19" s="11">
        <f t="shared" si="0"/>
        <v>-5000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>
        <v>5000</v>
      </c>
      <c r="F20" s="11">
        <f t="shared" si="0"/>
        <v>-5000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>
        <v>5000</v>
      </c>
      <c r="F21" s="11">
        <f t="shared" si="0"/>
        <v>-5000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>
        <v>15424</v>
      </c>
      <c r="E22" s="11">
        <v>15000</v>
      </c>
      <c r="F22" s="11">
        <f t="shared" si="0"/>
        <v>424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>
        <v>28570</v>
      </c>
      <c r="E23" s="11">
        <v>28166</v>
      </c>
      <c r="F23" s="11">
        <f t="shared" si="0"/>
        <v>404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102542</v>
      </c>
      <c r="C36" s="44">
        <f>SUM(C5:C35)</f>
        <v>0</v>
      </c>
      <c r="D36" s="43">
        <f>SUM(D5:D35)</f>
        <v>60950</v>
      </c>
      <c r="E36" s="44">
        <f>SUM(E5:E35)</f>
        <v>186885</v>
      </c>
      <c r="F36" s="11">
        <f>SUM(F5:F35)</f>
        <v>-23393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102542</v>
      </c>
      <c r="D37" s="24"/>
      <c r="E37" s="24">
        <f>+D36-E36</f>
        <v>-125935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36879</v>
      </c>
      <c r="C42" s="14"/>
      <c r="D42" s="50"/>
      <c r="E42" s="50"/>
      <c r="F42" s="51">
        <f>+F41+F36</f>
        <v>4888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A41" sqref="A41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">
      <c r="A13" s="10">
        <v>10</v>
      </c>
      <c r="B13" s="11">
        <v>281851</v>
      </c>
      <c r="C13" s="11">
        <v>283836</v>
      </c>
      <c r="D13" s="25">
        <f t="shared" si="0"/>
        <v>1985</v>
      </c>
    </row>
    <row r="14" spans="1:4" x14ac:dyDescent="0.2">
      <c r="A14" s="10">
        <v>11</v>
      </c>
      <c r="B14" s="11">
        <v>281910</v>
      </c>
      <c r="C14" s="11">
        <v>283570</v>
      </c>
      <c r="D14" s="25">
        <f t="shared" si="0"/>
        <v>1660</v>
      </c>
    </row>
    <row r="15" spans="1:4" x14ac:dyDescent="0.2">
      <c r="A15" s="10">
        <v>12</v>
      </c>
      <c r="B15" s="11">
        <v>281181</v>
      </c>
      <c r="C15" s="11">
        <v>279878</v>
      </c>
      <c r="D15" s="25">
        <f t="shared" si="0"/>
        <v>-1303</v>
      </c>
    </row>
    <row r="16" spans="1:4" x14ac:dyDescent="0.2">
      <c r="A16" s="10">
        <v>13</v>
      </c>
      <c r="B16" s="11">
        <v>284486</v>
      </c>
      <c r="C16" s="11">
        <v>282009</v>
      </c>
      <c r="D16" s="25">
        <f t="shared" si="0"/>
        <v>-2477</v>
      </c>
    </row>
    <row r="17" spans="1:4" x14ac:dyDescent="0.2">
      <c r="A17" s="10">
        <v>14</v>
      </c>
      <c r="B17" s="11">
        <v>285049</v>
      </c>
      <c r="C17" s="11">
        <v>276496</v>
      </c>
      <c r="D17" s="25">
        <f t="shared" si="0"/>
        <v>-8553</v>
      </c>
    </row>
    <row r="18" spans="1:4" x14ac:dyDescent="0.2">
      <c r="A18" s="10">
        <v>15</v>
      </c>
      <c r="B18" s="11">
        <v>281107</v>
      </c>
      <c r="C18" s="11">
        <v>280750</v>
      </c>
      <c r="D18" s="25">
        <f t="shared" si="0"/>
        <v>-357</v>
      </c>
    </row>
    <row r="19" spans="1:4" x14ac:dyDescent="0.2">
      <c r="A19" s="10">
        <v>16</v>
      </c>
      <c r="B19" s="11">
        <v>273660</v>
      </c>
      <c r="C19" s="11">
        <v>274748</v>
      </c>
      <c r="D19" s="25">
        <f t="shared" si="0"/>
        <v>1088</v>
      </c>
    </row>
    <row r="20" spans="1:4" x14ac:dyDescent="0.2">
      <c r="A20" s="10">
        <v>17</v>
      </c>
      <c r="B20" s="11">
        <v>270404</v>
      </c>
      <c r="C20" s="11">
        <v>272247</v>
      </c>
      <c r="D20" s="25">
        <f t="shared" si="0"/>
        <v>1843</v>
      </c>
    </row>
    <row r="21" spans="1:4" x14ac:dyDescent="0.2">
      <c r="A21" s="10">
        <v>18</v>
      </c>
      <c r="B21" s="11">
        <v>263625</v>
      </c>
      <c r="C21" s="11">
        <v>264029</v>
      </c>
      <c r="D21" s="25">
        <f t="shared" si="0"/>
        <v>404</v>
      </c>
    </row>
    <row r="22" spans="1:4" x14ac:dyDescent="0.2">
      <c r="A22" s="10">
        <v>19</v>
      </c>
      <c r="B22" s="11">
        <v>272788</v>
      </c>
      <c r="C22" s="11">
        <v>272241</v>
      </c>
      <c r="D22" s="25">
        <f t="shared" si="0"/>
        <v>-547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5275101</v>
      </c>
      <c r="C35" s="11">
        <f>SUM(C4:C34)</f>
        <v>5293891</v>
      </c>
      <c r="D35" s="11">
        <f>SUM(D4:D34)</f>
        <v>18790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36860</v>
      </c>
      <c r="D38" s="244">
        <v>160058</v>
      </c>
    </row>
    <row r="39" spans="1:30" x14ac:dyDescent="0.2">
      <c r="A39" s="12"/>
      <c r="D39" s="24"/>
    </row>
    <row r="40" spans="1:30" x14ac:dyDescent="0.2">
      <c r="A40" s="251">
        <v>36879</v>
      </c>
      <c r="D40" s="24">
        <f>+D38+D35</f>
        <v>178848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workbookViewId="1">
      <selection activeCell="C23" sqref="C23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">
      <c r="A13" s="10">
        <v>10</v>
      </c>
      <c r="B13" s="11">
        <v>756223</v>
      </c>
      <c r="C13" s="11">
        <v>752905</v>
      </c>
      <c r="D13" s="25">
        <f t="shared" si="0"/>
        <v>-3318</v>
      </c>
      <c r="F13" s="10"/>
      <c r="G13" s="11"/>
      <c r="H13" s="11"/>
      <c r="I13" s="25"/>
    </row>
    <row r="14" spans="1:11" x14ac:dyDescent="0.2">
      <c r="A14" s="10">
        <v>11</v>
      </c>
      <c r="B14" s="11">
        <v>756207</v>
      </c>
      <c r="C14" s="11">
        <v>742700</v>
      </c>
      <c r="D14" s="25">
        <f t="shared" si="0"/>
        <v>-13507</v>
      </c>
      <c r="F14" s="10"/>
      <c r="G14" s="11"/>
      <c r="H14" s="11"/>
      <c r="I14" s="25"/>
    </row>
    <row r="15" spans="1:11" x14ac:dyDescent="0.2">
      <c r="A15" s="10">
        <v>12</v>
      </c>
      <c r="B15" s="11">
        <v>753659</v>
      </c>
      <c r="C15" s="11">
        <v>748478</v>
      </c>
      <c r="D15" s="25">
        <f t="shared" si="0"/>
        <v>-5181</v>
      </c>
      <c r="F15" s="10"/>
      <c r="G15" s="11"/>
      <c r="H15" s="11"/>
      <c r="I15" s="25"/>
    </row>
    <row r="16" spans="1:11" x14ac:dyDescent="0.2">
      <c r="A16" s="10">
        <v>13</v>
      </c>
      <c r="B16" s="11">
        <v>765312</v>
      </c>
      <c r="C16" s="11">
        <v>752778</v>
      </c>
      <c r="D16" s="25">
        <f t="shared" si="0"/>
        <v>-12534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>
        <v>761972</v>
      </c>
      <c r="C17" s="11">
        <v>759140</v>
      </c>
      <c r="D17" s="25">
        <f t="shared" si="0"/>
        <v>-2832</v>
      </c>
      <c r="F17" s="10"/>
      <c r="G17" s="11"/>
      <c r="H17" s="11"/>
      <c r="I17" s="25"/>
    </row>
    <row r="18" spans="1:11" x14ac:dyDescent="0.2">
      <c r="A18" s="10">
        <v>15</v>
      </c>
      <c r="B18" s="11">
        <v>766517</v>
      </c>
      <c r="C18" s="11">
        <v>752753</v>
      </c>
      <c r="D18" s="25">
        <f t="shared" si="0"/>
        <v>-13764</v>
      </c>
      <c r="F18" s="10"/>
      <c r="G18" s="11"/>
      <c r="H18" s="11"/>
      <c r="I18" s="25"/>
    </row>
    <row r="19" spans="1:11" x14ac:dyDescent="0.2">
      <c r="A19" s="10">
        <v>16</v>
      </c>
      <c r="B19" s="11">
        <v>766784</v>
      </c>
      <c r="C19" s="11">
        <v>775748</v>
      </c>
      <c r="D19" s="25">
        <f t="shared" si="0"/>
        <v>8964</v>
      </c>
      <c r="F19" s="10"/>
      <c r="G19" s="11"/>
      <c r="H19" s="11"/>
      <c r="I19" s="25"/>
    </row>
    <row r="20" spans="1:11" x14ac:dyDescent="0.2">
      <c r="A20" s="10">
        <v>17</v>
      </c>
      <c r="B20" s="11">
        <v>766835</v>
      </c>
      <c r="C20" s="11">
        <v>773765</v>
      </c>
      <c r="D20" s="25">
        <f t="shared" si="0"/>
        <v>6930</v>
      </c>
      <c r="F20" s="10"/>
      <c r="G20" s="11"/>
      <c r="H20" s="11"/>
      <c r="I20" s="25"/>
    </row>
    <row r="21" spans="1:11" x14ac:dyDescent="0.2">
      <c r="A21" s="10">
        <v>18</v>
      </c>
      <c r="B21" s="11">
        <v>777433</v>
      </c>
      <c r="C21" s="11">
        <v>757381</v>
      </c>
      <c r="D21" s="25">
        <f t="shared" si="0"/>
        <v>-20052</v>
      </c>
      <c r="F21" s="10"/>
      <c r="G21" s="11"/>
      <c r="H21" s="11"/>
      <c r="I21" s="25"/>
    </row>
    <row r="22" spans="1:11" x14ac:dyDescent="0.2">
      <c r="A22" s="10">
        <v>19</v>
      </c>
      <c r="B22" s="11">
        <v>756838</v>
      </c>
      <c r="C22" s="11">
        <v>757499</v>
      </c>
      <c r="D22" s="25">
        <f t="shared" si="0"/>
        <v>661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14371244</v>
      </c>
      <c r="C35" s="11">
        <f>SUM(C4:C34)</f>
        <v>14299606</v>
      </c>
      <c r="D35" s="11">
        <f>SUM(D4:D34)</f>
        <v>-71638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36860</v>
      </c>
      <c r="D38" s="380">
        <v>85314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36879</v>
      </c>
      <c r="D40" s="36">
        <f>+D38+D35</f>
        <v>13676</v>
      </c>
      <c r="I40" s="24"/>
    </row>
    <row r="42" spans="1:45" x14ac:dyDescent="0.2"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1"/>
      <c r="AG43" s="330"/>
      <c r="AH43" s="330"/>
      <c r="AI43" s="332"/>
      <c r="AJ43" s="331"/>
      <c r="AK43" s="330"/>
      <c r="AL43" s="330"/>
      <c r="AM43" s="332"/>
      <c r="AN43" s="331"/>
      <c r="AO43" s="330"/>
      <c r="AP43" s="330"/>
      <c r="AQ43" s="330"/>
      <c r="AR43" s="330"/>
      <c r="AS43" s="330"/>
    </row>
    <row r="44" spans="1:45" x14ac:dyDescent="0.2">
      <c r="K44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3"/>
      <c r="AG45" s="333"/>
      <c r="AH45" s="330"/>
      <c r="AI45" s="334"/>
      <c r="AJ45" s="333"/>
      <c r="AK45" s="333"/>
      <c r="AL45" s="330"/>
      <c r="AM45" s="334"/>
      <c r="AN45" s="333"/>
      <c r="AO45" s="333"/>
      <c r="AP45" s="330"/>
      <c r="AQ45" s="330"/>
      <c r="AR45" s="330"/>
      <c r="AS45" s="330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5"/>
      <c r="AG46" s="335"/>
      <c r="AH46" s="336"/>
      <c r="AI46" s="337"/>
      <c r="AJ46" s="335"/>
      <c r="AK46" s="335"/>
      <c r="AL46" s="336"/>
      <c r="AM46" s="337"/>
      <c r="AN46" s="335"/>
      <c r="AO46" s="335"/>
      <c r="AP46" s="336"/>
      <c r="AQ46" s="330"/>
      <c r="AR46" s="330"/>
      <c r="AS46" s="330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5"/>
      <c r="AG47" s="335"/>
      <c r="AH47" s="336"/>
      <c r="AI47" s="337"/>
      <c r="AJ47" s="335"/>
      <c r="AK47" s="335"/>
      <c r="AL47" s="336"/>
      <c r="AM47" s="337"/>
      <c r="AN47" s="335"/>
      <c r="AO47" s="335"/>
      <c r="AP47" s="336"/>
      <c r="AQ47" s="330"/>
      <c r="AR47" s="330"/>
      <c r="AS47" s="330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5"/>
      <c r="AG48" s="335"/>
      <c r="AH48" s="336"/>
      <c r="AI48" s="337"/>
      <c r="AJ48" s="335"/>
      <c r="AK48" s="335"/>
      <c r="AL48" s="336"/>
      <c r="AM48" s="337"/>
      <c r="AN48" s="335"/>
      <c r="AO48" s="335"/>
      <c r="AP48" s="336"/>
      <c r="AQ48" s="330"/>
      <c r="AR48" s="330"/>
      <c r="AS48" s="330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5"/>
      <c r="AG49" s="335"/>
      <c r="AH49" s="336"/>
      <c r="AI49" s="337"/>
      <c r="AJ49" s="335"/>
      <c r="AK49" s="335"/>
      <c r="AL49" s="336"/>
      <c r="AM49" s="337"/>
      <c r="AN49" s="335"/>
      <c r="AO49" s="335"/>
      <c r="AP49" s="336"/>
      <c r="AQ49" s="330"/>
      <c r="AR49" s="330"/>
      <c r="AS49" s="330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5"/>
      <c r="AG50" s="335"/>
      <c r="AH50" s="336"/>
      <c r="AI50" s="337"/>
      <c r="AJ50" s="335"/>
      <c r="AK50" s="335"/>
      <c r="AL50" s="336"/>
      <c r="AM50" s="337"/>
      <c r="AN50" s="335"/>
      <c r="AO50" s="335"/>
      <c r="AP50" s="336"/>
      <c r="AQ50" s="330"/>
      <c r="AR50" s="330"/>
      <c r="AS50" s="330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5"/>
      <c r="AG51" s="335"/>
      <c r="AH51" s="336"/>
      <c r="AI51" s="337"/>
      <c r="AJ51" s="335"/>
      <c r="AK51" s="335"/>
      <c r="AL51" s="336"/>
      <c r="AM51" s="337"/>
      <c r="AN51" s="335"/>
      <c r="AO51" s="335"/>
      <c r="AP51" s="336"/>
      <c r="AQ51" s="330"/>
      <c r="AR51" s="330"/>
      <c r="AS51" s="330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5"/>
      <c r="AG52" s="335"/>
      <c r="AH52" s="336"/>
      <c r="AI52" s="337"/>
      <c r="AJ52" s="335"/>
      <c r="AK52" s="335"/>
      <c r="AL52" s="336"/>
      <c r="AM52" s="337"/>
      <c r="AN52" s="335"/>
      <c r="AO52" s="335"/>
      <c r="AP52" s="336"/>
      <c r="AQ52" s="330"/>
      <c r="AR52" s="330"/>
      <c r="AS52" s="330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5"/>
      <c r="AG53" s="335"/>
      <c r="AH53" s="336"/>
      <c r="AI53" s="337"/>
      <c r="AJ53" s="335"/>
      <c r="AK53" s="335"/>
      <c r="AL53" s="336"/>
      <c r="AM53" s="337"/>
      <c r="AN53" s="335"/>
      <c r="AO53" s="335"/>
      <c r="AP53" s="336"/>
      <c r="AQ53" s="330"/>
      <c r="AR53" s="330"/>
      <c r="AS53" s="330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5"/>
      <c r="AG54" s="335"/>
      <c r="AH54" s="336"/>
      <c r="AI54" s="337"/>
      <c r="AJ54" s="335"/>
      <c r="AK54" s="335"/>
      <c r="AL54" s="336"/>
      <c r="AM54" s="337"/>
      <c r="AN54" s="335"/>
      <c r="AO54" s="335"/>
      <c r="AP54" s="336"/>
      <c r="AQ54" s="330"/>
      <c r="AR54" s="330"/>
      <c r="AS54" s="330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5"/>
      <c r="AG55" s="335"/>
      <c r="AH55" s="336"/>
      <c r="AI55" s="337"/>
      <c r="AJ55" s="335"/>
      <c r="AK55" s="335"/>
      <c r="AL55" s="336"/>
      <c r="AM55" s="337"/>
      <c r="AN55" s="335"/>
      <c r="AO55" s="335"/>
      <c r="AP55" s="336"/>
      <c r="AQ55" s="330"/>
      <c r="AR55" s="330"/>
      <c r="AS55" s="330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5"/>
      <c r="AG56" s="335"/>
      <c r="AH56" s="336"/>
      <c r="AI56" s="337"/>
      <c r="AJ56" s="335"/>
      <c r="AK56" s="335"/>
      <c r="AL56" s="336"/>
      <c r="AM56" s="337"/>
      <c r="AN56" s="335"/>
      <c r="AO56" s="335"/>
      <c r="AP56" s="336"/>
      <c r="AQ56" s="330"/>
      <c r="AR56" s="330"/>
      <c r="AS56" s="330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5"/>
      <c r="AG57" s="335"/>
      <c r="AH57" s="336"/>
      <c r="AI57" s="337"/>
      <c r="AJ57" s="335"/>
      <c r="AK57" s="335"/>
      <c r="AL57" s="336"/>
      <c r="AM57" s="337"/>
      <c r="AN57" s="335"/>
      <c r="AO57" s="335"/>
      <c r="AP57" s="336"/>
      <c r="AQ57" s="330"/>
      <c r="AR57" s="330"/>
      <c r="AS57" s="330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5"/>
      <c r="AG58" s="335"/>
      <c r="AH58" s="336"/>
      <c r="AI58" s="337"/>
      <c r="AJ58" s="335"/>
      <c r="AK58" s="335"/>
      <c r="AL58" s="336"/>
      <c r="AM58" s="337"/>
      <c r="AN58" s="335"/>
      <c r="AO58" s="335"/>
      <c r="AP58" s="336"/>
      <c r="AQ58" s="330"/>
      <c r="AR58" s="330"/>
      <c r="AS58" s="330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5"/>
      <c r="AG59" s="335"/>
      <c r="AH59" s="336"/>
      <c r="AI59" s="337"/>
      <c r="AJ59" s="335"/>
      <c r="AK59" s="335"/>
      <c r="AL59" s="336"/>
      <c r="AM59" s="337"/>
      <c r="AN59" s="335"/>
      <c r="AO59" s="335"/>
      <c r="AP59" s="336"/>
      <c r="AQ59" s="330"/>
      <c r="AR59" s="330"/>
      <c r="AS59" s="330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5"/>
      <c r="AG60" s="335"/>
      <c r="AH60" s="336"/>
      <c r="AI60" s="337"/>
      <c r="AJ60" s="335"/>
      <c r="AK60" s="335"/>
      <c r="AL60" s="336"/>
      <c r="AM60" s="337"/>
      <c r="AN60" s="335"/>
      <c r="AO60" s="335"/>
      <c r="AP60" s="336"/>
      <c r="AQ60" s="330"/>
      <c r="AR60" s="330"/>
      <c r="AS60" s="330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5"/>
      <c r="AG61" s="335"/>
      <c r="AH61" s="336"/>
      <c r="AI61" s="337"/>
      <c r="AJ61" s="335"/>
      <c r="AK61" s="335"/>
      <c r="AL61" s="336"/>
      <c r="AM61" s="337"/>
      <c r="AN61" s="335"/>
      <c r="AO61" s="335"/>
      <c r="AP61" s="336"/>
      <c r="AQ61" s="330"/>
      <c r="AR61" s="330"/>
      <c r="AS61" s="330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5"/>
      <c r="AG62" s="335"/>
      <c r="AH62" s="336"/>
      <c r="AI62" s="337"/>
      <c r="AJ62" s="335"/>
      <c r="AK62" s="335"/>
      <c r="AL62" s="336"/>
      <c r="AM62" s="337"/>
      <c r="AN62" s="335"/>
      <c r="AO62" s="335"/>
      <c r="AP62" s="336"/>
      <c r="AQ62" s="330"/>
      <c r="AR62" s="330"/>
      <c r="AS62" s="330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5"/>
      <c r="AG63" s="335"/>
      <c r="AH63" s="336"/>
      <c r="AI63" s="337"/>
      <c r="AJ63" s="335"/>
      <c r="AK63" s="335"/>
      <c r="AL63" s="336"/>
      <c r="AM63" s="337"/>
      <c r="AN63" s="335"/>
      <c r="AO63" s="335"/>
      <c r="AP63" s="336"/>
      <c r="AQ63" s="330"/>
      <c r="AR63" s="330"/>
      <c r="AS63" s="330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5"/>
      <c r="AG64" s="335"/>
      <c r="AH64" s="336"/>
      <c r="AI64" s="337"/>
      <c r="AJ64" s="335"/>
      <c r="AK64" s="335"/>
      <c r="AL64" s="336"/>
      <c r="AM64" s="337"/>
      <c r="AN64" s="335"/>
      <c r="AO64" s="335"/>
      <c r="AP64" s="336"/>
      <c r="AQ64" s="330"/>
      <c r="AR64" s="330"/>
      <c r="AS64" s="330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5"/>
      <c r="AG65" s="335"/>
      <c r="AH65" s="336"/>
      <c r="AI65" s="337"/>
      <c r="AJ65" s="335"/>
      <c r="AK65" s="335"/>
      <c r="AL65" s="336"/>
      <c r="AM65" s="337"/>
      <c r="AN65" s="335"/>
      <c r="AO65" s="335"/>
      <c r="AP65" s="336"/>
      <c r="AQ65" s="330"/>
      <c r="AR65" s="330"/>
      <c r="AS65" s="330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5"/>
      <c r="AG66" s="335"/>
      <c r="AH66" s="336"/>
      <c r="AI66" s="337"/>
      <c r="AJ66" s="335"/>
      <c r="AK66" s="335"/>
      <c r="AL66" s="336"/>
      <c r="AM66" s="337"/>
      <c r="AN66" s="335"/>
      <c r="AO66" s="335"/>
      <c r="AP66" s="336"/>
      <c r="AQ66" s="330"/>
      <c r="AR66" s="330"/>
      <c r="AS66" s="330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5"/>
      <c r="AG67" s="335"/>
      <c r="AH67" s="336"/>
      <c r="AI67" s="337"/>
      <c r="AJ67" s="335"/>
      <c r="AK67" s="335"/>
      <c r="AL67" s="336"/>
      <c r="AM67" s="337"/>
      <c r="AN67" s="335"/>
      <c r="AO67" s="335"/>
      <c r="AP67" s="336"/>
      <c r="AQ67" s="330"/>
      <c r="AR67" s="330"/>
      <c r="AS67" s="330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5"/>
      <c r="AG68" s="335"/>
      <c r="AH68" s="336"/>
      <c r="AI68" s="337"/>
      <c r="AJ68" s="335"/>
      <c r="AK68" s="335"/>
      <c r="AL68" s="336"/>
      <c r="AM68" s="337"/>
      <c r="AN68" s="335"/>
      <c r="AO68" s="335"/>
      <c r="AP68" s="336"/>
      <c r="AQ68" s="330"/>
      <c r="AR68" s="330"/>
      <c r="AS68" s="330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5"/>
      <c r="AG69" s="335"/>
      <c r="AH69" s="336"/>
      <c r="AI69" s="337"/>
      <c r="AJ69" s="335"/>
      <c r="AK69" s="335"/>
      <c r="AL69" s="336"/>
      <c r="AM69" s="337"/>
      <c r="AN69" s="335"/>
      <c r="AO69" s="335"/>
      <c r="AP69" s="336"/>
      <c r="AQ69" s="330"/>
      <c r="AR69" s="330"/>
      <c r="AS69" s="330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5"/>
      <c r="AG70" s="335"/>
      <c r="AH70" s="336"/>
      <c r="AI70" s="337"/>
      <c r="AJ70" s="335"/>
      <c r="AK70" s="335"/>
      <c r="AL70" s="336"/>
      <c r="AM70" s="337"/>
      <c r="AN70" s="335"/>
      <c r="AO70" s="335"/>
      <c r="AP70" s="336"/>
      <c r="AQ70" s="330"/>
      <c r="AR70" s="330"/>
      <c r="AS70" s="330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5"/>
      <c r="AG71" s="335"/>
      <c r="AH71" s="336"/>
      <c r="AI71" s="337"/>
      <c r="AJ71" s="335"/>
      <c r="AK71" s="335"/>
      <c r="AL71" s="336"/>
      <c r="AM71" s="337"/>
      <c r="AN71" s="335"/>
      <c r="AO71" s="335"/>
      <c r="AP71" s="336"/>
      <c r="AQ71" s="330"/>
      <c r="AR71" s="330"/>
      <c r="AS71" s="330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5"/>
      <c r="AG72" s="335"/>
      <c r="AH72" s="336"/>
      <c r="AI72" s="337"/>
      <c r="AJ72" s="335"/>
      <c r="AK72" s="335"/>
      <c r="AL72" s="336"/>
      <c r="AM72" s="337"/>
      <c r="AN72" s="335"/>
      <c r="AO72" s="335"/>
      <c r="AP72" s="336"/>
      <c r="AQ72" s="330"/>
      <c r="AR72" s="330"/>
      <c r="AS72" s="330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5"/>
      <c r="AG73" s="335"/>
      <c r="AH73" s="336"/>
      <c r="AI73" s="337"/>
      <c r="AJ73" s="335"/>
      <c r="AK73" s="335"/>
      <c r="AL73" s="336"/>
      <c r="AM73" s="337"/>
      <c r="AN73" s="335"/>
      <c r="AO73" s="335"/>
      <c r="AP73" s="336"/>
      <c r="AQ73" s="330"/>
      <c r="AR73" s="330"/>
      <c r="AS73" s="330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5"/>
      <c r="AG74" s="335"/>
      <c r="AH74" s="336"/>
      <c r="AI74" s="337"/>
      <c r="AJ74" s="335"/>
      <c r="AK74" s="335"/>
      <c r="AL74" s="336"/>
      <c r="AM74" s="337"/>
      <c r="AN74" s="335"/>
      <c r="AO74" s="335"/>
      <c r="AP74" s="336"/>
      <c r="AQ74" s="330"/>
      <c r="AR74" s="330"/>
      <c r="AS74" s="330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5"/>
      <c r="AG75" s="335"/>
      <c r="AH75" s="336"/>
      <c r="AI75" s="337"/>
      <c r="AJ75" s="335"/>
      <c r="AK75" s="335"/>
      <c r="AL75" s="336"/>
      <c r="AM75" s="337"/>
      <c r="AN75" s="335"/>
      <c r="AO75" s="335"/>
      <c r="AP75" s="336"/>
      <c r="AQ75" s="330"/>
      <c r="AR75" s="330"/>
      <c r="AS75" s="330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5"/>
      <c r="AG76" s="335"/>
      <c r="AH76" s="336"/>
      <c r="AI76" s="337"/>
      <c r="AJ76" s="335"/>
      <c r="AK76" s="335"/>
      <c r="AL76" s="336"/>
      <c r="AM76" s="337"/>
      <c r="AN76" s="335"/>
      <c r="AO76" s="335"/>
      <c r="AP76" s="336"/>
      <c r="AQ76" s="330"/>
      <c r="AR76" s="330"/>
      <c r="AS76" s="330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5"/>
      <c r="AG77" s="335"/>
      <c r="AH77" s="335"/>
      <c r="AI77" s="337"/>
      <c r="AJ77" s="335"/>
      <c r="AK77" s="335"/>
      <c r="AL77" s="335"/>
      <c r="AM77" s="337"/>
      <c r="AN77" s="335"/>
      <c r="AO77" s="335"/>
      <c r="AP77" s="335"/>
      <c r="AQ77" s="330"/>
      <c r="AR77" s="330"/>
      <c r="AS77" s="330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30"/>
      <c r="AG78" s="336"/>
      <c r="AH78" s="338"/>
      <c r="AI78" s="339"/>
      <c r="AJ78" s="330"/>
      <c r="AK78" s="336"/>
      <c r="AL78" s="338"/>
      <c r="AM78" s="339"/>
      <c r="AN78" s="330"/>
      <c r="AO78" s="336"/>
      <c r="AP78" s="338"/>
      <c r="AQ78" s="330"/>
      <c r="AR78" s="330"/>
      <c r="AS78" s="330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30"/>
      <c r="AG79" s="330"/>
      <c r="AH79" s="340"/>
      <c r="AI79" s="330"/>
      <c r="AJ79" s="330"/>
      <c r="AK79" s="330"/>
      <c r="AL79" s="340"/>
      <c r="AM79" s="330"/>
      <c r="AN79" s="330"/>
      <c r="AO79" s="330"/>
      <c r="AP79" s="340"/>
      <c r="AQ79" s="330"/>
      <c r="AR79" s="330"/>
      <c r="AS79" s="330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30"/>
      <c r="AG80" s="330"/>
      <c r="AH80" s="340"/>
      <c r="AI80" s="341"/>
      <c r="AJ80" s="330"/>
      <c r="AK80" s="330"/>
      <c r="AL80" s="340"/>
      <c r="AM80" s="341"/>
      <c r="AN80" s="330"/>
      <c r="AO80" s="330"/>
      <c r="AP80" s="340"/>
      <c r="AQ80" s="330"/>
      <c r="AR80" s="330"/>
      <c r="AS80" s="330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30"/>
      <c r="AG81" s="330"/>
      <c r="AH81" s="340"/>
      <c r="AI81" s="338"/>
      <c r="AJ81" s="330"/>
      <c r="AK81" s="330"/>
      <c r="AL81" s="340"/>
      <c r="AM81" s="338"/>
      <c r="AN81" s="330"/>
      <c r="AO81" s="330"/>
      <c r="AP81" s="340"/>
      <c r="AQ81" s="330"/>
      <c r="AR81" s="330"/>
      <c r="AS81" s="330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30"/>
      <c r="AG82" s="330"/>
      <c r="AH82" s="340"/>
      <c r="AI82" s="341"/>
      <c r="AJ82" s="330"/>
      <c r="AK82" s="330"/>
      <c r="AL82" s="340"/>
      <c r="AM82" s="341"/>
      <c r="AN82" s="330"/>
      <c r="AO82" s="330"/>
      <c r="AP82" s="340"/>
      <c r="AQ82" s="330"/>
      <c r="AR82" s="330"/>
      <c r="AS82" s="330"/>
    </row>
    <row r="83" spans="4:45" x14ac:dyDescent="0.2">
      <c r="AE83" s="32"/>
      <c r="AF83" s="330"/>
      <c r="AG83" s="330"/>
      <c r="AH83" s="330"/>
      <c r="AI83" s="330"/>
      <c r="AJ83" s="330"/>
      <c r="AK83" s="330"/>
      <c r="AL83" s="330"/>
      <c r="AM83" s="330"/>
      <c r="AN83" s="330"/>
      <c r="AO83" s="330"/>
      <c r="AP83" s="330"/>
      <c r="AQ83" s="330"/>
      <c r="AR83" s="330"/>
      <c r="AS83" s="330"/>
    </row>
    <row r="84" spans="4:45" x14ac:dyDescent="0.2">
      <c r="AE84" s="32"/>
      <c r="AF84" s="330"/>
      <c r="AG84" s="330"/>
      <c r="AH84" s="330"/>
      <c r="AI84" s="330"/>
      <c r="AJ84" s="330"/>
      <c r="AK84" s="330"/>
      <c r="AL84" s="330"/>
      <c r="AM84" s="330"/>
      <c r="AN84" s="330"/>
      <c r="AO84" s="330"/>
      <c r="AP84" s="330"/>
      <c r="AQ84" s="330"/>
      <c r="AR84" s="330"/>
      <c r="AS84" s="330"/>
    </row>
    <row r="85" spans="4:45" x14ac:dyDescent="0.2">
      <c r="AF85" s="330"/>
      <c r="AG85" s="330"/>
      <c r="AH85" s="330"/>
      <c r="AI85" s="330"/>
      <c r="AJ85" s="330"/>
      <c r="AK85" s="330"/>
      <c r="AL85" s="330"/>
      <c r="AM85" s="330"/>
      <c r="AN85" s="330"/>
      <c r="AO85" s="330"/>
      <c r="AP85" s="330"/>
      <c r="AQ85" s="330"/>
      <c r="AR85" s="330"/>
      <c r="AS85" s="330"/>
    </row>
    <row r="86" spans="4:45" x14ac:dyDescent="0.2">
      <c r="AF86" s="330"/>
      <c r="AG86" s="330"/>
      <c r="AH86" s="330"/>
      <c r="AI86" s="330"/>
      <c r="AJ86" s="330"/>
      <c r="AK86" s="330"/>
      <c r="AL86" s="330"/>
      <c r="AM86" s="330"/>
      <c r="AN86" s="330"/>
      <c r="AO86" s="330"/>
      <c r="AP86" s="330"/>
      <c r="AQ86" s="330"/>
      <c r="AR86" s="330"/>
      <c r="AS86" s="330"/>
    </row>
    <row r="87" spans="4:45" x14ac:dyDescent="0.2">
      <c r="AF87" s="330"/>
      <c r="AG87" s="330"/>
      <c r="AH87" s="330"/>
      <c r="AI87" s="330"/>
      <c r="AJ87" s="330"/>
      <c r="AK87" s="330"/>
      <c r="AL87" s="330"/>
      <c r="AM87" s="330"/>
      <c r="AN87" s="330"/>
      <c r="AO87" s="330"/>
      <c r="AP87" s="330"/>
      <c r="AQ87" s="330"/>
      <c r="AR87" s="330"/>
      <c r="AS87" s="330"/>
    </row>
    <row r="88" spans="4:45" x14ac:dyDescent="0.2">
      <c r="AF88" s="330"/>
      <c r="AG88" s="330"/>
      <c r="AH88" s="330"/>
      <c r="AI88" s="330"/>
      <c r="AJ88" s="330"/>
      <c r="AK88" s="330"/>
      <c r="AL88" s="330"/>
      <c r="AM88" s="330"/>
      <c r="AN88" s="330"/>
      <c r="AO88" s="330"/>
      <c r="AP88" s="330"/>
      <c r="AQ88" s="330"/>
      <c r="AR88" s="330"/>
      <c r="AS88" s="330"/>
    </row>
    <row r="89" spans="4:45" x14ac:dyDescent="0.2">
      <c r="AF89" s="330"/>
      <c r="AG89" s="330"/>
      <c r="AH89" s="330"/>
      <c r="AI89" s="330"/>
      <c r="AJ89" s="330"/>
      <c r="AK89" s="330"/>
      <c r="AL89" s="330"/>
      <c r="AM89" s="330"/>
      <c r="AN89" s="330"/>
      <c r="AO89" s="330"/>
      <c r="AP89" s="330"/>
      <c r="AQ89" s="330"/>
      <c r="AR89" s="330"/>
      <c r="AS89" s="330"/>
    </row>
    <row r="90" spans="4:45" x14ac:dyDescent="0.2">
      <c r="AF90" s="330"/>
      <c r="AG90" s="330"/>
      <c r="AH90" s="330"/>
      <c r="AI90" s="330"/>
      <c r="AJ90" s="330"/>
      <c r="AK90" s="330"/>
      <c r="AL90" s="330"/>
      <c r="AM90" s="330"/>
      <c r="AN90" s="330"/>
      <c r="AO90" s="330"/>
      <c r="AP90" s="330"/>
      <c r="AQ90" s="330"/>
      <c r="AR90" s="330"/>
      <c r="AS90" s="330"/>
    </row>
    <row r="91" spans="4:45" x14ac:dyDescent="0.2">
      <c r="AF91" s="330"/>
      <c r="AG91" s="330"/>
      <c r="AH91" s="330"/>
      <c r="AI91" s="330"/>
      <c r="AJ91" s="330"/>
      <c r="AK91" s="330"/>
      <c r="AL91" s="330"/>
      <c r="AM91" s="330"/>
      <c r="AN91" s="330"/>
      <c r="AO91" s="330"/>
      <c r="AP91" s="330"/>
      <c r="AQ91" s="330"/>
      <c r="AR91" s="330"/>
      <c r="AS91" s="330"/>
    </row>
    <row r="92" spans="4:45" x14ac:dyDescent="0.2"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  <c r="AP92" s="330"/>
      <c r="AQ92" s="330"/>
      <c r="AR92" s="330"/>
      <c r="AS92" s="330"/>
    </row>
    <row r="93" spans="4:45" x14ac:dyDescent="0.2">
      <c r="AF93" s="330"/>
      <c r="AG93" s="330"/>
      <c r="AH93" s="330"/>
      <c r="AI93" s="330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</row>
    <row r="94" spans="4:45" x14ac:dyDescent="0.2"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</row>
    <row r="95" spans="4:45" x14ac:dyDescent="0.2">
      <c r="AF95" s="330"/>
      <c r="AG95" s="330"/>
      <c r="AH95" s="330"/>
      <c r="AI95" s="330"/>
      <c r="AJ95" s="330"/>
      <c r="AK95" s="330"/>
      <c r="AL95" s="330"/>
      <c r="AM95" s="330"/>
      <c r="AN95" s="330"/>
      <c r="AO95" s="330"/>
      <c r="AP95" s="330"/>
      <c r="AQ95" s="330"/>
      <c r="AR95" s="330"/>
      <c r="AS95" s="330"/>
    </row>
    <row r="96" spans="4:45" x14ac:dyDescent="0.2">
      <c r="AF96" s="330"/>
      <c r="AG96" s="330"/>
      <c r="AH96" s="330"/>
      <c r="AI96" s="330"/>
      <c r="AJ96" s="330"/>
      <c r="AK96" s="330"/>
      <c r="AL96" s="330"/>
      <c r="AM96" s="330"/>
      <c r="AN96" s="330"/>
      <c r="AO96" s="330"/>
      <c r="AP96" s="330"/>
      <c r="AQ96" s="330"/>
      <c r="AR96" s="330"/>
      <c r="AS96" s="330"/>
    </row>
    <row r="97" spans="32:45" x14ac:dyDescent="0.2">
      <c r="AF97" s="330"/>
      <c r="AG97" s="330"/>
      <c r="AH97" s="330"/>
      <c r="AI97" s="330"/>
      <c r="AJ97" s="330"/>
      <c r="AK97" s="330"/>
      <c r="AL97" s="330"/>
      <c r="AM97" s="330"/>
      <c r="AN97" s="330"/>
      <c r="AO97" s="330"/>
      <c r="AP97" s="330"/>
      <c r="AQ97" s="330"/>
      <c r="AR97" s="330"/>
      <c r="AS97" s="330"/>
    </row>
    <row r="98" spans="32:45" x14ac:dyDescent="0.2">
      <c r="AF98" s="330"/>
      <c r="AG98" s="330"/>
      <c r="AH98" s="330"/>
      <c r="AI98" s="330"/>
      <c r="AJ98" s="330"/>
      <c r="AK98" s="330"/>
      <c r="AL98" s="330"/>
      <c r="AM98" s="330"/>
      <c r="AN98" s="330"/>
      <c r="AO98" s="330"/>
      <c r="AP98" s="330"/>
      <c r="AQ98" s="330"/>
      <c r="AR98" s="330"/>
      <c r="AS98" s="330"/>
    </row>
    <row r="99" spans="32:45" x14ac:dyDescent="0.2">
      <c r="AF99" s="330"/>
      <c r="AG99" s="330"/>
      <c r="AH99" s="330"/>
      <c r="AI99" s="330"/>
      <c r="AJ99" s="330"/>
      <c r="AK99" s="330"/>
      <c r="AL99" s="330"/>
      <c r="AM99" s="330"/>
      <c r="AN99" s="330"/>
      <c r="AO99" s="330"/>
      <c r="AP99" s="330"/>
      <c r="AQ99" s="330"/>
      <c r="AR99" s="330"/>
      <c r="AS99" s="330"/>
    </row>
    <row r="100" spans="32:45" x14ac:dyDescent="0.2">
      <c r="AF100" s="330"/>
      <c r="AG100" s="330"/>
      <c r="AH100" s="330"/>
      <c r="AI100" s="330"/>
      <c r="AJ100" s="330"/>
      <c r="AK100" s="330"/>
      <c r="AL100" s="330"/>
      <c r="AM100" s="330"/>
      <c r="AN100" s="330"/>
      <c r="AO100" s="330"/>
      <c r="AP100" s="330"/>
      <c r="AQ100" s="330"/>
      <c r="AR100" s="330"/>
      <c r="AS100" s="330"/>
    </row>
    <row r="101" spans="32:45" x14ac:dyDescent="0.2">
      <c r="AF101" s="330"/>
      <c r="AG101" s="330"/>
      <c r="AH101" s="330"/>
      <c r="AI101" s="330"/>
      <c r="AJ101" s="330"/>
      <c r="AK101" s="330"/>
      <c r="AL101" s="330"/>
      <c r="AM101" s="330"/>
      <c r="AN101" s="330"/>
      <c r="AO101" s="330"/>
      <c r="AP101" s="330"/>
      <c r="AQ101" s="330"/>
      <c r="AR101" s="330"/>
      <c r="AS101" s="330"/>
    </row>
    <row r="102" spans="32:45" x14ac:dyDescent="0.2">
      <c r="AF102" s="330"/>
      <c r="AG102" s="330"/>
      <c r="AH102" s="330"/>
      <c r="AI102" s="330"/>
      <c r="AJ102" s="330"/>
      <c r="AK102" s="330"/>
      <c r="AL102" s="330"/>
      <c r="AM102" s="330"/>
      <c r="AN102" s="330"/>
      <c r="AO102" s="330"/>
      <c r="AP102" s="330"/>
      <c r="AQ102" s="330"/>
      <c r="AR102" s="330"/>
      <c r="AS102" s="330"/>
    </row>
    <row r="103" spans="32:45" x14ac:dyDescent="0.2">
      <c r="AF103" s="330"/>
      <c r="AG103" s="330"/>
      <c r="AH103" s="330"/>
      <c r="AI103" s="330"/>
      <c r="AJ103" s="330"/>
      <c r="AK103" s="330"/>
      <c r="AL103" s="330"/>
      <c r="AM103" s="330"/>
      <c r="AN103" s="330"/>
      <c r="AO103" s="330"/>
      <c r="AP103" s="330"/>
      <c r="AQ103" s="330"/>
      <c r="AR103" s="330"/>
      <c r="AS103" s="330"/>
    </row>
    <row r="104" spans="32:45" x14ac:dyDescent="0.2"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</row>
    <row r="105" spans="32:45" x14ac:dyDescent="0.2">
      <c r="AF105" s="330"/>
      <c r="AG105" s="330"/>
      <c r="AH105" s="330"/>
      <c r="AI105" s="330"/>
      <c r="AJ105" s="330"/>
      <c r="AK105" s="330"/>
      <c r="AL105" s="330"/>
      <c r="AM105" s="330"/>
      <c r="AN105" s="330"/>
      <c r="AO105" s="330"/>
      <c r="AP105" s="330"/>
      <c r="AQ105" s="330"/>
      <c r="AR105" s="330"/>
      <c r="AS105" s="33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topLeftCell="A30" workbookViewId="1">
      <selection activeCell="C23" sqref="C23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>
        <v>-187</v>
      </c>
      <c r="D13" s="11"/>
      <c r="E13" s="11"/>
      <c r="F13" s="11"/>
      <c r="G13" s="11"/>
      <c r="H13" s="11">
        <f t="shared" si="0"/>
        <v>187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-187</v>
      </c>
      <c r="D14" s="11">
        <v>5</v>
      </c>
      <c r="E14" s="11"/>
      <c r="F14" s="11"/>
      <c r="G14" s="11"/>
      <c r="H14" s="11">
        <f t="shared" si="0"/>
        <v>192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21615</v>
      </c>
      <c r="C15" s="11">
        <v>20588</v>
      </c>
      <c r="D15" s="11"/>
      <c r="E15" s="11"/>
      <c r="F15" s="11"/>
      <c r="G15" s="11"/>
      <c r="H15" s="11">
        <f t="shared" si="0"/>
        <v>1027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49616</v>
      </c>
      <c r="C16" s="11">
        <v>28812</v>
      </c>
      <c r="D16" s="11"/>
      <c r="E16" s="11">
        <v>20221</v>
      </c>
      <c r="F16" s="11"/>
      <c r="G16" s="11"/>
      <c r="H16" s="11">
        <f t="shared" si="0"/>
        <v>583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11991</v>
      </c>
      <c r="C17" s="11">
        <v>49</v>
      </c>
      <c r="D17" s="11"/>
      <c r="E17" s="11">
        <v>10041</v>
      </c>
      <c r="F17" s="11"/>
      <c r="G17" s="11"/>
      <c r="H17" s="11">
        <f t="shared" si="0"/>
        <v>1901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17918</v>
      </c>
      <c r="C18" s="11">
        <v>18438</v>
      </c>
      <c r="D18" s="11"/>
      <c r="E18" s="11"/>
      <c r="F18" s="11"/>
      <c r="G18" s="11"/>
      <c r="H18" s="11">
        <f t="shared" si="0"/>
        <v>-520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54633</v>
      </c>
      <c r="C19" s="11">
        <v>53350</v>
      </c>
      <c r="D19" s="11"/>
      <c r="E19" s="11"/>
      <c r="F19" s="11"/>
      <c r="G19" s="11"/>
      <c r="H19" s="11">
        <f t="shared" si="0"/>
        <v>1283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49627</v>
      </c>
      <c r="C20" s="11">
        <v>48693</v>
      </c>
      <c r="D20" s="11"/>
      <c r="E20" s="11"/>
      <c r="F20" s="11"/>
      <c r="G20" s="11"/>
      <c r="H20" s="11">
        <f t="shared" si="0"/>
        <v>934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31687</v>
      </c>
      <c r="C21" s="11">
        <v>41662</v>
      </c>
      <c r="D21" s="11">
        <v>9093</v>
      </c>
      <c r="E21" s="11"/>
      <c r="F21" s="11"/>
      <c r="G21" s="11"/>
      <c r="H21" s="11">
        <f t="shared" si="0"/>
        <v>-882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30086</v>
      </c>
      <c r="C22" s="11">
        <v>26453</v>
      </c>
      <c r="D22" s="11"/>
      <c r="E22" s="11">
        <v>5000</v>
      </c>
      <c r="F22" s="11"/>
      <c r="G22" s="11"/>
      <c r="H22" s="11">
        <f t="shared" si="0"/>
        <v>-1367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449863</v>
      </c>
      <c r="C35" s="44">
        <f t="shared" si="1"/>
        <v>308604</v>
      </c>
      <c r="D35" s="11">
        <f t="shared" si="1"/>
        <v>9098</v>
      </c>
      <c r="E35" s="44">
        <f t="shared" si="1"/>
        <v>147876</v>
      </c>
      <c r="F35" s="11">
        <f t="shared" si="1"/>
        <v>0</v>
      </c>
      <c r="G35" s="11">
        <f t="shared" si="1"/>
        <v>0</v>
      </c>
      <c r="H35" s="11">
        <f t="shared" si="1"/>
        <v>2481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7.84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19451.04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78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36879</v>
      </c>
      <c r="F39" s="47"/>
      <c r="G39" s="47"/>
      <c r="H39" s="137">
        <f>+H38+H37</f>
        <v>43827.72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23" sqref="E23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325158</v>
      </c>
      <c r="E7" s="368">
        <f>321777+3</f>
        <v>321780</v>
      </c>
      <c r="F7" s="11"/>
      <c r="G7" s="11"/>
      <c r="H7" s="24">
        <f t="shared" si="0"/>
        <v>3378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304655</v>
      </c>
      <c r="E14" s="11">
        <f>301352+1079</f>
        <v>302431</v>
      </c>
      <c r="F14" s="11"/>
      <c r="G14" s="11"/>
      <c r="H14" s="24">
        <f t="shared" si="0"/>
        <v>2224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272083</v>
      </c>
      <c r="E15" s="11">
        <v>276791</v>
      </c>
      <c r="F15" s="11"/>
      <c r="G15" s="11"/>
      <c r="H15" s="24">
        <f t="shared" si="0"/>
        <v>-4708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302870</v>
      </c>
      <c r="E16" s="11">
        <f>300452+270</f>
        <v>300722</v>
      </c>
      <c r="F16" s="11"/>
      <c r="G16" s="11"/>
      <c r="H16" s="24">
        <f t="shared" si="0"/>
        <v>2148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312135</v>
      </c>
      <c r="E17" s="11">
        <v>309830</v>
      </c>
      <c r="F17" s="11"/>
      <c r="G17" s="11"/>
      <c r="H17" s="24">
        <f t="shared" si="0"/>
        <v>2305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276964</v>
      </c>
      <c r="E18" s="11">
        <v>274005</v>
      </c>
      <c r="F18" s="11"/>
      <c r="G18" s="11"/>
      <c r="H18" s="24">
        <f t="shared" si="0"/>
        <v>2959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306377</v>
      </c>
      <c r="E19" s="11">
        <v>303938</v>
      </c>
      <c r="F19" s="11"/>
      <c r="G19" s="11"/>
      <c r="H19" s="24">
        <f t="shared" si="0"/>
        <v>2439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278011</v>
      </c>
      <c r="E20" s="11">
        <v>277004</v>
      </c>
      <c r="F20" s="11"/>
      <c r="G20" s="11"/>
      <c r="H20" s="24">
        <f t="shared" si="0"/>
        <v>1007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282493</v>
      </c>
      <c r="E21" s="11">
        <v>281248</v>
      </c>
      <c r="F21" s="11"/>
      <c r="G21" s="11"/>
      <c r="H21" s="24">
        <f t="shared" si="0"/>
        <v>1245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317125</v>
      </c>
      <c r="E22" s="11">
        <v>320499</v>
      </c>
      <c r="F22" s="11"/>
      <c r="G22" s="11"/>
      <c r="H22" s="24">
        <f t="shared" si="0"/>
        <v>-3374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329038</v>
      </c>
      <c r="E23" s="11">
        <v>332170</v>
      </c>
      <c r="F23" s="11"/>
      <c r="G23" s="11"/>
      <c r="H23" s="24">
        <f t="shared" si="0"/>
        <v>-3132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36</v>
      </c>
      <c r="C36" s="11">
        <f t="shared" si="15"/>
        <v>0</v>
      </c>
      <c r="D36" s="11">
        <f t="shared" si="15"/>
        <v>5810848</v>
      </c>
      <c r="E36" s="11">
        <f t="shared" si="15"/>
        <v>5775890</v>
      </c>
      <c r="F36" s="11">
        <f t="shared" si="15"/>
        <v>0</v>
      </c>
      <c r="G36" s="11">
        <f t="shared" si="15"/>
        <v>0</v>
      </c>
      <c r="H36" s="11">
        <f t="shared" si="15"/>
        <v>34922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36860</v>
      </c>
      <c r="B37" s="2" t="s">
        <v>49</v>
      </c>
      <c r="C37" s="375">
        <v>-7085</v>
      </c>
      <c r="D37" s="361"/>
      <c r="E37" s="363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36879</v>
      </c>
      <c r="B38" s="2" t="s">
        <v>49</v>
      </c>
      <c r="C38" s="131">
        <f>+C37+C36-B36</f>
        <v>-7121</v>
      </c>
      <c r="D38" s="262"/>
      <c r="E38" s="131">
        <f>+E37+D36-E36</f>
        <v>252181</v>
      </c>
      <c r="F38" s="262"/>
      <c r="G38" s="131"/>
      <c r="H38" s="131">
        <f>+H37+H36</f>
        <v>245060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91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4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80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80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80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80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80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80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9" workbookViewId="1">
      <selection activeCell="A41" sqref="A41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106623</v>
      </c>
      <c r="C15" s="11">
        <v>104979</v>
      </c>
      <c r="D15" s="25">
        <f t="shared" si="0"/>
        <v>-1644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95291</v>
      </c>
      <c r="C16" s="11">
        <v>93974</v>
      </c>
      <c r="D16" s="25">
        <f t="shared" si="0"/>
        <v>-1317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91874</v>
      </c>
      <c r="C17" s="11">
        <v>89099</v>
      </c>
      <c r="D17" s="25">
        <f t="shared" si="0"/>
        <v>-2775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105714</v>
      </c>
      <c r="C18" s="11">
        <v>103835</v>
      </c>
      <c r="D18" s="25">
        <f t="shared" si="0"/>
        <v>-1879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101750</v>
      </c>
      <c r="C19" s="11">
        <v>100162</v>
      </c>
      <c r="D19" s="25">
        <f t="shared" si="0"/>
        <v>-1588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109775</v>
      </c>
      <c r="C20" s="11">
        <v>109693</v>
      </c>
      <c r="D20" s="25">
        <f t="shared" si="0"/>
        <v>-82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87524</v>
      </c>
      <c r="C21" s="11">
        <v>86423</v>
      </c>
      <c r="D21" s="25">
        <f t="shared" si="0"/>
        <v>-1101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98132</v>
      </c>
      <c r="C22" s="11">
        <v>96808</v>
      </c>
      <c r="D22" s="25">
        <f t="shared" si="0"/>
        <v>-1324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101493</v>
      </c>
      <c r="C23" s="11">
        <v>99961</v>
      </c>
      <c r="D23" s="25">
        <f t="shared" si="0"/>
        <v>-1532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134960</v>
      </c>
      <c r="C24" s="11">
        <v>143957</v>
      </c>
      <c r="D24" s="25">
        <f t="shared" si="0"/>
        <v>8997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1891778</v>
      </c>
      <c r="C37" s="11">
        <f>SUM(C6:C36)</f>
        <v>1870380</v>
      </c>
      <c r="D37" s="11">
        <f>SUM(D6:D36)</f>
        <v>-21398</v>
      </c>
      <c r="E37" s="10"/>
      <c r="F37" s="11"/>
      <c r="G37" s="11"/>
      <c r="H37" s="129"/>
      <c r="I37" s="274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5"/>
      <c r="J38" s="252"/>
      <c r="K38" s="276"/>
      <c r="L38" s="252"/>
      <c r="M38" s="26"/>
      <c r="O38" s="14"/>
    </row>
    <row r="39" spans="1:16" x14ac:dyDescent="0.2">
      <c r="A39" s="57">
        <v>36860</v>
      </c>
      <c r="C39" s="15"/>
      <c r="D39" s="244">
        <v>-15891</v>
      </c>
      <c r="E39" s="57"/>
      <c r="G39" s="15"/>
      <c r="H39" s="51"/>
      <c r="I39" s="277"/>
      <c r="J39" s="252"/>
      <c r="K39" s="278"/>
      <c r="L39" s="51"/>
      <c r="M39" s="57"/>
      <c r="O39" s="15"/>
      <c r="P39" s="24"/>
    </row>
    <row r="40" spans="1:16" x14ac:dyDescent="0.2">
      <c r="A40" s="57">
        <v>36879</v>
      </c>
      <c r="C40" s="48"/>
      <c r="D40" s="25">
        <f>+D39+D37</f>
        <v>-37289</v>
      </c>
      <c r="E40" s="57"/>
      <c r="G40" s="48"/>
      <c r="H40" s="131"/>
      <c r="I40" s="277"/>
      <c r="J40" s="252"/>
      <c r="K40" s="279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topLeftCell="A28" workbookViewId="1">
      <selection activeCell="B49" sqref="B49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7"/>
      <c r="H6" s="286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80"/>
      <c r="H7" s="285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80"/>
      <c r="H8" s="285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80"/>
      <c r="H9" s="285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80"/>
      <c r="H10" s="285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8"/>
      <c r="H11" s="285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5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5"/>
      <c r="H13" s="285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5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5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5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>
        <v>157649</v>
      </c>
      <c r="C17" s="11">
        <v>154903</v>
      </c>
      <c r="D17" s="11">
        <f t="shared" si="0"/>
        <v>-2746</v>
      </c>
      <c r="E17" s="143"/>
      <c r="F17" s="139"/>
      <c r="G17" s="285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>
        <v>157888</v>
      </c>
      <c r="C18" s="11">
        <v>155298</v>
      </c>
      <c r="D18" s="11">
        <f t="shared" si="0"/>
        <v>-2590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>
        <v>156967</v>
      </c>
      <c r="C19" s="11">
        <v>157270</v>
      </c>
      <c r="D19" s="11">
        <f t="shared" si="0"/>
        <v>303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>
        <v>157485</v>
      </c>
      <c r="C20" s="11">
        <v>155719</v>
      </c>
      <c r="D20" s="11">
        <f t="shared" si="0"/>
        <v>-1766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>
        <v>156055</v>
      </c>
      <c r="C21" s="11">
        <v>155759</v>
      </c>
      <c r="D21" s="11">
        <f t="shared" si="0"/>
        <v>-296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>
        <v>150735</v>
      </c>
      <c r="C22" s="11">
        <v>150719</v>
      </c>
      <c r="D22" s="11">
        <f t="shared" si="0"/>
        <v>-16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>
        <v>155250</v>
      </c>
      <c r="C23" s="11">
        <v>154796</v>
      </c>
      <c r="D23" s="11">
        <f t="shared" si="0"/>
        <v>-454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>
        <v>155938</v>
      </c>
      <c r="C24" s="11">
        <v>155412</v>
      </c>
      <c r="D24" s="11">
        <f t="shared" si="0"/>
        <v>-526</v>
      </c>
      <c r="E24" s="283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55</v>
      </c>
      <c r="B25" s="11">
        <v>155868</v>
      </c>
      <c r="C25" s="11">
        <v>155762</v>
      </c>
      <c r="D25" s="11">
        <f t="shared" si="0"/>
        <v>-106</v>
      </c>
      <c r="E25" s="346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>
        <v>150388</v>
      </c>
      <c r="C26" s="11">
        <v>158847</v>
      </c>
      <c r="D26" s="11">
        <f t="shared" si="0"/>
        <v>8459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2939888</v>
      </c>
      <c r="C39" s="150">
        <f>SUM(C8:C38)</f>
        <v>2937471</v>
      </c>
      <c r="D39" s="152">
        <f>SUM(D8:D38)</f>
        <v>-2417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+summary!P12</f>
        <v>7.6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-18369.2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36860</v>
      </c>
      <c r="C42" s="153"/>
      <c r="D42" s="343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36879</v>
      </c>
      <c r="C43" s="142"/>
      <c r="D43" s="253">
        <f>+D42+D41</f>
        <v>-37835.42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88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60</v>
      </c>
      <c r="B80" s="157"/>
      <c r="C80" s="154"/>
      <c r="D80" s="142"/>
      <c r="E80" s="144"/>
      <c r="F80" s="144"/>
    </row>
    <row r="81" spans="1:9" x14ac:dyDescent="0.2">
      <c r="A81" s="161" t="s">
        <v>61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50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60</v>
      </c>
      <c r="B119" s="157"/>
      <c r="C119" s="154"/>
      <c r="D119" s="142"/>
      <c r="E119" s="144"/>
      <c r="F119" s="112"/>
    </row>
    <row r="120" spans="1:9" x14ac:dyDescent="0.2">
      <c r="A120" s="161" t="s">
        <v>61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">
      <c r="B167" s="187">
        <v>-300000</v>
      </c>
      <c r="C167" s="181">
        <v>-450000</v>
      </c>
      <c r="D167" s="34" t="s">
        <v>69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20</vt:i4>
      </vt:variant>
    </vt:vector>
  </HeadingPairs>
  <TitlesOfParts>
    <vt:vector size="47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GPM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2000-12-19T23:59:41Z</cp:lastPrinted>
  <dcterms:created xsi:type="dcterms:W3CDTF">2000-03-28T16:52:23Z</dcterms:created>
  <dcterms:modified xsi:type="dcterms:W3CDTF">2023-09-16T17:25:04Z</dcterms:modified>
</cp:coreProperties>
</file>